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showObjects="none"/>
  <mc:AlternateContent xmlns:mc="http://schemas.openxmlformats.org/markup-compatibility/2006">
    <mc:Choice Requires="x15">
      <x15ac:absPath xmlns:x15ac="http://schemas.microsoft.com/office/spreadsheetml/2010/11/ac" url="C:\Users\linma\Documents\WeChat Files\wxid_wr6v6m8gzept21\FileStorage\File\2022-02\"/>
    </mc:Choice>
  </mc:AlternateContent>
  <xr:revisionPtr revIDLastSave="0" documentId="13_ncr:1_{7B6E6534-4E48-439A-90D8-9AF35964D6B6}" xr6:coauthVersionLast="47" xr6:coauthVersionMax="47" xr10:uidLastSave="{00000000-0000-0000-0000-000000000000}"/>
  <bookViews>
    <workbookView xWindow="57480" yWindow="6780" windowWidth="29040" windowHeight="15840" xr2:uid="{00000000-000D-0000-FFFF-FFFF00000000}"/>
  </bookViews>
  <sheets>
    <sheet name="2016 统一格式" sheetId="62" r:id="rId1"/>
    <sheet name="原始总表" sheetId="61" r:id="rId2"/>
    <sheet name="1-10" sheetId="56" r:id="rId3"/>
    <sheet name="11-20" sheetId="57" r:id="rId4"/>
    <sheet name="21-30" sheetId="58" r:id="rId5"/>
    <sheet name="31-40" sheetId="59" r:id="rId6"/>
    <sheet name="41-50" sheetId="60" r:id="rId7"/>
    <sheet name="51-202" sheetId="55" r:id="rId8"/>
    <sheet name="203-212" sheetId="48" r:id="rId9"/>
    <sheet name="213-222" sheetId="49" r:id="rId10"/>
    <sheet name="223-232" sheetId="50" r:id="rId11"/>
    <sheet name="233-242" sheetId="51" r:id="rId12"/>
    <sheet name="243-252" sheetId="52" r:id="rId13"/>
    <sheet name="253-262" sheetId="53" r:id="rId14"/>
    <sheet name="263-267" sheetId="54" r:id="rId15"/>
    <sheet name="268-277" sheetId="36" r:id="rId16"/>
    <sheet name="278-286" sheetId="37" r:id="rId17"/>
    <sheet name="287-296" sheetId="38" r:id="rId18"/>
    <sheet name="297-306" sheetId="39" r:id="rId19"/>
    <sheet name="307-316" sheetId="40" r:id="rId20"/>
    <sheet name="317-326" sheetId="41" r:id="rId21"/>
    <sheet name="327-333" sheetId="42" r:id="rId22"/>
    <sheet name="Sheet3" sheetId="7" state="hidden" r:id="rId23"/>
  </sheets>
  <definedNames>
    <definedName name="_xlnm._FilterDatabase" localSheetId="0" hidden="1">'2016 统一格式'!#REF!</definedName>
    <definedName name="_xlnm._FilterDatabase" localSheetId="1" hidden="1">原始总表!$B$2:$Y$99</definedName>
    <definedName name="啊" localSheetId="8">#REF!</definedName>
    <definedName name="啊" localSheetId="9">#REF!</definedName>
    <definedName name="啊" localSheetId="10">#REF!</definedName>
    <definedName name="啊" localSheetId="11">#REF!</definedName>
    <definedName name="啊" localSheetId="12">#REF!</definedName>
    <definedName name="啊" localSheetId="13">#REF!</definedName>
    <definedName name="啊" localSheetId="14">#REF!</definedName>
    <definedName name="啊" localSheetId="7">#REF!</definedName>
    <definedName name="啊">#REF!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I54" i="62" l="1"/>
  <c r="H2" i="55"/>
  <c r="I53" i="62"/>
  <c r="H52" i="55"/>
  <c r="I52" i="55" s="1"/>
  <c r="K165" i="62"/>
  <c r="I165" i="62"/>
  <c r="K164" i="62"/>
  <c r="I164" i="62"/>
  <c r="K163" i="62"/>
  <c r="I163" i="62"/>
  <c r="K162" i="62"/>
  <c r="I162" i="62"/>
  <c r="K161" i="62"/>
  <c r="I161" i="62"/>
  <c r="K160" i="62"/>
  <c r="I160" i="62"/>
  <c r="K159" i="62"/>
  <c r="I159" i="62"/>
  <c r="K158" i="62"/>
  <c r="I158" i="62"/>
  <c r="K157" i="62"/>
  <c r="I157" i="62"/>
  <c r="K156" i="62"/>
  <c r="I156" i="62"/>
  <c r="K155" i="62"/>
  <c r="I155" i="62"/>
  <c r="K154" i="62"/>
  <c r="I154" i="62"/>
  <c r="K153" i="62"/>
  <c r="I153" i="62"/>
  <c r="K152" i="62"/>
  <c r="I152" i="62"/>
  <c r="K151" i="62"/>
  <c r="I151" i="62"/>
  <c r="K150" i="62"/>
  <c r="I150" i="62"/>
  <c r="K149" i="62"/>
  <c r="I149" i="62"/>
  <c r="K148" i="62"/>
  <c r="I148" i="62"/>
  <c r="K147" i="62"/>
  <c r="I147" i="62"/>
  <c r="K146" i="62"/>
  <c r="I146" i="62"/>
  <c r="K145" i="62"/>
  <c r="I145" i="62"/>
  <c r="K144" i="62"/>
  <c r="I144" i="62"/>
  <c r="K143" i="62"/>
  <c r="I143" i="62"/>
  <c r="K142" i="62"/>
  <c r="I142" i="62"/>
  <c r="K141" i="62"/>
  <c r="I141" i="62"/>
  <c r="K140" i="62"/>
  <c r="I140" i="62"/>
  <c r="K139" i="62"/>
  <c r="I139" i="62"/>
  <c r="K138" i="62"/>
  <c r="I138" i="62"/>
  <c r="K137" i="62"/>
  <c r="I137" i="62"/>
  <c r="K136" i="62"/>
  <c r="I136" i="62"/>
  <c r="K135" i="62"/>
  <c r="I135" i="62"/>
  <c r="K134" i="62"/>
  <c r="I134" i="62"/>
  <c r="K133" i="62"/>
  <c r="I133" i="62"/>
  <c r="K132" i="62"/>
  <c r="I132" i="62"/>
  <c r="K131" i="62"/>
  <c r="I131" i="62"/>
  <c r="K130" i="62"/>
  <c r="I130" i="62"/>
  <c r="K129" i="62"/>
  <c r="I129" i="62"/>
  <c r="K128" i="62"/>
  <c r="I128" i="62"/>
  <c r="K127" i="62"/>
  <c r="I127" i="62"/>
  <c r="K126" i="62"/>
  <c r="I126" i="62"/>
  <c r="K125" i="62"/>
  <c r="I125" i="62"/>
  <c r="K124" i="62"/>
  <c r="I124" i="62"/>
  <c r="K123" i="62"/>
  <c r="I123" i="62"/>
  <c r="K122" i="62"/>
  <c r="I122" i="62"/>
  <c r="K121" i="62"/>
  <c r="I121" i="62"/>
  <c r="K120" i="62"/>
  <c r="I120" i="62"/>
  <c r="K119" i="62"/>
  <c r="I119" i="62"/>
  <c r="K118" i="62"/>
  <c r="I118" i="62"/>
  <c r="K117" i="62"/>
  <c r="I117" i="62"/>
  <c r="K116" i="62"/>
  <c r="I116" i="62"/>
  <c r="K115" i="62"/>
  <c r="I115" i="62"/>
  <c r="K114" i="62"/>
  <c r="I114" i="62"/>
  <c r="K113" i="62"/>
  <c r="I113" i="62"/>
  <c r="K112" i="62"/>
  <c r="I112" i="62"/>
  <c r="K111" i="62"/>
  <c r="I111" i="62"/>
  <c r="K110" i="62"/>
  <c r="I110" i="62"/>
  <c r="K109" i="62"/>
  <c r="I109" i="62"/>
  <c r="K107" i="62"/>
  <c r="I107" i="62"/>
  <c r="K106" i="62"/>
  <c r="I106" i="62"/>
  <c r="K105" i="62"/>
  <c r="I105" i="62"/>
  <c r="K104" i="62"/>
  <c r="I104" i="62"/>
  <c r="K103" i="62"/>
  <c r="I103" i="62"/>
  <c r="K102" i="62"/>
  <c r="I102" i="62"/>
  <c r="K101" i="62"/>
  <c r="I101" i="62"/>
  <c r="K100" i="62"/>
  <c r="I100" i="62"/>
  <c r="K99" i="62"/>
  <c r="I99" i="62"/>
  <c r="K98" i="62"/>
  <c r="I98" i="62"/>
  <c r="K97" i="62"/>
  <c r="I97" i="62"/>
  <c r="K96" i="62"/>
  <c r="I96" i="62"/>
  <c r="K95" i="62"/>
  <c r="I95" i="62"/>
  <c r="K94" i="62"/>
  <c r="I94" i="62"/>
  <c r="K93" i="62"/>
  <c r="I93" i="62"/>
  <c r="K92" i="62"/>
  <c r="I92" i="62"/>
  <c r="K91" i="62"/>
  <c r="I91" i="62"/>
  <c r="K90" i="62"/>
  <c r="I90" i="62"/>
  <c r="K89" i="62"/>
  <c r="I89" i="62"/>
  <c r="K88" i="62"/>
  <c r="I88" i="62"/>
  <c r="K87" i="62"/>
  <c r="I87" i="62"/>
  <c r="K86" i="62"/>
  <c r="I86" i="62"/>
  <c r="K85" i="62"/>
  <c r="I85" i="62"/>
  <c r="K84" i="62"/>
  <c r="I84" i="62"/>
  <c r="K83" i="62"/>
  <c r="I83" i="62"/>
  <c r="K82" i="62"/>
  <c r="I82" i="62"/>
  <c r="K81" i="62"/>
  <c r="I81" i="62"/>
  <c r="K80" i="62"/>
  <c r="I80" i="62"/>
  <c r="K79" i="62"/>
  <c r="I79" i="62"/>
  <c r="K78" i="62"/>
  <c r="I78" i="62"/>
  <c r="K77" i="62"/>
  <c r="I77" i="62"/>
  <c r="K76" i="62"/>
  <c r="I76" i="62"/>
  <c r="K75" i="62"/>
  <c r="I75" i="62"/>
  <c r="K74" i="62"/>
  <c r="I74" i="62"/>
  <c r="K73" i="62"/>
  <c r="I73" i="62"/>
  <c r="K72" i="62"/>
  <c r="I72" i="62"/>
  <c r="K71" i="62"/>
  <c r="I71" i="62"/>
  <c r="K70" i="62"/>
  <c r="I70" i="62"/>
  <c r="K69" i="62"/>
  <c r="I69" i="62"/>
  <c r="K68" i="62"/>
  <c r="I68" i="62"/>
  <c r="K67" i="62"/>
  <c r="I67" i="62"/>
  <c r="K66" i="62"/>
  <c r="I66" i="62"/>
  <c r="K65" i="62"/>
  <c r="I65" i="62"/>
  <c r="K64" i="62"/>
  <c r="I64" i="62"/>
  <c r="K63" i="62"/>
  <c r="I63" i="62"/>
  <c r="K62" i="62"/>
  <c r="I62" i="62"/>
  <c r="K61" i="62"/>
  <c r="I61" i="62"/>
  <c r="K60" i="62"/>
  <c r="I60" i="62"/>
  <c r="K59" i="62"/>
  <c r="I59" i="62"/>
  <c r="K58" i="62"/>
  <c r="I58" i="62"/>
  <c r="K57" i="62"/>
  <c r="I57" i="62"/>
  <c r="K56" i="62"/>
  <c r="I56" i="62"/>
  <c r="K55" i="62"/>
  <c r="I55" i="62"/>
  <c r="K52" i="62"/>
  <c r="I52" i="62"/>
  <c r="K51" i="62"/>
  <c r="I51" i="62"/>
  <c r="K50" i="62"/>
  <c r="I50" i="62"/>
  <c r="K49" i="62"/>
  <c r="I49" i="62"/>
  <c r="K48" i="62"/>
  <c r="I48" i="62"/>
  <c r="K47" i="62"/>
  <c r="I47" i="62"/>
  <c r="K46" i="62"/>
  <c r="I46" i="62"/>
  <c r="K45" i="62"/>
  <c r="I45" i="62"/>
  <c r="K44" i="62"/>
  <c r="I44" i="62"/>
  <c r="K43" i="62"/>
  <c r="I43" i="62"/>
  <c r="K42" i="62"/>
  <c r="I42" i="62"/>
  <c r="K41" i="62"/>
  <c r="I41" i="62"/>
  <c r="K40" i="62"/>
  <c r="I40" i="62"/>
  <c r="K39" i="62"/>
  <c r="I39" i="62"/>
  <c r="K38" i="62"/>
  <c r="I38" i="62"/>
  <c r="K37" i="62"/>
  <c r="I37" i="62"/>
  <c r="K36" i="62"/>
  <c r="I36" i="62"/>
  <c r="K35" i="62"/>
  <c r="I35" i="62"/>
  <c r="K34" i="62"/>
  <c r="I34" i="62"/>
  <c r="K33" i="62"/>
  <c r="I33" i="62"/>
  <c r="K32" i="62"/>
  <c r="I32" i="62"/>
  <c r="K31" i="62"/>
  <c r="I31" i="62"/>
  <c r="K30" i="62"/>
  <c r="I30" i="62"/>
  <c r="K29" i="62"/>
  <c r="I29" i="62"/>
  <c r="K28" i="62"/>
  <c r="I28" i="62"/>
  <c r="K27" i="62"/>
  <c r="I27" i="62"/>
  <c r="K26" i="62"/>
  <c r="I26" i="62"/>
  <c r="K25" i="62"/>
  <c r="I25" i="62"/>
  <c r="K24" i="62"/>
  <c r="I24" i="62"/>
  <c r="K23" i="62"/>
  <c r="I23" i="62"/>
  <c r="K22" i="62"/>
  <c r="I22" i="62"/>
  <c r="K21" i="62"/>
  <c r="I21" i="62"/>
  <c r="K20" i="62"/>
  <c r="I20" i="62"/>
  <c r="K19" i="62"/>
  <c r="I19" i="62"/>
  <c r="K18" i="62"/>
  <c r="I18" i="62"/>
  <c r="K17" i="62"/>
  <c r="I17" i="62"/>
  <c r="K16" i="62"/>
  <c r="I16" i="62"/>
  <c r="K15" i="62"/>
  <c r="I15" i="62"/>
  <c r="K14" i="62"/>
  <c r="I14" i="62"/>
  <c r="K13" i="62"/>
  <c r="I13" i="62"/>
  <c r="K12" i="62"/>
  <c r="I12" i="62"/>
  <c r="K11" i="62"/>
  <c r="I11" i="62"/>
  <c r="K10" i="62"/>
  <c r="I10" i="62"/>
  <c r="K9" i="62"/>
  <c r="I9" i="62"/>
  <c r="K8" i="62"/>
  <c r="I8" i="62"/>
  <c r="K7" i="62"/>
  <c r="I7" i="62"/>
  <c r="K6" i="62"/>
  <c r="I6" i="62"/>
  <c r="K5" i="62"/>
  <c r="I5" i="62"/>
  <c r="K4" i="62"/>
  <c r="I4" i="62"/>
  <c r="K3" i="62"/>
  <c r="I3" i="62"/>
  <c r="K2" i="62"/>
  <c r="I2" i="62"/>
  <c r="Y359" i="61"/>
  <c r="X359" i="61"/>
  <c r="P359" i="61"/>
  <c r="N359" i="61"/>
  <c r="H359" i="61"/>
  <c r="I359" i="61"/>
  <c r="Y358" i="61"/>
  <c r="X358" i="61"/>
  <c r="V358" i="61" s="1"/>
  <c r="P358" i="61"/>
  <c r="N358" i="61"/>
  <c r="H358" i="61"/>
  <c r="I358" i="61" s="1"/>
  <c r="Y357" i="61"/>
  <c r="X357" i="61"/>
  <c r="P357" i="61"/>
  <c r="N357" i="61"/>
  <c r="H357" i="61"/>
  <c r="I357" i="61" s="1"/>
  <c r="Y356" i="61"/>
  <c r="X356" i="61"/>
  <c r="P356" i="61"/>
  <c r="N356" i="61"/>
  <c r="H356" i="61"/>
  <c r="I356" i="61" s="1"/>
  <c r="Y355" i="61"/>
  <c r="X355" i="61"/>
  <c r="V355" i="61"/>
  <c r="P355" i="61"/>
  <c r="N355" i="61"/>
  <c r="H355" i="61"/>
  <c r="I355" i="61"/>
  <c r="Y354" i="61"/>
  <c r="X354" i="61"/>
  <c r="P354" i="61"/>
  <c r="N354" i="61"/>
  <c r="H354" i="61"/>
  <c r="I354" i="61" s="1"/>
  <c r="Y353" i="61"/>
  <c r="X353" i="61"/>
  <c r="P353" i="61"/>
  <c r="N353" i="61"/>
  <c r="H353" i="61"/>
  <c r="I353" i="61" s="1"/>
  <c r="Y352" i="61"/>
  <c r="X352" i="61"/>
  <c r="P352" i="61"/>
  <c r="N352" i="61"/>
  <c r="H352" i="61"/>
  <c r="I352" i="61" s="1"/>
  <c r="Y351" i="61"/>
  <c r="X351" i="61"/>
  <c r="P351" i="61"/>
  <c r="N351" i="61"/>
  <c r="H351" i="61"/>
  <c r="I351" i="61" s="1"/>
  <c r="Y350" i="61"/>
  <c r="X350" i="61"/>
  <c r="V350" i="61"/>
  <c r="P350" i="61"/>
  <c r="N350" i="61"/>
  <c r="H350" i="61"/>
  <c r="I350" i="61" s="1"/>
  <c r="Y349" i="61"/>
  <c r="X349" i="61"/>
  <c r="V349" i="61" s="1"/>
  <c r="P349" i="61"/>
  <c r="N349" i="61"/>
  <c r="H349" i="61"/>
  <c r="I349" i="61" s="1"/>
  <c r="Y348" i="61"/>
  <c r="X348" i="61"/>
  <c r="V348" i="61"/>
  <c r="P348" i="61"/>
  <c r="N348" i="61"/>
  <c r="H348" i="61"/>
  <c r="I348" i="61" s="1"/>
  <c r="Y347" i="61"/>
  <c r="V347" i="61"/>
  <c r="X347" i="61"/>
  <c r="P347" i="61"/>
  <c r="N347" i="61"/>
  <c r="H347" i="61"/>
  <c r="I347" i="61" s="1"/>
  <c r="Y346" i="61"/>
  <c r="X346" i="61"/>
  <c r="P346" i="61"/>
  <c r="N346" i="61"/>
  <c r="H346" i="61"/>
  <c r="I346" i="61" s="1"/>
  <c r="Y345" i="61"/>
  <c r="V345" i="61" s="1"/>
  <c r="P345" i="61"/>
  <c r="N345" i="61"/>
  <c r="H345" i="61"/>
  <c r="I345" i="61" s="1"/>
  <c r="Y344" i="61"/>
  <c r="X344" i="61"/>
  <c r="P344" i="61"/>
  <c r="N344" i="61"/>
  <c r="H344" i="61"/>
  <c r="I344" i="61" s="1"/>
  <c r="Y343" i="61"/>
  <c r="X343" i="61"/>
  <c r="V343" i="61" s="1"/>
  <c r="P343" i="61"/>
  <c r="N343" i="61"/>
  <c r="H343" i="61"/>
  <c r="I343" i="61"/>
  <c r="Y342" i="61"/>
  <c r="X342" i="61"/>
  <c r="P342" i="61"/>
  <c r="N342" i="61"/>
  <c r="H342" i="61"/>
  <c r="I342" i="61" s="1"/>
  <c r="Y341" i="61"/>
  <c r="X341" i="61"/>
  <c r="P341" i="61"/>
  <c r="N341" i="61"/>
  <c r="H341" i="61"/>
  <c r="I341" i="61"/>
  <c r="Y340" i="61"/>
  <c r="V340" i="61" s="1"/>
  <c r="X340" i="61"/>
  <c r="P340" i="61"/>
  <c r="N340" i="61"/>
  <c r="H340" i="61"/>
  <c r="I340" i="61" s="1"/>
  <c r="Y339" i="61"/>
  <c r="X339" i="61"/>
  <c r="P339" i="61"/>
  <c r="N339" i="61"/>
  <c r="H339" i="61"/>
  <c r="I339" i="61"/>
  <c r="Y338" i="61"/>
  <c r="X338" i="61"/>
  <c r="V338" i="61" s="1"/>
  <c r="P338" i="61"/>
  <c r="N338" i="61"/>
  <c r="H338" i="61"/>
  <c r="I338" i="61" s="1"/>
  <c r="Y337" i="61"/>
  <c r="X337" i="61"/>
  <c r="P337" i="61"/>
  <c r="N337" i="61"/>
  <c r="H337" i="61"/>
  <c r="I337" i="61"/>
  <c r="Y336" i="61"/>
  <c r="X336" i="61"/>
  <c r="P336" i="61"/>
  <c r="N336" i="61"/>
  <c r="H336" i="61"/>
  <c r="I336" i="61" s="1"/>
  <c r="Y335" i="61"/>
  <c r="X335" i="61"/>
  <c r="P335" i="61"/>
  <c r="N335" i="61"/>
  <c r="H335" i="61"/>
  <c r="I335" i="61" s="1"/>
  <c r="Y334" i="61"/>
  <c r="X334" i="61"/>
  <c r="V334" i="61" s="1"/>
  <c r="P334" i="61"/>
  <c r="N334" i="61"/>
  <c r="H334" i="61"/>
  <c r="I334" i="61" s="1"/>
  <c r="Y333" i="61"/>
  <c r="X333" i="61"/>
  <c r="P333" i="61"/>
  <c r="N333" i="61"/>
  <c r="H333" i="61"/>
  <c r="I333" i="61" s="1"/>
  <c r="Y332" i="61"/>
  <c r="X332" i="61"/>
  <c r="V332" i="61" s="1"/>
  <c r="P332" i="61"/>
  <c r="N332" i="61"/>
  <c r="H332" i="61"/>
  <c r="I332" i="61" s="1"/>
  <c r="Y331" i="61"/>
  <c r="X331" i="61"/>
  <c r="V331" i="61" s="1"/>
  <c r="P331" i="61"/>
  <c r="N331" i="61"/>
  <c r="H331" i="61"/>
  <c r="I331" i="61" s="1"/>
  <c r="Y330" i="61"/>
  <c r="X330" i="61"/>
  <c r="P330" i="61"/>
  <c r="N330" i="61"/>
  <c r="H330" i="61"/>
  <c r="I330" i="61"/>
  <c r="Y329" i="61"/>
  <c r="X329" i="61"/>
  <c r="V329" i="61" s="1"/>
  <c r="P329" i="61"/>
  <c r="N329" i="61"/>
  <c r="H329" i="61"/>
  <c r="I329" i="61" s="1"/>
  <c r="Y328" i="61"/>
  <c r="X328" i="61"/>
  <c r="V328" i="61" s="1"/>
  <c r="P328" i="61"/>
  <c r="N328" i="61"/>
  <c r="H328" i="61"/>
  <c r="I328" i="61" s="1"/>
  <c r="Y327" i="61"/>
  <c r="X327" i="61"/>
  <c r="V327" i="61" s="1"/>
  <c r="P327" i="61"/>
  <c r="N327" i="61"/>
  <c r="H327" i="61"/>
  <c r="I327" i="61"/>
  <c r="Y326" i="61"/>
  <c r="X326" i="61"/>
  <c r="P326" i="61"/>
  <c r="N326" i="61"/>
  <c r="H326" i="61"/>
  <c r="I326" i="61" s="1"/>
  <c r="Y325" i="61"/>
  <c r="X325" i="61"/>
  <c r="P325" i="61"/>
  <c r="N325" i="61"/>
  <c r="H325" i="61"/>
  <c r="I325" i="61" s="1"/>
  <c r="Y324" i="61"/>
  <c r="X324" i="61"/>
  <c r="V324" i="61" s="1"/>
  <c r="P324" i="61"/>
  <c r="N324" i="61"/>
  <c r="H324" i="61"/>
  <c r="I324" i="61"/>
  <c r="Y323" i="61"/>
  <c r="X323" i="61"/>
  <c r="P323" i="61"/>
  <c r="N323" i="61"/>
  <c r="H323" i="61"/>
  <c r="I323" i="61"/>
  <c r="Y322" i="61"/>
  <c r="V322" i="61"/>
  <c r="P322" i="61"/>
  <c r="N322" i="61"/>
  <c r="H322" i="61"/>
  <c r="I322" i="61"/>
  <c r="Y321" i="61"/>
  <c r="X321" i="61"/>
  <c r="P321" i="61"/>
  <c r="N321" i="61"/>
  <c r="H321" i="61"/>
  <c r="I321" i="61" s="1"/>
  <c r="Y320" i="61"/>
  <c r="X320" i="61"/>
  <c r="P320" i="61"/>
  <c r="N320" i="61"/>
  <c r="H320" i="61"/>
  <c r="I320" i="61" s="1"/>
  <c r="Y319" i="61"/>
  <c r="X319" i="61"/>
  <c r="V319" i="61" s="1"/>
  <c r="P319" i="61"/>
  <c r="N319" i="61"/>
  <c r="H319" i="61"/>
  <c r="I319" i="61" s="1"/>
  <c r="Y318" i="61"/>
  <c r="X318" i="61"/>
  <c r="P318" i="61"/>
  <c r="N318" i="61"/>
  <c r="H318" i="61"/>
  <c r="I318" i="61" s="1"/>
  <c r="Y317" i="61"/>
  <c r="X317" i="61"/>
  <c r="P317" i="61"/>
  <c r="N317" i="61"/>
  <c r="H317" i="61"/>
  <c r="I317" i="61" s="1"/>
  <c r="Y316" i="61"/>
  <c r="V316" i="61"/>
  <c r="X316" i="61"/>
  <c r="P316" i="61"/>
  <c r="N316" i="61"/>
  <c r="H316" i="61"/>
  <c r="I316" i="61"/>
  <c r="Y315" i="61"/>
  <c r="X315" i="61"/>
  <c r="P315" i="61"/>
  <c r="N315" i="61"/>
  <c r="H315" i="61"/>
  <c r="I315" i="61" s="1"/>
  <c r="Y314" i="61"/>
  <c r="X314" i="61"/>
  <c r="V314" i="61" s="1"/>
  <c r="P314" i="61"/>
  <c r="N314" i="61"/>
  <c r="H314" i="61"/>
  <c r="I314" i="61"/>
  <c r="Y313" i="61"/>
  <c r="X313" i="61"/>
  <c r="P313" i="61"/>
  <c r="N313" i="61"/>
  <c r="H313" i="61"/>
  <c r="I313" i="61" s="1"/>
  <c r="Y312" i="61"/>
  <c r="X312" i="61"/>
  <c r="V312" i="61" s="1"/>
  <c r="P312" i="61"/>
  <c r="N312" i="61"/>
  <c r="H312" i="61"/>
  <c r="I312" i="61"/>
  <c r="Y311" i="61"/>
  <c r="X311" i="61"/>
  <c r="P311" i="61"/>
  <c r="N311" i="61"/>
  <c r="H311" i="61"/>
  <c r="I311" i="61" s="1"/>
  <c r="Y310" i="61"/>
  <c r="X310" i="61"/>
  <c r="P310" i="61"/>
  <c r="N310" i="61"/>
  <c r="H310" i="61"/>
  <c r="I310" i="61"/>
  <c r="Y309" i="61"/>
  <c r="V309" i="61" s="1"/>
  <c r="X309" i="61"/>
  <c r="P309" i="61"/>
  <c r="N309" i="61"/>
  <c r="H309" i="61"/>
  <c r="I309" i="61" s="1"/>
  <c r="Y308" i="61"/>
  <c r="X308" i="61"/>
  <c r="P308" i="61"/>
  <c r="N308" i="61"/>
  <c r="H308" i="61"/>
  <c r="I308" i="61" s="1"/>
  <c r="Y307" i="61"/>
  <c r="X307" i="61"/>
  <c r="V307" i="61" s="1"/>
  <c r="P307" i="61"/>
  <c r="N307" i="61"/>
  <c r="H307" i="61"/>
  <c r="I307" i="61"/>
  <c r="Y306" i="61"/>
  <c r="X306" i="61"/>
  <c r="V306" i="61" s="1"/>
  <c r="P306" i="61"/>
  <c r="N306" i="61"/>
  <c r="H306" i="61"/>
  <c r="I306" i="61" s="1"/>
  <c r="Y305" i="61"/>
  <c r="X305" i="61"/>
  <c r="P305" i="61"/>
  <c r="N305" i="61"/>
  <c r="H305" i="61"/>
  <c r="I305" i="61"/>
  <c r="Y304" i="61"/>
  <c r="X304" i="61"/>
  <c r="V304" i="61" s="1"/>
  <c r="P304" i="61"/>
  <c r="N304" i="61"/>
  <c r="H304" i="61"/>
  <c r="I304" i="61" s="1"/>
  <c r="Y303" i="61"/>
  <c r="X303" i="61"/>
  <c r="P303" i="61"/>
  <c r="N303" i="61"/>
  <c r="H303" i="61"/>
  <c r="I303" i="61" s="1"/>
  <c r="Y302" i="61"/>
  <c r="X302" i="61"/>
  <c r="V302" i="61" s="1"/>
  <c r="P302" i="61"/>
  <c r="N302" i="61"/>
  <c r="H302" i="61"/>
  <c r="I302" i="61"/>
  <c r="Y301" i="61"/>
  <c r="X301" i="61"/>
  <c r="V301" i="61" s="1"/>
  <c r="P301" i="61"/>
  <c r="N301" i="61"/>
  <c r="H301" i="61"/>
  <c r="I301" i="61" s="1"/>
  <c r="Y300" i="61"/>
  <c r="X300" i="61"/>
  <c r="P300" i="61"/>
  <c r="N300" i="61"/>
  <c r="H300" i="61"/>
  <c r="I300" i="61" s="1"/>
  <c r="Y299" i="61"/>
  <c r="V299" i="61" s="1"/>
  <c r="X299" i="61"/>
  <c r="P299" i="61"/>
  <c r="N299" i="61"/>
  <c r="H299" i="61"/>
  <c r="I299" i="61" s="1"/>
  <c r="Y298" i="61"/>
  <c r="X298" i="61"/>
  <c r="V298" i="61" s="1"/>
  <c r="P298" i="61"/>
  <c r="N298" i="61"/>
  <c r="H298" i="61"/>
  <c r="I298" i="61"/>
  <c r="Y297" i="61"/>
  <c r="X297" i="61"/>
  <c r="P297" i="61"/>
  <c r="N297" i="61"/>
  <c r="H297" i="61"/>
  <c r="I297" i="61"/>
  <c r="Y296" i="61"/>
  <c r="X296" i="61"/>
  <c r="P296" i="61"/>
  <c r="N296" i="61"/>
  <c r="H296" i="61"/>
  <c r="I296" i="61"/>
  <c r="Y295" i="61"/>
  <c r="X295" i="61"/>
  <c r="V295" i="61" s="1"/>
  <c r="P295" i="61"/>
  <c r="N295" i="61"/>
  <c r="H295" i="61"/>
  <c r="I295" i="61" s="1"/>
  <c r="Y294" i="61"/>
  <c r="X294" i="61"/>
  <c r="P294" i="61"/>
  <c r="N294" i="61"/>
  <c r="H294" i="61"/>
  <c r="I294" i="61" s="1"/>
  <c r="P293" i="61"/>
  <c r="N293" i="61"/>
  <c r="H293" i="61"/>
  <c r="I293" i="61" s="1"/>
  <c r="Y292" i="61"/>
  <c r="X292" i="61"/>
  <c r="V292" i="61" s="1"/>
  <c r="P292" i="61"/>
  <c r="N292" i="61"/>
  <c r="H292" i="61"/>
  <c r="I292" i="61"/>
  <c r="Y291" i="61"/>
  <c r="X291" i="61"/>
  <c r="P291" i="61"/>
  <c r="N291" i="61"/>
  <c r="H291" i="61"/>
  <c r="I291" i="61" s="1"/>
  <c r="Y290" i="61"/>
  <c r="X290" i="61"/>
  <c r="P290" i="61"/>
  <c r="N290" i="61"/>
  <c r="H290" i="61"/>
  <c r="I290" i="61" s="1"/>
  <c r="Y289" i="61"/>
  <c r="V289" i="61" s="1"/>
  <c r="X289" i="61"/>
  <c r="P289" i="61"/>
  <c r="N289" i="61"/>
  <c r="H289" i="61"/>
  <c r="I289" i="61" s="1"/>
  <c r="Y288" i="61"/>
  <c r="X288" i="61"/>
  <c r="P288" i="61"/>
  <c r="N288" i="61"/>
  <c r="H288" i="61"/>
  <c r="I288" i="61"/>
  <c r="Y287" i="61"/>
  <c r="X287" i="61"/>
  <c r="P287" i="61"/>
  <c r="N287" i="61"/>
  <c r="H287" i="61"/>
  <c r="I287" i="61" s="1"/>
  <c r="Y286" i="61"/>
  <c r="X286" i="61"/>
  <c r="P286" i="61"/>
  <c r="N286" i="61"/>
  <c r="H286" i="61"/>
  <c r="I286" i="61"/>
  <c r="Y285" i="61"/>
  <c r="X285" i="61"/>
  <c r="V285" i="61" s="1"/>
  <c r="P285" i="61"/>
  <c r="N285" i="61"/>
  <c r="H285" i="61"/>
  <c r="I285" i="61" s="1"/>
  <c r="Y284" i="61"/>
  <c r="X284" i="61"/>
  <c r="P284" i="61"/>
  <c r="N284" i="61"/>
  <c r="H284" i="61"/>
  <c r="I284" i="61" s="1"/>
  <c r="Y283" i="61"/>
  <c r="X283" i="61"/>
  <c r="P283" i="61"/>
  <c r="N283" i="61"/>
  <c r="H283" i="61"/>
  <c r="I283" i="61"/>
  <c r="Y282" i="61"/>
  <c r="X282" i="61"/>
  <c r="P282" i="61"/>
  <c r="N282" i="61"/>
  <c r="H282" i="61"/>
  <c r="I282" i="61"/>
  <c r="Y281" i="61"/>
  <c r="X281" i="61"/>
  <c r="P281" i="61"/>
  <c r="N281" i="61"/>
  <c r="H281" i="61"/>
  <c r="I281" i="61"/>
  <c r="X280" i="61"/>
  <c r="V280" i="61"/>
  <c r="P280" i="61"/>
  <c r="N280" i="61"/>
  <c r="H280" i="61"/>
  <c r="I280" i="61"/>
  <c r="Y279" i="61"/>
  <c r="X279" i="61"/>
  <c r="P279" i="61"/>
  <c r="N279" i="61"/>
  <c r="H279" i="61"/>
  <c r="I279" i="61"/>
  <c r="Y278" i="61"/>
  <c r="X278" i="61"/>
  <c r="P278" i="61"/>
  <c r="N278" i="61"/>
  <c r="H278" i="61"/>
  <c r="I278" i="61"/>
  <c r="Y277" i="61"/>
  <c r="X277" i="61"/>
  <c r="V277" i="61" s="1"/>
  <c r="P277" i="61"/>
  <c r="N277" i="61"/>
  <c r="H277" i="61"/>
  <c r="I277" i="61" s="1"/>
  <c r="Y276" i="61"/>
  <c r="X276" i="61"/>
  <c r="P276" i="61"/>
  <c r="N276" i="61"/>
  <c r="H276" i="61"/>
  <c r="I276" i="61" s="1"/>
  <c r="Y275" i="61"/>
  <c r="X275" i="61"/>
  <c r="P275" i="61"/>
  <c r="N275" i="61"/>
  <c r="H275" i="61"/>
  <c r="I275" i="61"/>
  <c r="Y274" i="61"/>
  <c r="X274" i="61"/>
  <c r="P274" i="61"/>
  <c r="N274" i="61"/>
  <c r="H274" i="61"/>
  <c r="I274" i="61" s="1"/>
  <c r="Y273" i="61"/>
  <c r="X273" i="61"/>
  <c r="V273" i="61" s="1"/>
  <c r="P273" i="61"/>
  <c r="N273" i="61"/>
  <c r="H273" i="61"/>
  <c r="I273" i="61" s="1"/>
  <c r="Y272" i="61"/>
  <c r="X272" i="61"/>
  <c r="P272" i="61"/>
  <c r="N272" i="61"/>
  <c r="H272" i="61"/>
  <c r="I272" i="61" s="1"/>
  <c r="Y271" i="61"/>
  <c r="X271" i="61"/>
  <c r="V271" i="61" s="1"/>
  <c r="P271" i="61"/>
  <c r="N271" i="61"/>
  <c r="H271" i="61"/>
  <c r="I271" i="61" s="1"/>
  <c r="Y270" i="61"/>
  <c r="X270" i="61"/>
  <c r="P270" i="61"/>
  <c r="N270" i="61"/>
  <c r="H270" i="61"/>
  <c r="I270" i="61" s="1"/>
  <c r="Y269" i="61"/>
  <c r="X269" i="61"/>
  <c r="P269" i="61"/>
  <c r="N269" i="61"/>
  <c r="H269" i="61"/>
  <c r="I269" i="61"/>
  <c r="Y268" i="61"/>
  <c r="X268" i="61"/>
  <c r="P268" i="61"/>
  <c r="N268" i="61"/>
  <c r="H268" i="61"/>
  <c r="I268" i="61" s="1"/>
  <c r="Y267" i="61"/>
  <c r="X267" i="61"/>
  <c r="P267" i="61"/>
  <c r="N267" i="61"/>
  <c r="H267" i="61"/>
  <c r="I267" i="61"/>
  <c r="Y266" i="61"/>
  <c r="V266" i="61" s="1"/>
  <c r="X266" i="61"/>
  <c r="P266" i="61"/>
  <c r="N266" i="61"/>
  <c r="H266" i="61"/>
  <c r="I266" i="61" s="1"/>
  <c r="Y265" i="61"/>
  <c r="X265" i="61"/>
  <c r="P265" i="61"/>
  <c r="N265" i="61"/>
  <c r="H265" i="61"/>
  <c r="I265" i="61" s="1"/>
  <c r="Y264" i="61"/>
  <c r="X264" i="61"/>
  <c r="V264" i="61" s="1"/>
  <c r="P264" i="61"/>
  <c r="N264" i="61"/>
  <c r="H264" i="61"/>
  <c r="I264" i="61"/>
  <c r="Y263" i="61"/>
  <c r="X263" i="61"/>
  <c r="V263" i="61" s="1"/>
  <c r="P263" i="61"/>
  <c r="N263" i="61"/>
  <c r="H263" i="61"/>
  <c r="I263" i="61" s="1"/>
  <c r="P262" i="61"/>
  <c r="N262" i="61"/>
  <c r="H262" i="61"/>
  <c r="I262" i="61" s="1"/>
  <c r="P261" i="61"/>
  <c r="N261" i="61"/>
  <c r="H261" i="61"/>
  <c r="I261" i="61" s="1"/>
  <c r="P260" i="61"/>
  <c r="N260" i="61"/>
  <c r="H260" i="61"/>
  <c r="I260" i="61" s="1"/>
  <c r="Y259" i="61"/>
  <c r="X259" i="61"/>
  <c r="P259" i="61"/>
  <c r="N259" i="61"/>
  <c r="H259" i="61"/>
  <c r="I259" i="61"/>
  <c r="Y258" i="61"/>
  <c r="X258" i="61"/>
  <c r="P258" i="61"/>
  <c r="N258" i="61"/>
  <c r="H258" i="61"/>
  <c r="I258" i="61" s="1"/>
  <c r="Y257" i="61"/>
  <c r="X257" i="61"/>
  <c r="V257" i="61" s="1"/>
  <c r="P257" i="61"/>
  <c r="N257" i="61"/>
  <c r="H257" i="61"/>
  <c r="I257" i="61" s="1"/>
  <c r="Y256" i="61"/>
  <c r="X256" i="61"/>
  <c r="V256" i="61" s="1"/>
  <c r="P256" i="61"/>
  <c r="N256" i="61"/>
  <c r="H256" i="61"/>
  <c r="I256" i="61" s="1"/>
  <c r="Y255" i="61"/>
  <c r="X255" i="61"/>
  <c r="V255" i="61" s="1"/>
  <c r="P255" i="61"/>
  <c r="N255" i="61"/>
  <c r="H255" i="61"/>
  <c r="I255" i="61"/>
  <c r="Y254" i="61"/>
  <c r="X254" i="61"/>
  <c r="P254" i="61"/>
  <c r="N254" i="61"/>
  <c r="H254" i="61"/>
  <c r="I254" i="61" s="1"/>
  <c r="Y253" i="61"/>
  <c r="X253" i="61"/>
  <c r="P253" i="61"/>
  <c r="N253" i="61"/>
  <c r="H253" i="61"/>
  <c r="I253" i="61" s="1"/>
  <c r="Y252" i="61"/>
  <c r="X252" i="61"/>
  <c r="P252" i="61"/>
  <c r="N252" i="61"/>
  <c r="H252" i="61"/>
  <c r="I252" i="61" s="1"/>
  <c r="Y251" i="61"/>
  <c r="X251" i="61"/>
  <c r="P251" i="61"/>
  <c r="N251" i="61"/>
  <c r="H251" i="61"/>
  <c r="I251" i="61" s="1"/>
  <c r="Y250" i="61"/>
  <c r="V250" i="61" s="1"/>
  <c r="X250" i="61"/>
  <c r="P250" i="61"/>
  <c r="N250" i="61"/>
  <c r="H250" i="61"/>
  <c r="I250" i="61" s="1"/>
  <c r="Y249" i="61"/>
  <c r="X249" i="61"/>
  <c r="V249" i="61"/>
  <c r="P249" i="61"/>
  <c r="N249" i="61"/>
  <c r="H249" i="61"/>
  <c r="I249" i="61" s="1"/>
  <c r="Y248" i="61"/>
  <c r="X248" i="61"/>
  <c r="V248" i="61"/>
  <c r="P248" i="61"/>
  <c r="N248" i="61"/>
  <c r="H248" i="61"/>
  <c r="I248" i="61" s="1"/>
  <c r="Y247" i="61"/>
  <c r="X247" i="61"/>
  <c r="V247" i="61" s="1"/>
  <c r="P247" i="61"/>
  <c r="N247" i="61"/>
  <c r="H247" i="61"/>
  <c r="I247" i="61" s="1"/>
  <c r="Y246" i="61"/>
  <c r="X246" i="61"/>
  <c r="V246" i="61" s="1"/>
  <c r="P246" i="61"/>
  <c r="N246" i="61"/>
  <c r="H246" i="61"/>
  <c r="I246" i="61" s="1"/>
  <c r="Y245" i="61"/>
  <c r="X245" i="61"/>
  <c r="P245" i="61"/>
  <c r="N245" i="61"/>
  <c r="H245" i="61"/>
  <c r="I245" i="61" s="1"/>
  <c r="Y244" i="61"/>
  <c r="V244" i="61" s="1"/>
  <c r="P244" i="61"/>
  <c r="N244" i="61"/>
  <c r="H244" i="61"/>
  <c r="I244" i="61" s="1"/>
  <c r="Y243" i="61"/>
  <c r="X243" i="61"/>
  <c r="V243" i="61" s="1"/>
  <c r="P243" i="61"/>
  <c r="N243" i="61"/>
  <c r="H243" i="61"/>
  <c r="I243" i="61" s="1"/>
  <c r="Y242" i="61"/>
  <c r="X242" i="61"/>
  <c r="P242" i="61"/>
  <c r="N242" i="61"/>
  <c r="H242" i="61"/>
  <c r="I242" i="61" s="1"/>
  <c r="Y241" i="61"/>
  <c r="X241" i="61"/>
  <c r="V241" i="61" s="1"/>
  <c r="P241" i="61"/>
  <c r="N241" i="61"/>
  <c r="H241" i="61"/>
  <c r="I241" i="61" s="1"/>
  <c r="Y240" i="61"/>
  <c r="X240" i="61"/>
  <c r="P240" i="61"/>
  <c r="N240" i="61"/>
  <c r="H240" i="61"/>
  <c r="I240" i="61" s="1"/>
  <c r="Y239" i="61"/>
  <c r="X239" i="61"/>
  <c r="V239" i="61" s="1"/>
  <c r="P239" i="61"/>
  <c r="N239" i="61"/>
  <c r="H239" i="61"/>
  <c r="I239" i="61" s="1"/>
  <c r="Y238" i="61"/>
  <c r="X238" i="61"/>
  <c r="P238" i="61"/>
  <c r="N238" i="61"/>
  <c r="H238" i="61"/>
  <c r="I238" i="61" s="1"/>
  <c r="Y237" i="61"/>
  <c r="X237" i="61"/>
  <c r="P237" i="61"/>
  <c r="N237" i="61"/>
  <c r="H237" i="61"/>
  <c r="I237" i="61" s="1"/>
  <c r="Y236" i="61"/>
  <c r="X236" i="61"/>
  <c r="P236" i="61"/>
  <c r="N236" i="61"/>
  <c r="H236" i="61"/>
  <c r="I236" i="61" s="1"/>
  <c r="Y235" i="61"/>
  <c r="X235" i="61"/>
  <c r="V235" i="61" s="1"/>
  <c r="P235" i="61"/>
  <c r="N235" i="61"/>
  <c r="H235" i="61"/>
  <c r="I235" i="61" s="1"/>
  <c r="Y234" i="61"/>
  <c r="X234" i="61"/>
  <c r="P234" i="61"/>
  <c r="N234" i="61"/>
  <c r="H234" i="61"/>
  <c r="I234" i="61" s="1"/>
  <c r="Y233" i="61"/>
  <c r="X233" i="61"/>
  <c r="V233" i="61" s="1"/>
  <c r="P233" i="61"/>
  <c r="N233" i="61"/>
  <c r="H233" i="61"/>
  <c r="I233" i="61" s="1"/>
  <c r="Y232" i="61"/>
  <c r="X232" i="61"/>
  <c r="P232" i="61"/>
  <c r="N232" i="61"/>
  <c r="H232" i="61"/>
  <c r="I232" i="61" s="1"/>
  <c r="Y231" i="61"/>
  <c r="X231" i="61"/>
  <c r="P231" i="61"/>
  <c r="N231" i="61"/>
  <c r="H231" i="61"/>
  <c r="I231" i="61" s="1"/>
  <c r="Y230" i="61"/>
  <c r="X230" i="61"/>
  <c r="P230" i="61"/>
  <c r="N230" i="61"/>
  <c r="H230" i="61"/>
  <c r="I230" i="61" s="1"/>
  <c r="Y229" i="61"/>
  <c r="X229" i="61"/>
  <c r="P229" i="61"/>
  <c r="N229" i="61"/>
  <c r="H229" i="61"/>
  <c r="I229" i="61" s="1"/>
  <c r="Y228" i="61"/>
  <c r="X228" i="61"/>
  <c r="P228" i="61"/>
  <c r="N228" i="61"/>
  <c r="H228" i="61"/>
  <c r="I228" i="61" s="1"/>
  <c r="Y227" i="61"/>
  <c r="X227" i="61"/>
  <c r="V227" i="61" s="1"/>
  <c r="P227" i="61"/>
  <c r="N227" i="61"/>
  <c r="H227" i="61"/>
  <c r="I227" i="61"/>
  <c r="Y226" i="61"/>
  <c r="X226" i="61"/>
  <c r="V226" i="61" s="1"/>
  <c r="P226" i="61"/>
  <c r="N226" i="61"/>
  <c r="H226" i="61"/>
  <c r="I226" i="61"/>
  <c r="Y225" i="61"/>
  <c r="X225" i="61"/>
  <c r="P225" i="61"/>
  <c r="N225" i="61"/>
  <c r="H225" i="61"/>
  <c r="I225" i="61"/>
  <c r="Y224" i="61"/>
  <c r="X224" i="61"/>
  <c r="V224" i="61" s="1"/>
  <c r="P224" i="61"/>
  <c r="N224" i="61"/>
  <c r="H224" i="61"/>
  <c r="I224" i="61" s="1"/>
  <c r="Y223" i="61"/>
  <c r="X223" i="61"/>
  <c r="P223" i="61"/>
  <c r="N223" i="61"/>
  <c r="H223" i="61"/>
  <c r="I223" i="61" s="1"/>
  <c r="Y222" i="61"/>
  <c r="X222" i="61"/>
  <c r="V222" i="61" s="1"/>
  <c r="P222" i="61"/>
  <c r="N222" i="61"/>
  <c r="H222" i="61"/>
  <c r="I222" i="61" s="1"/>
  <c r="Y221" i="61"/>
  <c r="X221" i="61"/>
  <c r="P221" i="61"/>
  <c r="N221" i="61"/>
  <c r="H221" i="61"/>
  <c r="I221" i="61" s="1"/>
  <c r="Y220" i="61"/>
  <c r="X220" i="61"/>
  <c r="P220" i="61"/>
  <c r="N220" i="61"/>
  <c r="H220" i="61"/>
  <c r="I220" i="61" s="1"/>
  <c r="V219" i="61"/>
  <c r="P219" i="61"/>
  <c r="N219" i="61"/>
  <c r="H219" i="61"/>
  <c r="I219" i="61" s="1"/>
  <c r="V218" i="61"/>
  <c r="P218" i="61"/>
  <c r="N218" i="61"/>
  <c r="H218" i="61"/>
  <c r="I218" i="61" s="1"/>
  <c r="V217" i="61"/>
  <c r="P217" i="61"/>
  <c r="N217" i="61"/>
  <c r="H217" i="61"/>
  <c r="I217" i="61"/>
  <c r="V216" i="61"/>
  <c r="P216" i="61"/>
  <c r="N216" i="61"/>
  <c r="H216" i="61"/>
  <c r="I216" i="61" s="1"/>
  <c r="V215" i="61"/>
  <c r="P215" i="61"/>
  <c r="N215" i="61"/>
  <c r="H215" i="61"/>
  <c r="I215" i="61" s="1"/>
  <c r="V214" i="61"/>
  <c r="P214" i="61"/>
  <c r="N214" i="61"/>
  <c r="H214" i="61"/>
  <c r="I214" i="61"/>
  <c r="V213" i="61"/>
  <c r="P213" i="61"/>
  <c r="N213" i="61"/>
  <c r="H213" i="61"/>
  <c r="I213" i="61" s="1"/>
  <c r="V212" i="61"/>
  <c r="P212" i="61"/>
  <c r="N212" i="61"/>
  <c r="H212" i="61"/>
  <c r="I212" i="61" s="1"/>
  <c r="V211" i="61"/>
  <c r="P211" i="61"/>
  <c r="N211" i="61"/>
  <c r="H211" i="61"/>
  <c r="I211" i="61" s="1"/>
  <c r="V210" i="61"/>
  <c r="P210" i="61"/>
  <c r="N210" i="61"/>
  <c r="H210" i="61"/>
  <c r="I210" i="61" s="1"/>
  <c r="V209" i="61"/>
  <c r="P209" i="61"/>
  <c r="N209" i="61"/>
  <c r="H209" i="61"/>
  <c r="I209" i="61"/>
  <c r="V208" i="61"/>
  <c r="P208" i="61"/>
  <c r="N208" i="61"/>
  <c r="H208" i="61"/>
  <c r="I208" i="61" s="1"/>
  <c r="V207" i="61"/>
  <c r="P207" i="61"/>
  <c r="N207" i="61"/>
  <c r="H207" i="61"/>
  <c r="I207" i="61" s="1"/>
  <c r="V206" i="61"/>
  <c r="P206" i="61"/>
  <c r="N206" i="61"/>
  <c r="H206" i="61"/>
  <c r="I206" i="61" s="1"/>
  <c r="V205" i="61"/>
  <c r="P205" i="61"/>
  <c r="N205" i="61"/>
  <c r="H205" i="61"/>
  <c r="I205" i="61" s="1"/>
  <c r="V204" i="61"/>
  <c r="P204" i="61"/>
  <c r="N204" i="61"/>
  <c r="H204" i="61"/>
  <c r="I204" i="61"/>
  <c r="V203" i="61"/>
  <c r="P203" i="61"/>
  <c r="N203" i="61"/>
  <c r="H203" i="61"/>
  <c r="I203" i="61" s="1"/>
  <c r="V202" i="61"/>
  <c r="P202" i="61"/>
  <c r="N202" i="61"/>
  <c r="H202" i="61"/>
  <c r="I202" i="61" s="1"/>
  <c r="V201" i="61"/>
  <c r="P201" i="61"/>
  <c r="N201" i="61"/>
  <c r="H201" i="61"/>
  <c r="I201" i="61" s="1"/>
  <c r="V200" i="61"/>
  <c r="P200" i="61"/>
  <c r="N200" i="61"/>
  <c r="H200" i="61"/>
  <c r="I200" i="61" s="1"/>
  <c r="V199" i="61"/>
  <c r="P199" i="61"/>
  <c r="N199" i="61"/>
  <c r="H199" i="61"/>
  <c r="I199" i="61" s="1"/>
  <c r="V198" i="61"/>
  <c r="P198" i="61"/>
  <c r="N198" i="61"/>
  <c r="H198" i="61"/>
  <c r="I198" i="61" s="1"/>
  <c r="V197" i="61"/>
  <c r="P197" i="61"/>
  <c r="N197" i="61"/>
  <c r="H197" i="61"/>
  <c r="I197" i="61"/>
  <c r="V196" i="61"/>
  <c r="P196" i="61"/>
  <c r="N196" i="61"/>
  <c r="H196" i="61"/>
  <c r="I196" i="61" s="1"/>
  <c r="V195" i="61"/>
  <c r="P195" i="61"/>
  <c r="N195" i="61"/>
  <c r="H195" i="61"/>
  <c r="I195" i="61"/>
  <c r="V194" i="61"/>
  <c r="P194" i="61"/>
  <c r="N194" i="61"/>
  <c r="H194" i="61"/>
  <c r="I194" i="61" s="1"/>
  <c r="V193" i="61"/>
  <c r="P193" i="61"/>
  <c r="N193" i="61"/>
  <c r="H193" i="61"/>
  <c r="I193" i="61" s="1"/>
  <c r="V192" i="61"/>
  <c r="P192" i="61"/>
  <c r="N192" i="61"/>
  <c r="H192" i="61"/>
  <c r="I192" i="61" s="1"/>
  <c r="V191" i="61"/>
  <c r="P191" i="61"/>
  <c r="N191" i="61"/>
  <c r="H191" i="61"/>
  <c r="I191" i="61"/>
  <c r="V190" i="61"/>
  <c r="P190" i="61"/>
  <c r="N190" i="61"/>
  <c r="H190" i="61"/>
  <c r="I190" i="61" s="1"/>
  <c r="V189" i="61"/>
  <c r="P189" i="61"/>
  <c r="N189" i="61"/>
  <c r="H189" i="61"/>
  <c r="I189" i="61" s="1"/>
  <c r="V188" i="61"/>
  <c r="P188" i="61"/>
  <c r="N188" i="61"/>
  <c r="H188" i="61"/>
  <c r="I188" i="61" s="1"/>
  <c r="V187" i="61"/>
  <c r="P187" i="61"/>
  <c r="N187" i="61"/>
  <c r="H187" i="61"/>
  <c r="I187" i="61" s="1"/>
  <c r="V186" i="61"/>
  <c r="P186" i="61"/>
  <c r="N186" i="61"/>
  <c r="H186" i="61"/>
  <c r="I186" i="61" s="1"/>
  <c r="V185" i="61"/>
  <c r="P185" i="61"/>
  <c r="N185" i="61"/>
  <c r="H185" i="61"/>
  <c r="I185" i="61" s="1"/>
  <c r="V184" i="61"/>
  <c r="P184" i="61"/>
  <c r="N184" i="61"/>
  <c r="H184" i="61"/>
  <c r="I184" i="61" s="1"/>
  <c r="V183" i="61"/>
  <c r="P183" i="61"/>
  <c r="N183" i="61"/>
  <c r="H183" i="61"/>
  <c r="I183" i="61" s="1"/>
  <c r="V182" i="61"/>
  <c r="P182" i="61"/>
  <c r="N182" i="61"/>
  <c r="H182" i="61"/>
  <c r="I182" i="61" s="1"/>
  <c r="V181" i="61"/>
  <c r="P181" i="61"/>
  <c r="N181" i="61"/>
  <c r="H181" i="61"/>
  <c r="I181" i="61"/>
  <c r="V180" i="61"/>
  <c r="P180" i="61"/>
  <c r="N180" i="61"/>
  <c r="H180" i="61"/>
  <c r="I180" i="61" s="1"/>
  <c r="V179" i="61"/>
  <c r="P179" i="61"/>
  <c r="N179" i="61"/>
  <c r="H179" i="61"/>
  <c r="I179" i="61"/>
  <c r="V178" i="61"/>
  <c r="P178" i="61"/>
  <c r="N178" i="61"/>
  <c r="H178" i="61"/>
  <c r="I178" i="61" s="1"/>
  <c r="V177" i="61"/>
  <c r="P177" i="61"/>
  <c r="N177" i="61"/>
  <c r="H177" i="61"/>
  <c r="I177" i="61" s="1"/>
  <c r="V176" i="61"/>
  <c r="P176" i="61"/>
  <c r="N176" i="61"/>
  <c r="H176" i="61"/>
  <c r="I176" i="61" s="1"/>
  <c r="V175" i="61"/>
  <c r="P175" i="61"/>
  <c r="N175" i="61"/>
  <c r="H175" i="61"/>
  <c r="I175" i="61" s="1"/>
  <c r="V174" i="61"/>
  <c r="P174" i="61"/>
  <c r="N174" i="61"/>
  <c r="H174" i="61"/>
  <c r="I174" i="61" s="1"/>
  <c r="V173" i="61"/>
  <c r="P173" i="61"/>
  <c r="N173" i="61"/>
  <c r="H173" i="61"/>
  <c r="I173" i="61"/>
  <c r="V172" i="61"/>
  <c r="P172" i="61"/>
  <c r="N172" i="61"/>
  <c r="H172" i="61"/>
  <c r="I172" i="61" s="1"/>
  <c r="V169" i="61"/>
  <c r="P169" i="61"/>
  <c r="N169" i="61"/>
  <c r="H169" i="61"/>
  <c r="I169" i="61" s="1"/>
  <c r="V168" i="61"/>
  <c r="P168" i="61"/>
  <c r="N168" i="61"/>
  <c r="H168" i="61"/>
  <c r="I168" i="61" s="1"/>
  <c r="V167" i="61"/>
  <c r="P167" i="61"/>
  <c r="N167" i="61"/>
  <c r="H167" i="61"/>
  <c r="I167" i="61"/>
  <c r="V166" i="61"/>
  <c r="P166" i="61"/>
  <c r="N166" i="61"/>
  <c r="H166" i="61"/>
  <c r="I166" i="61" s="1"/>
  <c r="V165" i="61"/>
  <c r="P165" i="61"/>
  <c r="N165" i="61"/>
  <c r="H165" i="61"/>
  <c r="I165" i="61" s="1"/>
  <c r="V164" i="61"/>
  <c r="P164" i="61"/>
  <c r="N164" i="61"/>
  <c r="H164" i="61"/>
  <c r="I164" i="61" s="1"/>
  <c r="V163" i="61"/>
  <c r="P163" i="61"/>
  <c r="N163" i="61"/>
  <c r="H163" i="61"/>
  <c r="I163" i="61"/>
  <c r="V162" i="61"/>
  <c r="P162" i="61"/>
  <c r="N162" i="61"/>
  <c r="H162" i="61"/>
  <c r="I162" i="61"/>
  <c r="V161" i="61"/>
  <c r="P161" i="61"/>
  <c r="N161" i="61"/>
  <c r="H161" i="61"/>
  <c r="I161" i="61"/>
  <c r="V160" i="61"/>
  <c r="P160" i="61"/>
  <c r="N160" i="61"/>
  <c r="H160" i="61"/>
  <c r="I160" i="61" s="1"/>
  <c r="V159" i="61"/>
  <c r="P159" i="61"/>
  <c r="N159" i="61"/>
  <c r="H159" i="61"/>
  <c r="I159" i="61" s="1"/>
  <c r="V158" i="61"/>
  <c r="P158" i="61"/>
  <c r="N158" i="61"/>
  <c r="H158" i="61"/>
  <c r="I158" i="61" s="1"/>
  <c r="V157" i="61"/>
  <c r="P157" i="61"/>
  <c r="N157" i="61"/>
  <c r="H157" i="61"/>
  <c r="I157" i="61" s="1"/>
  <c r="V156" i="61"/>
  <c r="P156" i="61"/>
  <c r="N156" i="61"/>
  <c r="H156" i="61"/>
  <c r="I156" i="61" s="1"/>
  <c r="V155" i="61"/>
  <c r="P155" i="61"/>
  <c r="N155" i="61"/>
  <c r="H155" i="61"/>
  <c r="I155" i="61" s="1"/>
  <c r="V154" i="61"/>
  <c r="P154" i="61"/>
  <c r="N154" i="61"/>
  <c r="H154" i="61"/>
  <c r="I154" i="61"/>
  <c r="V153" i="61"/>
  <c r="P153" i="61"/>
  <c r="N153" i="61"/>
  <c r="H153" i="61"/>
  <c r="I153" i="61"/>
  <c r="V152" i="61"/>
  <c r="P152" i="61"/>
  <c r="N152" i="61"/>
  <c r="H152" i="61"/>
  <c r="I152" i="61" s="1"/>
  <c r="V149" i="61"/>
  <c r="P149" i="61"/>
  <c r="N149" i="61"/>
  <c r="H149" i="61"/>
  <c r="I149" i="61"/>
  <c r="V148" i="61"/>
  <c r="P148" i="61"/>
  <c r="N148" i="61"/>
  <c r="H148" i="61"/>
  <c r="I148" i="61" s="1"/>
  <c r="V147" i="61"/>
  <c r="P147" i="61"/>
  <c r="N147" i="61"/>
  <c r="H147" i="61"/>
  <c r="I147" i="61"/>
  <c r="V146" i="61"/>
  <c r="P146" i="61"/>
  <c r="N146" i="61"/>
  <c r="H146" i="61"/>
  <c r="I146" i="61" s="1"/>
  <c r="V145" i="61"/>
  <c r="P145" i="61"/>
  <c r="N145" i="61"/>
  <c r="H145" i="61"/>
  <c r="I145" i="61" s="1"/>
  <c r="V144" i="61"/>
  <c r="P144" i="61"/>
  <c r="N144" i="61"/>
  <c r="H144" i="61"/>
  <c r="I144" i="61" s="1"/>
  <c r="V143" i="61"/>
  <c r="P143" i="61"/>
  <c r="N143" i="61"/>
  <c r="H143" i="61"/>
  <c r="I143" i="61"/>
  <c r="V142" i="61"/>
  <c r="P142" i="61"/>
  <c r="N142" i="61"/>
  <c r="H142" i="61"/>
  <c r="I142" i="61" s="1"/>
  <c r="V141" i="61"/>
  <c r="P141" i="61"/>
  <c r="N141" i="61"/>
  <c r="H141" i="61"/>
  <c r="I141" i="61" s="1"/>
  <c r="V140" i="61"/>
  <c r="P140" i="61"/>
  <c r="N140" i="61"/>
  <c r="H140" i="61"/>
  <c r="I140" i="61" s="1"/>
  <c r="V139" i="61"/>
  <c r="P139" i="61"/>
  <c r="N139" i="61"/>
  <c r="H139" i="61"/>
  <c r="I139" i="61" s="1"/>
  <c r="V137" i="61"/>
  <c r="P137" i="61"/>
  <c r="N137" i="61"/>
  <c r="H137" i="61"/>
  <c r="I137" i="61" s="1"/>
  <c r="V136" i="61"/>
  <c r="P136" i="61"/>
  <c r="N136" i="61"/>
  <c r="H136" i="61"/>
  <c r="I136" i="61" s="1"/>
  <c r="V135" i="61"/>
  <c r="P135" i="61"/>
  <c r="N135" i="61"/>
  <c r="H135" i="61"/>
  <c r="I135" i="61" s="1"/>
  <c r="V134" i="61"/>
  <c r="P134" i="61"/>
  <c r="N134" i="61"/>
  <c r="H134" i="61"/>
  <c r="I134" i="61"/>
  <c r="V133" i="61"/>
  <c r="P133" i="61"/>
  <c r="N133" i="61"/>
  <c r="H133" i="61"/>
  <c r="I133" i="61" s="1"/>
  <c r="V132" i="61"/>
  <c r="P132" i="61"/>
  <c r="N132" i="61"/>
  <c r="H132" i="61"/>
  <c r="I132" i="61" s="1"/>
  <c r="V131" i="61"/>
  <c r="P131" i="61"/>
  <c r="N131" i="61"/>
  <c r="H131" i="61"/>
  <c r="I131" i="61" s="1"/>
  <c r="V130" i="61"/>
  <c r="P130" i="61"/>
  <c r="N130" i="61"/>
  <c r="H130" i="61"/>
  <c r="I130" i="61" s="1"/>
  <c r="V129" i="61"/>
  <c r="P129" i="61"/>
  <c r="N129" i="61"/>
  <c r="H129" i="61"/>
  <c r="I129" i="61" s="1"/>
  <c r="V128" i="61"/>
  <c r="P128" i="61"/>
  <c r="N128" i="61"/>
  <c r="H128" i="61"/>
  <c r="I128" i="61" s="1"/>
  <c r="Y127" i="61"/>
  <c r="V127" i="61" s="1"/>
  <c r="P127" i="61"/>
  <c r="N127" i="61"/>
  <c r="H127" i="61"/>
  <c r="I127" i="61" s="1"/>
  <c r="V126" i="61"/>
  <c r="P126" i="61"/>
  <c r="N126" i="61"/>
  <c r="H126" i="61"/>
  <c r="I126" i="61" s="1"/>
  <c r="V125" i="61"/>
  <c r="P125" i="61"/>
  <c r="N125" i="61"/>
  <c r="H125" i="61"/>
  <c r="I125" i="61" s="1"/>
  <c r="V124" i="61"/>
  <c r="P124" i="61"/>
  <c r="N124" i="61"/>
  <c r="H124" i="61"/>
  <c r="I124" i="61" s="1"/>
  <c r="V123" i="61"/>
  <c r="P123" i="61"/>
  <c r="N123" i="61"/>
  <c r="H123" i="61"/>
  <c r="I123" i="61" s="1"/>
  <c r="V122" i="61"/>
  <c r="P122" i="61"/>
  <c r="N122" i="61"/>
  <c r="H122" i="61"/>
  <c r="I122" i="61" s="1"/>
  <c r="V121" i="61"/>
  <c r="P121" i="61"/>
  <c r="N121" i="61"/>
  <c r="H121" i="61"/>
  <c r="I121" i="61" s="1"/>
  <c r="V120" i="61"/>
  <c r="P120" i="61"/>
  <c r="N120" i="61"/>
  <c r="H120" i="61"/>
  <c r="I120" i="61" s="1"/>
  <c r="V119" i="61"/>
  <c r="P119" i="61"/>
  <c r="N119" i="61"/>
  <c r="H119" i="61"/>
  <c r="I119" i="61"/>
  <c r="V118" i="61"/>
  <c r="P118" i="61"/>
  <c r="N118" i="61"/>
  <c r="H118" i="61"/>
  <c r="I118" i="61" s="1"/>
  <c r="V117" i="61"/>
  <c r="P117" i="61"/>
  <c r="N117" i="61"/>
  <c r="H117" i="61"/>
  <c r="I117" i="61"/>
  <c r="V116" i="61"/>
  <c r="P116" i="61"/>
  <c r="N116" i="61"/>
  <c r="H116" i="61"/>
  <c r="I116" i="61" s="1"/>
  <c r="V115" i="61"/>
  <c r="P115" i="61"/>
  <c r="N115" i="61"/>
  <c r="H115" i="61"/>
  <c r="I115" i="61" s="1"/>
  <c r="V112" i="61"/>
  <c r="P112" i="61"/>
  <c r="N112" i="61"/>
  <c r="H112" i="61"/>
  <c r="I112" i="61" s="1"/>
  <c r="V111" i="61"/>
  <c r="P111" i="61"/>
  <c r="N111" i="61"/>
  <c r="H111" i="61"/>
  <c r="I111" i="61"/>
  <c r="V110" i="61"/>
  <c r="P110" i="61"/>
  <c r="N110" i="61"/>
  <c r="H110" i="61"/>
  <c r="I110" i="61" s="1"/>
  <c r="V109" i="61"/>
  <c r="P109" i="61"/>
  <c r="N109" i="61"/>
  <c r="H109" i="61"/>
  <c r="I109" i="61" s="1"/>
  <c r="V108" i="61"/>
  <c r="P108" i="61"/>
  <c r="N108" i="61"/>
  <c r="H108" i="61"/>
  <c r="I108" i="61" s="1"/>
  <c r="V107" i="61"/>
  <c r="P107" i="61"/>
  <c r="N107" i="61"/>
  <c r="H107" i="61"/>
  <c r="I107" i="61"/>
  <c r="V106" i="61"/>
  <c r="P106" i="61"/>
  <c r="N106" i="61"/>
  <c r="H106" i="61"/>
  <c r="I106" i="61" s="1"/>
  <c r="V105" i="61"/>
  <c r="P105" i="61"/>
  <c r="N105" i="61"/>
  <c r="H105" i="61"/>
  <c r="I105" i="61" s="1"/>
  <c r="V104" i="61"/>
  <c r="P104" i="61"/>
  <c r="N104" i="61"/>
  <c r="H104" i="61"/>
  <c r="I104" i="61" s="1"/>
  <c r="V103" i="61"/>
  <c r="P103" i="61"/>
  <c r="N103" i="61"/>
  <c r="H103" i="61"/>
  <c r="I103" i="61" s="1"/>
  <c r="V102" i="61"/>
  <c r="P102" i="61"/>
  <c r="N102" i="61"/>
  <c r="H102" i="61"/>
  <c r="I102" i="61" s="1"/>
  <c r="V101" i="61"/>
  <c r="P101" i="61"/>
  <c r="N101" i="61"/>
  <c r="H101" i="61"/>
  <c r="I101" i="61" s="1"/>
  <c r="V100" i="61"/>
  <c r="P100" i="61"/>
  <c r="N100" i="61"/>
  <c r="H100" i="61"/>
  <c r="I100" i="61" s="1"/>
  <c r="V99" i="61"/>
  <c r="P99" i="61"/>
  <c r="N99" i="61"/>
  <c r="H99" i="61"/>
  <c r="I99" i="61" s="1"/>
  <c r="V98" i="61"/>
  <c r="P98" i="61"/>
  <c r="N98" i="61"/>
  <c r="H98" i="61"/>
  <c r="I98" i="61"/>
  <c r="V97" i="61"/>
  <c r="P97" i="61"/>
  <c r="N97" i="61"/>
  <c r="H97" i="61"/>
  <c r="I97" i="61"/>
  <c r="V96" i="61"/>
  <c r="P96" i="61"/>
  <c r="N96" i="61"/>
  <c r="H96" i="61"/>
  <c r="I96" i="61" s="1"/>
  <c r="V95" i="61"/>
  <c r="P95" i="61"/>
  <c r="N95" i="61"/>
  <c r="H95" i="61"/>
  <c r="I95" i="61" s="1"/>
  <c r="V94" i="61"/>
  <c r="P94" i="61"/>
  <c r="N94" i="61"/>
  <c r="H94" i="61"/>
  <c r="I94" i="61" s="1"/>
  <c r="V93" i="61"/>
  <c r="P93" i="61"/>
  <c r="N93" i="61"/>
  <c r="H93" i="61"/>
  <c r="I93" i="61" s="1"/>
  <c r="V90" i="61"/>
  <c r="P90" i="61"/>
  <c r="N90" i="61"/>
  <c r="H90" i="61"/>
  <c r="I90" i="61" s="1"/>
  <c r="V89" i="61"/>
  <c r="P89" i="61"/>
  <c r="N89" i="61"/>
  <c r="H89" i="61"/>
  <c r="I89" i="61" s="1"/>
  <c r="V88" i="61"/>
  <c r="P88" i="61"/>
  <c r="N88" i="61"/>
  <c r="H88" i="61"/>
  <c r="I88" i="61"/>
  <c r="V87" i="61"/>
  <c r="P87" i="61"/>
  <c r="N87" i="61"/>
  <c r="H87" i="61"/>
  <c r="I87" i="61"/>
  <c r="V86" i="61"/>
  <c r="P86" i="61"/>
  <c r="N86" i="61"/>
  <c r="H86" i="61"/>
  <c r="I86" i="61" s="1"/>
  <c r="V85" i="61"/>
  <c r="P85" i="61"/>
  <c r="N85" i="61"/>
  <c r="H85" i="61"/>
  <c r="I85" i="61" s="1"/>
  <c r="V84" i="61"/>
  <c r="P84" i="61"/>
  <c r="N84" i="61"/>
  <c r="H84" i="61"/>
  <c r="I84" i="61" s="1"/>
  <c r="V83" i="61"/>
  <c r="P83" i="61"/>
  <c r="N83" i="61"/>
  <c r="H83" i="61"/>
  <c r="I83" i="61" s="1"/>
  <c r="V82" i="61"/>
  <c r="P82" i="61"/>
  <c r="N82" i="61"/>
  <c r="H82" i="61"/>
  <c r="I82" i="61" s="1"/>
  <c r="V81" i="61"/>
  <c r="P81" i="61"/>
  <c r="N81" i="61"/>
  <c r="H81" i="61"/>
  <c r="I81" i="61" s="1"/>
  <c r="V80" i="61"/>
  <c r="P80" i="61"/>
  <c r="N80" i="61"/>
  <c r="H80" i="61"/>
  <c r="I80" i="61"/>
  <c r="V79" i="61"/>
  <c r="P79" i="61"/>
  <c r="N79" i="61"/>
  <c r="H79" i="61"/>
  <c r="I79" i="61" s="1"/>
  <c r="V78" i="61"/>
  <c r="P78" i="61"/>
  <c r="N78" i="61"/>
  <c r="H78" i="61"/>
  <c r="I78" i="61" s="1"/>
  <c r="V77" i="61"/>
  <c r="P77" i="61"/>
  <c r="N77" i="61"/>
  <c r="H77" i="61"/>
  <c r="I77" i="61" s="1"/>
  <c r="V76" i="61"/>
  <c r="P76" i="61"/>
  <c r="N76" i="61"/>
  <c r="H76" i="61"/>
  <c r="I76" i="61" s="1"/>
  <c r="V75" i="61"/>
  <c r="P75" i="61"/>
  <c r="N75" i="61"/>
  <c r="H75" i="61"/>
  <c r="I75" i="61"/>
  <c r="V74" i="61"/>
  <c r="P74" i="61"/>
  <c r="N74" i="61"/>
  <c r="H74" i="61"/>
  <c r="I74" i="61" s="1"/>
  <c r="V73" i="61"/>
  <c r="P73" i="61"/>
  <c r="N73" i="61"/>
  <c r="H73" i="61"/>
  <c r="I73" i="61"/>
  <c r="V72" i="61"/>
  <c r="P72" i="61"/>
  <c r="N72" i="61"/>
  <c r="H72" i="61"/>
  <c r="I72" i="61"/>
  <c r="V71" i="61"/>
  <c r="P71" i="61"/>
  <c r="N71" i="61"/>
  <c r="H71" i="61"/>
  <c r="I71" i="61"/>
  <c r="V70" i="61"/>
  <c r="P70" i="61"/>
  <c r="N70" i="61"/>
  <c r="H70" i="61"/>
  <c r="I70" i="61" s="1"/>
  <c r="V69" i="61"/>
  <c r="P69" i="61"/>
  <c r="N69" i="61"/>
  <c r="H69" i="61"/>
  <c r="I69" i="61" s="1"/>
  <c r="V67" i="61"/>
  <c r="P67" i="61"/>
  <c r="N67" i="61"/>
  <c r="H67" i="61"/>
  <c r="I67" i="61" s="1"/>
  <c r="V65" i="61"/>
  <c r="P65" i="61"/>
  <c r="N65" i="61"/>
  <c r="H65" i="61"/>
  <c r="I65" i="61" s="1"/>
  <c r="V62" i="61"/>
  <c r="P62" i="61"/>
  <c r="N62" i="61"/>
  <c r="H62" i="61"/>
  <c r="I62" i="61" s="1"/>
  <c r="V61" i="61"/>
  <c r="P61" i="61"/>
  <c r="N61" i="61"/>
  <c r="H61" i="61"/>
  <c r="I61" i="61" s="1"/>
  <c r="V60" i="61"/>
  <c r="P60" i="61"/>
  <c r="N60" i="61"/>
  <c r="H60" i="61"/>
  <c r="I60" i="61" s="1"/>
  <c r="V59" i="61"/>
  <c r="P59" i="61"/>
  <c r="N59" i="61"/>
  <c r="H59" i="61"/>
  <c r="I59" i="61" s="1"/>
  <c r="V58" i="61"/>
  <c r="P58" i="61"/>
  <c r="N58" i="61"/>
  <c r="H58" i="61"/>
  <c r="I58" i="61" s="1"/>
  <c r="Y57" i="61"/>
  <c r="X57" i="61"/>
  <c r="V57" i="61" s="1"/>
  <c r="P57" i="61"/>
  <c r="N57" i="61"/>
  <c r="H57" i="61"/>
  <c r="I57" i="61" s="1"/>
  <c r="V56" i="61"/>
  <c r="P56" i="61"/>
  <c r="N56" i="61"/>
  <c r="H56" i="61"/>
  <c r="I56" i="61"/>
  <c r="V54" i="61"/>
  <c r="P54" i="61"/>
  <c r="N54" i="61"/>
  <c r="H54" i="61"/>
  <c r="I54" i="61" s="1"/>
  <c r="Y53" i="61"/>
  <c r="X53" i="61"/>
  <c r="V53" i="61"/>
  <c r="P53" i="61"/>
  <c r="N53" i="61"/>
  <c r="H53" i="61"/>
  <c r="I53" i="61" s="1"/>
  <c r="Y52" i="61"/>
  <c r="X52" i="61"/>
  <c r="P52" i="61"/>
  <c r="N52" i="61"/>
  <c r="H52" i="61"/>
  <c r="I52" i="61" s="1"/>
  <c r="Y51" i="61"/>
  <c r="X51" i="61"/>
  <c r="P51" i="61"/>
  <c r="N51" i="61"/>
  <c r="H51" i="61"/>
  <c r="I51" i="61" s="1"/>
  <c r="Y50" i="61"/>
  <c r="X50" i="61"/>
  <c r="V50" i="61" s="1"/>
  <c r="P50" i="61"/>
  <c r="N50" i="61"/>
  <c r="H50" i="61"/>
  <c r="I50" i="61"/>
  <c r="Y49" i="61"/>
  <c r="X49" i="61"/>
  <c r="V49" i="61" s="1"/>
  <c r="P49" i="61"/>
  <c r="N49" i="61"/>
  <c r="H49" i="61"/>
  <c r="I49" i="61" s="1"/>
  <c r="Y48" i="61"/>
  <c r="X48" i="61"/>
  <c r="P48" i="61"/>
  <c r="N48" i="61"/>
  <c r="H48" i="61"/>
  <c r="I48" i="61"/>
  <c r="Y47" i="61"/>
  <c r="X47" i="61"/>
  <c r="P47" i="61"/>
  <c r="N47" i="61"/>
  <c r="H47" i="61"/>
  <c r="I47" i="61"/>
  <c r="Y46" i="61"/>
  <c r="X46" i="61"/>
  <c r="P46" i="61"/>
  <c r="N46" i="61"/>
  <c r="H46" i="61"/>
  <c r="I46" i="61" s="1"/>
  <c r="Y45" i="61"/>
  <c r="X45" i="61"/>
  <c r="V45" i="61" s="1"/>
  <c r="P45" i="61"/>
  <c r="N45" i="61"/>
  <c r="H45" i="61"/>
  <c r="I45" i="61" s="1"/>
  <c r="Y44" i="61"/>
  <c r="X44" i="61"/>
  <c r="P44" i="61"/>
  <c r="N44" i="61"/>
  <c r="H44" i="61"/>
  <c r="I44" i="61" s="1"/>
  <c r="Y43" i="61"/>
  <c r="X43" i="61"/>
  <c r="V43" i="61" s="1"/>
  <c r="P43" i="61"/>
  <c r="N43" i="61"/>
  <c r="H43" i="61"/>
  <c r="I43" i="61"/>
  <c r="Y42" i="61"/>
  <c r="X42" i="61"/>
  <c r="V42" i="61" s="1"/>
  <c r="P42" i="61"/>
  <c r="N42" i="61"/>
  <c r="H42" i="61"/>
  <c r="I42" i="61" s="1"/>
  <c r="Y41" i="61"/>
  <c r="X41" i="61"/>
  <c r="V41" i="61"/>
  <c r="P41" i="61"/>
  <c r="N41" i="61"/>
  <c r="H41" i="61"/>
  <c r="I41" i="61" s="1"/>
  <c r="Y40" i="61"/>
  <c r="X40" i="61"/>
  <c r="V40" i="61" s="1"/>
  <c r="P40" i="61"/>
  <c r="N40" i="61"/>
  <c r="H40" i="61"/>
  <c r="I40" i="61" s="1"/>
  <c r="Y39" i="61"/>
  <c r="X39" i="61"/>
  <c r="P39" i="61"/>
  <c r="N39" i="61"/>
  <c r="H39" i="61"/>
  <c r="I39" i="61" s="1"/>
  <c r="Y38" i="61"/>
  <c r="X38" i="61"/>
  <c r="P38" i="61"/>
  <c r="N38" i="61"/>
  <c r="H38" i="61"/>
  <c r="I38" i="61" s="1"/>
  <c r="Y37" i="61"/>
  <c r="X37" i="61"/>
  <c r="P37" i="61"/>
  <c r="N37" i="61"/>
  <c r="H37" i="61"/>
  <c r="I37" i="61" s="1"/>
  <c r="Y36" i="61"/>
  <c r="X36" i="61"/>
  <c r="P36" i="61"/>
  <c r="N36" i="61"/>
  <c r="H36" i="61"/>
  <c r="I36" i="61" s="1"/>
  <c r="Y35" i="61"/>
  <c r="X35" i="61"/>
  <c r="P35" i="61"/>
  <c r="N35" i="61"/>
  <c r="H35" i="61"/>
  <c r="I35" i="61" s="1"/>
  <c r="Y34" i="61"/>
  <c r="X34" i="61"/>
  <c r="P34" i="61"/>
  <c r="N34" i="61"/>
  <c r="H34" i="61"/>
  <c r="I34" i="61"/>
  <c r="Y33" i="61"/>
  <c r="X33" i="61"/>
  <c r="P33" i="61"/>
  <c r="N33" i="61"/>
  <c r="H33" i="61"/>
  <c r="I33" i="61" s="1"/>
  <c r="Y32" i="61"/>
  <c r="X32" i="61"/>
  <c r="V32" i="61" s="1"/>
  <c r="P32" i="61"/>
  <c r="N32" i="61"/>
  <c r="H32" i="61"/>
  <c r="I32" i="61" s="1"/>
  <c r="Y31" i="61"/>
  <c r="X31" i="61"/>
  <c r="P31" i="61"/>
  <c r="N31" i="61"/>
  <c r="H31" i="61"/>
  <c r="I31" i="61" s="1"/>
  <c r="Y30" i="61"/>
  <c r="X30" i="61"/>
  <c r="V30" i="61" s="1"/>
  <c r="P30" i="61"/>
  <c r="N30" i="61"/>
  <c r="H30" i="61"/>
  <c r="I30" i="61"/>
  <c r="Y29" i="61"/>
  <c r="X29" i="61"/>
  <c r="P29" i="61"/>
  <c r="N29" i="61"/>
  <c r="H29" i="61"/>
  <c r="I29" i="61" s="1"/>
  <c r="Y28" i="61"/>
  <c r="X28" i="61"/>
  <c r="V28" i="61" s="1"/>
  <c r="P28" i="61"/>
  <c r="N28" i="61"/>
  <c r="H28" i="61"/>
  <c r="I28" i="61" s="1"/>
  <c r="P27" i="61"/>
  <c r="N27" i="61"/>
  <c r="Y26" i="61"/>
  <c r="X26" i="61"/>
  <c r="P26" i="61"/>
  <c r="N26" i="61"/>
  <c r="H26" i="61"/>
  <c r="I26" i="61" s="1"/>
  <c r="Y25" i="61"/>
  <c r="X25" i="61"/>
  <c r="V25" i="61" s="1"/>
  <c r="P25" i="61"/>
  <c r="N25" i="61"/>
  <c r="H25" i="61"/>
  <c r="I25" i="61" s="1"/>
  <c r="Y24" i="61"/>
  <c r="X24" i="61"/>
  <c r="V24" i="61" s="1"/>
  <c r="P24" i="61"/>
  <c r="N24" i="61"/>
  <c r="H24" i="61"/>
  <c r="I24" i="61" s="1"/>
  <c r="Y23" i="61"/>
  <c r="X23" i="61"/>
  <c r="V23" i="61" s="1"/>
  <c r="P23" i="61"/>
  <c r="N23" i="61"/>
  <c r="H23" i="61"/>
  <c r="I23" i="61" s="1"/>
  <c r="Y22" i="61"/>
  <c r="X22" i="61"/>
  <c r="P22" i="61"/>
  <c r="N22" i="61"/>
  <c r="H22" i="61"/>
  <c r="I22" i="61" s="1"/>
  <c r="Y21" i="61"/>
  <c r="X21" i="61"/>
  <c r="V21" i="61" s="1"/>
  <c r="P21" i="61"/>
  <c r="N21" i="61"/>
  <c r="H21" i="61"/>
  <c r="I21" i="61" s="1"/>
  <c r="Y20" i="61"/>
  <c r="X20" i="61"/>
  <c r="P20" i="61"/>
  <c r="N20" i="61"/>
  <c r="H20" i="61"/>
  <c r="I20" i="61" s="1"/>
  <c r="Y19" i="61"/>
  <c r="X19" i="61"/>
  <c r="P19" i="61"/>
  <c r="N19" i="61"/>
  <c r="H19" i="61"/>
  <c r="I19" i="61" s="1"/>
  <c r="Y18" i="61"/>
  <c r="X18" i="61"/>
  <c r="P18" i="61"/>
  <c r="N18" i="61"/>
  <c r="H18" i="61"/>
  <c r="I18" i="61" s="1"/>
  <c r="Y17" i="61"/>
  <c r="X17" i="61"/>
  <c r="P17" i="61"/>
  <c r="N17" i="61"/>
  <c r="H17" i="61"/>
  <c r="I17" i="61" s="1"/>
  <c r="Y16" i="61"/>
  <c r="X16" i="61"/>
  <c r="P16" i="61"/>
  <c r="N16" i="61"/>
  <c r="H16" i="61"/>
  <c r="I16" i="61" s="1"/>
  <c r="Y15" i="61"/>
  <c r="X15" i="61"/>
  <c r="P15" i="61"/>
  <c r="N15" i="61"/>
  <c r="H15" i="61"/>
  <c r="I15" i="61" s="1"/>
  <c r="Y14" i="61"/>
  <c r="X14" i="61"/>
  <c r="V14" i="61" s="1"/>
  <c r="P14" i="61"/>
  <c r="N14" i="61"/>
  <c r="H14" i="61"/>
  <c r="I14" i="61" s="1"/>
  <c r="Y13" i="61"/>
  <c r="X13" i="61"/>
  <c r="P13" i="61"/>
  <c r="N13" i="61"/>
  <c r="H13" i="61"/>
  <c r="I13" i="61" s="1"/>
  <c r="Y12" i="61"/>
  <c r="X12" i="61"/>
  <c r="P12" i="61"/>
  <c r="N12" i="61"/>
  <c r="H12" i="61"/>
  <c r="I12" i="61" s="1"/>
  <c r="Y11" i="61"/>
  <c r="X11" i="61"/>
  <c r="V11" i="61"/>
  <c r="P11" i="61"/>
  <c r="N11" i="61"/>
  <c r="H11" i="61"/>
  <c r="I11" i="61" s="1"/>
  <c r="Y10" i="61"/>
  <c r="X10" i="61"/>
  <c r="P10" i="61"/>
  <c r="N10" i="61"/>
  <c r="H10" i="61"/>
  <c r="I10" i="61" s="1"/>
  <c r="Y9" i="61"/>
  <c r="X9" i="61"/>
  <c r="P9" i="61"/>
  <c r="N9" i="61"/>
  <c r="H9" i="61"/>
  <c r="I9" i="61" s="1"/>
  <c r="Y8" i="61"/>
  <c r="X8" i="61"/>
  <c r="V8" i="61"/>
  <c r="P8" i="61"/>
  <c r="N8" i="61"/>
  <c r="H8" i="61"/>
  <c r="I8" i="61" s="1"/>
  <c r="Y7" i="61"/>
  <c r="X7" i="61"/>
  <c r="P7" i="61"/>
  <c r="N7" i="61"/>
  <c r="H7" i="61"/>
  <c r="I7" i="61"/>
  <c r="Y6" i="61"/>
  <c r="X6" i="61"/>
  <c r="P6" i="61"/>
  <c r="N6" i="61"/>
  <c r="H6" i="61"/>
  <c r="I6" i="61" s="1"/>
  <c r="Y5" i="61"/>
  <c r="X5" i="61"/>
  <c r="V5" i="61" s="1"/>
  <c r="P5" i="61"/>
  <c r="N5" i="61"/>
  <c r="H5" i="61"/>
  <c r="I5" i="61"/>
  <c r="Y4" i="61"/>
  <c r="X4" i="61"/>
  <c r="P4" i="61"/>
  <c r="N4" i="61"/>
  <c r="H4" i="61"/>
  <c r="I4" i="61"/>
  <c r="Y3" i="61"/>
  <c r="X3" i="61"/>
  <c r="P3" i="61"/>
  <c r="N3" i="61"/>
  <c r="H3" i="61"/>
  <c r="I3" i="61"/>
  <c r="D187" i="60"/>
  <c r="G187" i="60" s="1"/>
  <c r="H187" i="60" s="1"/>
  <c r="F187" i="60"/>
  <c r="E187" i="60"/>
  <c r="C187" i="60"/>
  <c r="D186" i="60"/>
  <c r="G186" i="60" s="1"/>
  <c r="H186" i="60" s="1"/>
  <c r="F186" i="60"/>
  <c r="E186" i="60"/>
  <c r="C186" i="60"/>
  <c r="D185" i="60"/>
  <c r="G185" i="60" s="1"/>
  <c r="H185" i="60" s="1"/>
  <c r="F185" i="60"/>
  <c r="E185" i="60"/>
  <c r="C185" i="60"/>
  <c r="D184" i="60"/>
  <c r="G184" i="60" s="1"/>
  <c r="H184" i="60" s="1"/>
  <c r="F184" i="60"/>
  <c r="E184" i="60"/>
  <c r="C184" i="60"/>
  <c r="D183" i="60"/>
  <c r="G183" i="60"/>
  <c r="H183" i="60" s="1"/>
  <c r="F183" i="60"/>
  <c r="E183" i="60"/>
  <c r="C183" i="60"/>
  <c r="D182" i="60"/>
  <c r="G182" i="60" s="1"/>
  <c r="H182" i="60" s="1"/>
  <c r="F182" i="60"/>
  <c r="E182" i="60"/>
  <c r="C182" i="60"/>
  <c r="U179" i="60"/>
  <c r="T179" i="60"/>
  <c r="R179" i="60"/>
  <c r="N179" i="60"/>
  <c r="L179" i="60"/>
  <c r="D176" i="60"/>
  <c r="G176" i="60" s="1"/>
  <c r="H176" i="60" s="1"/>
  <c r="F176" i="60"/>
  <c r="E176" i="60"/>
  <c r="C176" i="60"/>
  <c r="D175" i="60"/>
  <c r="G175" i="60" s="1"/>
  <c r="H175" i="60" s="1"/>
  <c r="F175" i="60"/>
  <c r="E175" i="60"/>
  <c r="C175" i="60"/>
  <c r="D174" i="60"/>
  <c r="G174" i="60"/>
  <c r="H174" i="60" s="1"/>
  <c r="F174" i="60"/>
  <c r="E174" i="60"/>
  <c r="C174" i="60"/>
  <c r="D173" i="60"/>
  <c r="G173" i="60" s="1"/>
  <c r="H173" i="60" s="1"/>
  <c r="F173" i="60"/>
  <c r="E173" i="60"/>
  <c r="C173" i="60"/>
  <c r="D172" i="60"/>
  <c r="G172" i="60" s="1"/>
  <c r="H172" i="60" s="1"/>
  <c r="F172" i="60"/>
  <c r="E172" i="60"/>
  <c r="C172" i="60"/>
  <c r="D171" i="60"/>
  <c r="G171" i="60" s="1"/>
  <c r="H171" i="60" s="1"/>
  <c r="F171" i="60"/>
  <c r="E171" i="60"/>
  <c r="C171" i="60"/>
  <c r="D170" i="60"/>
  <c r="G170" i="60" s="1"/>
  <c r="H170" i="60" s="1"/>
  <c r="F170" i="60"/>
  <c r="E170" i="60"/>
  <c r="C170" i="60"/>
  <c r="D169" i="60"/>
  <c r="G169" i="60" s="1"/>
  <c r="H169" i="60" s="1"/>
  <c r="F169" i="60"/>
  <c r="E169" i="60"/>
  <c r="C169" i="60"/>
  <c r="D168" i="60"/>
  <c r="G168" i="60" s="1"/>
  <c r="H168" i="60" s="1"/>
  <c r="F168" i="60"/>
  <c r="E168" i="60"/>
  <c r="C168" i="60"/>
  <c r="D167" i="60"/>
  <c r="G167" i="60" s="1"/>
  <c r="H167" i="60" s="1"/>
  <c r="F167" i="60"/>
  <c r="E167" i="60"/>
  <c r="C167" i="60"/>
  <c r="D166" i="60"/>
  <c r="G166" i="60"/>
  <c r="H166" i="60"/>
  <c r="F166" i="60"/>
  <c r="E166" i="60"/>
  <c r="C166" i="60"/>
  <c r="D165" i="60"/>
  <c r="G165" i="60" s="1"/>
  <c r="H165" i="60" s="1"/>
  <c r="F165" i="60"/>
  <c r="E165" i="60"/>
  <c r="C165" i="60"/>
  <c r="D164" i="60"/>
  <c r="G164" i="60" s="1"/>
  <c r="H164" i="60" s="1"/>
  <c r="F164" i="60"/>
  <c r="E164" i="60"/>
  <c r="C164" i="60"/>
  <c r="D163" i="60"/>
  <c r="G163" i="60" s="1"/>
  <c r="H163" i="60" s="1"/>
  <c r="F163" i="60"/>
  <c r="E163" i="60"/>
  <c r="C163" i="60"/>
  <c r="D162" i="60"/>
  <c r="G162" i="60" s="1"/>
  <c r="H162" i="60" s="1"/>
  <c r="F162" i="60"/>
  <c r="E162" i="60"/>
  <c r="C162" i="60"/>
  <c r="D161" i="60"/>
  <c r="G161" i="60" s="1"/>
  <c r="H161" i="60" s="1"/>
  <c r="F161" i="60"/>
  <c r="E161" i="60"/>
  <c r="C161" i="60"/>
  <c r="D160" i="60"/>
  <c r="G160" i="60" s="1"/>
  <c r="H160" i="60" s="1"/>
  <c r="F160" i="60"/>
  <c r="E160" i="60"/>
  <c r="C160" i="60"/>
  <c r="D159" i="60"/>
  <c r="G159" i="60" s="1"/>
  <c r="H159" i="60" s="1"/>
  <c r="F159" i="60"/>
  <c r="E159" i="60"/>
  <c r="C159" i="60"/>
  <c r="D158" i="60"/>
  <c r="G158" i="60"/>
  <c r="H158" i="60"/>
  <c r="F158" i="60"/>
  <c r="E158" i="60"/>
  <c r="C158" i="60"/>
  <c r="D157" i="60"/>
  <c r="G157" i="60" s="1"/>
  <c r="H157" i="60" s="1"/>
  <c r="F157" i="60"/>
  <c r="E157" i="60"/>
  <c r="C157" i="60"/>
  <c r="D156" i="60"/>
  <c r="G156" i="60" s="1"/>
  <c r="H156" i="60" s="1"/>
  <c r="F156" i="60"/>
  <c r="E156" i="60"/>
  <c r="C156" i="60"/>
  <c r="D155" i="60"/>
  <c r="G155" i="60" s="1"/>
  <c r="H155" i="60" s="1"/>
  <c r="F155" i="60"/>
  <c r="E155" i="60"/>
  <c r="C155" i="60"/>
  <c r="D154" i="60"/>
  <c r="G154" i="60" s="1"/>
  <c r="H154" i="60" s="1"/>
  <c r="F154" i="60"/>
  <c r="E154" i="60"/>
  <c r="C154" i="60"/>
  <c r="D153" i="60"/>
  <c r="G153" i="60" s="1"/>
  <c r="H153" i="60" s="1"/>
  <c r="F153" i="60"/>
  <c r="E153" i="60"/>
  <c r="C153" i="60"/>
  <c r="D152" i="60"/>
  <c r="G152" i="60" s="1"/>
  <c r="H152" i="60" s="1"/>
  <c r="F152" i="60"/>
  <c r="E152" i="60"/>
  <c r="C152" i="60"/>
  <c r="D151" i="60"/>
  <c r="G151" i="60" s="1"/>
  <c r="H151" i="60" s="1"/>
  <c r="F151" i="60"/>
  <c r="E151" i="60"/>
  <c r="C151" i="60"/>
  <c r="D150" i="60"/>
  <c r="G150" i="60"/>
  <c r="H150" i="60"/>
  <c r="F150" i="60"/>
  <c r="E150" i="60"/>
  <c r="C150" i="60"/>
  <c r="D149" i="60"/>
  <c r="G149" i="60" s="1"/>
  <c r="H149" i="60" s="1"/>
  <c r="F149" i="60"/>
  <c r="E149" i="60"/>
  <c r="C149" i="60"/>
  <c r="D148" i="60"/>
  <c r="G148" i="60" s="1"/>
  <c r="H148" i="60" s="1"/>
  <c r="F148" i="60"/>
  <c r="E148" i="60"/>
  <c r="C148" i="60"/>
  <c r="D147" i="60"/>
  <c r="G147" i="60" s="1"/>
  <c r="H147" i="60" s="1"/>
  <c r="F147" i="60"/>
  <c r="E147" i="60"/>
  <c r="C147" i="60"/>
  <c r="U144" i="60"/>
  <c r="T144" i="60"/>
  <c r="N144" i="60"/>
  <c r="L144" i="60"/>
  <c r="D141" i="60"/>
  <c r="G141" i="60" s="1"/>
  <c r="H141" i="60" s="1"/>
  <c r="F141" i="60"/>
  <c r="E141" i="60"/>
  <c r="C141" i="60"/>
  <c r="D140" i="60"/>
  <c r="G140" i="60" s="1"/>
  <c r="H140" i="60"/>
  <c r="F140" i="60"/>
  <c r="E140" i="60"/>
  <c r="C140" i="60"/>
  <c r="D139" i="60"/>
  <c r="G139" i="60" s="1"/>
  <c r="H139" i="60" s="1"/>
  <c r="F139" i="60"/>
  <c r="E139" i="60"/>
  <c r="C139" i="60"/>
  <c r="D138" i="60"/>
  <c r="G138" i="60" s="1"/>
  <c r="H138" i="60" s="1"/>
  <c r="F138" i="60"/>
  <c r="E138" i="60"/>
  <c r="C138" i="60"/>
  <c r="D137" i="60"/>
  <c r="G137" i="60" s="1"/>
  <c r="H137" i="60" s="1"/>
  <c r="F137" i="60"/>
  <c r="E137" i="60"/>
  <c r="C137" i="60"/>
  <c r="D136" i="60"/>
  <c r="G136" i="60" s="1"/>
  <c r="H136" i="60" s="1"/>
  <c r="F136" i="60"/>
  <c r="E136" i="60"/>
  <c r="C136" i="60"/>
  <c r="D135" i="60"/>
  <c r="G135" i="60"/>
  <c r="H135" i="60" s="1"/>
  <c r="F135" i="60"/>
  <c r="E135" i="60"/>
  <c r="C135" i="60"/>
  <c r="U132" i="60"/>
  <c r="R132" i="60" s="1"/>
  <c r="T132" i="60"/>
  <c r="N132" i="60"/>
  <c r="L132" i="60"/>
  <c r="D129" i="60"/>
  <c r="G129" i="60" s="1"/>
  <c r="H129" i="60" s="1"/>
  <c r="F129" i="60"/>
  <c r="E129" i="60"/>
  <c r="C129" i="60"/>
  <c r="D128" i="60"/>
  <c r="G128" i="60" s="1"/>
  <c r="H128" i="60" s="1"/>
  <c r="F128" i="60"/>
  <c r="E128" i="60"/>
  <c r="C128" i="60"/>
  <c r="D127" i="60"/>
  <c r="G127" i="60" s="1"/>
  <c r="H127" i="60" s="1"/>
  <c r="F127" i="60"/>
  <c r="E127" i="60"/>
  <c r="C127" i="60"/>
  <c r="D126" i="60"/>
  <c r="G126" i="60"/>
  <c r="H126" i="60" s="1"/>
  <c r="F126" i="60"/>
  <c r="E126" i="60"/>
  <c r="C126" i="60"/>
  <c r="D125" i="60"/>
  <c r="G125" i="60" s="1"/>
  <c r="H125" i="60" s="1"/>
  <c r="F125" i="60"/>
  <c r="E125" i="60"/>
  <c r="C125" i="60"/>
  <c r="D124" i="60"/>
  <c r="G124" i="60" s="1"/>
  <c r="H124" i="60" s="1"/>
  <c r="F124" i="60"/>
  <c r="E124" i="60"/>
  <c r="C124" i="60"/>
  <c r="D123" i="60"/>
  <c r="G123" i="60"/>
  <c r="H123" i="60" s="1"/>
  <c r="F123" i="60"/>
  <c r="E123" i="60"/>
  <c r="C123" i="60"/>
  <c r="D122" i="60"/>
  <c r="G122" i="60" s="1"/>
  <c r="H122" i="60" s="1"/>
  <c r="F122" i="60"/>
  <c r="E122" i="60"/>
  <c r="C122" i="60"/>
  <c r="D121" i="60"/>
  <c r="G121" i="60" s="1"/>
  <c r="H121" i="60" s="1"/>
  <c r="F121" i="60"/>
  <c r="E121" i="60"/>
  <c r="C121" i="60"/>
  <c r="U118" i="60"/>
  <c r="T118" i="60"/>
  <c r="N118" i="60"/>
  <c r="L118" i="60"/>
  <c r="D115" i="60"/>
  <c r="G115" i="60" s="1"/>
  <c r="H115" i="60" s="1"/>
  <c r="F115" i="60"/>
  <c r="E115" i="60"/>
  <c r="C115" i="60"/>
  <c r="D114" i="60"/>
  <c r="G114" i="60" s="1"/>
  <c r="H114" i="60" s="1"/>
  <c r="F114" i="60"/>
  <c r="E114" i="60"/>
  <c r="C114" i="60"/>
  <c r="D113" i="60"/>
  <c r="G113" i="60" s="1"/>
  <c r="H113" i="60" s="1"/>
  <c r="F113" i="60"/>
  <c r="E113" i="60"/>
  <c r="C113" i="60"/>
  <c r="D112" i="60"/>
  <c r="G112" i="60" s="1"/>
  <c r="H112" i="60" s="1"/>
  <c r="F112" i="60"/>
  <c r="E112" i="60"/>
  <c r="C112" i="60"/>
  <c r="D111" i="60"/>
  <c r="G111" i="60"/>
  <c r="H111" i="60" s="1"/>
  <c r="F111" i="60"/>
  <c r="E111" i="60"/>
  <c r="C111" i="60"/>
  <c r="D110" i="60"/>
  <c r="G110" i="60"/>
  <c r="H110" i="60" s="1"/>
  <c r="F110" i="60"/>
  <c r="E110" i="60"/>
  <c r="C110" i="60"/>
  <c r="D109" i="60"/>
  <c r="G109" i="60" s="1"/>
  <c r="H109" i="60" s="1"/>
  <c r="F109" i="60"/>
  <c r="E109" i="60"/>
  <c r="C109" i="60"/>
  <c r="D108" i="60"/>
  <c r="G108" i="60"/>
  <c r="H108" i="60" s="1"/>
  <c r="F108" i="60"/>
  <c r="E108" i="60"/>
  <c r="C108" i="60"/>
  <c r="D107" i="60"/>
  <c r="G107" i="60"/>
  <c r="H107" i="60" s="1"/>
  <c r="F107" i="60"/>
  <c r="E107" i="60"/>
  <c r="C107" i="60"/>
  <c r="D106" i="60"/>
  <c r="G106" i="60"/>
  <c r="H106" i="60" s="1"/>
  <c r="F106" i="60"/>
  <c r="E106" i="60"/>
  <c r="C106" i="60"/>
  <c r="D105" i="60"/>
  <c r="G105" i="60" s="1"/>
  <c r="H105" i="60" s="1"/>
  <c r="F105" i="60"/>
  <c r="E105" i="60"/>
  <c r="C105" i="60"/>
  <c r="D104" i="60"/>
  <c r="G104" i="60" s="1"/>
  <c r="H104" i="60" s="1"/>
  <c r="F104" i="60"/>
  <c r="E104" i="60"/>
  <c r="C104" i="60"/>
  <c r="D103" i="60"/>
  <c r="G103" i="60" s="1"/>
  <c r="H103" i="60" s="1"/>
  <c r="F103" i="60"/>
  <c r="E103" i="60"/>
  <c r="C103" i="60"/>
  <c r="U100" i="60"/>
  <c r="R100" i="60" s="1"/>
  <c r="T100" i="60"/>
  <c r="N100" i="60"/>
  <c r="L100" i="60"/>
  <c r="D97" i="60"/>
  <c r="G97" i="60" s="1"/>
  <c r="H97" i="60" s="1"/>
  <c r="F97" i="60"/>
  <c r="E97" i="60"/>
  <c r="C97" i="60"/>
  <c r="D96" i="60"/>
  <c r="G96" i="60" s="1"/>
  <c r="H96" i="60" s="1"/>
  <c r="F96" i="60"/>
  <c r="E96" i="60"/>
  <c r="C96" i="60"/>
  <c r="D95" i="60"/>
  <c r="G95" i="60" s="1"/>
  <c r="H95" i="60" s="1"/>
  <c r="F95" i="60"/>
  <c r="E95" i="60"/>
  <c r="C95" i="60"/>
  <c r="D94" i="60"/>
  <c r="G94" i="60" s="1"/>
  <c r="H94" i="60" s="1"/>
  <c r="F94" i="60"/>
  <c r="E94" i="60"/>
  <c r="C94" i="60"/>
  <c r="D93" i="60"/>
  <c r="G93" i="60" s="1"/>
  <c r="H93" i="60" s="1"/>
  <c r="F93" i="60"/>
  <c r="E93" i="60"/>
  <c r="C93" i="60"/>
  <c r="D92" i="60"/>
  <c r="G92" i="60" s="1"/>
  <c r="H92" i="60" s="1"/>
  <c r="F92" i="60"/>
  <c r="E92" i="60"/>
  <c r="C92" i="60"/>
  <c r="D91" i="60"/>
  <c r="G91" i="60" s="1"/>
  <c r="H91" i="60" s="1"/>
  <c r="F91" i="60"/>
  <c r="E91" i="60"/>
  <c r="C91" i="60"/>
  <c r="D90" i="60"/>
  <c r="G90" i="60" s="1"/>
  <c r="H90" i="60"/>
  <c r="F90" i="60"/>
  <c r="E90" i="60"/>
  <c r="C90" i="60"/>
  <c r="D89" i="60"/>
  <c r="G89" i="60"/>
  <c r="H89" i="60" s="1"/>
  <c r="F89" i="60"/>
  <c r="E89" i="60"/>
  <c r="C89" i="60"/>
  <c r="D88" i="60"/>
  <c r="G88" i="60" s="1"/>
  <c r="H88" i="60" s="1"/>
  <c r="F88" i="60"/>
  <c r="E88" i="60"/>
  <c r="C88" i="60"/>
  <c r="D87" i="60"/>
  <c r="G87" i="60" s="1"/>
  <c r="H87" i="60" s="1"/>
  <c r="F87" i="60"/>
  <c r="E87" i="60"/>
  <c r="C87" i="60"/>
  <c r="D86" i="60"/>
  <c r="G86" i="60" s="1"/>
  <c r="H86" i="60" s="1"/>
  <c r="F86" i="60"/>
  <c r="E86" i="60"/>
  <c r="C86" i="60"/>
  <c r="D85" i="60"/>
  <c r="G85" i="60" s="1"/>
  <c r="H85" i="60" s="1"/>
  <c r="F85" i="60"/>
  <c r="E85" i="60"/>
  <c r="C85" i="60"/>
  <c r="D84" i="60"/>
  <c r="G84" i="60" s="1"/>
  <c r="H84" i="60" s="1"/>
  <c r="F84" i="60"/>
  <c r="E84" i="60"/>
  <c r="C84" i="60"/>
  <c r="D83" i="60"/>
  <c r="G83" i="60" s="1"/>
  <c r="H83" i="60"/>
  <c r="F83" i="60"/>
  <c r="E83" i="60"/>
  <c r="C83" i="60"/>
  <c r="D82" i="60"/>
  <c r="G82" i="60" s="1"/>
  <c r="H82" i="60" s="1"/>
  <c r="F82" i="60"/>
  <c r="E82" i="60"/>
  <c r="C82" i="60"/>
  <c r="D81" i="60"/>
  <c r="G81" i="60"/>
  <c r="H81" i="60" s="1"/>
  <c r="F81" i="60"/>
  <c r="E81" i="60"/>
  <c r="C81" i="60"/>
  <c r="D80" i="60"/>
  <c r="G80" i="60" s="1"/>
  <c r="H80" i="60" s="1"/>
  <c r="F80" i="60"/>
  <c r="E80" i="60"/>
  <c r="C80" i="60"/>
  <c r="U77" i="60"/>
  <c r="T77" i="60"/>
  <c r="N77" i="60"/>
  <c r="L77" i="60"/>
  <c r="D74" i="60"/>
  <c r="G74" i="60" s="1"/>
  <c r="H74" i="60" s="1"/>
  <c r="E74" i="60"/>
  <c r="C74" i="60"/>
  <c r="D73" i="60"/>
  <c r="G73" i="60" s="1"/>
  <c r="H73" i="60" s="1"/>
  <c r="F73" i="60"/>
  <c r="E73" i="60"/>
  <c r="C73" i="60"/>
  <c r="D72" i="60"/>
  <c r="G72" i="60" s="1"/>
  <c r="H72" i="60" s="1"/>
  <c r="F72" i="60"/>
  <c r="E72" i="60"/>
  <c r="C72" i="60"/>
  <c r="D71" i="60"/>
  <c r="G71" i="60" s="1"/>
  <c r="H71" i="60" s="1"/>
  <c r="F71" i="60"/>
  <c r="E71" i="60"/>
  <c r="C71" i="60"/>
  <c r="D70" i="60"/>
  <c r="G70" i="60" s="1"/>
  <c r="H70" i="60" s="1"/>
  <c r="F70" i="60"/>
  <c r="E70" i="60"/>
  <c r="C70" i="60"/>
  <c r="D69" i="60"/>
  <c r="G69" i="60" s="1"/>
  <c r="H69" i="60" s="1"/>
  <c r="F69" i="60"/>
  <c r="E69" i="60"/>
  <c r="C69" i="60"/>
  <c r="D68" i="60"/>
  <c r="G68" i="60" s="1"/>
  <c r="H68" i="60" s="1"/>
  <c r="F68" i="60"/>
  <c r="E68" i="60"/>
  <c r="C68" i="60"/>
  <c r="D67" i="60"/>
  <c r="G67" i="60" s="1"/>
  <c r="H67" i="60" s="1"/>
  <c r="F67" i="60"/>
  <c r="E67" i="60"/>
  <c r="C67" i="60"/>
  <c r="D66" i="60"/>
  <c r="G66" i="60" s="1"/>
  <c r="H66" i="60" s="1"/>
  <c r="F66" i="60"/>
  <c r="E66" i="60"/>
  <c r="C66" i="60"/>
  <c r="D65" i="60"/>
  <c r="G65" i="60"/>
  <c r="H65" i="60" s="1"/>
  <c r="F65" i="60"/>
  <c r="E65" i="60"/>
  <c r="C65" i="60"/>
  <c r="D64" i="60"/>
  <c r="G64" i="60"/>
  <c r="H64" i="60" s="1"/>
  <c r="F64" i="60"/>
  <c r="E64" i="60"/>
  <c r="C64" i="60"/>
  <c r="D63" i="60"/>
  <c r="G63" i="60" s="1"/>
  <c r="H63" i="60" s="1"/>
  <c r="F63" i="60"/>
  <c r="E63" i="60"/>
  <c r="C63" i="60"/>
  <c r="U60" i="60"/>
  <c r="T60" i="60"/>
  <c r="R60" i="60" s="1"/>
  <c r="N60" i="60"/>
  <c r="L60" i="60"/>
  <c r="D57" i="60"/>
  <c r="G57" i="60" s="1"/>
  <c r="H57" i="60" s="1"/>
  <c r="F57" i="60"/>
  <c r="E57" i="60"/>
  <c r="C57" i="60"/>
  <c r="D56" i="60"/>
  <c r="G56" i="60"/>
  <c r="H56" i="60" s="1"/>
  <c r="F56" i="60"/>
  <c r="E56" i="60"/>
  <c r="C56" i="60"/>
  <c r="D55" i="60"/>
  <c r="G55" i="60" s="1"/>
  <c r="H55" i="60" s="1"/>
  <c r="F55" i="60"/>
  <c r="E55" i="60"/>
  <c r="C55" i="60"/>
  <c r="D54" i="60"/>
  <c r="G54" i="60" s="1"/>
  <c r="H54" i="60" s="1"/>
  <c r="F54" i="60"/>
  <c r="E54" i="60"/>
  <c r="C54" i="60"/>
  <c r="D53" i="60"/>
  <c r="G53" i="60"/>
  <c r="H53" i="60" s="1"/>
  <c r="F53" i="60"/>
  <c r="E53" i="60"/>
  <c r="C53" i="60"/>
  <c r="D52" i="60"/>
  <c r="G52" i="60" s="1"/>
  <c r="H52" i="60" s="1"/>
  <c r="F52" i="60"/>
  <c r="E52" i="60"/>
  <c r="C52" i="60"/>
  <c r="U49" i="60"/>
  <c r="T49" i="60"/>
  <c r="N49" i="60"/>
  <c r="L49" i="60"/>
  <c r="D46" i="60"/>
  <c r="G46" i="60" s="1"/>
  <c r="H46" i="60" s="1"/>
  <c r="F46" i="60"/>
  <c r="E46" i="60"/>
  <c r="C46" i="60"/>
  <c r="D45" i="60"/>
  <c r="G45" i="60" s="1"/>
  <c r="H45" i="60" s="1"/>
  <c r="F45" i="60"/>
  <c r="E45" i="60"/>
  <c r="C45" i="60"/>
  <c r="D44" i="60"/>
  <c r="G44" i="60" s="1"/>
  <c r="H44" i="60" s="1"/>
  <c r="F44" i="60"/>
  <c r="E44" i="60"/>
  <c r="C44" i="60"/>
  <c r="D43" i="60"/>
  <c r="G43" i="60" s="1"/>
  <c r="H43" i="60" s="1"/>
  <c r="F43" i="60"/>
  <c r="E43" i="60"/>
  <c r="C43" i="60"/>
  <c r="D42" i="60"/>
  <c r="G42" i="60" s="1"/>
  <c r="H42" i="60" s="1"/>
  <c r="F42" i="60"/>
  <c r="E42" i="60"/>
  <c r="C42" i="60"/>
  <c r="U39" i="60"/>
  <c r="T39" i="60"/>
  <c r="R39" i="60" s="1"/>
  <c r="N39" i="60"/>
  <c r="L39" i="60"/>
  <c r="D36" i="60"/>
  <c r="G36" i="60" s="1"/>
  <c r="H36" i="60" s="1"/>
  <c r="D34" i="60"/>
  <c r="G34" i="60" s="1"/>
  <c r="H34" i="60" s="1"/>
  <c r="F34" i="60"/>
  <c r="E34" i="60"/>
  <c r="C34" i="60"/>
  <c r="D33" i="60"/>
  <c r="G33" i="60"/>
  <c r="H33" i="60" s="1"/>
  <c r="F33" i="60"/>
  <c r="E33" i="60"/>
  <c r="C33" i="60"/>
  <c r="D32" i="60"/>
  <c r="G32" i="60" s="1"/>
  <c r="H32" i="60" s="1"/>
  <c r="F32" i="60"/>
  <c r="E32" i="60"/>
  <c r="C32" i="60"/>
  <c r="D31" i="60"/>
  <c r="G31" i="60" s="1"/>
  <c r="H31" i="60" s="1"/>
  <c r="F31" i="60"/>
  <c r="E31" i="60"/>
  <c r="C31" i="60"/>
  <c r="D30" i="60"/>
  <c r="G30" i="60" s="1"/>
  <c r="H30" i="60" s="1"/>
  <c r="F30" i="60"/>
  <c r="E30" i="60"/>
  <c r="C30" i="60"/>
  <c r="D29" i="60"/>
  <c r="G29" i="60"/>
  <c r="H29" i="60" s="1"/>
  <c r="F29" i="60"/>
  <c r="E29" i="60"/>
  <c r="C29" i="60"/>
  <c r="D28" i="60"/>
  <c r="G28" i="60" s="1"/>
  <c r="H28" i="60" s="1"/>
  <c r="F28" i="60"/>
  <c r="E28" i="60"/>
  <c r="C28" i="60"/>
  <c r="D27" i="60"/>
  <c r="G27" i="60" s="1"/>
  <c r="H27" i="60" s="1"/>
  <c r="F27" i="60"/>
  <c r="E27" i="60"/>
  <c r="C27" i="60"/>
  <c r="D26" i="60"/>
  <c r="G26" i="60" s="1"/>
  <c r="H26" i="60" s="1"/>
  <c r="F26" i="60"/>
  <c r="E26" i="60"/>
  <c r="C26" i="60"/>
  <c r="D25" i="60"/>
  <c r="G25" i="60" s="1"/>
  <c r="H25" i="60" s="1"/>
  <c r="F25" i="60"/>
  <c r="E25" i="60"/>
  <c r="C25" i="60"/>
  <c r="D24" i="60"/>
  <c r="G24" i="60"/>
  <c r="H24" i="60" s="1"/>
  <c r="F24" i="60"/>
  <c r="E24" i="60"/>
  <c r="C24" i="60"/>
  <c r="D23" i="60"/>
  <c r="G23" i="60" s="1"/>
  <c r="H23" i="60" s="1"/>
  <c r="F23" i="60"/>
  <c r="E23" i="60"/>
  <c r="C23" i="60"/>
  <c r="D22" i="60"/>
  <c r="G22" i="60" s="1"/>
  <c r="H22" i="60" s="1"/>
  <c r="F22" i="60"/>
  <c r="E22" i="60"/>
  <c r="C22" i="60"/>
  <c r="D21" i="60"/>
  <c r="G21" i="60" s="1"/>
  <c r="H21" i="60" s="1"/>
  <c r="F21" i="60"/>
  <c r="E21" i="60"/>
  <c r="C21" i="60"/>
  <c r="D20" i="60"/>
  <c r="G20" i="60" s="1"/>
  <c r="H20" i="60" s="1"/>
  <c r="F20" i="60"/>
  <c r="E20" i="60"/>
  <c r="C20" i="60"/>
  <c r="D19" i="60"/>
  <c r="G19" i="60" s="1"/>
  <c r="H19" i="60" s="1"/>
  <c r="F19" i="60"/>
  <c r="E19" i="60"/>
  <c r="C19" i="60"/>
  <c r="D18" i="60"/>
  <c r="G18" i="60" s="1"/>
  <c r="H18" i="60" s="1"/>
  <c r="F18" i="60"/>
  <c r="E18" i="60"/>
  <c r="C18" i="60"/>
  <c r="D17" i="60"/>
  <c r="G17" i="60"/>
  <c r="H17" i="60" s="1"/>
  <c r="F17" i="60"/>
  <c r="E17" i="60"/>
  <c r="C17" i="60"/>
  <c r="D16" i="60"/>
  <c r="G16" i="60" s="1"/>
  <c r="H16" i="60" s="1"/>
  <c r="F16" i="60"/>
  <c r="E16" i="60"/>
  <c r="C16" i="60"/>
  <c r="U13" i="60"/>
  <c r="R13" i="60" s="1"/>
  <c r="T13" i="60"/>
  <c r="N13" i="60"/>
  <c r="L13" i="60"/>
  <c r="U10" i="60"/>
  <c r="T10" i="60"/>
  <c r="N10" i="60"/>
  <c r="L10" i="60"/>
  <c r="U9" i="60"/>
  <c r="T9" i="60"/>
  <c r="N9" i="60"/>
  <c r="L9" i="60"/>
  <c r="U8" i="60"/>
  <c r="T8" i="60"/>
  <c r="N8" i="60"/>
  <c r="L8" i="60"/>
  <c r="U7" i="60"/>
  <c r="T7" i="60"/>
  <c r="N7" i="60"/>
  <c r="L7" i="60"/>
  <c r="U6" i="60"/>
  <c r="T6" i="60"/>
  <c r="R6" i="60"/>
  <c r="N6" i="60"/>
  <c r="L6" i="60"/>
  <c r="U5" i="60"/>
  <c r="R5" i="60" s="1"/>
  <c r="T5" i="60"/>
  <c r="N5" i="60"/>
  <c r="L5" i="60"/>
  <c r="U4" i="60"/>
  <c r="T4" i="60"/>
  <c r="R4" i="60" s="1"/>
  <c r="N4" i="60"/>
  <c r="L4" i="60"/>
  <c r="U3" i="60"/>
  <c r="T3" i="60"/>
  <c r="R3" i="60"/>
  <c r="N3" i="60"/>
  <c r="L3" i="60"/>
  <c r="U2" i="60"/>
  <c r="T2" i="60"/>
  <c r="N2" i="60"/>
  <c r="L2" i="60"/>
  <c r="U1" i="60"/>
  <c r="T1" i="60"/>
  <c r="N1" i="60"/>
  <c r="L1" i="60"/>
  <c r="C192" i="59"/>
  <c r="D191" i="59"/>
  <c r="G191" i="59" s="1"/>
  <c r="H191" i="59" s="1"/>
  <c r="F191" i="59"/>
  <c r="E191" i="59"/>
  <c r="C191" i="59"/>
  <c r="D190" i="59"/>
  <c r="G190" i="59" s="1"/>
  <c r="H190" i="59" s="1"/>
  <c r="F190" i="59"/>
  <c r="E190" i="59"/>
  <c r="C190" i="59"/>
  <c r="D189" i="59"/>
  <c r="G189" i="59" s="1"/>
  <c r="H189" i="59" s="1"/>
  <c r="F189" i="59"/>
  <c r="E189" i="59"/>
  <c r="C189" i="59"/>
  <c r="D188" i="59"/>
  <c r="G188" i="59" s="1"/>
  <c r="H188" i="59" s="1"/>
  <c r="F188" i="59"/>
  <c r="E188" i="59"/>
  <c r="C188" i="59"/>
  <c r="D187" i="59"/>
  <c r="G187" i="59"/>
  <c r="H187" i="59" s="1"/>
  <c r="F187" i="59"/>
  <c r="E187" i="59"/>
  <c r="C187" i="59"/>
  <c r="D186" i="59"/>
  <c r="G186" i="59" s="1"/>
  <c r="H186" i="59" s="1"/>
  <c r="F186" i="59"/>
  <c r="E186" i="59"/>
  <c r="C186" i="59"/>
  <c r="D185" i="59"/>
  <c r="G185" i="59" s="1"/>
  <c r="H185" i="59"/>
  <c r="F185" i="59"/>
  <c r="E185" i="59"/>
  <c r="C185" i="59"/>
  <c r="D184" i="59"/>
  <c r="G184" i="59" s="1"/>
  <c r="H184" i="59" s="1"/>
  <c r="F184" i="59"/>
  <c r="E184" i="59"/>
  <c r="C184" i="59"/>
  <c r="D183" i="59"/>
  <c r="G183" i="59"/>
  <c r="H183" i="59" s="1"/>
  <c r="F183" i="59"/>
  <c r="E183" i="59"/>
  <c r="C183" i="59"/>
  <c r="D182" i="59"/>
  <c r="G182" i="59" s="1"/>
  <c r="H182" i="59" s="1"/>
  <c r="F182" i="59"/>
  <c r="E182" i="59"/>
  <c r="C182" i="59"/>
  <c r="D181" i="59"/>
  <c r="G181" i="59" s="1"/>
  <c r="H181" i="59" s="1"/>
  <c r="F181" i="59"/>
  <c r="E181" i="59"/>
  <c r="C181" i="59"/>
  <c r="D180" i="59"/>
  <c r="G180" i="59" s="1"/>
  <c r="H180" i="59" s="1"/>
  <c r="F180" i="59"/>
  <c r="E180" i="59"/>
  <c r="C180" i="59"/>
  <c r="D179" i="59"/>
  <c r="G179" i="59"/>
  <c r="H179" i="59" s="1"/>
  <c r="F179" i="59"/>
  <c r="E179" i="59"/>
  <c r="C179" i="59"/>
  <c r="D178" i="59"/>
  <c r="G178" i="59" s="1"/>
  <c r="H178" i="59" s="1"/>
  <c r="F178" i="59"/>
  <c r="E178" i="59"/>
  <c r="C178" i="59"/>
  <c r="D177" i="59"/>
  <c r="G177" i="59" s="1"/>
  <c r="H177" i="59"/>
  <c r="F177" i="59"/>
  <c r="E177" i="59"/>
  <c r="C177" i="59"/>
  <c r="D176" i="59"/>
  <c r="G176" i="59" s="1"/>
  <c r="H176" i="59" s="1"/>
  <c r="F176" i="59"/>
  <c r="E176" i="59"/>
  <c r="C176" i="59"/>
  <c r="D175" i="59"/>
  <c r="G175" i="59"/>
  <c r="H175" i="59" s="1"/>
  <c r="F175" i="59"/>
  <c r="E175" i="59"/>
  <c r="C175" i="59"/>
  <c r="D174" i="59"/>
  <c r="G174" i="59" s="1"/>
  <c r="H174" i="59" s="1"/>
  <c r="F174" i="59"/>
  <c r="E174" i="59"/>
  <c r="C174" i="59"/>
  <c r="U171" i="59"/>
  <c r="T171" i="59"/>
  <c r="R171" i="59" s="1"/>
  <c r="N171" i="59"/>
  <c r="L171" i="59"/>
  <c r="D168" i="59"/>
  <c r="G168" i="59"/>
  <c r="H168" i="59" s="1"/>
  <c r="F168" i="59"/>
  <c r="E168" i="59"/>
  <c r="C168" i="59"/>
  <c r="D167" i="59"/>
  <c r="G167" i="59" s="1"/>
  <c r="H167" i="59" s="1"/>
  <c r="F167" i="59"/>
  <c r="E167" i="59"/>
  <c r="C167" i="59"/>
  <c r="D166" i="59"/>
  <c r="G166" i="59"/>
  <c r="H166" i="59" s="1"/>
  <c r="F166" i="59"/>
  <c r="E166" i="59"/>
  <c r="C166" i="59"/>
  <c r="D165" i="59"/>
  <c r="G165" i="59"/>
  <c r="H165" i="59" s="1"/>
  <c r="F165" i="59"/>
  <c r="E165" i="59"/>
  <c r="C165" i="59"/>
  <c r="D164" i="59"/>
  <c r="G164" i="59"/>
  <c r="H164" i="59" s="1"/>
  <c r="F164" i="59"/>
  <c r="E164" i="59"/>
  <c r="C164" i="59"/>
  <c r="D163" i="59"/>
  <c r="G163" i="59" s="1"/>
  <c r="H163" i="59" s="1"/>
  <c r="F163" i="59"/>
  <c r="E163" i="59"/>
  <c r="C163" i="59"/>
  <c r="D162" i="59"/>
  <c r="G162" i="59"/>
  <c r="H162" i="59" s="1"/>
  <c r="F162" i="59"/>
  <c r="E162" i="59"/>
  <c r="C162" i="59"/>
  <c r="D161" i="59"/>
  <c r="G161" i="59"/>
  <c r="H161" i="59" s="1"/>
  <c r="F161" i="59"/>
  <c r="E161" i="59"/>
  <c r="C161" i="59"/>
  <c r="U158" i="59"/>
  <c r="T158" i="59"/>
  <c r="R158" i="59" s="1"/>
  <c r="N158" i="59"/>
  <c r="L158" i="59"/>
  <c r="D155" i="59"/>
  <c r="G155" i="59"/>
  <c r="H155" i="59" s="1"/>
  <c r="F155" i="59"/>
  <c r="E155" i="59"/>
  <c r="C155" i="59"/>
  <c r="D154" i="59"/>
  <c r="G154" i="59" s="1"/>
  <c r="H154" i="59"/>
  <c r="F154" i="59"/>
  <c r="E154" i="59"/>
  <c r="C154" i="59"/>
  <c r="D153" i="59"/>
  <c r="G153" i="59" s="1"/>
  <c r="H153" i="59" s="1"/>
  <c r="F153" i="59"/>
  <c r="E153" i="59"/>
  <c r="C153" i="59"/>
  <c r="D152" i="59"/>
  <c r="G152" i="59" s="1"/>
  <c r="H152" i="59" s="1"/>
  <c r="F152" i="59"/>
  <c r="E152" i="59"/>
  <c r="C152" i="59"/>
  <c r="D151" i="59"/>
  <c r="G151" i="59"/>
  <c r="H151" i="59" s="1"/>
  <c r="F151" i="59"/>
  <c r="E151" i="59"/>
  <c r="C151" i="59"/>
  <c r="D150" i="59"/>
  <c r="G150" i="59" s="1"/>
  <c r="H150" i="59" s="1"/>
  <c r="F150" i="59"/>
  <c r="E150" i="59"/>
  <c r="C150" i="59"/>
  <c r="D149" i="59"/>
  <c r="G149" i="59" s="1"/>
  <c r="H149" i="59" s="1"/>
  <c r="F149" i="59"/>
  <c r="E149" i="59"/>
  <c r="C149" i="59"/>
  <c r="D148" i="59"/>
  <c r="G148" i="59"/>
  <c r="H148" i="59" s="1"/>
  <c r="F148" i="59"/>
  <c r="E148" i="59"/>
  <c r="C148" i="59"/>
  <c r="D147" i="59"/>
  <c r="G147" i="59" s="1"/>
  <c r="H147" i="59" s="1"/>
  <c r="F147" i="59"/>
  <c r="E147" i="59"/>
  <c r="C147" i="59"/>
  <c r="D146" i="59"/>
  <c r="G146" i="59" s="1"/>
  <c r="H146" i="59"/>
  <c r="F146" i="59"/>
  <c r="E146" i="59"/>
  <c r="C146" i="59"/>
  <c r="D145" i="59"/>
  <c r="G145" i="59" s="1"/>
  <c r="H145" i="59"/>
  <c r="F145" i="59"/>
  <c r="E145" i="59"/>
  <c r="C145" i="59"/>
  <c r="D144" i="59"/>
  <c r="G144" i="59"/>
  <c r="H144" i="59" s="1"/>
  <c r="F144" i="59"/>
  <c r="E144" i="59"/>
  <c r="C144" i="59"/>
  <c r="D143" i="59"/>
  <c r="G143" i="59"/>
  <c r="H143" i="59" s="1"/>
  <c r="F143" i="59"/>
  <c r="E143" i="59"/>
  <c r="C143" i="59"/>
  <c r="D142" i="59"/>
  <c r="G142" i="59" s="1"/>
  <c r="H142" i="59" s="1"/>
  <c r="F142" i="59"/>
  <c r="E142" i="59"/>
  <c r="C142" i="59"/>
  <c r="D141" i="59"/>
  <c r="G141" i="59" s="1"/>
  <c r="H141" i="59" s="1"/>
  <c r="F141" i="59"/>
  <c r="E141" i="59"/>
  <c r="C141" i="59"/>
  <c r="D140" i="59"/>
  <c r="G140" i="59" s="1"/>
  <c r="H140" i="59" s="1"/>
  <c r="F140" i="59"/>
  <c r="E140" i="59"/>
  <c r="C140" i="59"/>
  <c r="D139" i="59"/>
  <c r="G139" i="59"/>
  <c r="H139" i="59" s="1"/>
  <c r="F139" i="59"/>
  <c r="E139" i="59"/>
  <c r="C139" i="59"/>
  <c r="D138" i="59"/>
  <c r="G138" i="59" s="1"/>
  <c r="H138" i="59" s="1"/>
  <c r="F138" i="59"/>
  <c r="E138" i="59"/>
  <c r="C138" i="59"/>
  <c r="D137" i="59"/>
  <c r="G137" i="59" s="1"/>
  <c r="H137" i="59" s="1"/>
  <c r="F137" i="59"/>
  <c r="E137" i="59"/>
  <c r="C137" i="59"/>
  <c r="D136" i="59"/>
  <c r="G136" i="59" s="1"/>
  <c r="H136" i="59" s="1"/>
  <c r="F136" i="59"/>
  <c r="E136" i="59"/>
  <c r="C136" i="59"/>
  <c r="D135" i="59"/>
  <c r="G135" i="59" s="1"/>
  <c r="H135" i="59" s="1"/>
  <c r="F135" i="59"/>
  <c r="E135" i="59"/>
  <c r="C135" i="59"/>
  <c r="D134" i="59"/>
  <c r="G134" i="59" s="1"/>
  <c r="H134" i="59" s="1"/>
  <c r="F134" i="59"/>
  <c r="E134" i="59"/>
  <c r="C134" i="59"/>
  <c r="D133" i="59"/>
  <c r="G133" i="59" s="1"/>
  <c r="H133" i="59" s="1"/>
  <c r="F133" i="59"/>
  <c r="E133" i="59"/>
  <c r="C133" i="59"/>
  <c r="D132" i="59"/>
  <c r="G132" i="59" s="1"/>
  <c r="H132" i="59" s="1"/>
  <c r="F132" i="59"/>
  <c r="E132" i="59"/>
  <c r="C132" i="59"/>
  <c r="D131" i="59"/>
  <c r="G131" i="59" s="1"/>
  <c r="H131" i="59" s="1"/>
  <c r="F131" i="59"/>
  <c r="E131" i="59"/>
  <c r="C131" i="59"/>
  <c r="D130" i="59"/>
  <c r="G130" i="59" s="1"/>
  <c r="H130" i="59" s="1"/>
  <c r="F130" i="59"/>
  <c r="E130" i="59"/>
  <c r="C130" i="59"/>
  <c r="D129" i="59"/>
  <c r="G129" i="59" s="1"/>
  <c r="H129" i="59" s="1"/>
  <c r="F129" i="59"/>
  <c r="E129" i="59"/>
  <c r="C129" i="59"/>
  <c r="U126" i="59"/>
  <c r="T126" i="59"/>
  <c r="R126" i="59"/>
  <c r="N126" i="59"/>
  <c r="L126" i="59"/>
  <c r="N123" i="59"/>
  <c r="F123" i="59" s="1"/>
  <c r="D123" i="59"/>
  <c r="G123" i="59" s="1"/>
  <c r="H123" i="59" s="1"/>
  <c r="E123" i="59"/>
  <c r="C123" i="59"/>
  <c r="N122" i="59"/>
  <c r="F122" i="59" s="1"/>
  <c r="D122" i="59"/>
  <c r="G122" i="59" s="1"/>
  <c r="H122" i="59" s="1"/>
  <c r="E122" i="59"/>
  <c r="C122" i="59"/>
  <c r="N121" i="59"/>
  <c r="D121" i="59"/>
  <c r="G121" i="59" s="1"/>
  <c r="H121" i="59" s="1"/>
  <c r="F121" i="59"/>
  <c r="E121" i="59"/>
  <c r="C121" i="59"/>
  <c r="N120" i="59"/>
  <c r="F120" i="59" s="1"/>
  <c r="D120" i="59"/>
  <c r="G120" i="59" s="1"/>
  <c r="H120" i="59"/>
  <c r="E120" i="59"/>
  <c r="C120" i="59"/>
  <c r="N119" i="59"/>
  <c r="F119" i="59" s="1"/>
  <c r="D119" i="59"/>
  <c r="G119" i="59" s="1"/>
  <c r="H119" i="59"/>
  <c r="E119" i="59"/>
  <c r="C119" i="59"/>
  <c r="N118" i="59"/>
  <c r="F118" i="59" s="1"/>
  <c r="D118" i="59"/>
  <c r="G118" i="59"/>
  <c r="H118" i="59" s="1"/>
  <c r="E118" i="59"/>
  <c r="C118" i="59"/>
  <c r="N117" i="59"/>
  <c r="F117" i="59" s="1"/>
  <c r="D117" i="59"/>
  <c r="G117" i="59" s="1"/>
  <c r="H117" i="59" s="1"/>
  <c r="E117" i="59"/>
  <c r="C117" i="59"/>
  <c r="N116" i="59"/>
  <c r="F116" i="59" s="1"/>
  <c r="D116" i="59"/>
  <c r="G116" i="59" s="1"/>
  <c r="H116" i="59" s="1"/>
  <c r="E116" i="59"/>
  <c r="C116" i="59"/>
  <c r="N115" i="59"/>
  <c r="D115" i="59"/>
  <c r="G115" i="59"/>
  <c r="H115" i="59" s="1"/>
  <c r="F115" i="59"/>
  <c r="E115" i="59"/>
  <c r="C115" i="59"/>
  <c r="N114" i="59"/>
  <c r="F114" i="59" s="1"/>
  <c r="D114" i="59"/>
  <c r="G114" i="59"/>
  <c r="H114" i="59" s="1"/>
  <c r="E114" i="59"/>
  <c r="C114" i="59"/>
  <c r="N113" i="59"/>
  <c r="D113" i="59"/>
  <c r="G113" i="59" s="1"/>
  <c r="H113" i="59" s="1"/>
  <c r="F113" i="59"/>
  <c r="E113" i="59"/>
  <c r="C113" i="59"/>
  <c r="N112" i="59"/>
  <c r="F112" i="59" s="1"/>
  <c r="D112" i="59"/>
  <c r="G112" i="59" s="1"/>
  <c r="H112" i="59" s="1"/>
  <c r="E112" i="59"/>
  <c r="C112" i="59"/>
  <c r="N111" i="59"/>
  <c r="F111" i="59"/>
  <c r="D111" i="59"/>
  <c r="G111" i="59"/>
  <c r="H111" i="59" s="1"/>
  <c r="E111" i="59"/>
  <c r="C111" i="59"/>
  <c r="N110" i="59"/>
  <c r="F110" i="59" s="1"/>
  <c r="D110" i="59"/>
  <c r="G110" i="59" s="1"/>
  <c r="H110" i="59" s="1"/>
  <c r="E110" i="59"/>
  <c r="C110" i="59"/>
  <c r="N109" i="59"/>
  <c r="F109" i="59" s="1"/>
  <c r="D109" i="59"/>
  <c r="G109" i="59"/>
  <c r="H109" i="59" s="1"/>
  <c r="E109" i="59"/>
  <c r="C109" i="59"/>
  <c r="N108" i="59"/>
  <c r="F108" i="59"/>
  <c r="D108" i="59"/>
  <c r="G108" i="59" s="1"/>
  <c r="H108" i="59" s="1"/>
  <c r="E108" i="59"/>
  <c r="C108" i="59"/>
  <c r="N107" i="59"/>
  <c r="F107" i="59" s="1"/>
  <c r="D107" i="59"/>
  <c r="G107" i="59"/>
  <c r="H107" i="59" s="1"/>
  <c r="E107" i="59"/>
  <c r="C107" i="59"/>
  <c r="N106" i="59"/>
  <c r="F106" i="59" s="1"/>
  <c r="D106" i="59"/>
  <c r="G106" i="59" s="1"/>
  <c r="H106" i="59" s="1"/>
  <c r="E106" i="59"/>
  <c r="C106" i="59"/>
  <c r="N105" i="59"/>
  <c r="F105" i="59" s="1"/>
  <c r="D105" i="59"/>
  <c r="G105" i="59" s="1"/>
  <c r="H105" i="59" s="1"/>
  <c r="E105" i="59"/>
  <c r="C105" i="59"/>
  <c r="N104" i="59"/>
  <c r="F104" i="59" s="1"/>
  <c r="D104" i="59"/>
  <c r="G104" i="59" s="1"/>
  <c r="H104" i="59"/>
  <c r="E104" i="59"/>
  <c r="C104" i="59"/>
  <c r="N103" i="59"/>
  <c r="F103" i="59" s="1"/>
  <c r="D103" i="59"/>
  <c r="G103" i="59"/>
  <c r="H103" i="59" s="1"/>
  <c r="E103" i="59"/>
  <c r="C103" i="59"/>
  <c r="N102" i="59"/>
  <c r="F102" i="59"/>
  <c r="D102" i="59"/>
  <c r="G102" i="59" s="1"/>
  <c r="H102" i="59" s="1"/>
  <c r="E102" i="59"/>
  <c r="C102" i="59"/>
  <c r="N101" i="59"/>
  <c r="F101" i="59" s="1"/>
  <c r="D101" i="59"/>
  <c r="G101" i="59" s="1"/>
  <c r="H101" i="59" s="1"/>
  <c r="E101" i="59"/>
  <c r="C101" i="59"/>
  <c r="N100" i="59"/>
  <c r="F100" i="59" s="1"/>
  <c r="D100" i="59"/>
  <c r="G100" i="59"/>
  <c r="H100" i="59" s="1"/>
  <c r="E100" i="59"/>
  <c r="C100" i="59"/>
  <c r="N99" i="59"/>
  <c r="F99" i="59"/>
  <c r="D99" i="59"/>
  <c r="G99" i="59" s="1"/>
  <c r="H99" i="59"/>
  <c r="E99" i="59"/>
  <c r="C99" i="59"/>
  <c r="N98" i="59"/>
  <c r="F98" i="59" s="1"/>
  <c r="D98" i="59"/>
  <c r="G98" i="59"/>
  <c r="H98" i="59" s="1"/>
  <c r="E98" i="59"/>
  <c r="C98" i="59"/>
  <c r="N97" i="59"/>
  <c r="F97" i="59" s="1"/>
  <c r="D97" i="59"/>
  <c r="G97" i="59" s="1"/>
  <c r="H97" i="59"/>
  <c r="E97" i="59"/>
  <c r="C97" i="59"/>
  <c r="N96" i="59"/>
  <c r="F96" i="59" s="1"/>
  <c r="D96" i="59"/>
  <c r="G96" i="59" s="1"/>
  <c r="H96" i="59" s="1"/>
  <c r="E96" i="59"/>
  <c r="C96" i="59"/>
  <c r="U93" i="59"/>
  <c r="T93" i="59"/>
  <c r="N93" i="59"/>
  <c r="L93" i="59"/>
  <c r="D90" i="59"/>
  <c r="G90" i="59"/>
  <c r="H90" i="59" s="1"/>
  <c r="D88" i="59"/>
  <c r="G88" i="59" s="1"/>
  <c r="H88" i="59" s="1"/>
  <c r="F88" i="59"/>
  <c r="E88" i="59"/>
  <c r="C88" i="59"/>
  <c r="D87" i="59"/>
  <c r="G87" i="59" s="1"/>
  <c r="H87" i="59" s="1"/>
  <c r="F87" i="59"/>
  <c r="E87" i="59"/>
  <c r="C87" i="59"/>
  <c r="D86" i="59"/>
  <c r="G86" i="59" s="1"/>
  <c r="H86" i="59" s="1"/>
  <c r="F86" i="59"/>
  <c r="E86" i="59"/>
  <c r="C86" i="59"/>
  <c r="D85" i="59"/>
  <c r="G85" i="59" s="1"/>
  <c r="H85" i="59" s="1"/>
  <c r="F85" i="59"/>
  <c r="E85" i="59"/>
  <c r="C85" i="59"/>
  <c r="D84" i="59"/>
  <c r="G84" i="59" s="1"/>
  <c r="H84" i="59" s="1"/>
  <c r="F84" i="59"/>
  <c r="E84" i="59"/>
  <c r="C84" i="59"/>
  <c r="D83" i="59"/>
  <c r="G83" i="59" s="1"/>
  <c r="H83" i="59" s="1"/>
  <c r="F83" i="59"/>
  <c r="E83" i="59"/>
  <c r="C83" i="59"/>
  <c r="D82" i="59"/>
  <c r="G82" i="59" s="1"/>
  <c r="H82" i="59" s="1"/>
  <c r="F82" i="59"/>
  <c r="E82" i="59"/>
  <c r="C82" i="59"/>
  <c r="D81" i="59"/>
  <c r="G81" i="59"/>
  <c r="H81" i="59" s="1"/>
  <c r="F81" i="59"/>
  <c r="E81" i="59"/>
  <c r="C81" i="59"/>
  <c r="D80" i="59"/>
  <c r="G80" i="59" s="1"/>
  <c r="H80" i="59" s="1"/>
  <c r="F80" i="59"/>
  <c r="E80" i="59"/>
  <c r="C80" i="59"/>
  <c r="D79" i="59"/>
  <c r="G79" i="59" s="1"/>
  <c r="H79" i="59"/>
  <c r="F79" i="59"/>
  <c r="E79" i="59"/>
  <c r="C79" i="59"/>
  <c r="U76" i="59"/>
  <c r="T76" i="59"/>
  <c r="N76" i="59"/>
  <c r="L76" i="59"/>
  <c r="D73" i="59"/>
  <c r="G73" i="59"/>
  <c r="H73" i="59" s="1"/>
  <c r="F73" i="59"/>
  <c r="E73" i="59"/>
  <c r="C73" i="59"/>
  <c r="U70" i="59"/>
  <c r="T70" i="59"/>
  <c r="N70" i="59"/>
  <c r="L70" i="59"/>
  <c r="D67" i="59"/>
  <c r="G67" i="59" s="1"/>
  <c r="H67" i="59" s="1"/>
  <c r="F67" i="59"/>
  <c r="E67" i="59"/>
  <c r="C67" i="59"/>
  <c r="D66" i="59"/>
  <c r="G66" i="59"/>
  <c r="H66" i="59" s="1"/>
  <c r="F66" i="59"/>
  <c r="E66" i="59"/>
  <c r="C66" i="59"/>
  <c r="D65" i="59"/>
  <c r="G65" i="59" s="1"/>
  <c r="H65" i="59" s="1"/>
  <c r="F65" i="59"/>
  <c r="E65" i="59"/>
  <c r="C65" i="59"/>
  <c r="U62" i="59"/>
  <c r="T62" i="59"/>
  <c r="R62" i="59" s="1"/>
  <c r="N62" i="59"/>
  <c r="L62" i="59"/>
  <c r="G59" i="59"/>
  <c r="H59" i="59" s="1"/>
  <c r="C59" i="59"/>
  <c r="C58" i="59"/>
  <c r="C57" i="59"/>
  <c r="D56" i="59"/>
  <c r="G56" i="59" s="1"/>
  <c r="H56" i="59" s="1"/>
  <c r="F56" i="59"/>
  <c r="E56" i="59"/>
  <c r="C56" i="59"/>
  <c r="D55" i="59"/>
  <c r="G55" i="59"/>
  <c r="H55" i="59" s="1"/>
  <c r="F55" i="59"/>
  <c r="E55" i="59"/>
  <c r="C55" i="59"/>
  <c r="D54" i="59"/>
  <c r="G54" i="59" s="1"/>
  <c r="H54" i="59" s="1"/>
  <c r="F54" i="59"/>
  <c r="E54" i="59"/>
  <c r="C54" i="59"/>
  <c r="D53" i="59"/>
  <c r="G53" i="59" s="1"/>
  <c r="H53" i="59" s="1"/>
  <c r="F53" i="59"/>
  <c r="E53" i="59"/>
  <c r="C53" i="59"/>
  <c r="S50" i="59"/>
  <c r="T50" i="59" s="1"/>
  <c r="U50" i="59"/>
  <c r="N50" i="59"/>
  <c r="L50" i="59"/>
  <c r="G47" i="59"/>
  <c r="H47" i="59" s="1"/>
  <c r="C47" i="59"/>
  <c r="G46" i="59"/>
  <c r="H46" i="59" s="1"/>
  <c r="C46" i="59"/>
  <c r="C45" i="59"/>
  <c r="C44" i="59"/>
  <c r="D43" i="59"/>
  <c r="G43" i="59" s="1"/>
  <c r="H43" i="59" s="1"/>
  <c r="F43" i="59"/>
  <c r="E43" i="59"/>
  <c r="C43" i="59"/>
  <c r="D42" i="59"/>
  <c r="G42" i="59" s="1"/>
  <c r="H42" i="59" s="1"/>
  <c r="F42" i="59"/>
  <c r="E42" i="59"/>
  <c r="C42" i="59"/>
  <c r="D41" i="59"/>
  <c r="G41" i="59"/>
  <c r="H41" i="59" s="1"/>
  <c r="F41" i="59"/>
  <c r="E41" i="59"/>
  <c r="C41" i="59"/>
  <c r="D40" i="59"/>
  <c r="G40" i="59" s="1"/>
  <c r="H40" i="59" s="1"/>
  <c r="F40" i="59"/>
  <c r="E40" i="59"/>
  <c r="C40" i="59"/>
  <c r="D39" i="59"/>
  <c r="G39" i="59" s="1"/>
  <c r="H39" i="59" s="1"/>
  <c r="F39" i="59"/>
  <c r="E39" i="59"/>
  <c r="C39" i="59"/>
  <c r="D38" i="59"/>
  <c r="G38" i="59" s="1"/>
  <c r="H38" i="59" s="1"/>
  <c r="F38" i="59"/>
  <c r="E38" i="59"/>
  <c r="C38" i="59"/>
  <c r="D37" i="59"/>
  <c r="G37" i="59" s="1"/>
  <c r="H37" i="59" s="1"/>
  <c r="F37" i="59"/>
  <c r="E37" i="59"/>
  <c r="C37" i="59"/>
  <c r="D36" i="59"/>
  <c r="G36" i="59" s="1"/>
  <c r="H36" i="59" s="1"/>
  <c r="F36" i="59"/>
  <c r="E36" i="59"/>
  <c r="C36" i="59"/>
  <c r="D35" i="59"/>
  <c r="G35" i="59" s="1"/>
  <c r="H35" i="59" s="1"/>
  <c r="F35" i="59"/>
  <c r="E35" i="59"/>
  <c r="C35" i="59"/>
  <c r="D34" i="59"/>
  <c r="G34" i="59" s="1"/>
  <c r="H34" i="59" s="1"/>
  <c r="F34" i="59"/>
  <c r="E34" i="59"/>
  <c r="C34" i="59"/>
  <c r="D33" i="59"/>
  <c r="G33" i="59"/>
  <c r="H33" i="59" s="1"/>
  <c r="F33" i="59"/>
  <c r="E33" i="59"/>
  <c r="C33" i="59"/>
  <c r="D32" i="59"/>
  <c r="G32" i="59" s="1"/>
  <c r="H32" i="59" s="1"/>
  <c r="F32" i="59"/>
  <c r="E32" i="59"/>
  <c r="C32" i="59"/>
  <c r="U29" i="59"/>
  <c r="T29" i="59"/>
  <c r="R29" i="59" s="1"/>
  <c r="N29" i="59"/>
  <c r="L29" i="59"/>
  <c r="D26" i="59"/>
  <c r="G26" i="59" s="1"/>
  <c r="H26" i="59" s="1"/>
  <c r="F26" i="59"/>
  <c r="E26" i="59"/>
  <c r="C26" i="59"/>
  <c r="D25" i="59"/>
  <c r="G25" i="59" s="1"/>
  <c r="H25" i="59" s="1"/>
  <c r="F25" i="59"/>
  <c r="E25" i="59"/>
  <c r="C25" i="59"/>
  <c r="D24" i="59"/>
  <c r="G24" i="59" s="1"/>
  <c r="H24" i="59" s="1"/>
  <c r="F24" i="59"/>
  <c r="E24" i="59"/>
  <c r="C24" i="59"/>
  <c r="D23" i="59"/>
  <c r="G23" i="59" s="1"/>
  <c r="H23" i="59" s="1"/>
  <c r="F23" i="59"/>
  <c r="E23" i="59"/>
  <c r="C23" i="59"/>
  <c r="D22" i="59"/>
  <c r="G22" i="59" s="1"/>
  <c r="H22" i="59" s="1"/>
  <c r="F22" i="59"/>
  <c r="E22" i="59"/>
  <c r="C22" i="59"/>
  <c r="D21" i="59"/>
  <c r="G21" i="59" s="1"/>
  <c r="H21" i="59" s="1"/>
  <c r="F21" i="59"/>
  <c r="E21" i="59"/>
  <c r="C21" i="59"/>
  <c r="D20" i="59"/>
  <c r="G20" i="59" s="1"/>
  <c r="H20" i="59" s="1"/>
  <c r="F20" i="59"/>
  <c r="E20" i="59"/>
  <c r="C20" i="59"/>
  <c r="D19" i="59"/>
  <c r="G19" i="59"/>
  <c r="H19" i="59" s="1"/>
  <c r="F19" i="59"/>
  <c r="E19" i="59"/>
  <c r="C19" i="59"/>
  <c r="D18" i="59"/>
  <c r="G18" i="59" s="1"/>
  <c r="H18" i="59" s="1"/>
  <c r="F18" i="59"/>
  <c r="E18" i="59"/>
  <c r="C18" i="59"/>
  <c r="D17" i="59"/>
  <c r="G17" i="59" s="1"/>
  <c r="H17" i="59" s="1"/>
  <c r="F17" i="59"/>
  <c r="E17" i="59"/>
  <c r="C17" i="59"/>
  <c r="D16" i="59"/>
  <c r="G16" i="59" s="1"/>
  <c r="H16" i="59" s="1"/>
  <c r="F16" i="59"/>
  <c r="E16" i="59"/>
  <c r="C16" i="59"/>
  <c r="U13" i="59"/>
  <c r="T13" i="59"/>
  <c r="N13" i="59"/>
  <c r="L13" i="59"/>
  <c r="U10" i="59"/>
  <c r="R10" i="59" s="1"/>
  <c r="T10" i="59"/>
  <c r="N10" i="59"/>
  <c r="L10" i="59"/>
  <c r="U9" i="59"/>
  <c r="T9" i="59"/>
  <c r="R9" i="59" s="1"/>
  <c r="N9" i="59"/>
  <c r="L9" i="59"/>
  <c r="U8" i="59"/>
  <c r="T8" i="59"/>
  <c r="N8" i="59"/>
  <c r="L8" i="59"/>
  <c r="U7" i="59"/>
  <c r="T7" i="59"/>
  <c r="R7" i="59" s="1"/>
  <c r="N7" i="59"/>
  <c r="L7" i="59"/>
  <c r="U6" i="59"/>
  <c r="R6" i="59" s="1"/>
  <c r="T6" i="59"/>
  <c r="N6" i="59"/>
  <c r="L6" i="59"/>
  <c r="U5" i="59"/>
  <c r="T5" i="59"/>
  <c r="R5" i="59"/>
  <c r="N5" i="59"/>
  <c r="L5" i="59"/>
  <c r="U4" i="59"/>
  <c r="R4" i="59" s="1"/>
  <c r="T4" i="59"/>
  <c r="N4" i="59"/>
  <c r="L4" i="59"/>
  <c r="U3" i="59"/>
  <c r="T3" i="59"/>
  <c r="N3" i="59"/>
  <c r="L3" i="59"/>
  <c r="U2" i="59"/>
  <c r="T2" i="59"/>
  <c r="N2" i="59"/>
  <c r="L2" i="59"/>
  <c r="U1" i="59"/>
  <c r="T1" i="59"/>
  <c r="N1" i="59"/>
  <c r="L1" i="59"/>
  <c r="D233" i="58"/>
  <c r="G233" i="58"/>
  <c r="H233" i="58" s="1"/>
  <c r="F233" i="58"/>
  <c r="E233" i="58"/>
  <c r="C233" i="58"/>
  <c r="D232" i="58"/>
  <c r="G232" i="58" s="1"/>
  <c r="H232" i="58" s="1"/>
  <c r="F232" i="58"/>
  <c r="E232" i="58"/>
  <c r="C232" i="58"/>
  <c r="D231" i="58"/>
  <c r="G231" i="58" s="1"/>
  <c r="H231" i="58" s="1"/>
  <c r="F231" i="58"/>
  <c r="E231" i="58"/>
  <c r="C231" i="58"/>
  <c r="D230" i="58"/>
  <c r="G230" i="58" s="1"/>
  <c r="H230" i="58" s="1"/>
  <c r="F230" i="58"/>
  <c r="E230" i="58"/>
  <c r="C230" i="58"/>
  <c r="D229" i="58"/>
  <c r="G229" i="58" s="1"/>
  <c r="H229" i="58" s="1"/>
  <c r="F229" i="58"/>
  <c r="E229" i="58"/>
  <c r="C229" i="58"/>
  <c r="D228" i="58"/>
  <c r="G228" i="58" s="1"/>
  <c r="H228" i="58"/>
  <c r="F228" i="58"/>
  <c r="E228" i="58"/>
  <c r="C228" i="58"/>
  <c r="D227" i="58"/>
  <c r="G227" i="58" s="1"/>
  <c r="H227" i="58" s="1"/>
  <c r="F227" i="58"/>
  <c r="E227" i="58"/>
  <c r="C227" i="58"/>
  <c r="D226" i="58"/>
  <c r="G226" i="58"/>
  <c r="H226" i="58" s="1"/>
  <c r="F226" i="58"/>
  <c r="E226" i="58"/>
  <c r="C226" i="58"/>
  <c r="D225" i="58"/>
  <c r="G225" i="58" s="1"/>
  <c r="H225" i="58" s="1"/>
  <c r="F225" i="58"/>
  <c r="E225" i="58"/>
  <c r="C225" i="58"/>
  <c r="D224" i="58"/>
  <c r="G224" i="58" s="1"/>
  <c r="H224" i="58" s="1"/>
  <c r="F224" i="58"/>
  <c r="E224" i="58"/>
  <c r="C224" i="58"/>
  <c r="D223" i="58"/>
  <c r="G223" i="58" s="1"/>
  <c r="H223" i="58" s="1"/>
  <c r="F223" i="58"/>
  <c r="E223" i="58"/>
  <c r="C223" i="58"/>
  <c r="D222" i="58"/>
  <c r="G222" i="58" s="1"/>
  <c r="H222" i="58" s="1"/>
  <c r="F222" i="58"/>
  <c r="E222" i="58"/>
  <c r="C222" i="58"/>
  <c r="D221" i="58"/>
  <c r="G221" i="58" s="1"/>
  <c r="H221" i="58" s="1"/>
  <c r="F221" i="58"/>
  <c r="E221" i="58"/>
  <c r="C221" i="58"/>
  <c r="D220" i="58"/>
  <c r="G220" i="58" s="1"/>
  <c r="H220" i="58" s="1"/>
  <c r="F220" i="58"/>
  <c r="E220" i="58"/>
  <c r="C220" i="58"/>
  <c r="D219" i="58"/>
  <c r="G219" i="58" s="1"/>
  <c r="H219" i="58" s="1"/>
  <c r="F219" i="58"/>
  <c r="E219" i="58"/>
  <c r="C219" i="58"/>
  <c r="D218" i="58"/>
  <c r="G218" i="58"/>
  <c r="H218" i="58" s="1"/>
  <c r="F218" i="58"/>
  <c r="E218" i="58"/>
  <c r="C218" i="58"/>
  <c r="D217" i="58"/>
  <c r="G217" i="58" s="1"/>
  <c r="H217" i="58" s="1"/>
  <c r="F217" i="58"/>
  <c r="E217" i="58"/>
  <c r="C217" i="58"/>
  <c r="D216" i="58"/>
  <c r="G216" i="58" s="1"/>
  <c r="H216" i="58" s="1"/>
  <c r="F216" i="58"/>
  <c r="E216" i="58"/>
  <c r="C216" i="58"/>
  <c r="D215" i="58"/>
  <c r="G215" i="58" s="1"/>
  <c r="H215" i="58" s="1"/>
  <c r="F215" i="58"/>
  <c r="E215" i="58"/>
  <c r="C215" i="58"/>
  <c r="D214" i="58"/>
  <c r="G214" i="58" s="1"/>
  <c r="H214" i="58" s="1"/>
  <c r="F214" i="58"/>
  <c r="E214" i="58"/>
  <c r="C214" i="58"/>
  <c r="D213" i="58"/>
  <c r="G213" i="58" s="1"/>
  <c r="H213" i="58" s="1"/>
  <c r="F213" i="58"/>
  <c r="E213" i="58"/>
  <c r="C213" i="58"/>
  <c r="D212" i="58"/>
  <c r="G212" i="58" s="1"/>
  <c r="H212" i="58"/>
  <c r="F212" i="58"/>
  <c r="E212" i="58"/>
  <c r="C212" i="58"/>
  <c r="D211" i="58"/>
  <c r="G211" i="58" s="1"/>
  <c r="H211" i="58"/>
  <c r="F211" i="58"/>
  <c r="E211" i="58"/>
  <c r="C211" i="58"/>
  <c r="D210" i="58"/>
  <c r="G210" i="58" s="1"/>
  <c r="H210" i="58" s="1"/>
  <c r="F210" i="58"/>
  <c r="E210" i="58"/>
  <c r="C210" i="58"/>
  <c r="D209" i="58"/>
  <c r="G209" i="58" s="1"/>
  <c r="H209" i="58" s="1"/>
  <c r="F209" i="58"/>
  <c r="E209" i="58"/>
  <c r="C209" i="58"/>
  <c r="U206" i="58"/>
  <c r="T206" i="58"/>
  <c r="R206" i="58" s="1"/>
  <c r="N206" i="58"/>
  <c r="L206" i="58"/>
  <c r="N203" i="58"/>
  <c r="F203" i="58"/>
  <c r="D203" i="58"/>
  <c r="G203" i="58"/>
  <c r="H203" i="58" s="1"/>
  <c r="E203" i="58"/>
  <c r="C203" i="58"/>
  <c r="N202" i="58"/>
  <c r="D202" i="58"/>
  <c r="G202" i="58"/>
  <c r="H202" i="58" s="1"/>
  <c r="F202" i="58"/>
  <c r="E202" i="58"/>
  <c r="C202" i="58"/>
  <c r="N201" i="58"/>
  <c r="F201" i="58" s="1"/>
  <c r="D201" i="58"/>
  <c r="G201" i="58" s="1"/>
  <c r="H201" i="58" s="1"/>
  <c r="E201" i="58"/>
  <c r="C201" i="58"/>
  <c r="N200" i="58"/>
  <c r="F200" i="58" s="1"/>
  <c r="D200" i="58"/>
  <c r="G200" i="58"/>
  <c r="H200" i="58"/>
  <c r="E200" i="58"/>
  <c r="C200" i="58"/>
  <c r="N199" i="58"/>
  <c r="F199" i="58" s="1"/>
  <c r="D199" i="58"/>
  <c r="G199" i="58" s="1"/>
  <c r="H199" i="58" s="1"/>
  <c r="E199" i="58"/>
  <c r="C199" i="58"/>
  <c r="N198" i="58"/>
  <c r="F198" i="58" s="1"/>
  <c r="D198" i="58"/>
  <c r="G198" i="58"/>
  <c r="H198" i="58" s="1"/>
  <c r="E198" i="58"/>
  <c r="C198" i="58"/>
  <c r="N197" i="58"/>
  <c r="F197" i="58" s="1"/>
  <c r="D197" i="58"/>
  <c r="G197" i="58"/>
  <c r="H197" i="58" s="1"/>
  <c r="E197" i="58"/>
  <c r="C197" i="58"/>
  <c r="N196" i="58"/>
  <c r="D196" i="58"/>
  <c r="G196" i="58"/>
  <c r="H196" i="58"/>
  <c r="F196" i="58"/>
  <c r="E196" i="58"/>
  <c r="C196" i="58"/>
  <c r="N195" i="58"/>
  <c r="F195" i="58" s="1"/>
  <c r="D195" i="58"/>
  <c r="G195" i="58"/>
  <c r="H195" i="58" s="1"/>
  <c r="E195" i="58"/>
  <c r="C195" i="58"/>
  <c r="N194" i="58"/>
  <c r="F194" i="58" s="1"/>
  <c r="D194" i="58"/>
  <c r="G194" i="58" s="1"/>
  <c r="H194" i="58" s="1"/>
  <c r="E194" i="58"/>
  <c r="C194" i="58"/>
  <c r="N193" i="58"/>
  <c r="F193" i="58" s="1"/>
  <c r="D193" i="58"/>
  <c r="G193" i="58" s="1"/>
  <c r="H193" i="58" s="1"/>
  <c r="E193" i="58"/>
  <c r="C193" i="58"/>
  <c r="N192" i="58"/>
  <c r="F192" i="58"/>
  <c r="D192" i="58"/>
  <c r="G192" i="58" s="1"/>
  <c r="H192" i="58" s="1"/>
  <c r="E192" i="58"/>
  <c r="C192" i="58"/>
  <c r="N191" i="58"/>
  <c r="F191" i="58" s="1"/>
  <c r="D191" i="58"/>
  <c r="G191" i="58" s="1"/>
  <c r="H191" i="58" s="1"/>
  <c r="E191" i="58"/>
  <c r="C191" i="58"/>
  <c r="N190" i="58"/>
  <c r="F190" i="58"/>
  <c r="D190" i="58"/>
  <c r="G190" i="58" s="1"/>
  <c r="H190" i="58" s="1"/>
  <c r="E190" i="58"/>
  <c r="C190" i="58"/>
  <c r="N189" i="58"/>
  <c r="D189" i="58"/>
  <c r="G189" i="58"/>
  <c r="H189" i="58" s="1"/>
  <c r="F189" i="58"/>
  <c r="E189" i="58"/>
  <c r="C189" i="58"/>
  <c r="N188" i="58"/>
  <c r="F188" i="58" s="1"/>
  <c r="D188" i="58"/>
  <c r="G188" i="58" s="1"/>
  <c r="H188" i="58" s="1"/>
  <c r="E188" i="58"/>
  <c r="C188" i="58"/>
  <c r="N187" i="58"/>
  <c r="F187" i="58" s="1"/>
  <c r="D187" i="58"/>
  <c r="G187" i="58"/>
  <c r="H187" i="58" s="1"/>
  <c r="E187" i="58"/>
  <c r="C187" i="58"/>
  <c r="U184" i="58"/>
  <c r="R184" i="58" s="1"/>
  <c r="T184" i="58"/>
  <c r="N184" i="58"/>
  <c r="L184" i="58"/>
  <c r="N181" i="58"/>
  <c r="F181" i="58" s="1"/>
  <c r="D181" i="58"/>
  <c r="G181" i="58"/>
  <c r="H181" i="58" s="1"/>
  <c r="E181" i="58"/>
  <c r="C181" i="58"/>
  <c r="N180" i="58"/>
  <c r="F180" i="58"/>
  <c r="D180" i="58"/>
  <c r="G180" i="58" s="1"/>
  <c r="H180" i="58"/>
  <c r="E180" i="58"/>
  <c r="C180" i="58"/>
  <c r="N179" i="58"/>
  <c r="F179" i="58" s="1"/>
  <c r="D179" i="58"/>
  <c r="G179" i="58" s="1"/>
  <c r="H179" i="58" s="1"/>
  <c r="E179" i="58"/>
  <c r="C179" i="58"/>
  <c r="N178" i="58"/>
  <c r="F178" i="58" s="1"/>
  <c r="D178" i="58"/>
  <c r="G178" i="58" s="1"/>
  <c r="H178" i="58"/>
  <c r="E178" i="58"/>
  <c r="C178" i="58"/>
  <c r="N177" i="58"/>
  <c r="F177" i="58" s="1"/>
  <c r="D177" i="58"/>
  <c r="G177" i="58" s="1"/>
  <c r="H177" i="58" s="1"/>
  <c r="E177" i="58"/>
  <c r="C177" i="58"/>
  <c r="N176" i="58"/>
  <c r="F176" i="58" s="1"/>
  <c r="D176" i="58"/>
  <c r="G176" i="58"/>
  <c r="H176" i="58"/>
  <c r="E176" i="58"/>
  <c r="C176" i="58"/>
  <c r="N175" i="58"/>
  <c r="F175" i="58" s="1"/>
  <c r="D175" i="58"/>
  <c r="G175" i="58" s="1"/>
  <c r="H175" i="58" s="1"/>
  <c r="E175" i="58"/>
  <c r="C175" i="58"/>
  <c r="N174" i="58"/>
  <c r="F174" i="58"/>
  <c r="D174" i="58"/>
  <c r="G174" i="58" s="1"/>
  <c r="H174" i="58"/>
  <c r="E174" i="58"/>
  <c r="C174" i="58"/>
  <c r="N173" i="58"/>
  <c r="F173" i="58" s="1"/>
  <c r="D173" i="58"/>
  <c r="G173" i="58" s="1"/>
  <c r="H173" i="58" s="1"/>
  <c r="E173" i="58"/>
  <c r="C173" i="58"/>
  <c r="N172" i="58"/>
  <c r="F172" i="58" s="1"/>
  <c r="D172" i="58"/>
  <c r="G172" i="58" s="1"/>
  <c r="H172" i="58" s="1"/>
  <c r="E172" i="58"/>
  <c r="C172" i="58"/>
  <c r="N171" i="58"/>
  <c r="F171" i="58" s="1"/>
  <c r="D171" i="58"/>
  <c r="G171" i="58" s="1"/>
  <c r="H171" i="58" s="1"/>
  <c r="E171" i="58"/>
  <c r="C171" i="58"/>
  <c r="N170" i="58"/>
  <c r="F170" i="58" s="1"/>
  <c r="D170" i="58"/>
  <c r="G170" i="58" s="1"/>
  <c r="H170" i="58" s="1"/>
  <c r="E170" i="58"/>
  <c r="C170" i="58"/>
  <c r="N169" i="58"/>
  <c r="F169" i="58"/>
  <c r="D169" i="58"/>
  <c r="G169" i="58" s="1"/>
  <c r="H169" i="58" s="1"/>
  <c r="E169" i="58"/>
  <c r="C169" i="58"/>
  <c r="N168" i="58"/>
  <c r="F168" i="58" s="1"/>
  <c r="D168" i="58"/>
  <c r="G168" i="58" s="1"/>
  <c r="H168" i="58" s="1"/>
  <c r="E168" i="58"/>
  <c r="C168" i="58"/>
  <c r="N167" i="58"/>
  <c r="D167" i="58"/>
  <c r="G167" i="58" s="1"/>
  <c r="H167" i="58" s="1"/>
  <c r="F167" i="58"/>
  <c r="E167" i="58"/>
  <c r="C167" i="58"/>
  <c r="N166" i="58"/>
  <c r="F166" i="58" s="1"/>
  <c r="D166" i="58"/>
  <c r="G166" i="58" s="1"/>
  <c r="H166" i="58"/>
  <c r="E166" i="58"/>
  <c r="C166" i="58"/>
  <c r="N165" i="58"/>
  <c r="F165" i="58" s="1"/>
  <c r="D165" i="58"/>
  <c r="G165" i="58" s="1"/>
  <c r="H165" i="58" s="1"/>
  <c r="E165" i="58"/>
  <c r="C165" i="58"/>
  <c r="N164" i="58"/>
  <c r="F164" i="58"/>
  <c r="D164" i="58"/>
  <c r="G164" i="58" s="1"/>
  <c r="H164" i="58" s="1"/>
  <c r="E164" i="58"/>
  <c r="C164" i="58"/>
  <c r="N163" i="58"/>
  <c r="F163" i="58" s="1"/>
  <c r="D163" i="58"/>
  <c r="G163" i="58" s="1"/>
  <c r="H163" i="58" s="1"/>
  <c r="E163" i="58"/>
  <c r="C163" i="58"/>
  <c r="N162" i="58"/>
  <c r="D162" i="58"/>
  <c r="G162" i="58" s="1"/>
  <c r="H162" i="58" s="1"/>
  <c r="F162" i="58"/>
  <c r="E162" i="58"/>
  <c r="C162" i="58"/>
  <c r="U159" i="58"/>
  <c r="T159" i="58"/>
  <c r="R159" i="58" s="1"/>
  <c r="N159" i="58"/>
  <c r="L159" i="58"/>
  <c r="D156" i="58"/>
  <c r="G156" i="58" s="1"/>
  <c r="H156" i="58" s="1"/>
  <c r="F156" i="58"/>
  <c r="E156" i="58"/>
  <c r="C156" i="58"/>
  <c r="D155" i="58"/>
  <c r="G155" i="58"/>
  <c r="H155" i="58" s="1"/>
  <c r="F155" i="58"/>
  <c r="E155" i="58"/>
  <c r="C155" i="58"/>
  <c r="D154" i="58"/>
  <c r="G154" i="58"/>
  <c r="H154" i="58" s="1"/>
  <c r="F154" i="58"/>
  <c r="E154" i="58"/>
  <c r="C154" i="58"/>
  <c r="D153" i="58"/>
  <c r="G153" i="58"/>
  <c r="H153" i="58" s="1"/>
  <c r="F153" i="58"/>
  <c r="E153" i="58"/>
  <c r="C153" i="58"/>
  <c r="D152" i="58"/>
  <c r="G152" i="58" s="1"/>
  <c r="H152" i="58" s="1"/>
  <c r="F152" i="58"/>
  <c r="E152" i="58"/>
  <c r="C152" i="58"/>
  <c r="D151" i="58"/>
  <c r="G151" i="58" s="1"/>
  <c r="H151" i="58" s="1"/>
  <c r="F151" i="58"/>
  <c r="E151" i="58"/>
  <c r="C151" i="58"/>
  <c r="D150" i="58"/>
  <c r="G150" i="58"/>
  <c r="H150" i="58" s="1"/>
  <c r="F150" i="58"/>
  <c r="E150" i="58"/>
  <c r="C150" i="58"/>
  <c r="U147" i="58"/>
  <c r="T147" i="58"/>
  <c r="N147" i="58"/>
  <c r="L147" i="58"/>
  <c r="D144" i="58"/>
  <c r="G144" i="58"/>
  <c r="H144" i="58" s="1"/>
  <c r="F144" i="58"/>
  <c r="E144" i="58"/>
  <c r="C144" i="58"/>
  <c r="D143" i="58"/>
  <c r="G143" i="58"/>
  <c r="H143" i="58" s="1"/>
  <c r="F143" i="58"/>
  <c r="E143" i="58"/>
  <c r="C143" i="58"/>
  <c r="D142" i="58"/>
  <c r="G142" i="58"/>
  <c r="H142" i="58" s="1"/>
  <c r="F142" i="58"/>
  <c r="E142" i="58"/>
  <c r="C142" i="58"/>
  <c r="D141" i="58"/>
  <c r="G141" i="58" s="1"/>
  <c r="H141" i="58" s="1"/>
  <c r="F141" i="58"/>
  <c r="E141" i="58"/>
  <c r="C141" i="58"/>
  <c r="D140" i="58"/>
  <c r="G140" i="58" s="1"/>
  <c r="H140" i="58" s="1"/>
  <c r="F140" i="58"/>
  <c r="E140" i="58"/>
  <c r="C140" i="58"/>
  <c r="D139" i="58"/>
  <c r="G139" i="58" s="1"/>
  <c r="H139" i="58" s="1"/>
  <c r="F139" i="58"/>
  <c r="E139" i="58"/>
  <c r="C139" i="58"/>
  <c r="D138" i="58"/>
  <c r="G138" i="58"/>
  <c r="H138" i="58" s="1"/>
  <c r="F138" i="58"/>
  <c r="E138" i="58"/>
  <c r="C138" i="58"/>
  <c r="D137" i="58"/>
  <c r="G137" i="58" s="1"/>
  <c r="H137" i="58" s="1"/>
  <c r="F137" i="58"/>
  <c r="E137" i="58"/>
  <c r="C137" i="58"/>
  <c r="D136" i="58"/>
  <c r="G136" i="58"/>
  <c r="H136" i="58" s="1"/>
  <c r="F136" i="58"/>
  <c r="E136" i="58"/>
  <c r="C136" i="58"/>
  <c r="D135" i="58"/>
  <c r="G135" i="58"/>
  <c r="H135" i="58" s="1"/>
  <c r="F135" i="58"/>
  <c r="E135" i="58"/>
  <c r="C135" i="58"/>
  <c r="D134" i="58"/>
  <c r="G134" i="58"/>
  <c r="H134" i="58" s="1"/>
  <c r="F134" i="58"/>
  <c r="E134" i="58"/>
  <c r="C134" i="58"/>
  <c r="D133" i="58"/>
  <c r="G133" i="58" s="1"/>
  <c r="H133" i="58" s="1"/>
  <c r="F133" i="58"/>
  <c r="E133" i="58"/>
  <c r="C133" i="58"/>
  <c r="D132" i="58"/>
  <c r="G132" i="58" s="1"/>
  <c r="H132" i="58" s="1"/>
  <c r="F132" i="58"/>
  <c r="E132" i="58"/>
  <c r="C132" i="58"/>
  <c r="D131" i="58"/>
  <c r="G131" i="58" s="1"/>
  <c r="H131" i="58" s="1"/>
  <c r="F131" i="58"/>
  <c r="E131" i="58"/>
  <c r="C131" i="58"/>
  <c r="D130" i="58"/>
  <c r="G130" i="58"/>
  <c r="H130" i="58" s="1"/>
  <c r="F130" i="58"/>
  <c r="E130" i="58"/>
  <c r="C130" i="58"/>
  <c r="D129" i="58"/>
  <c r="G129" i="58" s="1"/>
  <c r="H129" i="58" s="1"/>
  <c r="F129" i="58"/>
  <c r="E129" i="58"/>
  <c r="C129" i="58"/>
  <c r="D128" i="58"/>
  <c r="G128" i="58"/>
  <c r="H128" i="58"/>
  <c r="F128" i="58"/>
  <c r="E128" i="58"/>
  <c r="C128" i="58"/>
  <c r="D127" i="58"/>
  <c r="G127" i="58"/>
  <c r="H127" i="58" s="1"/>
  <c r="F127" i="58"/>
  <c r="E127" i="58"/>
  <c r="C127" i="58"/>
  <c r="D126" i="58"/>
  <c r="G126" i="58"/>
  <c r="H126" i="58" s="1"/>
  <c r="F126" i="58"/>
  <c r="E126" i="58"/>
  <c r="C126" i="58"/>
  <c r="D125" i="58"/>
  <c r="G125" i="58" s="1"/>
  <c r="H125" i="58" s="1"/>
  <c r="F125" i="58"/>
  <c r="E125" i="58"/>
  <c r="C125" i="58"/>
  <c r="D124" i="58"/>
  <c r="G124" i="58"/>
  <c r="H124" i="58" s="1"/>
  <c r="F124" i="58"/>
  <c r="E124" i="58"/>
  <c r="C124" i="58"/>
  <c r="D123" i="58"/>
  <c r="G123" i="58"/>
  <c r="H123" i="58" s="1"/>
  <c r="F123" i="58"/>
  <c r="E123" i="58"/>
  <c r="C123" i="58"/>
  <c r="D122" i="58"/>
  <c r="G122" i="58"/>
  <c r="H122" i="58" s="1"/>
  <c r="F122" i="58"/>
  <c r="E122" i="58"/>
  <c r="C122" i="58"/>
  <c r="D121" i="58"/>
  <c r="G121" i="58" s="1"/>
  <c r="H121" i="58" s="1"/>
  <c r="F121" i="58"/>
  <c r="E121" i="58"/>
  <c r="C121" i="58"/>
  <c r="D120" i="58"/>
  <c r="G120" i="58"/>
  <c r="H120" i="58" s="1"/>
  <c r="F120" i="58"/>
  <c r="E120" i="58"/>
  <c r="C120" i="58"/>
  <c r="D119" i="58"/>
  <c r="G119" i="58"/>
  <c r="H119" i="58" s="1"/>
  <c r="F119" i="58"/>
  <c r="E119" i="58"/>
  <c r="C119" i="58"/>
  <c r="U116" i="58"/>
  <c r="T116" i="58"/>
  <c r="R116" i="58" s="1"/>
  <c r="N116" i="58"/>
  <c r="L116" i="58"/>
  <c r="D113" i="58"/>
  <c r="G113" i="58" s="1"/>
  <c r="H113" i="58" s="1"/>
  <c r="F113" i="58"/>
  <c r="E113" i="58"/>
  <c r="C113" i="58"/>
  <c r="D112" i="58"/>
  <c r="G112" i="58" s="1"/>
  <c r="H112" i="58" s="1"/>
  <c r="F112" i="58"/>
  <c r="E112" i="58"/>
  <c r="C112" i="58"/>
  <c r="D111" i="58"/>
  <c r="G111" i="58" s="1"/>
  <c r="H111" i="58" s="1"/>
  <c r="F111" i="58"/>
  <c r="E111" i="58"/>
  <c r="C111" i="58"/>
  <c r="D110" i="58"/>
  <c r="G110" i="58" s="1"/>
  <c r="H110" i="58" s="1"/>
  <c r="F110" i="58"/>
  <c r="E110" i="58"/>
  <c r="C110" i="58"/>
  <c r="D109" i="58"/>
  <c r="G109" i="58" s="1"/>
  <c r="H109" i="58" s="1"/>
  <c r="F109" i="58"/>
  <c r="E109" i="58"/>
  <c r="C109" i="58"/>
  <c r="D108" i="58"/>
  <c r="G108" i="58" s="1"/>
  <c r="H108" i="58" s="1"/>
  <c r="F108" i="58"/>
  <c r="E108" i="58"/>
  <c r="C108" i="58"/>
  <c r="D107" i="58"/>
  <c r="G107" i="58" s="1"/>
  <c r="H107" i="58" s="1"/>
  <c r="F107" i="58"/>
  <c r="E107" i="58"/>
  <c r="C107" i="58"/>
  <c r="D106" i="58"/>
  <c r="G106" i="58" s="1"/>
  <c r="H106" i="58" s="1"/>
  <c r="F106" i="58"/>
  <c r="E106" i="58"/>
  <c r="C106" i="58"/>
  <c r="D105" i="58"/>
  <c r="G105" i="58" s="1"/>
  <c r="H105" i="58" s="1"/>
  <c r="F105" i="58"/>
  <c r="E105" i="58"/>
  <c r="C105" i="58"/>
  <c r="D104" i="58"/>
  <c r="G104" i="58" s="1"/>
  <c r="H104" i="58"/>
  <c r="F104" i="58"/>
  <c r="E104" i="58"/>
  <c r="C104" i="58"/>
  <c r="D103" i="58"/>
  <c r="G103" i="58" s="1"/>
  <c r="H103" i="58" s="1"/>
  <c r="F103" i="58"/>
  <c r="E103" i="58"/>
  <c r="C103" i="58"/>
  <c r="D102" i="58"/>
  <c r="G102" i="58" s="1"/>
  <c r="H102" i="58" s="1"/>
  <c r="F102" i="58"/>
  <c r="E102" i="58"/>
  <c r="C102" i="58"/>
  <c r="D101" i="58"/>
  <c r="G101" i="58" s="1"/>
  <c r="H101" i="58" s="1"/>
  <c r="F101" i="58"/>
  <c r="E101" i="58"/>
  <c r="C101" i="58"/>
  <c r="D100" i="58"/>
  <c r="G100" i="58" s="1"/>
  <c r="H100" i="58" s="1"/>
  <c r="F100" i="58"/>
  <c r="E100" i="58"/>
  <c r="C100" i="58"/>
  <c r="D99" i="58"/>
  <c r="G99" i="58" s="1"/>
  <c r="H99" i="58" s="1"/>
  <c r="F99" i="58"/>
  <c r="E99" i="58"/>
  <c r="C99" i="58"/>
  <c r="D98" i="58"/>
  <c r="G98" i="58" s="1"/>
  <c r="H98" i="58" s="1"/>
  <c r="F98" i="58"/>
  <c r="E98" i="58"/>
  <c r="C98" i="58"/>
  <c r="D97" i="58"/>
  <c r="G97" i="58" s="1"/>
  <c r="H97" i="58" s="1"/>
  <c r="F97" i="58"/>
  <c r="E97" i="58"/>
  <c r="C97" i="58"/>
  <c r="D96" i="58"/>
  <c r="G96" i="58" s="1"/>
  <c r="H96" i="58"/>
  <c r="F96" i="58"/>
  <c r="E96" i="58"/>
  <c r="C96" i="58"/>
  <c r="D95" i="58"/>
  <c r="G95" i="58" s="1"/>
  <c r="H95" i="58" s="1"/>
  <c r="F95" i="58"/>
  <c r="E95" i="58"/>
  <c r="C95" i="58"/>
  <c r="D94" i="58"/>
  <c r="G94" i="58" s="1"/>
  <c r="H94" i="58" s="1"/>
  <c r="F94" i="58"/>
  <c r="E94" i="58"/>
  <c r="C94" i="58"/>
  <c r="D93" i="58"/>
  <c r="G93" i="58" s="1"/>
  <c r="H93" i="58" s="1"/>
  <c r="F93" i="58"/>
  <c r="E93" i="58"/>
  <c r="C93" i="58"/>
  <c r="D92" i="58"/>
  <c r="G92" i="58" s="1"/>
  <c r="H92" i="58" s="1"/>
  <c r="F92" i="58"/>
  <c r="E92" i="58"/>
  <c r="C92" i="58"/>
  <c r="D91" i="58"/>
  <c r="G91" i="58" s="1"/>
  <c r="H91" i="58" s="1"/>
  <c r="F91" i="58"/>
  <c r="E91" i="58"/>
  <c r="C91" i="58"/>
  <c r="D90" i="58"/>
  <c r="G90" i="58" s="1"/>
  <c r="H90" i="58" s="1"/>
  <c r="F90" i="58"/>
  <c r="E90" i="58"/>
  <c r="C90" i="58"/>
  <c r="D89" i="58"/>
  <c r="G89" i="58" s="1"/>
  <c r="H89" i="58" s="1"/>
  <c r="F89" i="58"/>
  <c r="E89" i="58"/>
  <c r="C89" i="58"/>
  <c r="D88" i="58"/>
  <c r="G88" i="58" s="1"/>
  <c r="H88" i="58"/>
  <c r="F88" i="58"/>
  <c r="E88" i="58"/>
  <c r="C88" i="58"/>
  <c r="D87" i="58"/>
  <c r="G87" i="58" s="1"/>
  <c r="H87" i="58" s="1"/>
  <c r="F87" i="58"/>
  <c r="E87" i="58"/>
  <c r="C87" i="58"/>
  <c r="D86" i="58"/>
  <c r="G86" i="58" s="1"/>
  <c r="H86" i="58" s="1"/>
  <c r="F86" i="58"/>
  <c r="E86" i="58"/>
  <c r="C86" i="58"/>
  <c r="D85" i="58"/>
  <c r="G85" i="58" s="1"/>
  <c r="H85" i="58" s="1"/>
  <c r="F85" i="58"/>
  <c r="E85" i="58"/>
  <c r="C85" i="58"/>
  <c r="D84" i="58"/>
  <c r="G84" i="58" s="1"/>
  <c r="H84" i="58" s="1"/>
  <c r="F84" i="58"/>
  <c r="E84" i="58"/>
  <c r="C84" i="58"/>
  <c r="U81" i="58"/>
  <c r="R81" i="58" s="1"/>
  <c r="T81" i="58"/>
  <c r="N81" i="58"/>
  <c r="L81" i="58"/>
  <c r="D78" i="58"/>
  <c r="H78" i="58" s="1"/>
  <c r="I78" i="58" s="1"/>
  <c r="G78" i="58"/>
  <c r="F78" i="58"/>
  <c r="E78" i="58"/>
  <c r="C78" i="58"/>
  <c r="H77" i="58"/>
  <c r="I77" i="58" s="1"/>
  <c r="G77" i="58"/>
  <c r="F77" i="58"/>
  <c r="E77" i="58"/>
  <c r="D77" i="58"/>
  <c r="C77" i="58"/>
  <c r="H76" i="58"/>
  <c r="I76" i="58" s="1"/>
  <c r="D75" i="58"/>
  <c r="H75" i="58" s="1"/>
  <c r="I75" i="58" s="1"/>
  <c r="G75" i="58"/>
  <c r="F75" i="58"/>
  <c r="E75" i="58"/>
  <c r="C75" i="58"/>
  <c r="D74" i="58"/>
  <c r="H74" i="58" s="1"/>
  <c r="I74" i="58" s="1"/>
  <c r="G74" i="58"/>
  <c r="F74" i="58"/>
  <c r="E74" i="58"/>
  <c r="C74" i="58"/>
  <c r="H73" i="58"/>
  <c r="I73" i="58" s="1"/>
  <c r="G73" i="58"/>
  <c r="F73" i="58"/>
  <c r="E73" i="58"/>
  <c r="D73" i="58"/>
  <c r="C73" i="58"/>
  <c r="D72" i="58"/>
  <c r="H72" i="58" s="1"/>
  <c r="I72" i="58"/>
  <c r="G72" i="58"/>
  <c r="F72" i="58"/>
  <c r="E72" i="58"/>
  <c r="C72" i="58"/>
  <c r="D71" i="58"/>
  <c r="H71" i="58"/>
  <c r="I71" i="58" s="1"/>
  <c r="G71" i="58"/>
  <c r="F71" i="58"/>
  <c r="E71" i="58"/>
  <c r="C71" i="58"/>
  <c r="D70" i="58"/>
  <c r="H70" i="58" s="1"/>
  <c r="I70" i="58" s="1"/>
  <c r="G70" i="58"/>
  <c r="F70" i="58"/>
  <c r="E70" i="58"/>
  <c r="C70" i="58"/>
  <c r="D69" i="58"/>
  <c r="H69" i="58" s="1"/>
  <c r="I69" i="58" s="1"/>
  <c r="G69" i="58"/>
  <c r="F69" i="58"/>
  <c r="E69" i="58"/>
  <c r="C69" i="58"/>
  <c r="D68" i="58"/>
  <c r="H68" i="58" s="1"/>
  <c r="I68" i="58"/>
  <c r="G68" i="58"/>
  <c r="F68" i="58"/>
  <c r="E68" i="58"/>
  <c r="C68" i="58"/>
  <c r="D67" i="58"/>
  <c r="H67" i="58" s="1"/>
  <c r="I67" i="58" s="1"/>
  <c r="G67" i="58"/>
  <c r="F67" i="58"/>
  <c r="E67" i="58"/>
  <c r="C67" i="58"/>
  <c r="D66" i="58"/>
  <c r="H66" i="58" s="1"/>
  <c r="I66" i="58" s="1"/>
  <c r="G66" i="58"/>
  <c r="F66" i="58"/>
  <c r="E66" i="58"/>
  <c r="C66" i="58"/>
  <c r="D65" i="58"/>
  <c r="H65" i="58"/>
  <c r="I65" i="58" s="1"/>
  <c r="G65" i="58"/>
  <c r="F65" i="58"/>
  <c r="E65" i="58"/>
  <c r="C65" i="58"/>
  <c r="D64" i="58"/>
  <c r="H64" i="58" s="1"/>
  <c r="I64" i="58" s="1"/>
  <c r="G64" i="58"/>
  <c r="F64" i="58"/>
  <c r="E64" i="58"/>
  <c r="C64" i="58"/>
  <c r="U61" i="58"/>
  <c r="T61" i="58"/>
  <c r="N61" i="58"/>
  <c r="L61" i="58"/>
  <c r="D58" i="58"/>
  <c r="G58" i="58" s="1"/>
  <c r="H58" i="58" s="1"/>
  <c r="F58" i="58"/>
  <c r="E58" i="58"/>
  <c r="C58" i="58"/>
  <c r="D57" i="58"/>
  <c r="G57" i="58" s="1"/>
  <c r="H57" i="58" s="1"/>
  <c r="F57" i="58"/>
  <c r="E57" i="58"/>
  <c r="C57" i="58"/>
  <c r="D56" i="58"/>
  <c r="G56" i="58" s="1"/>
  <c r="H56" i="58" s="1"/>
  <c r="F56" i="58"/>
  <c r="E56" i="58"/>
  <c r="C56" i="58"/>
  <c r="D55" i="58"/>
  <c r="G55" i="58" s="1"/>
  <c r="H55" i="58" s="1"/>
  <c r="F55" i="58"/>
  <c r="E55" i="58"/>
  <c r="C55" i="58"/>
  <c r="D54" i="58"/>
  <c r="G54" i="58" s="1"/>
  <c r="H54" i="58" s="1"/>
  <c r="F54" i="58"/>
  <c r="E54" i="58"/>
  <c r="C54" i="58"/>
  <c r="D53" i="58"/>
  <c r="G53" i="58" s="1"/>
  <c r="H53" i="58" s="1"/>
  <c r="F53" i="58"/>
  <c r="E53" i="58"/>
  <c r="C53" i="58"/>
  <c r="D52" i="58"/>
  <c r="G52" i="58" s="1"/>
  <c r="H52" i="58" s="1"/>
  <c r="F52" i="58"/>
  <c r="E52" i="58"/>
  <c r="C52" i="58"/>
  <c r="D51" i="58"/>
  <c r="G51" i="58" s="1"/>
  <c r="H51" i="58" s="1"/>
  <c r="F51" i="58"/>
  <c r="E51" i="58"/>
  <c r="C51" i="58"/>
  <c r="U48" i="58"/>
  <c r="T48" i="58"/>
  <c r="R48" i="58"/>
  <c r="N48" i="58"/>
  <c r="L48" i="58"/>
  <c r="D45" i="58"/>
  <c r="G45" i="58"/>
  <c r="F45" i="58"/>
  <c r="E45" i="58"/>
  <c r="C45" i="58"/>
  <c r="D44" i="58"/>
  <c r="G44" i="58" s="1"/>
  <c r="F44" i="58"/>
  <c r="E44" i="58"/>
  <c r="C44" i="58"/>
  <c r="D43" i="58"/>
  <c r="G43" i="58" s="1"/>
  <c r="H43" i="58" s="1"/>
  <c r="F43" i="58"/>
  <c r="E43" i="58"/>
  <c r="C43" i="58"/>
  <c r="D42" i="58"/>
  <c r="G42" i="58" s="1"/>
  <c r="H42" i="58" s="1"/>
  <c r="F42" i="58"/>
  <c r="E42" i="58"/>
  <c r="C42" i="58"/>
  <c r="D41" i="58"/>
  <c r="G41" i="58"/>
  <c r="H41" i="58" s="1"/>
  <c r="F41" i="58"/>
  <c r="E41" i="58"/>
  <c r="C41" i="58"/>
  <c r="D40" i="58"/>
  <c r="G40" i="58"/>
  <c r="H40" i="58" s="1"/>
  <c r="F40" i="58"/>
  <c r="E40" i="58"/>
  <c r="C40" i="58"/>
  <c r="D39" i="58"/>
  <c r="G39" i="58" s="1"/>
  <c r="F39" i="58"/>
  <c r="E39" i="58"/>
  <c r="C39" i="58"/>
  <c r="D38" i="58"/>
  <c r="G38" i="58" s="1"/>
  <c r="F38" i="58"/>
  <c r="E38" i="58"/>
  <c r="C38" i="58"/>
  <c r="D37" i="58"/>
  <c r="G37" i="58" s="1"/>
  <c r="H37" i="58" s="1"/>
  <c r="F37" i="58"/>
  <c r="E37" i="58"/>
  <c r="C37" i="58"/>
  <c r="D36" i="58"/>
  <c r="G36" i="58" s="1"/>
  <c r="H36" i="58" s="1"/>
  <c r="F36" i="58"/>
  <c r="E36" i="58"/>
  <c r="C36" i="58"/>
  <c r="D35" i="58"/>
  <c r="G35" i="58" s="1"/>
  <c r="H35" i="58" s="1"/>
  <c r="F35" i="58"/>
  <c r="E35" i="58"/>
  <c r="C35" i="58"/>
  <c r="D34" i="58"/>
  <c r="G34" i="58"/>
  <c r="H34" i="58" s="1"/>
  <c r="F34" i="58"/>
  <c r="E34" i="58"/>
  <c r="C34" i="58"/>
  <c r="D33" i="58"/>
  <c r="G33" i="58" s="1"/>
  <c r="H33" i="58" s="1"/>
  <c r="F33" i="58"/>
  <c r="E33" i="58"/>
  <c r="C33" i="58"/>
  <c r="D32" i="58"/>
  <c r="G32" i="58" s="1"/>
  <c r="H32" i="58" s="1"/>
  <c r="F32" i="58"/>
  <c r="E32" i="58"/>
  <c r="C32" i="58"/>
  <c r="D31" i="58"/>
  <c r="G31" i="58"/>
  <c r="H31" i="58"/>
  <c r="F31" i="58"/>
  <c r="E31" i="58"/>
  <c r="C31" i="58"/>
  <c r="D30" i="58"/>
  <c r="G30" i="58"/>
  <c r="H30" i="58" s="1"/>
  <c r="F30" i="58"/>
  <c r="E30" i="58"/>
  <c r="C30" i="58"/>
  <c r="D29" i="58"/>
  <c r="G29" i="58" s="1"/>
  <c r="H29" i="58" s="1"/>
  <c r="F29" i="58"/>
  <c r="E29" i="58"/>
  <c r="C29" i="58"/>
  <c r="D28" i="58"/>
  <c r="G28" i="58" s="1"/>
  <c r="H28" i="58" s="1"/>
  <c r="F28" i="58"/>
  <c r="E28" i="58"/>
  <c r="C28" i="58"/>
  <c r="U25" i="58"/>
  <c r="T25" i="58"/>
  <c r="R25" i="58"/>
  <c r="N25" i="58"/>
  <c r="L25" i="58"/>
  <c r="D22" i="58"/>
  <c r="G22" i="58" s="1"/>
  <c r="H22" i="58" s="1"/>
  <c r="F22" i="58"/>
  <c r="E22" i="58"/>
  <c r="C22" i="58"/>
  <c r="D21" i="58"/>
  <c r="G21" i="58" s="1"/>
  <c r="H21" i="58" s="1"/>
  <c r="F21" i="58"/>
  <c r="E21" i="58"/>
  <c r="C21" i="58"/>
  <c r="D20" i="58"/>
  <c r="G20" i="58" s="1"/>
  <c r="H20" i="58" s="1"/>
  <c r="F20" i="58"/>
  <c r="E20" i="58"/>
  <c r="C20" i="58"/>
  <c r="D19" i="58"/>
  <c r="G19" i="58" s="1"/>
  <c r="H19" i="58" s="1"/>
  <c r="F19" i="58"/>
  <c r="E19" i="58"/>
  <c r="C19" i="58"/>
  <c r="D18" i="58"/>
  <c r="G18" i="58"/>
  <c r="H18" i="58" s="1"/>
  <c r="F18" i="58"/>
  <c r="E18" i="58"/>
  <c r="C18" i="58"/>
  <c r="D17" i="58"/>
  <c r="G17" i="58" s="1"/>
  <c r="H17" i="58" s="1"/>
  <c r="F17" i="58"/>
  <c r="E17" i="58"/>
  <c r="C17" i="58"/>
  <c r="D16" i="58"/>
  <c r="G16" i="58" s="1"/>
  <c r="H16" i="58" s="1"/>
  <c r="F16" i="58"/>
  <c r="E16" i="58"/>
  <c r="C16" i="58"/>
  <c r="U13" i="58"/>
  <c r="T13" i="58"/>
  <c r="N13" i="58"/>
  <c r="L13" i="58"/>
  <c r="U10" i="58"/>
  <c r="T10" i="58"/>
  <c r="N10" i="58"/>
  <c r="L10" i="58"/>
  <c r="U9" i="58"/>
  <c r="T9" i="58"/>
  <c r="N9" i="58"/>
  <c r="L9" i="58"/>
  <c r="U8" i="58"/>
  <c r="T8" i="58"/>
  <c r="R8" i="58" s="1"/>
  <c r="N8" i="58"/>
  <c r="L8" i="58"/>
  <c r="U7" i="58"/>
  <c r="T7" i="58"/>
  <c r="N7" i="58"/>
  <c r="L7" i="58"/>
  <c r="U6" i="58"/>
  <c r="T6" i="58"/>
  <c r="R6" i="58" s="1"/>
  <c r="N6" i="58"/>
  <c r="L6" i="58"/>
  <c r="U5" i="58"/>
  <c r="T5" i="58"/>
  <c r="N5" i="58"/>
  <c r="L5" i="58"/>
  <c r="U4" i="58"/>
  <c r="T4" i="58"/>
  <c r="N4" i="58"/>
  <c r="L4" i="58"/>
  <c r="U3" i="58"/>
  <c r="T3" i="58"/>
  <c r="R3" i="58" s="1"/>
  <c r="N3" i="58"/>
  <c r="L3" i="58"/>
  <c r="U2" i="58"/>
  <c r="T2" i="58"/>
  <c r="N2" i="58"/>
  <c r="L2" i="58"/>
  <c r="U1" i="58"/>
  <c r="T1" i="58"/>
  <c r="N1" i="58"/>
  <c r="L1" i="58"/>
  <c r="D392" i="57"/>
  <c r="G392" i="57" s="1"/>
  <c r="H392" i="57" s="1"/>
  <c r="F392" i="57"/>
  <c r="E392" i="57"/>
  <c r="C392" i="57"/>
  <c r="D391" i="57"/>
  <c r="G391" i="57" s="1"/>
  <c r="H391" i="57" s="1"/>
  <c r="F391" i="57"/>
  <c r="E391" i="57"/>
  <c r="C391" i="57"/>
  <c r="D390" i="57"/>
  <c r="G390" i="57" s="1"/>
  <c r="H390" i="57" s="1"/>
  <c r="F390" i="57"/>
  <c r="E390" i="57"/>
  <c r="C390" i="57"/>
  <c r="D389" i="57"/>
  <c r="G389" i="57" s="1"/>
  <c r="H389" i="57" s="1"/>
  <c r="F389" i="57"/>
  <c r="E389" i="57"/>
  <c r="C389" i="57"/>
  <c r="D388" i="57"/>
  <c r="G388" i="57" s="1"/>
  <c r="H388" i="57" s="1"/>
  <c r="F388" i="57"/>
  <c r="E388" i="57"/>
  <c r="C388" i="57"/>
  <c r="D387" i="57"/>
  <c r="G387" i="57"/>
  <c r="H387" i="57" s="1"/>
  <c r="F387" i="57"/>
  <c r="E387" i="57"/>
  <c r="C387" i="57"/>
  <c r="U384" i="57"/>
  <c r="T384" i="57"/>
  <c r="R384" i="57" s="1"/>
  <c r="N384" i="57"/>
  <c r="L384" i="57"/>
  <c r="D381" i="57"/>
  <c r="G381" i="57" s="1"/>
  <c r="H381" i="57" s="1"/>
  <c r="C381" i="57"/>
  <c r="D380" i="57"/>
  <c r="G380" i="57" s="1"/>
  <c r="H380" i="57" s="1"/>
  <c r="C380" i="57"/>
  <c r="D379" i="57"/>
  <c r="G379" i="57" s="1"/>
  <c r="H379" i="57" s="1"/>
  <c r="C379" i="57"/>
  <c r="D378" i="57"/>
  <c r="G378" i="57"/>
  <c r="H378" i="57" s="1"/>
  <c r="C378" i="57"/>
  <c r="D377" i="57"/>
  <c r="G377" i="57" s="1"/>
  <c r="H377" i="57" s="1"/>
  <c r="C377" i="57"/>
  <c r="U374" i="57"/>
  <c r="T374" i="57"/>
  <c r="R374" i="57" s="1"/>
  <c r="N374" i="57"/>
  <c r="L374" i="57"/>
  <c r="D371" i="57"/>
  <c r="G371" i="57" s="1"/>
  <c r="H371" i="57" s="1"/>
  <c r="F371" i="57"/>
  <c r="E371" i="57"/>
  <c r="C371" i="57"/>
  <c r="D370" i="57"/>
  <c r="G370" i="57"/>
  <c r="H370" i="57" s="1"/>
  <c r="F370" i="57"/>
  <c r="E370" i="57"/>
  <c r="C370" i="57"/>
  <c r="D369" i="57"/>
  <c r="G369" i="57" s="1"/>
  <c r="H369" i="57" s="1"/>
  <c r="F369" i="57"/>
  <c r="E369" i="57"/>
  <c r="C369" i="57"/>
  <c r="D368" i="57"/>
  <c r="G368" i="57"/>
  <c r="H368" i="57" s="1"/>
  <c r="F368" i="57"/>
  <c r="E368" i="57"/>
  <c r="C368" i="57"/>
  <c r="D367" i="57"/>
  <c r="G367" i="57" s="1"/>
  <c r="H367" i="57"/>
  <c r="F367" i="57"/>
  <c r="E367" i="57"/>
  <c r="C367" i="57"/>
  <c r="D366" i="57"/>
  <c r="G366" i="57" s="1"/>
  <c r="H366" i="57" s="1"/>
  <c r="F366" i="57"/>
  <c r="E366" i="57"/>
  <c r="C366" i="57"/>
  <c r="D365" i="57"/>
  <c r="G365" i="57"/>
  <c r="H365" i="57" s="1"/>
  <c r="F365" i="57"/>
  <c r="E365" i="57"/>
  <c r="C365" i="57"/>
  <c r="D364" i="57"/>
  <c r="G364" i="57" s="1"/>
  <c r="H364" i="57" s="1"/>
  <c r="F364" i="57"/>
  <c r="E364" i="57"/>
  <c r="C364" i="57"/>
  <c r="D363" i="57"/>
  <c r="G363" i="57" s="1"/>
  <c r="H363" i="57" s="1"/>
  <c r="F363" i="57"/>
  <c r="E363" i="57"/>
  <c r="C363" i="57"/>
  <c r="D362" i="57"/>
  <c r="G362" i="57" s="1"/>
  <c r="H362" i="57" s="1"/>
  <c r="F362" i="57"/>
  <c r="E362" i="57"/>
  <c r="C362" i="57"/>
  <c r="D361" i="57"/>
  <c r="G361" i="57" s="1"/>
  <c r="H361" i="57" s="1"/>
  <c r="F361" i="57"/>
  <c r="E361" i="57"/>
  <c r="C361" i="57"/>
  <c r="D360" i="57"/>
  <c r="G360" i="57" s="1"/>
  <c r="H360" i="57" s="1"/>
  <c r="F360" i="57"/>
  <c r="E360" i="57"/>
  <c r="C360" i="57"/>
  <c r="D359" i="57"/>
  <c r="G359" i="57" s="1"/>
  <c r="H359" i="57"/>
  <c r="F359" i="57"/>
  <c r="E359" i="57"/>
  <c r="C359" i="57"/>
  <c r="D358" i="57"/>
  <c r="G358" i="57" s="1"/>
  <c r="H358" i="57" s="1"/>
  <c r="F358" i="57"/>
  <c r="E358" i="57"/>
  <c r="C358" i="57"/>
  <c r="D357" i="57"/>
  <c r="G357" i="57" s="1"/>
  <c r="H357" i="57" s="1"/>
  <c r="F357" i="57"/>
  <c r="E357" i="57"/>
  <c r="C357" i="57"/>
  <c r="D356" i="57"/>
  <c r="G356" i="57"/>
  <c r="H356" i="57" s="1"/>
  <c r="F356" i="57"/>
  <c r="E356" i="57"/>
  <c r="C356" i="57"/>
  <c r="D355" i="57"/>
  <c r="G355" i="57" s="1"/>
  <c r="H355" i="57" s="1"/>
  <c r="F355" i="57"/>
  <c r="E355" i="57"/>
  <c r="C355" i="57"/>
  <c r="D354" i="57"/>
  <c r="G354" i="57" s="1"/>
  <c r="H354" i="57" s="1"/>
  <c r="F354" i="57"/>
  <c r="E354" i="57"/>
  <c r="C354" i="57"/>
  <c r="D353" i="57"/>
  <c r="G353" i="57"/>
  <c r="H353" i="57" s="1"/>
  <c r="F353" i="57"/>
  <c r="E353" i="57"/>
  <c r="C353" i="57"/>
  <c r="D352" i="57"/>
  <c r="G352" i="57" s="1"/>
  <c r="H352" i="57" s="1"/>
  <c r="F352" i="57"/>
  <c r="E352" i="57"/>
  <c r="C352" i="57"/>
  <c r="D351" i="57"/>
  <c r="G351" i="57" s="1"/>
  <c r="H351" i="57" s="1"/>
  <c r="F351" i="57"/>
  <c r="E351" i="57"/>
  <c r="C351" i="57"/>
  <c r="D350" i="57"/>
  <c r="G350" i="57" s="1"/>
  <c r="H350" i="57" s="1"/>
  <c r="F350" i="57"/>
  <c r="E350" i="57"/>
  <c r="C350" i="57"/>
  <c r="D349" i="57"/>
  <c r="G349" i="57"/>
  <c r="H349" i="57" s="1"/>
  <c r="F349" i="57"/>
  <c r="E349" i="57"/>
  <c r="C349" i="57"/>
  <c r="D348" i="57"/>
  <c r="G348" i="57" s="1"/>
  <c r="H348" i="57" s="1"/>
  <c r="F348" i="57"/>
  <c r="E348" i="57"/>
  <c r="C348" i="57"/>
  <c r="D347" i="57"/>
  <c r="G347" i="57" s="1"/>
  <c r="H347" i="57" s="1"/>
  <c r="F347" i="57"/>
  <c r="E347" i="57"/>
  <c r="C347" i="57"/>
  <c r="D346" i="57"/>
  <c r="G346" i="57" s="1"/>
  <c r="H346" i="57" s="1"/>
  <c r="F346" i="57"/>
  <c r="E346" i="57"/>
  <c r="C346" i="57"/>
  <c r="D345" i="57"/>
  <c r="G345" i="57"/>
  <c r="H345" i="57" s="1"/>
  <c r="F345" i="57"/>
  <c r="E345" i="57"/>
  <c r="C345" i="57"/>
  <c r="D344" i="57"/>
  <c r="G344" i="57" s="1"/>
  <c r="H344" i="57" s="1"/>
  <c r="F344" i="57"/>
  <c r="E344" i="57"/>
  <c r="C344" i="57"/>
  <c r="D343" i="57"/>
  <c r="G343" i="57" s="1"/>
  <c r="H343" i="57"/>
  <c r="F343" i="57"/>
  <c r="E343" i="57"/>
  <c r="C343" i="57"/>
  <c r="D342" i="57"/>
  <c r="G342" i="57" s="1"/>
  <c r="H342" i="57" s="1"/>
  <c r="F342" i="57"/>
  <c r="E342" i="57"/>
  <c r="C342" i="57"/>
  <c r="D341" i="57"/>
  <c r="G341" i="57" s="1"/>
  <c r="H341" i="57"/>
  <c r="F341" i="57"/>
  <c r="E341" i="57"/>
  <c r="C341" i="57"/>
  <c r="D340" i="57"/>
  <c r="G340" i="57" s="1"/>
  <c r="H340" i="57" s="1"/>
  <c r="F340" i="57"/>
  <c r="E340" i="57"/>
  <c r="C340" i="57"/>
  <c r="D339" i="57"/>
  <c r="G339" i="57" s="1"/>
  <c r="H339" i="57"/>
  <c r="F339" i="57"/>
  <c r="E339" i="57"/>
  <c r="C339" i="57"/>
  <c r="D338" i="57"/>
  <c r="G338" i="57"/>
  <c r="H338" i="57" s="1"/>
  <c r="F338" i="57"/>
  <c r="E338" i="57"/>
  <c r="C338" i="57"/>
  <c r="D337" i="57"/>
  <c r="G337" i="57" s="1"/>
  <c r="H337" i="57" s="1"/>
  <c r="F337" i="57"/>
  <c r="E337" i="57"/>
  <c r="C337" i="57"/>
  <c r="D336" i="57"/>
  <c r="G336" i="57" s="1"/>
  <c r="H336" i="57" s="1"/>
  <c r="F336" i="57"/>
  <c r="E336" i="57"/>
  <c r="C336" i="57"/>
  <c r="D335" i="57"/>
  <c r="G335" i="57" s="1"/>
  <c r="H335" i="57"/>
  <c r="F335" i="57"/>
  <c r="E335" i="57"/>
  <c r="C335" i="57"/>
  <c r="D334" i="57"/>
  <c r="G334" i="57" s="1"/>
  <c r="H334" i="57" s="1"/>
  <c r="F334" i="57"/>
  <c r="E334" i="57"/>
  <c r="C334" i="57"/>
  <c r="D333" i="57"/>
  <c r="G333" i="57"/>
  <c r="H333" i="57" s="1"/>
  <c r="F333" i="57"/>
  <c r="E333" i="57"/>
  <c r="C333" i="57"/>
  <c r="D332" i="57"/>
  <c r="G332" i="57" s="1"/>
  <c r="H332" i="57" s="1"/>
  <c r="F332" i="57"/>
  <c r="E332" i="57"/>
  <c r="C332" i="57"/>
  <c r="D331" i="57"/>
  <c r="G331" i="57" s="1"/>
  <c r="H331" i="57" s="1"/>
  <c r="F331" i="57"/>
  <c r="E331" i="57"/>
  <c r="C331" i="57"/>
  <c r="D330" i="57"/>
  <c r="G330" i="57" s="1"/>
  <c r="H330" i="57" s="1"/>
  <c r="F330" i="57"/>
  <c r="E330" i="57"/>
  <c r="C330" i="57"/>
  <c r="D329" i="57"/>
  <c r="G329" i="57" s="1"/>
  <c r="H329" i="57" s="1"/>
  <c r="F329" i="57"/>
  <c r="E329" i="57"/>
  <c r="C329" i="57"/>
  <c r="D328" i="57"/>
  <c r="G328" i="57" s="1"/>
  <c r="H328" i="57"/>
  <c r="F328" i="57"/>
  <c r="E328" i="57"/>
  <c r="C328" i="57"/>
  <c r="D327" i="57"/>
  <c r="G327" i="57" s="1"/>
  <c r="H327" i="57" s="1"/>
  <c r="F327" i="57"/>
  <c r="E327" i="57"/>
  <c r="C327" i="57"/>
  <c r="D326" i="57"/>
  <c r="G326" i="57" s="1"/>
  <c r="H326" i="57" s="1"/>
  <c r="E326" i="57"/>
  <c r="U323" i="57"/>
  <c r="T323" i="57"/>
  <c r="N323" i="57"/>
  <c r="L323" i="57"/>
  <c r="N320" i="57"/>
  <c r="F320" i="57"/>
  <c r="D320" i="57"/>
  <c r="G320" i="57" s="1"/>
  <c r="H320" i="57"/>
  <c r="E320" i="57"/>
  <c r="C320" i="57"/>
  <c r="N319" i="57"/>
  <c r="F319" i="57" s="1"/>
  <c r="D319" i="57"/>
  <c r="G319" i="57" s="1"/>
  <c r="H319" i="57" s="1"/>
  <c r="E319" i="57"/>
  <c r="C319" i="57"/>
  <c r="N318" i="57"/>
  <c r="F318" i="57" s="1"/>
  <c r="D318" i="57"/>
  <c r="G318" i="57"/>
  <c r="H318" i="57" s="1"/>
  <c r="E318" i="57"/>
  <c r="C318" i="57"/>
  <c r="N317" i="57"/>
  <c r="F317" i="57" s="1"/>
  <c r="D317" i="57"/>
  <c r="G317" i="57" s="1"/>
  <c r="H317" i="57" s="1"/>
  <c r="E317" i="57"/>
  <c r="C317" i="57"/>
  <c r="N316" i="57"/>
  <c r="F316" i="57" s="1"/>
  <c r="D316" i="57"/>
  <c r="G316" i="57" s="1"/>
  <c r="H316" i="57" s="1"/>
  <c r="E316" i="57"/>
  <c r="C316" i="57"/>
  <c r="N315" i="57"/>
  <c r="F315" i="57" s="1"/>
  <c r="D315" i="57"/>
  <c r="G315" i="57" s="1"/>
  <c r="H315" i="57" s="1"/>
  <c r="E315" i="57"/>
  <c r="C315" i="57"/>
  <c r="N314" i="57"/>
  <c r="F314" i="57" s="1"/>
  <c r="D314" i="57"/>
  <c r="G314" i="57" s="1"/>
  <c r="H314" i="57" s="1"/>
  <c r="E314" i="57"/>
  <c r="C314" i="57"/>
  <c r="N313" i="57"/>
  <c r="F313" i="57" s="1"/>
  <c r="D313" i="57"/>
  <c r="G313" i="57" s="1"/>
  <c r="H313" i="57" s="1"/>
  <c r="E313" i="57"/>
  <c r="C313" i="57"/>
  <c r="N312" i="57"/>
  <c r="F312" i="57" s="1"/>
  <c r="D312" i="57"/>
  <c r="G312" i="57" s="1"/>
  <c r="H312" i="57" s="1"/>
  <c r="E312" i="57"/>
  <c r="C312" i="57"/>
  <c r="N311" i="57"/>
  <c r="F311" i="57" s="1"/>
  <c r="D311" i="57"/>
  <c r="G311" i="57"/>
  <c r="H311" i="57" s="1"/>
  <c r="E311" i="57"/>
  <c r="C311" i="57"/>
  <c r="N310" i="57"/>
  <c r="F310" i="57"/>
  <c r="D310" i="57"/>
  <c r="G310" i="57" s="1"/>
  <c r="H310" i="57" s="1"/>
  <c r="E310" i="57"/>
  <c r="C310" i="57"/>
  <c r="N309" i="57"/>
  <c r="F309" i="57" s="1"/>
  <c r="D309" i="57"/>
  <c r="G309" i="57" s="1"/>
  <c r="H309" i="57" s="1"/>
  <c r="E309" i="57"/>
  <c r="C309" i="57"/>
  <c r="N308" i="57"/>
  <c r="F308" i="57" s="1"/>
  <c r="D308" i="57"/>
  <c r="G308" i="57" s="1"/>
  <c r="H308" i="57"/>
  <c r="E308" i="57"/>
  <c r="C308" i="57"/>
  <c r="N307" i="57"/>
  <c r="F307" i="57"/>
  <c r="D307" i="57"/>
  <c r="G307" i="57"/>
  <c r="H307" i="57" s="1"/>
  <c r="E307" i="57"/>
  <c r="C307" i="57"/>
  <c r="N306" i="57"/>
  <c r="F306" i="57" s="1"/>
  <c r="D306" i="57"/>
  <c r="G306" i="57" s="1"/>
  <c r="H306" i="57" s="1"/>
  <c r="E306" i="57"/>
  <c r="C306" i="57"/>
  <c r="N305" i="57"/>
  <c r="F305" i="57" s="1"/>
  <c r="D305" i="57"/>
  <c r="G305" i="57" s="1"/>
  <c r="H305" i="57" s="1"/>
  <c r="E305" i="57"/>
  <c r="C305" i="57"/>
  <c r="N304" i="57"/>
  <c r="F304" i="57" s="1"/>
  <c r="D304" i="57"/>
  <c r="G304" i="57" s="1"/>
  <c r="H304" i="57" s="1"/>
  <c r="E304" i="57"/>
  <c r="C304" i="57"/>
  <c r="N303" i="57"/>
  <c r="F303" i="57" s="1"/>
  <c r="D303" i="57"/>
  <c r="G303" i="57" s="1"/>
  <c r="H303" i="57" s="1"/>
  <c r="E303" i="57"/>
  <c r="C303" i="57"/>
  <c r="N302" i="57"/>
  <c r="F302" i="57"/>
  <c r="D302" i="57"/>
  <c r="G302" i="57" s="1"/>
  <c r="H302" i="57" s="1"/>
  <c r="E302" i="57"/>
  <c r="C302" i="57"/>
  <c r="N301" i="57"/>
  <c r="F301" i="57" s="1"/>
  <c r="D301" i="57"/>
  <c r="G301" i="57" s="1"/>
  <c r="H301" i="57" s="1"/>
  <c r="E301" i="57"/>
  <c r="C301" i="57"/>
  <c r="N300" i="57"/>
  <c r="F300" i="57" s="1"/>
  <c r="D300" i="57"/>
  <c r="G300" i="57" s="1"/>
  <c r="H300" i="57" s="1"/>
  <c r="E300" i="57"/>
  <c r="C300" i="57"/>
  <c r="N299" i="57"/>
  <c r="D299" i="57"/>
  <c r="G299" i="57" s="1"/>
  <c r="H299" i="57" s="1"/>
  <c r="F299" i="57"/>
  <c r="E299" i="57"/>
  <c r="C299" i="57"/>
  <c r="N298" i="57"/>
  <c r="F298" i="57" s="1"/>
  <c r="D298" i="57"/>
  <c r="G298" i="57" s="1"/>
  <c r="H298" i="57" s="1"/>
  <c r="E298" i="57"/>
  <c r="C298" i="57"/>
  <c r="N297" i="57"/>
  <c r="F297" i="57" s="1"/>
  <c r="D297" i="57"/>
  <c r="G297" i="57" s="1"/>
  <c r="H297" i="57" s="1"/>
  <c r="E297" i="57"/>
  <c r="C297" i="57"/>
  <c r="N296" i="57"/>
  <c r="F296" i="57" s="1"/>
  <c r="D296" i="57"/>
  <c r="G296" i="57" s="1"/>
  <c r="H296" i="57"/>
  <c r="E296" i="57"/>
  <c r="C296" i="57"/>
  <c r="N295" i="57"/>
  <c r="F295" i="57" s="1"/>
  <c r="D295" i="57"/>
  <c r="G295" i="57" s="1"/>
  <c r="H295" i="57" s="1"/>
  <c r="E295" i="57"/>
  <c r="C295" i="57"/>
  <c r="N294" i="57"/>
  <c r="F294" i="57"/>
  <c r="D294" i="57"/>
  <c r="G294" i="57" s="1"/>
  <c r="H294" i="57" s="1"/>
  <c r="E294" i="57"/>
  <c r="C294" i="57"/>
  <c r="N293" i="57"/>
  <c r="F293" i="57" s="1"/>
  <c r="D293" i="57"/>
  <c r="G293" i="57"/>
  <c r="H293" i="57" s="1"/>
  <c r="E293" i="57"/>
  <c r="C293" i="57"/>
  <c r="N292" i="57"/>
  <c r="F292" i="57" s="1"/>
  <c r="D292" i="57"/>
  <c r="G292" i="57"/>
  <c r="H292" i="57"/>
  <c r="E292" i="57"/>
  <c r="C292" i="57"/>
  <c r="N291" i="57"/>
  <c r="F291" i="57" s="1"/>
  <c r="D291" i="57"/>
  <c r="G291" i="57" s="1"/>
  <c r="H291" i="57"/>
  <c r="E291" i="57"/>
  <c r="C291" i="57"/>
  <c r="N290" i="57"/>
  <c r="F290" i="57" s="1"/>
  <c r="D290" i="57"/>
  <c r="G290" i="57"/>
  <c r="H290" i="57" s="1"/>
  <c r="E290" i="57"/>
  <c r="C290" i="57"/>
  <c r="N289" i="57"/>
  <c r="F289" i="57"/>
  <c r="D289" i="57"/>
  <c r="G289" i="57"/>
  <c r="H289" i="57" s="1"/>
  <c r="E289" i="57"/>
  <c r="C289" i="57"/>
  <c r="N288" i="57"/>
  <c r="F288" i="57" s="1"/>
  <c r="D288" i="57"/>
  <c r="G288" i="57" s="1"/>
  <c r="H288" i="57" s="1"/>
  <c r="E288" i="57"/>
  <c r="C288" i="57"/>
  <c r="N287" i="57"/>
  <c r="F287" i="57" s="1"/>
  <c r="D287" i="57"/>
  <c r="G287" i="57" s="1"/>
  <c r="H287" i="57"/>
  <c r="E287" i="57"/>
  <c r="C287" i="57"/>
  <c r="N286" i="57"/>
  <c r="F286" i="57" s="1"/>
  <c r="D286" i="57"/>
  <c r="G286" i="57" s="1"/>
  <c r="H286" i="57" s="1"/>
  <c r="E286" i="57"/>
  <c r="C286" i="57"/>
  <c r="N285" i="57"/>
  <c r="F285" i="57" s="1"/>
  <c r="D285" i="57"/>
  <c r="G285" i="57" s="1"/>
  <c r="H285" i="57" s="1"/>
  <c r="E285" i="57"/>
  <c r="C285" i="57"/>
  <c r="N284" i="57"/>
  <c r="F284" i="57" s="1"/>
  <c r="D284" i="57"/>
  <c r="G284" i="57"/>
  <c r="H284" i="57" s="1"/>
  <c r="E284" i="57"/>
  <c r="C284" i="57"/>
  <c r="N283" i="57"/>
  <c r="F283" i="57"/>
  <c r="D283" i="57"/>
  <c r="G283" i="57" s="1"/>
  <c r="H283" i="57" s="1"/>
  <c r="E283" i="57"/>
  <c r="C283" i="57"/>
  <c r="N282" i="57"/>
  <c r="F282" i="57" s="1"/>
  <c r="D282" i="57"/>
  <c r="G282" i="57" s="1"/>
  <c r="H282" i="57" s="1"/>
  <c r="E282" i="57"/>
  <c r="C282" i="57"/>
  <c r="N281" i="57"/>
  <c r="F281" i="57"/>
  <c r="D281" i="57"/>
  <c r="G281" i="57" s="1"/>
  <c r="H281" i="57" s="1"/>
  <c r="E281" i="57"/>
  <c r="C281" i="57"/>
  <c r="N280" i="57"/>
  <c r="F280" i="57" s="1"/>
  <c r="D280" i="57"/>
  <c r="G280" i="57" s="1"/>
  <c r="H280" i="57" s="1"/>
  <c r="E280" i="57"/>
  <c r="C280" i="57"/>
  <c r="N279" i="57"/>
  <c r="F279" i="57" s="1"/>
  <c r="D279" i="57"/>
  <c r="G279" i="57" s="1"/>
  <c r="H279" i="57" s="1"/>
  <c r="E279" i="57"/>
  <c r="C279" i="57"/>
  <c r="N278" i="57"/>
  <c r="F278" i="57" s="1"/>
  <c r="D278" i="57"/>
  <c r="G278" i="57" s="1"/>
  <c r="H278" i="57" s="1"/>
  <c r="E278" i="57"/>
  <c r="C278" i="57"/>
  <c r="N277" i="57"/>
  <c r="F277" i="57" s="1"/>
  <c r="D277" i="57"/>
  <c r="G277" i="57" s="1"/>
  <c r="H277" i="57" s="1"/>
  <c r="E277" i="57"/>
  <c r="C277" i="57"/>
  <c r="N276" i="57"/>
  <c r="F276" i="57" s="1"/>
  <c r="D276" i="57"/>
  <c r="G276" i="57" s="1"/>
  <c r="H276" i="57" s="1"/>
  <c r="E276" i="57"/>
  <c r="C276" i="57"/>
  <c r="N275" i="57"/>
  <c r="F275" i="57"/>
  <c r="D275" i="57"/>
  <c r="G275" i="57" s="1"/>
  <c r="H275" i="57" s="1"/>
  <c r="E275" i="57"/>
  <c r="C275" i="57"/>
  <c r="N274" i="57"/>
  <c r="F274" i="57" s="1"/>
  <c r="D274" i="57"/>
  <c r="G274" i="57"/>
  <c r="H274" i="57" s="1"/>
  <c r="E274" i="57"/>
  <c r="C274" i="57"/>
  <c r="N273" i="57"/>
  <c r="F273" i="57" s="1"/>
  <c r="D273" i="57"/>
  <c r="G273" i="57"/>
  <c r="H273" i="57" s="1"/>
  <c r="E273" i="57"/>
  <c r="C273" i="57"/>
  <c r="N272" i="57"/>
  <c r="D272" i="57"/>
  <c r="G272" i="57"/>
  <c r="H272" i="57" s="1"/>
  <c r="F272" i="57"/>
  <c r="E272" i="57"/>
  <c r="C272" i="57"/>
  <c r="N271" i="57"/>
  <c r="F271" i="57" s="1"/>
  <c r="D271" i="57"/>
  <c r="G271" i="57"/>
  <c r="H271" i="57" s="1"/>
  <c r="E271" i="57"/>
  <c r="C271" i="57"/>
  <c r="N270" i="57"/>
  <c r="F270" i="57" s="1"/>
  <c r="D270" i="57"/>
  <c r="G270" i="57" s="1"/>
  <c r="H270" i="57" s="1"/>
  <c r="E270" i="57"/>
  <c r="C270" i="57"/>
  <c r="N269" i="57"/>
  <c r="F269" i="57" s="1"/>
  <c r="D269" i="57"/>
  <c r="G269" i="57" s="1"/>
  <c r="H269" i="57" s="1"/>
  <c r="E269" i="57"/>
  <c r="C269" i="57"/>
  <c r="N268" i="57"/>
  <c r="F268" i="57" s="1"/>
  <c r="D268" i="57"/>
  <c r="G268" i="57"/>
  <c r="H268" i="57"/>
  <c r="E268" i="57"/>
  <c r="C268" i="57"/>
  <c r="N267" i="57"/>
  <c r="F267" i="57" s="1"/>
  <c r="D267" i="57"/>
  <c r="G267" i="57" s="1"/>
  <c r="H267" i="57" s="1"/>
  <c r="E267" i="57"/>
  <c r="C267" i="57"/>
  <c r="N266" i="57"/>
  <c r="F266" i="57" s="1"/>
  <c r="D266" i="57"/>
  <c r="G266" i="57" s="1"/>
  <c r="H266" i="57" s="1"/>
  <c r="E266" i="57"/>
  <c r="C266" i="57"/>
  <c r="N265" i="57"/>
  <c r="F265" i="57" s="1"/>
  <c r="D265" i="57"/>
  <c r="G265" i="57"/>
  <c r="H265" i="57" s="1"/>
  <c r="E265" i="57"/>
  <c r="C265" i="57"/>
  <c r="N264" i="57"/>
  <c r="F264" i="57" s="1"/>
  <c r="D264" i="57"/>
  <c r="G264" i="57" s="1"/>
  <c r="H264" i="57" s="1"/>
  <c r="E264" i="57"/>
  <c r="C264" i="57"/>
  <c r="N263" i="57"/>
  <c r="F263" i="57" s="1"/>
  <c r="D263" i="57"/>
  <c r="G263" i="57" s="1"/>
  <c r="H263" i="57" s="1"/>
  <c r="E263" i="57"/>
  <c r="C263" i="57"/>
  <c r="N262" i="57"/>
  <c r="F262" i="57" s="1"/>
  <c r="D262" i="57"/>
  <c r="G262" i="57"/>
  <c r="H262" i="57" s="1"/>
  <c r="E262" i="57"/>
  <c r="C262" i="57"/>
  <c r="N261" i="57"/>
  <c r="F261" i="57" s="1"/>
  <c r="D261" i="57"/>
  <c r="G261" i="57"/>
  <c r="H261" i="57" s="1"/>
  <c r="E261" i="57"/>
  <c r="C261" i="57"/>
  <c r="N260" i="57"/>
  <c r="F260" i="57" s="1"/>
  <c r="D260" i="57"/>
  <c r="G260" i="57"/>
  <c r="H260" i="57" s="1"/>
  <c r="E260" i="57"/>
  <c r="C260" i="57"/>
  <c r="N259" i="57"/>
  <c r="F259" i="57" s="1"/>
  <c r="D259" i="57"/>
  <c r="G259" i="57" s="1"/>
  <c r="H259" i="57" s="1"/>
  <c r="E259" i="57"/>
  <c r="C259" i="57"/>
  <c r="N258" i="57"/>
  <c r="F258" i="57" s="1"/>
  <c r="D258" i="57"/>
  <c r="G258" i="57"/>
  <c r="H258" i="57" s="1"/>
  <c r="E258" i="57"/>
  <c r="C258" i="57"/>
  <c r="N257" i="57"/>
  <c r="F257" i="57" s="1"/>
  <c r="D257" i="57"/>
  <c r="G257" i="57" s="1"/>
  <c r="H257" i="57" s="1"/>
  <c r="E257" i="57"/>
  <c r="C257" i="57"/>
  <c r="N256" i="57"/>
  <c r="F256" i="57" s="1"/>
  <c r="D256" i="57"/>
  <c r="G256" i="57" s="1"/>
  <c r="H256" i="57"/>
  <c r="E256" i="57"/>
  <c r="C256" i="57"/>
  <c r="N255" i="57"/>
  <c r="F255" i="57" s="1"/>
  <c r="D255" i="57"/>
  <c r="G255" i="57" s="1"/>
  <c r="H255" i="57" s="1"/>
  <c r="E255" i="57"/>
  <c r="C255" i="57"/>
  <c r="N254" i="57"/>
  <c r="F254" i="57" s="1"/>
  <c r="D254" i="57"/>
  <c r="G254" i="57"/>
  <c r="H254" i="57" s="1"/>
  <c r="E254" i="57"/>
  <c r="C254" i="57"/>
  <c r="U251" i="57"/>
  <c r="R251" i="57" s="1"/>
  <c r="T251" i="57"/>
  <c r="N251" i="57"/>
  <c r="L251" i="57"/>
  <c r="D248" i="57"/>
  <c r="G248" i="57" s="1"/>
  <c r="H248" i="57"/>
  <c r="F248" i="57"/>
  <c r="E248" i="57"/>
  <c r="C248" i="57"/>
  <c r="D247" i="57"/>
  <c r="G247" i="57" s="1"/>
  <c r="H247" i="57"/>
  <c r="F247" i="57"/>
  <c r="E247" i="57"/>
  <c r="C247" i="57"/>
  <c r="D246" i="57"/>
  <c r="G246" i="57" s="1"/>
  <c r="H246" i="57" s="1"/>
  <c r="F246" i="57"/>
  <c r="E246" i="57"/>
  <c r="C246" i="57"/>
  <c r="D245" i="57"/>
  <c r="G245" i="57" s="1"/>
  <c r="H245" i="57" s="1"/>
  <c r="F245" i="57"/>
  <c r="E245" i="57"/>
  <c r="C245" i="57"/>
  <c r="D244" i="57"/>
  <c r="G244" i="57" s="1"/>
  <c r="H244" i="57" s="1"/>
  <c r="F244" i="57"/>
  <c r="E244" i="57"/>
  <c r="C244" i="57"/>
  <c r="D243" i="57"/>
  <c r="G243" i="57" s="1"/>
  <c r="H243" i="57" s="1"/>
  <c r="F243" i="57"/>
  <c r="E243" i="57"/>
  <c r="C243" i="57"/>
  <c r="D242" i="57"/>
  <c r="G242" i="57"/>
  <c r="H242" i="57" s="1"/>
  <c r="F242" i="57"/>
  <c r="E242" i="57"/>
  <c r="C242" i="57"/>
  <c r="D241" i="57"/>
  <c r="G241" i="57"/>
  <c r="H241" i="57" s="1"/>
  <c r="F241" i="57"/>
  <c r="E241" i="57"/>
  <c r="C241" i="57"/>
  <c r="D240" i="57"/>
  <c r="G240" i="57" s="1"/>
  <c r="H240" i="57" s="1"/>
  <c r="F240" i="57"/>
  <c r="E240" i="57"/>
  <c r="C240" i="57"/>
  <c r="D239" i="57"/>
  <c r="G239" i="57" s="1"/>
  <c r="H239" i="57" s="1"/>
  <c r="F239" i="57"/>
  <c r="E239" i="57"/>
  <c r="C239" i="57"/>
  <c r="D238" i="57"/>
  <c r="G238" i="57"/>
  <c r="H238" i="57"/>
  <c r="F238" i="57"/>
  <c r="E238" i="57"/>
  <c r="C238" i="57"/>
  <c r="D237" i="57"/>
  <c r="G237" i="57" s="1"/>
  <c r="H237" i="57" s="1"/>
  <c r="F237" i="57"/>
  <c r="E237" i="57"/>
  <c r="C237" i="57"/>
  <c r="D236" i="57"/>
  <c r="G236" i="57" s="1"/>
  <c r="H236" i="57"/>
  <c r="F236" i="57"/>
  <c r="E236" i="57"/>
  <c r="C236" i="57"/>
  <c r="D235" i="57"/>
  <c r="G235" i="57" s="1"/>
  <c r="H235" i="57" s="1"/>
  <c r="F235" i="57"/>
  <c r="E235" i="57"/>
  <c r="C235" i="57"/>
  <c r="D234" i="57"/>
  <c r="G234" i="57" s="1"/>
  <c r="H234" i="57" s="1"/>
  <c r="F234" i="57"/>
  <c r="E234" i="57"/>
  <c r="C234" i="57"/>
  <c r="D233" i="57"/>
  <c r="G233" i="57"/>
  <c r="H233" i="57" s="1"/>
  <c r="F233" i="57"/>
  <c r="E233" i="57"/>
  <c r="C233" i="57"/>
  <c r="D232" i="57"/>
  <c r="G232" i="57" s="1"/>
  <c r="H232" i="57" s="1"/>
  <c r="F232" i="57"/>
  <c r="E232" i="57"/>
  <c r="C232" i="57"/>
  <c r="D231" i="57"/>
  <c r="G231" i="57" s="1"/>
  <c r="H231" i="57" s="1"/>
  <c r="F231" i="57"/>
  <c r="E231" i="57"/>
  <c r="C231" i="57"/>
  <c r="D230" i="57"/>
  <c r="G230" i="57"/>
  <c r="H230" i="57" s="1"/>
  <c r="F230" i="57"/>
  <c r="E230" i="57"/>
  <c r="C230" i="57"/>
  <c r="D229" i="57"/>
  <c r="G229" i="57" s="1"/>
  <c r="H229" i="57" s="1"/>
  <c r="F229" i="57"/>
  <c r="E229" i="57"/>
  <c r="C229" i="57"/>
  <c r="D228" i="57"/>
  <c r="G228" i="57" s="1"/>
  <c r="H228" i="57" s="1"/>
  <c r="F228" i="57"/>
  <c r="E228" i="57"/>
  <c r="C228" i="57"/>
  <c r="D227" i="57"/>
  <c r="G227" i="57" s="1"/>
  <c r="H227" i="57"/>
  <c r="F227" i="57"/>
  <c r="E227" i="57"/>
  <c r="C227" i="57"/>
  <c r="D226" i="57"/>
  <c r="G226" i="57"/>
  <c r="H226" i="57" s="1"/>
  <c r="F226" i="57"/>
  <c r="E226" i="57"/>
  <c r="C226" i="57"/>
  <c r="D225" i="57"/>
  <c r="G225" i="57" s="1"/>
  <c r="H225" i="57" s="1"/>
  <c r="F225" i="57"/>
  <c r="E225" i="57"/>
  <c r="C225" i="57"/>
  <c r="D224" i="57"/>
  <c r="G224" i="57" s="1"/>
  <c r="H224" i="57" s="1"/>
  <c r="F224" i="57"/>
  <c r="E224" i="57"/>
  <c r="C224" i="57"/>
  <c r="D223" i="57"/>
  <c r="G223" i="57"/>
  <c r="H223" i="57" s="1"/>
  <c r="F223" i="57"/>
  <c r="E223" i="57"/>
  <c r="C223" i="57"/>
  <c r="D222" i="57"/>
  <c r="G222" i="57"/>
  <c r="H222" i="57" s="1"/>
  <c r="F222" i="57"/>
  <c r="E222" i="57"/>
  <c r="C222" i="57"/>
  <c r="D221" i="57"/>
  <c r="G221" i="57"/>
  <c r="H221" i="57" s="1"/>
  <c r="F221" i="57"/>
  <c r="E221" i="57"/>
  <c r="C221" i="57"/>
  <c r="D220" i="57"/>
  <c r="G220" i="57" s="1"/>
  <c r="H220" i="57" s="1"/>
  <c r="F220" i="57"/>
  <c r="E220" i="57"/>
  <c r="C220" i="57"/>
  <c r="D219" i="57"/>
  <c r="G219" i="57" s="1"/>
  <c r="H219" i="57" s="1"/>
  <c r="F219" i="57"/>
  <c r="E219" i="57"/>
  <c r="C219" i="57"/>
  <c r="D218" i="57"/>
  <c r="G218" i="57"/>
  <c r="H218" i="57"/>
  <c r="F218" i="57"/>
  <c r="E218" i="57"/>
  <c r="C218" i="57"/>
  <c r="D217" i="57"/>
  <c r="G217" i="57"/>
  <c r="H217" i="57" s="1"/>
  <c r="F217" i="57"/>
  <c r="E217" i="57"/>
  <c r="C217" i="57"/>
  <c r="D216" i="57"/>
  <c r="G216" i="57" s="1"/>
  <c r="H216" i="57" s="1"/>
  <c r="F216" i="57"/>
  <c r="E216" i="57"/>
  <c r="C216" i="57"/>
  <c r="D215" i="57"/>
  <c r="G215" i="57"/>
  <c r="H215" i="57" s="1"/>
  <c r="F215" i="57"/>
  <c r="E215" i="57"/>
  <c r="C215" i="57"/>
  <c r="D214" i="57"/>
  <c r="G214" i="57"/>
  <c r="H214" i="57" s="1"/>
  <c r="F214" i="57"/>
  <c r="E214" i="57"/>
  <c r="C214" i="57"/>
  <c r="D213" i="57"/>
  <c r="G213" i="57"/>
  <c r="H213" i="57" s="1"/>
  <c r="F213" i="57"/>
  <c r="E213" i="57"/>
  <c r="C213" i="57"/>
  <c r="D212" i="57"/>
  <c r="G212" i="57" s="1"/>
  <c r="H212" i="57" s="1"/>
  <c r="F212" i="57"/>
  <c r="E212" i="57"/>
  <c r="C212" i="57"/>
  <c r="D211" i="57"/>
  <c r="G211" i="57"/>
  <c r="H211" i="57" s="1"/>
  <c r="F211" i="57"/>
  <c r="E211" i="57"/>
  <c r="C211" i="57"/>
  <c r="D210" i="57"/>
  <c r="G210" i="57"/>
  <c r="H210" i="57" s="1"/>
  <c r="F210" i="57"/>
  <c r="E210" i="57"/>
  <c r="C210" i="57"/>
  <c r="D209" i="57"/>
  <c r="G209" i="57" s="1"/>
  <c r="H209" i="57" s="1"/>
  <c r="F209" i="57"/>
  <c r="E209" i="57"/>
  <c r="C209" i="57"/>
  <c r="D208" i="57"/>
  <c r="G208" i="57" s="1"/>
  <c r="H208" i="57" s="1"/>
  <c r="F208" i="57"/>
  <c r="E208" i="57"/>
  <c r="C208" i="57"/>
  <c r="D207" i="57"/>
  <c r="G207" i="57"/>
  <c r="H207" i="57" s="1"/>
  <c r="F207" i="57"/>
  <c r="E207" i="57"/>
  <c r="C207" i="57"/>
  <c r="D206" i="57"/>
  <c r="G206" i="57" s="1"/>
  <c r="H206" i="57" s="1"/>
  <c r="F206" i="57"/>
  <c r="E206" i="57"/>
  <c r="C206" i="57"/>
  <c r="D205" i="57"/>
  <c r="G205" i="57"/>
  <c r="H205" i="57" s="1"/>
  <c r="F205" i="57"/>
  <c r="E205" i="57"/>
  <c r="C205" i="57"/>
  <c r="D204" i="57"/>
  <c r="G204" i="57" s="1"/>
  <c r="H204" i="57" s="1"/>
  <c r="F204" i="57"/>
  <c r="E204" i="57"/>
  <c r="C204" i="57"/>
  <c r="D203" i="57"/>
  <c r="G203" i="57" s="1"/>
  <c r="H203" i="57" s="1"/>
  <c r="F203" i="57"/>
  <c r="E203" i="57"/>
  <c r="C203" i="57"/>
  <c r="D202" i="57"/>
  <c r="G202" i="57" s="1"/>
  <c r="H202" i="57" s="1"/>
  <c r="F202" i="57"/>
  <c r="E202" i="57"/>
  <c r="C202" i="57"/>
  <c r="D201" i="57"/>
  <c r="G201" i="57" s="1"/>
  <c r="H201" i="57" s="1"/>
  <c r="F201" i="57"/>
  <c r="E201" i="57"/>
  <c r="C201" i="57"/>
  <c r="D200" i="57"/>
  <c r="G200" i="57" s="1"/>
  <c r="H200" i="57" s="1"/>
  <c r="F200" i="57"/>
  <c r="E200" i="57"/>
  <c r="C200" i="57"/>
  <c r="D199" i="57"/>
  <c r="G199" i="57"/>
  <c r="H199" i="57"/>
  <c r="F199" i="57"/>
  <c r="E199" i="57"/>
  <c r="C199" i="57"/>
  <c r="D198" i="57"/>
  <c r="G198" i="57" s="1"/>
  <c r="H198" i="57" s="1"/>
  <c r="F198" i="57"/>
  <c r="E198" i="57"/>
  <c r="C198" i="57"/>
  <c r="D197" i="57"/>
  <c r="G197" i="57"/>
  <c r="H197" i="57" s="1"/>
  <c r="F197" i="57"/>
  <c r="E197" i="57"/>
  <c r="C197" i="57"/>
  <c r="D196" i="57"/>
  <c r="G196" i="57" s="1"/>
  <c r="H196" i="57" s="1"/>
  <c r="F196" i="57"/>
  <c r="E196" i="57"/>
  <c r="C196" i="57"/>
  <c r="D195" i="57"/>
  <c r="G195" i="57"/>
  <c r="H195" i="57" s="1"/>
  <c r="F195" i="57"/>
  <c r="E195" i="57"/>
  <c r="C195" i="57"/>
  <c r="D194" i="57"/>
  <c r="G194" i="57"/>
  <c r="H194" i="57" s="1"/>
  <c r="F194" i="57"/>
  <c r="E194" i="57"/>
  <c r="C194" i="57"/>
  <c r="D193" i="57"/>
  <c r="G193" i="57" s="1"/>
  <c r="H193" i="57" s="1"/>
  <c r="F193" i="57"/>
  <c r="E193" i="57"/>
  <c r="C193" i="57"/>
  <c r="D192" i="57"/>
  <c r="G192" i="57" s="1"/>
  <c r="H192" i="57"/>
  <c r="F192" i="57"/>
  <c r="E192" i="57"/>
  <c r="C192" i="57"/>
  <c r="D191" i="57"/>
  <c r="G191" i="57" s="1"/>
  <c r="H191" i="57" s="1"/>
  <c r="F191" i="57"/>
  <c r="E191" i="57"/>
  <c r="C191" i="57"/>
  <c r="D190" i="57"/>
  <c r="G190" i="57" s="1"/>
  <c r="H190" i="57" s="1"/>
  <c r="F190" i="57"/>
  <c r="E190" i="57"/>
  <c r="C190" i="57"/>
  <c r="D189" i="57"/>
  <c r="G189" i="57"/>
  <c r="H189" i="57" s="1"/>
  <c r="F189" i="57"/>
  <c r="E189" i="57"/>
  <c r="C189" i="57"/>
  <c r="D188" i="57"/>
  <c r="G188" i="57" s="1"/>
  <c r="H188" i="57" s="1"/>
  <c r="F188" i="57"/>
  <c r="E188" i="57"/>
  <c r="C188" i="57"/>
  <c r="D187" i="57"/>
  <c r="G187" i="57" s="1"/>
  <c r="H187" i="57" s="1"/>
  <c r="F187" i="57"/>
  <c r="E187" i="57"/>
  <c r="C187" i="57"/>
  <c r="D186" i="57"/>
  <c r="G186" i="57" s="1"/>
  <c r="H186" i="57" s="1"/>
  <c r="F186" i="57"/>
  <c r="E186" i="57"/>
  <c r="C186" i="57"/>
  <c r="D185" i="57"/>
  <c r="G185" i="57" s="1"/>
  <c r="H185" i="57" s="1"/>
  <c r="F185" i="57"/>
  <c r="E185" i="57"/>
  <c r="C185" i="57"/>
  <c r="D184" i="57"/>
  <c r="G184" i="57" s="1"/>
  <c r="H184" i="57" s="1"/>
  <c r="F184" i="57"/>
  <c r="E184" i="57"/>
  <c r="C184" i="57"/>
  <c r="D183" i="57"/>
  <c r="G183" i="57"/>
  <c r="H183" i="57" s="1"/>
  <c r="F183" i="57"/>
  <c r="E183" i="57"/>
  <c r="C183" i="57"/>
  <c r="D182" i="57"/>
  <c r="G182" i="57"/>
  <c r="H182" i="57" s="1"/>
  <c r="F182" i="57"/>
  <c r="E182" i="57"/>
  <c r="C182" i="57"/>
  <c r="D181" i="57"/>
  <c r="G181" i="57"/>
  <c r="H181" i="57" s="1"/>
  <c r="F181" i="57"/>
  <c r="E181" i="57"/>
  <c r="C181" i="57"/>
  <c r="D180" i="57"/>
  <c r="G180" i="57" s="1"/>
  <c r="H180" i="57"/>
  <c r="F180" i="57"/>
  <c r="E180" i="57"/>
  <c r="C180" i="57"/>
  <c r="D179" i="57"/>
  <c r="G179" i="57" s="1"/>
  <c r="H179" i="57" s="1"/>
  <c r="F179" i="57"/>
  <c r="E179" i="57"/>
  <c r="C179" i="57"/>
  <c r="D178" i="57"/>
  <c r="G178" i="57" s="1"/>
  <c r="H178" i="57" s="1"/>
  <c r="F178" i="57"/>
  <c r="E178" i="57"/>
  <c r="C178" i="57"/>
  <c r="D177" i="57"/>
  <c r="G177" i="57" s="1"/>
  <c r="H177" i="57" s="1"/>
  <c r="F177" i="57"/>
  <c r="E177" i="57"/>
  <c r="C177" i="57"/>
  <c r="D176" i="57"/>
  <c r="G176" i="57" s="1"/>
  <c r="H176" i="57" s="1"/>
  <c r="F176" i="57"/>
  <c r="E176" i="57"/>
  <c r="C176" i="57"/>
  <c r="D175" i="57"/>
  <c r="G175" i="57"/>
  <c r="H175" i="57" s="1"/>
  <c r="F175" i="57"/>
  <c r="E175" i="57"/>
  <c r="C175" i="57"/>
  <c r="D174" i="57"/>
  <c r="G174" i="57" s="1"/>
  <c r="H174" i="57" s="1"/>
  <c r="F174" i="57"/>
  <c r="E174" i="57"/>
  <c r="C174" i="57"/>
  <c r="D173" i="57"/>
  <c r="G173" i="57"/>
  <c r="H173" i="57" s="1"/>
  <c r="F173" i="57"/>
  <c r="E173" i="57"/>
  <c r="C173" i="57"/>
  <c r="D172" i="57"/>
  <c r="G172" i="57" s="1"/>
  <c r="H172" i="57" s="1"/>
  <c r="F172" i="57"/>
  <c r="E172" i="57"/>
  <c r="C172" i="57"/>
  <c r="D171" i="57"/>
  <c r="G171" i="57" s="1"/>
  <c r="H171" i="57" s="1"/>
  <c r="F171" i="57"/>
  <c r="E171" i="57"/>
  <c r="C171" i="57"/>
  <c r="D170" i="57"/>
  <c r="G170" i="57" s="1"/>
  <c r="H170" i="57" s="1"/>
  <c r="F170" i="57"/>
  <c r="E170" i="57"/>
  <c r="C170" i="57"/>
  <c r="D169" i="57"/>
  <c r="G169" i="57" s="1"/>
  <c r="H169" i="57" s="1"/>
  <c r="F169" i="57"/>
  <c r="E169" i="57"/>
  <c r="C169" i="57"/>
  <c r="D168" i="57"/>
  <c r="G168" i="57" s="1"/>
  <c r="H168" i="57" s="1"/>
  <c r="F168" i="57"/>
  <c r="E168" i="57"/>
  <c r="C168" i="57"/>
  <c r="D167" i="57"/>
  <c r="G167" i="57"/>
  <c r="H167" i="57" s="1"/>
  <c r="F167" i="57"/>
  <c r="E167" i="57"/>
  <c r="C167" i="57"/>
  <c r="D166" i="57"/>
  <c r="G166" i="57"/>
  <c r="H166" i="57" s="1"/>
  <c r="F166" i="57"/>
  <c r="E166" i="57"/>
  <c r="C166" i="57"/>
  <c r="D165" i="57"/>
  <c r="G165" i="57"/>
  <c r="H165" i="57" s="1"/>
  <c r="F165" i="57"/>
  <c r="E165" i="57"/>
  <c r="C165" i="57"/>
  <c r="D164" i="57"/>
  <c r="G164" i="57" s="1"/>
  <c r="H164" i="57" s="1"/>
  <c r="F164" i="57"/>
  <c r="E164" i="57"/>
  <c r="C164" i="57"/>
  <c r="D163" i="57"/>
  <c r="G163" i="57"/>
  <c r="H163" i="57" s="1"/>
  <c r="F163" i="57"/>
  <c r="E163" i="57"/>
  <c r="C163" i="57"/>
  <c r="D162" i="57"/>
  <c r="G162" i="57" s="1"/>
  <c r="H162" i="57" s="1"/>
  <c r="F162" i="57"/>
  <c r="E162" i="57"/>
  <c r="C162" i="57"/>
  <c r="U159" i="57"/>
  <c r="T159" i="57"/>
  <c r="N159" i="57"/>
  <c r="L159" i="57"/>
  <c r="D156" i="57"/>
  <c r="G156" i="57"/>
  <c r="H156" i="57" s="1"/>
  <c r="F156" i="57"/>
  <c r="E156" i="57"/>
  <c r="C156" i="57"/>
  <c r="D155" i="57"/>
  <c r="G155" i="57" s="1"/>
  <c r="H155" i="57" s="1"/>
  <c r="F155" i="57"/>
  <c r="E155" i="57"/>
  <c r="C155" i="57"/>
  <c r="D154" i="57"/>
  <c r="G154" i="57" s="1"/>
  <c r="H154" i="57" s="1"/>
  <c r="F154" i="57"/>
  <c r="E154" i="57"/>
  <c r="C154" i="57"/>
  <c r="D153" i="57"/>
  <c r="G153" i="57"/>
  <c r="H153" i="57" s="1"/>
  <c r="F153" i="57"/>
  <c r="E153" i="57"/>
  <c r="C153" i="57"/>
  <c r="D152" i="57"/>
  <c r="G152" i="57"/>
  <c r="H152" i="57" s="1"/>
  <c r="F152" i="57"/>
  <c r="E152" i="57"/>
  <c r="C152" i="57"/>
  <c r="D151" i="57"/>
  <c r="G151" i="57"/>
  <c r="H151" i="57" s="1"/>
  <c r="F151" i="57"/>
  <c r="E151" i="57"/>
  <c r="C151" i="57"/>
  <c r="D150" i="57"/>
  <c r="G150" i="57" s="1"/>
  <c r="H150" i="57" s="1"/>
  <c r="F150" i="57"/>
  <c r="E150" i="57"/>
  <c r="C150" i="57"/>
  <c r="D149" i="57"/>
  <c r="G149" i="57" s="1"/>
  <c r="H149" i="57" s="1"/>
  <c r="F149" i="57"/>
  <c r="E149" i="57"/>
  <c r="C149" i="57"/>
  <c r="D148" i="57"/>
  <c r="G148" i="57" s="1"/>
  <c r="H148" i="57" s="1"/>
  <c r="F148" i="57"/>
  <c r="E148" i="57"/>
  <c r="C148" i="57"/>
  <c r="D147" i="57"/>
  <c r="G147" i="57" s="1"/>
  <c r="H147" i="57" s="1"/>
  <c r="F147" i="57"/>
  <c r="E147" i="57"/>
  <c r="C147" i="57"/>
  <c r="D146" i="57"/>
  <c r="G146" i="57" s="1"/>
  <c r="H146" i="57" s="1"/>
  <c r="F146" i="57"/>
  <c r="E146" i="57"/>
  <c r="C146" i="57"/>
  <c r="D145" i="57"/>
  <c r="G145" i="57"/>
  <c r="H145" i="57" s="1"/>
  <c r="F145" i="57"/>
  <c r="E145" i="57"/>
  <c r="C145" i="57"/>
  <c r="D144" i="57"/>
  <c r="G144" i="57"/>
  <c r="H144" i="57" s="1"/>
  <c r="F144" i="57"/>
  <c r="E144" i="57"/>
  <c r="C144" i="57"/>
  <c r="D143" i="57"/>
  <c r="G143" i="57" s="1"/>
  <c r="H143" i="57" s="1"/>
  <c r="F143" i="57"/>
  <c r="E143" i="57"/>
  <c r="C143" i="57"/>
  <c r="D142" i="57"/>
  <c r="G142" i="57" s="1"/>
  <c r="H142" i="57" s="1"/>
  <c r="F142" i="57"/>
  <c r="E142" i="57"/>
  <c r="C142" i="57"/>
  <c r="D141" i="57"/>
  <c r="G141" i="57"/>
  <c r="H141" i="57" s="1"/>
  <c r="F141" i="57"/>
  <c r="E141" i="57"/>
  <c r="C141" i="57"/>
  <c r="D140" i="57"/>
  <c r="G140" i="57" s="1"/>
  <c r="H140" i="57" s="1"/>
  <c r="F140" i="57"/>
  <c r="E140" i="57"/>
  <c r="C140" i="57"/>
  <c r="D139" i="57"/>
  <c r="G139" i="57" s="1"/>
  <c r="H139" i="57" s="1"/>
  <c r="F139" i="57"/>
  <c r="E139" i="57"/>
  <c r="C139" i="57"/>
  <c r="D138" i="57"/>
  <c r="G138" i="57" s="1"/>
  <c r="H138" i="57" s="1"/>
  <c r="F138" i="57"/>
  <c r="E138" i="57"/>
  <c r="C138" i="57"/>
  <c r="D137" i="57"/>
  <c r="G137" i="57"/>
  <c r="H137" i="57" s="1"/>
  <c r="F137" i="57"/>
  <c r="E137" i="57"/>
  <c r="C137" i="57"/>
  <c r="D136" i="57"/>
  <c r="G136" i="57"/>
  <c r="H136" i="57" s="1"/>
  <c r="F136" i="57"/>
  <c r="E136" i="57"/>
  <c r="C136" i="57"/>
  <c r="D135" i="57"/>
  <c r="G135" i="57"/>
  <c r="H135" i="57" s="1"/>
  <c r="F135" i="57"/>
  <c r="E135" i="57"/>
  <c r="C135" i="57"/>
  <c r="D134" i="57"/>
  <c r="G134" i="57" s="1"/>
  <c r="H134" i="57" s="1"/>
  <c r="F134" i="57"/>
  <c r="E134" i="57"/>
  <c r="C134" i="57"/>
  <c r="D133" i="57"/>
  <c r="G133" i="57" s="1"/>
  <c r="H133" i="57" s="1"/>
  <c r="F133" i="57"/>
  <c r="E133" i="57"/>
  <c r="C133" i="57"/>
  <c r="D132" i="57"/>
  <c r="G132" i="57" s="1"/>
  <c r="H132" i="57" s="1"/>
  <c r="F132" i="57"/>
  <c r="E132" i="57"/>
  <c r="C132" i="57"/>
  <c r="D131" i="57"/>
  <c r="G131" i="57" s="1"/>
  <c r="H131" i="57" s="1"/>
  <c r="F131" i="57"/>
  <c r="E131" i="57"/>
  <c r="C131" i="57"/>
  <c r="D130" i="57"/>
  <c r="G130" i="57" s="1"/>
  <c r="H130" i="57" s="1"/>
  <c r="F130" i="57"/>
  <c r="E130" i="57"/>
  <c r="C130" i="57"/>
  <c r="D129" i="57"/>
  <c r="G129" i="57" s="1"/>
  <c r="H129" i="57" s="1"/>
  <c r="F129" i="57"/>
  <c r="E129" i="57"/>
  <c r="C129" i="57"/>
  <c r="D128" i="57"/>
  <c r="G128" i="57"/>
  <c r="H128" i="57" s="1"/>
  <c r="F128" i="57"/>
  <c r="E128" i="57"/>
  <c r="C128" i="57"/>
  <c r="D127" i="57"/>
  <c r="G127" i="57" s="1"/>
  <c r="H127" i="57" s="1"/>
  <c r="F127" i="57"/>
  <c r="E127" i="57"/>
  <c r="C127" i="57"/>
  <c r="D126" i="57"/>
  <c r="G126" i="57" s="1"/>
  <c r="H126" i="57" s="1"/>
  <c r="F126" i="57"/>
  <c r="E126" i="57"/>
  <c r="C126" i="57"/>
  <c r="D125" i="57"/>
  <c r="G125" i="57" s="1"/>
  <c r="H125" i="57" s="1"/>
  <c r="F125" i="57"/>
  <c r="E125" i="57"/>
  <c r="C125" i="57"/>
  <c r="D124" i="57"/>
  <c r="G124" i="57"/>
  <c r="H124" i="57" s="1"/>
  <c r="F124" i="57"/>
  <c r="E124" i="57"/>
  <c r="C124" i="57"/>
  <c r="U121" i="57"/>
  <c r="T121" i="57"/>
  <c r="R121" i="57"/>
  <c r="N121" i="57"/>
  <c r="L121" i="57"/>
  <c r="D118" i="57"/>
  <c r="G118" i="57"/>
  <c r="H118" i="57" s="1"/>
  <c r="F118" i="57" s="1"/>
  <c r="D116" i="57"/>
  <c r="G116" i="57" s="1"/>
  <c r="H116" i="57" s="1"/>
  <c r="F116" i="57"/>
  <c r="E116" i="57"/>
  <c r="C116" i="57"/>
  <c r="D115" i="57"/>
  <c r="G115" i="57" s="1"/>
  <c r="H115" i="57" s="1"/>
  <c r="F115" i="57"/>
  <c r="E115" i="57"/>
  <c r="C115" i="57"/>
  <c r="D114" i="57"/>
  <c r="G114" i="57" s="1"/>
  <c r="H114" i="57" s="1"/>
  <c r="F114" i="57"/>
  <c r="E114" i="57"/>
  <c r="C114" i="57"/>
  <c r="D113" i="57"/>
  <c r="G113" i="57" s="1"/>
  <c r="H113" i="57" s="1"/>
  <c r="F113" i="57"/>
  <c r="E113" i="57"/>
  <c r="C113" i="57"/>
  <c r="D112" i="57"/>
  <c r="G112" i="57"/>
  <c r="H112" i="57" s="1"/>
  <c r="F112" i="57"/>
  <c r="E112" i="57"/>
  <c r="C112" i="57"/>
  <c r="D111" i="57"/>
  <c r="G111" i="57" s="1"/>
  <c r="H111" i="57" s="1"/>
  <c r="F111" i="57"/>
  <c r="E111" i="57"/>
  <c r="C111" i="57"/>
  <c r="D110" i="57"/>
  <c r="G110" i="57" s="1"/>
  <c r="H110" i="57" s="1"/>
  <c r="F110" i="57"/>
  <c r="E110" i="57"/>
  <c r="C110" i="57"/>
  <c r="D109" i="57"/>
  <c r="G109" i="57" s="1"/>
  <c r="H109" i="57" s="1"/>
  <c r="F109" i="57"/>
  <c r="E109" i="57"/>
  <c r="C109" i="57"/>
  <c r="D108" i="57"/>
  <c r="G108" i="57" s="1"/>
  <c r="H108" i="57" s="1"/>
  <c r="F108" i="57"/>
  <c r="E108" i="57"/>
  <c r="C108" i="57"/>
  <c r="D107" i="57"/>
  <c r="G107" i="57"/>
  <c r="H107" i="57" s="1"/>
  <c r="F107" i="57"/>
  <c r="E107" i="57"/>
  <c r="C107" i="57"/>
  <c r="D106" i="57"/>
  <c r="G106" i="57" s="1"/>
  <c r="H106" i="57" s="1"/>
  <c r="F106" i="57"/>
  <c r="E106" i="57"/>
  <c r="C106" i="57"/>
  <c r="D105" i="57"/>
  <c r="G105" i="57" s="1"/>
  <c r="H105" i="57" s="1"/>
  <c r="F105" i="57"/>
  <c r="E105" i="57"/>
  <c r="C105" i="57"/>
  <c r="D104" i="57"/>
  <c r="G104" i="57" s="1"/>
  <c r="H104" i="57" s="1"/>
  <c r="F104" i="57"/>
  <c r="E104" i="57"/>
  <c r="C104" i="57"/>
  <c r="D103" i="57"/>
  <c r="G103" i="57" s="1"/>
  <c r="H103" i="57" s="1"/>
  <c r="F103" i="57"/>
  <c r="E103" i="57"/>
  <c r="C103" i="57"/>
  <c r="D102" i="57"/>
  <c r="G102" i="57"/>
  <c r="H102" i="57" s="1"/>
  <c r="F102" i="57"/>
  <c r="E102" i="57"/>
  <c r="C102" i="57"/>
  <c r="D101" i="57"/>
  <c r="G101" i="57" s="1"/>
  <c r="H101" i="57" s="1"/>
  <c r="F101" i="57"/>
  <c r="E101" i="57"/>
  <c r="C101" i="57"/>
  <c r="D100" i="57"/>
  <c r="G100" i="57" s="1"/>
  <c r="H100" i="57"/>
  <c r="F100" i="57"/>
  <c r="E100" i="57"/>
  <c r="C100" i="57"/>
  <c r="D99" i="57"/>
  <c r="G99" i="57" s="1"/>
  <c r="H99" i="57" s="1"/>
  <c r="F99" i="57"/>
  <c r="E99" i="57"/>
  <c r="C99" i="57"/>
  <c r="D98" i="57"/>
  <c r="G98" i="57" s="1"/>
  <c r="H98" i="57" s="1"/>
  <c r="F98" i="57"/>
  <c r="E98" i="57"/>
  <c r="C98" i="57"/>
  <c r="U95" i="57"/>
  <c r="R95" i="57" s="1"/>
  <c r="T95" i="57"/>
  <c r="N95" i="57"/>
  <c r="L95" i="57"/>
  <c r="D92" i="57"/>
  <c r="G92" i="57"/>
  <c r="H92" i="57" s="1"/>
  <c r="F92" i="57"/>
  <c r="E92" i="57"/>
  <c r="C92" i="57"/>
  <c r="D91" i="57"/>
  <c r="G91" i="57" s="1"/>
  <c r="H91" i="57" s="1"/>
  <c r="F91" i="57"/>
  <c r="E91" i="57"/>
  <c r="C91" i="57"/>
  <c r="D90" i="57"/>
  <c r="G90" i="57"/>
  <c r="H90" i="57" s="1"/>
  <c r="F90" i="57"/>
  <c r="E90" i="57"/>
  <c r="C90" i="57"/>
  <c r="D89" i="57"/>
  <c r="G89" i="57"/>
  <c r="H89" i="57" s="1"/>
  <c r="F89" i="57"/>
  <c r="E89" i="57"/>
  <c r="C89" i="57"/>
  <c r="D88" i="57"/>
  <c r="G88" i="57" s="1"/>
  <c r="H88" i="57" s="1"/>
  <c r="F88" i="57"/>
  <c r="E88" i="57"/>
  <c r="C88" i="57"/>
  <c r="D87" i="57"/>
  <c r="G87" i="57" s="1"/>
  <c r="H87" i="57" s="1"/>
  <c r="F87" i="57"/>
  <c r="E87" i="57"/>
  <c r="C87" i="57"/>
  <c r="D86" i="57"/>
  <c r="G86" i="57"/>
  <c r="H86" i="57" s="1"/>
  <c r="F86" i="57"/>
  <c r="E86" i="57"/>
  <c r="C86" i="57"/>
  <c r="D85" i="57"/>
  <c r="G85" i="57"/>
  <c r="H85" i="57" s="1"/>
  <c r="F85" i="57"/>
  <c r="E85" i="57"/>
  <c r="C85" i="57"/>
  <c r="D84" i="57"/>
  <c r="G84" i="57" s="1"/>
  <c r="H84" i="57" s="1"/>
  <c r="F84" i="57"/>
  <c r="E84" i="57"/>
  <c r="C84" i="57"/>
  <c r="D83" i="57"/>
  <c r="G83" i="57" s="1"/>
  <c r="H83" i="57" s="1"/>
  <c r="F83" i="57"/>
  <c r="E83" i="57"/>
  <c r="C83" i="57"/>
  <c r="D82" i="57"/>
  <c r="G82" i="57"/>
  <c r="H82" i="57" s="1"/>
  <c r="F82" i="57"/>
  <c r="E82" i="57"/>
  <c r="C82" i="57"/>
  <c r="D81" i="57"/>
  <c r="G81" i="57" s="1"/>
  <c r="H81" i="57" s="1"/>
  <c r="F81" i="57"/>
  <c r="E81" i="57"/>
  <c r="C81" i="57"/>
  <c r="D80" i="57"/>
  <c r="G80" i="57"/>
  <c r="H80" i="57" s="1"/>
  <c r="F80" i="57"/>
  <c r="E80" i="57"/>
  <c r="C80" i="57"/>
  <c r="D79" i="57"/>
  <c r="G79" i="57" s="1"/>
  <c r="H79" i="57" s="1"/>
  <c r="F79" i="57"/>
  <c r="E79" i="57"/>
  <c r="C79" i="57"/>
  <c r="D78" i="57"/>
  <c r="G78" i="57" s="1"/>
  <c r="H78" i="57" s="1"/>
  <c r="F78" i="57"/>
  <c r="E78" i="57"/>
  <c r="C78" i="57"/>
  <c r="D77" i="57"/>
  <c r="G77" i="57" s="1"/>
  <c r="H77" i="57" s="1"/>
  <c r="F77" i="57"/>
  <c r="E77" i="57"/>
  <c r="C77" i="57"/>
  <c r="D76" i="57"/>
  <c r="G76" i="57"/>
  <c r="H76" i="57" s="1"/>
  <c r="F76" i="57"/>
  <c r="E76" i="57"/>
  <c r="C76" i="57"/>
  <c r="D75" i="57"/>
  <c r="G75" i="57" s="1"/>
  <c r="H75" i="57" s="1"/>
  <c r="F75" i="57"/>
  <c r="E75" i="57"/>
  <c r="C75" i="57"/>
  <c r="D74" i="57"/>
  <c r="G74" i="57" s="1"/>
  <c r="H74" i="57" s="1"/>
  <c r="F74" i="57"/>
  <c r="E74" i="57"/>
  <c r="C74" i="57"/>
  <c r="D73" i="57"/>
  <c r="G73" i="57" s="1"/>
  <c r="H73" i="57" s="1"/>
  <c r="F73" i="57"/>
  <c r="E73" i="57"/>
  <c r="C73" i="57"/>
  <c r="D72" i="57"/>
  <c r="G72" i="57" s="1"/>
  <c r="H72" i="57" s="1"/>
  <c r="F72" i="57"/>
  <c r="E72" i="57"/>
  <c r="C72" i="57"/>
  <c r="D71" i="57"/>
  <c r="G71" i="57" s="1"/>
  <c r="H71" i="57" s="1"/>
  <c r="F71" i="57"/>
  <c r="E71" i="57"/>
  <c r="C71" i="57"/>
  <c r="D70" i="57"/>
  <c r="G70" i="57"/>
  <c r="H70" i="57" s="1"/>
  <c r="F70" i="57"/>
  <c r="E70" i="57"/>
  <c r="C70" i="57"/>
  <c r="U67" i="57"/>
  <c r="T67" i="57"/>
  <c r="N67" i="57"/>
  <c r="L67" i="57"/>
  <c r="D64" i="57"/>
  <c r="G64" i="57" s="1"/>
  <c r="H64" i="57" s="1"/>
  <c r="F64" i="57"/>
  <c r="E64" i="57"/>
  <c r="C64" i="57"/>
  <c r="D63" i="57"/>
  <c r="G63" i="57"/>
  <c r="H63" i="57" s="1"/>
  <c r="F63" i="57"/>
  <c r="E63" i="57"/>
  <c r="C63" i="57"/>
  <c r="D62" i="57"/>
  <c r="G62" i="57" s="1"/>
  <c r="H62" i="57" s="1"/>
  <c r="F62" i="57"/>
  <c r="E62" i="57"/>
  <c r="C62" i="57"/>
  <c r="D61" i="57"/>
  <c r="G61" i="57"/>
  <c r="H61" i="57" s="1"/>
  <c r="F61" i="57"/>
  <c r="E61" i="57"/>
  <c r="C61" i="57"/>
  <c r="D60" i="57"/>
  <c r="G60" i="57" s="1"/>
  <c r="H60" i="57" s="1"/>
  <c r="F60" i="57"/>
  <c r="E60" i="57"/>
  <c r="C60" i="57"/>
  <c r="D59" i="57"/>
  <c r="G59" i="57" s="1"/>
  <c r="H59" i="57" s="1"/>
  <c r="F59" i="57"/>
  <c r="E59" i="57"/>
  <c r="C59" i="57"/>
  <c r="D58" i="57"/>
  <c r="G58" i="57"/>
  <c r="H58" i="57" s="1"/>
  <c r="F58" i="57"/>
  <c r="E58" i="57"/>
  <c r="C58" i="57"/>
  <c r="D57" i="57"/>
  <c r="G57" i="57" s="1"/>
  <c r="H57" i="57" s="1"/>
  <c r="F57" i="57"/>
  <c r="E57" i="57"/>
  <c r="C57" i="57"/>
  <c r="D56" i="57"/>
  <c r="G56" i="57" s="1"/>
  <c r="H56" i="57" s="1"/>
  <c r="F56" i="57"/>
  <c r="E56" i="57"/>
  <c r="C56" i="57"/>
  <c r="D55" i="57"/>
  <c r="G55" i="57"/>
  <c r="H55" i="57" s="1"/>
  <c r="F55" i="57"/>
  <c r="E55" i="57"/>
  <c r="C55" i="57"/>
  <c r="D54" i="57"/>
  <c r="G54" i="57" s="1"/>
  <c r="H54" i="57" s="1"/>
  <c r="F54" i="57"/>
  <c r="E54" i="57"/>
  <c r="C54" i="57"/>
  <c r="D53" i="57"/>
  <c r="G53" i="57"/>
  <c r="H53" i="57" s="1"/>
  <c r="F53" i="57"/>
  <c r="E53" i="57"/>
  <c r="C53" i="57"/>
  <c r="D52" i="57"/>
  <c r="G52" i="57" s="1"/>
  <c r="H52" i="57" s="1"/>
  <c r="F52" i="57"/>
  <c r="E52" i="57"/>
  <c r="C52" i="57"/>
  <c r="D51" i="57"/>
  <c r="G51" i="57"/>
  <c r="H51" i="57" s="1"/>
  <c r="F51" i="57"/>
  <c r="E51" i="57"/>
  <c r="C51" i="57"/>
  <c r="D50" i="57"/>
  <c r="G50" i="57"/>
  <c r="H50" i="57" s="1"/>
  <c r="F50" i="57"/>
  <c r="E50" i="57"/>
  <c r="C50" i="57"/>
  <c r="D49" i="57"/>
  <c r="G49" i="57" s="1"/>
  <c r="H49" i="57" s="1"/>
  <c r="F49" i="57"/>
  <c r="E49" i="57"/>
  <c r="C49" i="57"/>
  <c r="D48" i="57"/>
  <c r="G48" i="57" s="1"/>
  <c r="H48" i="57" s="1"/>
  <c r="F48" i="57"/>
  <c r="E48" i="57"/>
  <c r="C48" i="57"/>
  <c r="D47" i="57"/>
  <c r="G47" i="57"/>
  <c r="H47" i="57" s="1"/>
  <c r="F47" i="57"/>
  <c r="E47" i="57"/>
  <c r="C47" i="57"/>
  <c r="D46" i="57"/>
  <c r="G46" i="57"/>
  <c r="H46" i="57" s="1"/>
  <c r="F46" i="57"/>
  <c r="E46" i="57"/>
  <c r="C46" i="57"/>
  <c r="D45" i="57"/>
  <c r="G45" i="57"/>
  <c r="H45" i="57" s="1"/>
  <c r="F45" i="57"/>
  <c r="E45" i="57"/>
  <c r="C45" i="57"/>
  <c r="D44" i="57"/>
  <c r="G44" i="57" s="1"/>
  <c r="H44" i="57" s="1"/>
  <c r="F44" i="57"/>
  <c r="E44" i="57"/>
  <c r="C44" i="57"/>
  <c r="D43" i="57"/>
  <c r="G43" i="57" s="1"/>
  <c r="H43" i="57" s="1"/>
  <c r="F43" i="57"/>
  <c r="E43" i="57"/>
  <c r="C43" i="57"/>
  <c r="D42" i="57"/>
  <c r="G42" i="57"/>
  <c r="H42" i="57" s="1"/>
  <c r="F42" i="57"/>
  <c r="E42" i="57"/>
  <c r="C42" i="57"/>
  <c r="D41" i="57"/>
  <c r="G41" i="57"/>
  <c r="H41" i="57" s="1"/>
  <c r="F41" i="57"/>
  <c r="E41" i="57"/>
  <c r="C41" i="57"/>
  <c r="D40" i="57"/>
  <c r="G40" i="57" s="1"/>
  <c r="H40" i="57" s="1"/>
  <c r="F40" i="57"/>
  <c r="E40" i="57"/>
  <c r="C40" i="57"/>
  <c r="U37" i="57"/>
  <c r="T37" i="57"/>
  <c r="N37" i="57"/>
  <c r="L37" i="57"/>
  <c r="D34" i="57"/>
  <c r="G34" i="57"/>
  <c r="H34" i="57" s="1"/>
  <c r="F34" i="57"/>
  <c r="E34" i="57"/>
  <c r="C34" i="57"/>
  <c r="D33" i="57"/>
  <c r="G33" i="57" s="1"/>
  <c r="H33" i="57" s="1"/>
  <c r="F33" i="57"/>
  <c r="E33" i="57"/>
  <c r="C33" i="57"/>
  <c r="D32" i="57"/>
  <c r="G32" i="57" s="1"/>
  <c r="H32" i="57" s="1"/>
  <c r="F32" i="57"/>
  <c r="E32" i="57"/>
  <c r="C32" i="57"/>
  <c r="D31" i="57"/>
  <c r="G31" i="57" s="1"/>
  <c r="H31" i="57" s="1"/>
  <c r="F31" i="57"/>
  <c r="E31" i="57"/>
  <c r="C31" i="57"/>
  <c r="D30" i="57"/>
  <c r="G30" i="57"/>
  <c r="H30" i="57" s="1"/>
  <c r="F30" i="57"/>
  <c r="E30" i="57"/>
  <c r="C30" i="57"/>
  <c r="D29" i="57"/>
  <c r="G29" i="57" s="1"/>
  <c r="H29" i="57" s="1"/>
  <c r="F29" i="57"/>
  <c r="E29" i="57"/>
  <c r="C29" i="57"/>
  <c r="D28" i="57"/>
  <c r="G28" i="57" s="1"/>
  <c r="H28" i="57" s="1"/>
  <c r="F28" i="57"/>
  <c r="E28" i="57"/>
  <c r="C28" i="57"/>
  <c r="D27" i="57"/>
  <c r="G27" i="57"/>
  <c r="H27" i="57" s="1"/>
  <c r="F27" i="57"/>
  <c r="E27" i="57"/>
  <c r="C27" i="57"/>
  <c r="D26" i="57"/>
  <c r="G26" i="57"/>
  <c r="H26" i="57" s="1"/>
  <c r="F26" i="57"/>
  <c r="E26" i="57"/>
  <c r="C26" i="57"/>
  <c r="D25" i="57"/>
  <c r="G25" i="57" s="1"/>
  <c r="H25" i="57" s="1"/>
  <c r="F25" i="57"/>
  <c r="E25" i="57"/>
  <c r="C25" i="57"/>
  <c r="D24" i="57"/>
  <c r="G24" i="57" s="1"/>
  <c r="H24" i="57" s="1"/>
  <c r="F24" i="57"/>
  <c r="E24" i="57"/>
  <c r="C24" i="57"/>
  <c r="D23" i="57"/>
  <c r="G23" i="57" s="1"/>
  <c r="H23" i="57" s="1"/>
  <c r="F23" i="57"/>
  <c r="E23" i="57"/>
  <c r="C23" i="57"/>
  <c r="D22" i="57"/>
  <c r="G22" i="57"/>
  <c r="H22" i="57" s="1"/>
  <c r="F22" i="57"/>
  <c r="E22" i="57"/>
  <c r="C22" i="57"/>
  <c r="D21" i="57"/>
  <c r="G21" i="57" s="1"/>
  <c r="H21" i="57" s="1"/>
  <c r="F21" i="57"/>
  <c r="E21" i="57"/>
  <c r="C21" i="57"/>
  <c r="D20" i="57"/>
  <c r="G20" i="57" s="1"/>
  <c r="H20" i="57" s="1"/>
  <c r="F20" i="57"/>
  <c r="E20" i="57"/>
  <c r="C20" i="57"/>
  <c r="D19" i="57"/>
  <c r="G19" i="57" s="1"/>
  <c r="H19" i="57" s="1"/>
  <c r="F19" i="57"/>
  <c r="E19" i="57"/>
  <c r="C19" i="57"/>
  <c r="D18" i="57"/>
  <c r="G18" i="57"/>
  <c r="H18" i="57" s="1"/>
  <c r="F18" i="57"/>
  <c r="E18" i="57"/>
  <c r="C18" i="57"/>
  <c r="D17" i="57"/>
  <c r="G17" i="57" s="1"/>
  <c r="H17" i="57" s="1"/>
  <c r="F17" i="57"/>
  <c r="E17" i="57"/>
  <c r="C17" i="57"/>
  <c r="D16" i="57"/>
  <c r="G16" i="57" s="1"/>
  <c r="H16" i="57" s="1"/>
  <c r="F16" i="57"/>
  <c r="E16" i="57"/>
  <c r="C16" i="57"/>
  <c r="U13" i="57"/>
  <c r="T13" i="57"/>
  <c r="R13" i="57" s="1"/>
  <c r="N13" i="57"/>
  <c r="L13" i="57"/>
  <c r="U10" i="57"/>
  <c r="R10" i="57" s="1"/>
  <c r="T10" i="57"/>
  <c r="N10" i="57"/>
  <c r="L10" i="57"/>
  <c r="U9" i="57"/>
  <c r="T9" i="57"/>
  <c r="N9" i="57"/>
  <c r="L9" i="57"/>
  <c r="U8" i="57"/>
  <c r="T8" i="57"/>
  <c r="N8" i="57"/>
  <c r="L8" i="57"/>
  <c r="U7" i="57"/>
  <c r="T7" i="57"/>
  <c r="R7" i="57"/>
  <c r="N7" i="57"/>
  <c r="L7" i="57"/>
  <c r="U6" i="57"/>
  <c r="R6" i="57"/>
  <c r="T6" i="57"/>
  <c r="N6" i="57"/>
  <c r="L6" i="57"/>
  <c r="U5" i="57"/>
  <c r="R5" i="57" s="1"/>
  <c r="T5" i="57"/>
  <c r="N5" i="57"/>
  <c r="L5" i="57"/>
  <c r="U4" i="57"/>
  <c r="R4" i="57" s="1"/>
  <c r="T4" i="57"/>
  <c r="N4" i="57"/>
  <c r="L4" i="57"/>
  <c r="U3" i="57"/>
  <c r="T3" i="57"/>
  <c r="N3" i="57"/>
  <c r="L3" i="57"/>
  <c r="U2" i="57"/>
  <c r="R2" i="57" s="1"/>
  <c r="T2" i="57"/>
  <c r="N2" i="57"/>
  <c r="L2" i="57"/>
  <c r="U1" i="57"/>
  <c r="T1" i="57"/>
  <c r="R1" i="57" s="1"/>
  <c r="N1" i="57"/>
  <c r="L1" i="57"/>
  <c r="C345" i="56"/>
  <c r="F345" i="56" s="1"/>
  <c r="G345" i="56" s="1"/>
  <c r="E345" i="56"/>
  <c r="D345" i="56"/>
  <c r="B345" i="56"/>
  <c r="C344" i="56"/>
  <c r="F344" i="56" s="1"/>
  <c r="G344" i="56" s="1"/>
  <c r="E344" i="56"/>
  <c r="D344" i="56"/>
  <c r="B344" i="56"/>
  <c r="C343" i="56"/>
  <c r="F343" i="56" s="1"/>
  <c r="G343" i="56" s="1"/>
  <c r="E343" i="56"/>
  <c r="D343" i="56"/>
  <c r="B343" i="56"/>
  <c r="C342" i="56"/>
  <c r="F342" i="56" s="1"/>
  <c r="G342" i="56" s="1"/>
  <c r="E342" i="56"/>
  <c r="D342" i="56"/>
  <c r="B342" i="56"/>
  <c r="C341" i="56"/>
  <c r="F341" i="56" s="1"/>
  <c r="G341" i="56" s="1"/>
  <c r="E341" i="56"/>
  <c r="D341" i="56"/>
  <c r="B341" i="56"/>
  <c r="C340" i="56"/>
  <c r="F340" i="56" s="1"/>
  <c r="G340" i="56" s="1"/>
  <c r="E340" i="56"/>
  <c r="D340" i="56"/>
  <c r="B340" i="56"/>
  <c r="C339" i="56"/>
  <c r="F339" i="56" s="1"/>
  <c r="G339" i="56" s="1"/>
  <c r="E339" i="56"/>
  <c r="D339" i="56"/>
  <c r="B339" i="56"/>
  <c r="C338" i="56"/>
  <c r="F338" i="56" s="1"/>
  <c r="G338" i="56" s="1"/>
  <c r="E338" i="56"/>
  <c r="D338" i="56"/>
  <c r="B338" i="56"/>
  <c r="C337" i="56"/>
  <c r="F337" i="56" s="1"/>
  <c r="G337" i="56" s="1"/>
  <c r="E337" i="56"/>
  <c r="D337" i="56"/>
  <c r="B337" i="56"/>
  <c r="C336" i="56"/>
  <c r="F336" i="56" s="1"/>
  <c r="G336" i="56" s="1"/>
  <c r="E336" i="56"/>
  <c r="D336" i="56"/>
  <c r="B336" i="56"/>
  <c r="C335" i="56"/>
  <c r="F335" i="56" s="1"/>
  <c r="G335" i="56" s="1"/>
  <c r="E335" i="56"/>
  <c r="D335" i="56"/>
  <c r="B335" i="56"/>
  <c r="C334" i="56"/>
  <c r="F334" i="56" s="1"/>
  <c r="G334" i="56"/>
  <c r="E334" i="56"/>
  <c r="D334" i="56"/>
  <c r="B334" i="56"/>
  <c r="C333" i="56"/>
  <c r="F333" i="56" s="1"/>
  <c r="G333" i="56" s="1"/>
  <c r="E333" i="56"/>
  <c r="D333" i="56"/>
  <c r="B333" i="56"/>
  <c r="C332" i="56"/>
  <c r="F332" i="56" s="1"/>
  <c r="G332" i="56" s="1"/>
  <c r="E332" i="56"/>
  <c r="D332" i="56"/>
  <c r="B332" i="56"/>
  <c r="C331" i="56"/>
  <c r="F331" i="56" s="1"/>
  <c r="G331" i="56" s="1"/>
  <c r="E331" i="56"/>
  <c r="D331" i="56"/>
  <c r="B331" i="56"/>
  <c r="C330" i="56"/>
  <c r="F330" i="56" s="1"/>
  <c r="G330" i="56" s="1"/>
  <c r="E330" i="56"/>
  <c r="D330" i="56"/>
  <c r="B330" i="56"/>
  <c r="C329" i="56"/>
  <c r="F329" i="56" s="1"/>
  <c r="G329" i="56" s="1"/>
  <c r="E329" i="56"/>
  <c r="D329" i="56"/>
  <c r="B329" i="56"/>
  <c r="C328" i="56"/>
  <c r="F328" i="56" s="1"/>
  <c r="G328" i="56" s="1"/>
  <c r="E328" i="56"/>
  <c r="D328" i="56"/>
  <c r="B328" i="56"/>
  <c r="C327" i="56"/>
  <c r="F327" i="56" s="1"/>
  <c r="G327" i="56" s="1"/>
  <c r="E327" i="56"/>
  <c r="D327" i="56"/>
  <c r="B327" i="56"/>
  <c r="C326" i="56"/>
  <c r="F326" i="56" s="1"/>
  <c r="G326" i="56"/>
  <c r="E326" i="56"/>
  <c r="D326" i="56"/>
  <c r="B326" i="56"/>
  <c r="C325" i="56"/>
  <c r="F325" i="56" s="1"/>
  <c r="G325" i="56" s="1"/>
  <c r="E325" i="56"/>
  <c r="D325" i="56"/>
  <c r="B325" i="56"/>
  <c r="C324" i="56"/>
  <c r="F324" i="56" s="1"/>
  <c r="G324" i="56" s="1"/>
  <c r="E324" i="56"/>
  <c r="D324" i="56"/>
  <c r="B324" i="56"/>
  <c r="C323" i="56"/>
  <c r="F323" i="56" s="1"/>
  <c r="G323" i="56" s="1"/>
  <c r="E323" i="56"/>
  <c r="D323" i="56"/>
  <c r="B323" i="56"/>
  <c r="C322" i="56"/>
  <c r="F322" i="56" s="1"/>
  <c r="G322" i="56" s="1"/>
  <c r="E322" i="56"/>
  <c r="D322" i="56"/>
  <c r="B322" i="56"/>
  <c r="C321" i="56"/>
  <c r="F321" i="56" s="1"/>
  <c r="G321" i="56" s="1"/>
  <c r="E321" i="56"/>
  <c r="D321" i="56"/>
  <c r="B321" i="56"/>
  <c r="C320" i="56"/>
  <c r="F320" i="56" s="1"/>
  <c r="G320" i="56" s="1"/>
  <c r="E320" i="56"/>
  <c r="D320" i="56"/>
  <c r="B320" i="56"/>
  <c r="C319" i="56"/>
  <c r="F319" i="56" s="1"/>
  <c r="G319" i="56" s="1"/>
  <c r="E319" i="56"/>
  <c r="D319" i="56"/>
  <c r="B319" i="56"/>
  <c r="C318" i="56"/>
  <c r="F318" i="56" s="1"/>
  <c r="G318" i="56" s="1"/>
  <c r="E318" i="56"/>
  <c r="D318" i="56"/>
  <c r="B318" i="56"/>
  <c r="C317" i="56"/>
  <c r="F317" i="56" s="1"/>
  <c r="G317" i="56" s="1"/>
  <c r="E317" i="56"/>
  <c r="D317" i="56"/>
  <c r="B317" i="56"/>
  <c r="C316" i="56"/>
  <c r="F316" i="56" s="1"/>
  <c r="G316" i="56" s="1"/>
  <c r="E316" i="56"/>
  <c r="D316" i="56"/>
  <c r="B316" i="56"/>
  <c r="C315" i="56"/>
  <c r="F315" i="56" s="1"/>
  <c r="G315" i="56" s="1"/>
  <c r="E315" i="56"/>
  <c r="D315" i="56"/>
  <c r="B315" i="56"/>
  <c r="C314" i="56"/>
  <c r="F314" i="56" s="1"/>
  <c r="G314" i="56"/>
  <c r="E314" i="56"/>
  <c r="D314" i="56"/>
  <c r="B314" i="56"/>
  <c r="C313" i="56"/>
  <c r="F313" i="56" s="1"/>
  <c r="G313" i="56" s="1"/>
  <c r="E313" i="56"/>
  <c r="D313" i="56"/>
  <c r="B313" i="56"/>
  <c r="C312" i="56"/>
  <c r="F312" i="56"/>
  <c r="G312" i="56" s="1"/>
  <c r="E312" i="56"/>
  <c r="D312" i="56"/>
  <c r="B312" i="56"/>
  <c r="C311" i="56"/>
  <c r="F311" i="56" s="1"/>
  <c r="G311" i="56"/>
  <c r="E311" i="56"/>
  <c r="D311" i="56"/>
  <c r="B311" i="56"/>
  <c r="C310" i="56"/>
  <c r="F310" i="56" s="1"/>
  <c r="G310" i="56" s="1"/>
  <c r="E310" i="56"/>
  <c r="D310" i="56"/>
  <c r="B310" i="56"/>
  <c r="C309" i="56"/>
  <c r="F309" i="56" s="1"/>
  <c r="G309" i="56" s="1"/>
  <c r="E309" i="56"/>
  <c r="D309" i="56"/>
  <c r="B309" i="56"/>
  <c r="T306" i="56"/>
  <c r="S306" i="56"/>
  <c r="M306" i="56"/>
  <c r="K306" i="56"/>
  <c r="C303" i="56"/>
  <c r="F303" i="56" s="1"/>
  <c r="G303" i="56" s="1"/>
  <c r="C300" i="56"/>
  <c r="F300" i="56" s="1"/>
  <c r="G300" i="56" s="1"/>
  <c r="E300" i="56"/>
  <c r="D300" i="56"/>
  <c r="B300" i="56"/>
  <c r="C299" i="56"/>
  <c r="F299" i="56" s="1"/>
  <c r="G299" i="56" s="1"/>
  <c r="E299" i="56"/>
  <c r="D299" i="56"/>
  <c r="B299" i="56"/>
  <c r="C298" i="56"/>
  <c r="F298" i="56" s="1"/>
  <c r="G298" i="56" s="1"/>
  <c r="E298" i="56"/>
  <c r="D298" i="56"/>
  <c r="B298" i="56"/>
  <c r="C297" i="56"/>
  <c r="F297" i="56" s="1"/>
  <c r="G297" i="56" s="1"/>
  <c r="E297" i="56"/>
  <c r="D297" i="56"/>
  <c r="B297" i="56"/>
  <c r="T294" i="56"/>
  <c r="S294" i="56"/>
  <c r="M294" i="56"/>
  <c r="K294" i="56"/>
  <c r="C291" i="56"/>
  <c r="G291" i="56" s="1"/>
  <c r="H291" i="56" s="1"/>
  <c r="F291" i="56"/>
  <c r="E291" i="56"/>
  <c r="D291" i="56"/>
  <c r="B291" i="56"/>
  <c r="C290" i="56"/>
  <c r="G290" i="56" s="1"/>
  <c r="H290" i="56" s="1"/>
  <c r="F290" i="56"/>
  <c r="E290" i="56"/>
  <c r="D290" i="56"/>
  <c r="B290" i="56"/>
  <c r="C289" i="56"/>
  <c r="G289" i="56" s="1"/>
  <c r="H289" i="56" s="1"/>
  <c r="F289" i="56"/>
  <c r="E289" i="56"/>
  <c r="D289" i="56"/>
  <c r="B289" i="56"/>
  <c r="C288" i="56"/>
  <c r="G288" i="56"/>
  <c r="H288" i="56" s="1"/>
  <c r="F288" i="56"/>
  <c r="E288" i="56"/>
  <c r="D288" i="56"/>
  <c r="B288" i="56"/>
  <c r="C287" i="56"/>
  <c r="G287" i="56"/>
  <c r="H287" i="56"/>
  <c r="F287" i="56"/>
  <c r="E287" i="56"/>
  <c r="D287" i="56"/>
  <c r="B287" i="56"/>
  <c r="C286" i="56"/>
  <c r="G286" i="56" s="1"/>
  <c r="H286" i="56" s="1"/>
  <c r="F286" i="56"/>
  <c r="E286" i="56"/>
  <c r="D286" i="56"/>
  <c r="B286" i="56"/>
  <c r="C285" i="56"/>
  <c r="G285" i="56"/>
  <c r="H285" i="56" s="1"/>
  <c r="F285" i="56"/>
  <c r="E285" i="56"/>
  <c r="D285" i="56"/>
  <c r="B285" i="56"/>
  <c r="C284" i="56"/>
  <c r="G284" i="56" s="1"/>
  <c r="H284" i="56"/>
  <c r="F284" i="56"/>
  <c r="E284" i="56"/>
  <c r="D284" i="56"/>
  <c r="B284" i="56"/>
  <c r="C283" i="56"/>
  <c r="G283" i="56" s="1"/>
  <c r="H283" i="56" s="1"/>
  <c r="F283" i="56"/>
  <c r="E283" i="56"/>
  <c r="D283" i="56"/>
  <c r="B283" i="56"/>
  <c r="C282" i="56"/>
  <c r="G282" i="56" s="1"/>
  <c r="H282" i="56" s="1"/>
  <c r="F282" i="56"/>
  <c r="E282" i="56"/>
  <c r="D282" i="56"/>
  <c r="B282" i="56"/>
  <c r="C281" i="56"/>
  <c r="G281" i="56" s="1"/>
  <c r="H281" i="56" s="1"/>
  <c r="F281" i="56"/>
  <c r="E281" i="56"/>
  <c r="D281" i="56"/>
  <c r="B281" i="56"/>
  <c r="C280" i="56"/>
  <c r="G280" i="56"/>
  <c r="H280" i="56" s="1"/>
  <c r="F280" i="56"/>
  <c r="E280" i="56"/>
  <c r="D280" i="56"/>
  <c r="B280" i="56"/>
  <c r="C279" i="56"/>
  <c r="G279" i="56"/>
  <c r="H279" i="56" s="1"/>
  <c r="F279" i="56"/>
  <c r="E279" i="56"/>
  <c r="D279" i="56"/>
  <c r="B279" i="56"/>
  <c r="C278" i="56"/>
  <c r="G278" i="56" s="1"/>
  <c r="H278" i="56" s="1"/>
  <c r="F278" i="56"/>
  <c r="E278" i="56"/>
  <c r="D278" i="56"/>
  <c r="B278" i="56"/>
  <c r="C277" i="56"/>
  <c r="G277" i="56" s="1"/>
  <c r="H277" i="56" s="1"/>
  <c r="F277" i="56"/>
  <c r="E277" i="56"/>
  <c r="D277" i="56"/>
  <c r="B277" i="56"/>
  <c r="C276" i="56"/>
  <c r="G276" i="56" s="1"/>
  <c r="H276" i="56" s="1"/>
  <c r="F276" i="56"/>
  <c r="E276" i="56"/>
  <c r="D276" i="56"/>
  <c r="B276" i="56"/>
  <c r="C275" i="56"/>
  <c r="G275" i="56" s="1"/>
  <c r="H275" i="56" s="1"/>
  <c r="F275" i="56"/>
  <c r="E275" i="56"/>
  <c r="D275" i="56"/>
  <c r="B275" i="56"/>
  <c r="C274" i="56"/>
  <c r="G274" i="56" s="1"/>
  <c r="H274" i="56" s="1"/>
  <c r="F274" i="56"/>
  <c r="E274" i="56"/>
  <c r="D274" i="56"/>
  <c r="B274" i="56"/>
  <c r="C273" i="56"/>
  <c r="G273" i="56" s="1"/>
  <c r="H273" i="56" s="1"/>
  <c r="F273" i="56"/>
  <c r="E273" i="56"/>
  <c r="D273" i="56"/>
  <c r="B273" i="56"/>
  <c r="C272" i="56"/>
  <c r="G272" i="56" s="1"/>
  <c r="H272" i="56" s="1"/>
  <c r="F272" i="56"/>
  <c r="E272" i="56"/>
  <c r="D272" i="56"/>
  <c r="B272" i="56"/>
  <c r="C271" i="56"/>
  <c r="G271" i="56" s="1"/>
  <c r="H271" i="56" s="1"/>
  <c r="F271" i="56"/>
  <c r="E271" i="56"/>
  <c r="D271" i="56"/>
  <c r="B271" i="56"/>
  <c r="C270" i="56"/>
  <c r="G270" i="56" s="1"/>
  <c r="H270" i="56"/>
  <c r="F270" i="56"/>
  <c r="E270" i="56"/>
  <c r="D270" i="56"/>
  <c r="B270" i="56"/>
  <c r="C269" i="56"/>
  <c r="G269" i="56" s="1"/>
  <c r="H269" i="56" s="1"/>
  <c r="F269" i="56"/>
  <c r="E269" i="56"/>
  <c r="D269" i="56"/>
  <c r="B269" i="56"/>
  <c r="C268" i="56"/>
  <c r="G268" i="56" s="1"/>
  <c r="H268" i="56" s="1"/>
  <c r="F268" i="56"/>
  <c r="E268" i="56"/>
  <c r="D268" i="56"/>
  <c r="B268" i="56"/>
  <c r="T265" i="56"/>
  <c r="S265" i="56"/>
  <c r="M265" i="56"/>
  <c r="K265" i="56"/>
  <c r="C262" i="56"/>
  <c r="F262" i="56" s="1"/>
  <c r="G262" i="56" s="1"/>
  <c r="E262" i="56"/>
  <c r="D262" i="56"/>
  <c r="B262" i="56"/>
  <c r="C261" i="56"/>
  <c r="F261" i="56" s="1"/>
  <c r="G261" i="56" s="1"/>
  <c r="E261" i="56"/>
  <c r="D261" i="56"/>
  <c r="B261" i="56"/>
  <c r="C260" i="56"/>
  <c r="F260" i="56" s="1"/>
  <c r="G260" i="56" s="1"/>
  <c r="E260" i="56"/>
  <c r="D260" i="56"/>
  <c r="B260" i="56"/>
  <c r="C259" i="56"/>
  <c r="F259" i="56" s="1"/>
  <c r="G259" i="56" s="1"/>
  <c r="E259" i="56"/>
  <c r="D259" i="56"/>
  <c r="B259" i="56"/>
  <c r="C258" i="56"/>
  <c r="F258" i="56"/>
  <c r="G258" i="56" s="1"/>
  <c r="E258" i="56"/>
  <c r="D258" i="56"/>
  <c r="B258" i="56"/>
  <c r="C257" i="56"/>
  <c r="F257" i="56"/>
  <c r="G257" i="56" s="1"/>
  <c r="E257" i="56"/>
  <c r="D257" i="56"/>
  <c r="B257" i="56"/>
  <c r="C256" i="56"/>
  <c r="F256" i="56" s="1"/>
  <c r="G256" i="56" s="1"/>
  <c r="E256" i="56"/>
  <c r="D256" i="56"/>
  <c r="B256" i="56"/>
  <c r="C255" i="56"/>
  <c r="F255" i="56" s="1"/>
  <c r="G255" i="56" s="1"/>
  <c r="E255" i="56"/>
  <c r="D255" i="56"/>
  <c r="B255" i="56"/>
  <c r="C254" i="56"/>
  <c r="F254" i="56" s="1"/>
  <c r="G254" i="56" s="1"/>
  <c r="E254" i="56"/>
  <c r="D254" i="56"/>
  <c r="B254" i="56"/>
  <c r="C253" i="56"/>
  <c r="F253" i="56" s="1"/>
  <c r="G253" i="56" s="1"/>
  <c r="E253" i="56"/>
  <c r="D253" i="56"/>
  <c r="B253" i="56"/>
  <c r="C252" i="56"/>
  <c r="F252" i="56" s="1"/>
  <c r="G252" i="56" s="1"/>
  <c r="E252" i="56"/>
  <c r="D252" i="56"/>
  <c r="B252" i="56"/>
  <c r="C251" i="56"/>
  <c r="F251" i="56" s="1"/>
  <c r="G251" i="56" s="1"/>
  <c r="E251" i="56"/>
  <c r="D251" i="56"/>
  <c r="B251" i="56"/>
  <c r="C250" i="56"/>
  <c r="F250" i="56"/>
  <c r="G250" i="56" s="1"/>
  <c r="E250" i="56"/>
  <c r="D250" i="56"/>
  <c r="B250" i="56"/>
  <c r="C249" i="56"/>
  <c r="F249" i="56" s="1"/>
  <c r="G249" i="56" s="1"/>
  <c r="E249" i="56"/>
  <c r="D249" i="56"/>
  <c r="B249" i="56"/>
  <c r="C248" i="56"/>
  <c r="F248" i="56" s="1"/>
  <c r="G248" i="56" s="1"/>
  <c r="E248" i="56"/>
  <c r="D248" i="56"/>
  <c r="B248" i="56"/>
  <c r="C247" i="56"/>
  <c r="F247" i="56" s="1"/>
  <c r="G247" i="56" s="1"/>
  <c r="E247" i="56"/>
  <c r="D247" i="56"/>
  <c r="B247" i="56"/>
  <c r="C246" i="56"/>
  <c r="F246" i="56" s="1"/>
  <c r="G246" i="56" s="1"/>
  <c r="E246" i="56"/>
  <c r="D246" i="56"/>
  <c r="B246" i="56"/>
  <c r="C245" i="56"/>
  <c r="F245" i="56" s="1"/>
  <c r="G245" i="56" s="1"/>
  <c r="E245" i="56"/>
  <c r="D245" i="56"/>
  <c r="B245" i="56"/>
  <c r="C244" i="56"/>
  <c r="F244" i="56" s="1"/>
  <c r="G244" i="56" s="1"/>
  <c r="E244" i="56"/>
  <c r="D244" i="56"/>
  <c r="B244" i="56"/>
  <c r="T242" i="56"/>
  <c r="S242" i="56"/>
  <c r="Q242" i="56" s="1"/>
  <c r="M242" i="56"/>
  <c r="K242" i="56"/>
  <c r="C239" i="56"/>
  <c r="F239" i="56" s="1"/>
  <c r="G239" i="56"/>
  <c r="E239" i="56"/>
  <c r="D239" i="56"/>
  <c r="B239" i="56"/>
  <c r="C238" i="56"/>
  <c r="F238" i="56" s="1"/>
  <c r="G238" i="56" s="1"/>
  <c r="E238" i="56"/>
  <c r="D238" i="56"/>
  <c r="B238" i="56"/>
  <c r="C237" i="56"/>
  <c r="F237" i="56"/>
  <c r="G237" i="56" s="1"/>
  <c r="E237" i="56"/>
  <c r="D237" i="56"/>
  <c r="B237" i="56"/>
  <c r="C236" i="56"/>
  <c r="F236" i="56" s="1"/>
  <c r="G236" i="56" s="1"/>
  <c r="E236" i="56"/>
  <c r="D236" i="56"/>
  <c r="B236" i="56"/>
  <c r="C235" i="56"/>
  <c r="F235" i="56" s="1"/>
  <c r="G235" i="56"/>
  <c r="E235" i="56"/>
  <c r="D235" i="56"/>
  <c r="B235" i="56"/>
  <c r="C234" i="56"/>
  <c r="F234" i="56" s="1"/>
  <c r="G234" i="56"/>
  <c r="E234" i="56"/>
  <c r="D234" i="56"/>
  <c r="B234" i="56"/>
  <c r="C233" i="56"/>
  <c r="F233" i="56" s="1"/>
  <c r="G233" i="56" s="1"/>
  <c r="E233" i="56"/>
  <c r="D233" i="56"/>
  <c r="B233" i="56"/>
  <c r="C232" i="56"/>
  <c r="F232" i="56" s="1"/>
  <c r="G232" i="56" s="1"/>
  <c r="E232" i="56"/>
  <c r="D232" i="56"/>
  <c r="B232" i="56"/>
  <c r="C231" i="56"/>
  <c r="F231" i="56" s="1"/>
  <c r="G231" i="56"/>
  <c r="E231" i="56"/>
  <c r="D231" i="56"/>
  <c r="B231" i="56"/>
  <c r="C230" i="56"/>
  <c r="F230" i="56" s="1"/>
  <c r="G230" i="56" s="1"/>
  <c r="E230" i="56"/>
  <c r="D230" i="56"/>
  <c r="B230" i="56"/>
  <c r="C229" i="56"/>
  <c r="F229" i="56"/>
  <c r="G229" i="56" s="1"/>
  <c r="E229" i="56"/>
  <c r="D229" i="56"/>
  <c r="B229" i="56"/>
  <c r="C228" i="56"/>
  <c r="F228" i="56" s="1"/>
  <c r="G228" i="56" s="1"/>
  <c r="E228" i="56"/>
  <c r="D228" i="56"/>
  <c r="B228" i="56"/>
  <c r="C227" i="56"/>
  <c r="F227" i="56" s="1"/>
  <c r="G227" i="56" s="1"/>
  <c r="E227" i="56"/>
  <c r="D227" i="56"/>
  <c r="B227" i="56"/>
  <c r="C226" i="56"/>
  <c r="F226" i="56" s="1"/>
  <c r="G226" i="56" s="1"/>
  <c r="E226" i="56"/>
  <c r="D226" i="56"/>
  <c r="B226" i="56"/>
  <c r="C225" i="56"/>
  <c r="F225" i="56" s="1"/>
  <c r="G225" i="56" s="1"/>
  <c r="E225" i="56"/>
  <c r="D225" i="56"/>
  <c r="B225" i="56"/>
  <c r="C224" i="56"/>
  <c r="F224" i="56" s="1"/>
  <c r="G224" i="56" s="1"/>
  <c r="E224" i="56"/>
  <c r="D224" i="56"/>
  <c r="B224" i="56"/>
  <c r="C223" i="56"/>
  <c r="F223" i="56" s="1"/>
  <c r="G223" i="56" s="1"/>
  <c r="E223" i="56"/>
  <c r="D223" i="56"/>
  <c r="B223" i="56"/>
  <c r="C222" i="56"/>
  <c r="F222" i="56" s="1"/>
  <c r="G222" i="56" s="1"/>
  <c r="E222" i="56"/>
  <c r="D222" i="56"/>
  <c r="B222" i="56"/>
  <c r="C221" i="56"/>
  <c r="F221" i="56" s="1"/>
  <c r="G221" i="56" s="1"/>
  <c r="E221" i="56"/>
  <c r="D221" i="56"/>
  <c r="B221" i="56"/>
  <c r="C220" i="56"/>
  <c r="F220" i="56" s="1"/>
  <c r="G220" i="56" s="1"/>
  <c r="E220" i="56"/>
  <c r="D220" i="56"/>
  <c r="B220" i="56"/>
  <c r="C219" i="56"/>
  <c r="F219" i="56" s="1"/>
  <c r="G219" i="56" s="1"/>
  <c r="E219" i="56"/>
  <c r="D219" i="56"/>
  <c r="B219" i="56"/>
  <c r="C218" i="56"/>
  <c r="F218" i="56" s="1"/>
  <c r="G218" i="56" s="1"/>
  <c r="E218" i="56"/>
  <c r="D218" i="56"/>
  <c r="B218" i="56"/>
  <c r="C217" i="56"/>
  <c r="F217" i="56" s="1"/>
  <c r="G217" i="56" s="1"/>
  <c r="E217" i="56"/>
  <c r="D217" i="56"/>
  <c r="B217" i="56"/>
  <c r="C216" i="56"/>
  <c r="F216" i="56"/>
  <c r="G216" i="56" s="1"/>
  <c r="E216" i="56"/>
  <c r="D216" i="56"/>
  <c r="B216" i="56"/>
  <c r="C215" i="56"/>
  <c r="F215" i="56" s="1"/>
  <c r="G215" i="56" s="1"/>
  <c r="E215" i="56"/>
  <c r="D215" i="56"/>
  <c r="B215" i="56"/>
  <c r="C214" i="56"/>
  <c r="F214" i="56" s="1"/>
  <c r="G214" i="56" s="1"/>
  <c r="E214" i="56"/>
  <c r="D214" i="56"/>
  <c r="B214" i="56"/>
  <c r="C213" i="56"/>
  <c r="F213" i="56"/>
  <c r="G213" i="56" s="1"/>
  <c r="E213" i="56"/>
  <c r="D213" i="56"/>
  <c r="B213" i="56"/>
  <c r="C212" i="56"/>
  <c r="F212" i="56" s="1"/>
  <c r="G212" i="56" s="1"/>
  <c r="E212" i="56"/>
  <c r="D212" i="56"/>
  <c r="B212" i="56"/>
  <c r="C211" i="56"/>
  <c r="F211" i="56" s="1"/>
  <c r="G211" i="56" s="1"/>
  <c r="E211" i="56"/>
  <c r="D211" i="56"/>
  <c r="B211" i="56"/>
  <c r="C210" i="56"/>
  <c r="F210" i="56" s="1"/>
  <c r="G210" i="56"/>
  <c r="E210" i="56"/>
  <c r="D210" i="56"/>
  <c r="B210" i="56"/>
  <c r="C209" i="56"/>
  <c r="F209" i="56"/>
  <c r="G209" i="56" s="1"/>
  <c r="E209" i="56"/>
  <c r="D209" i="56"/>
  <c r="B209" i="56"/>
  <c r="C208" i="56"/>
  <c r="F208" i="56"/>
  <c r="G208" i="56" s="1"/>
  <c r="E208" i="56"/>
  <c r="D208" i="56"/>
  <c r="B208" i="56"/>
  <c r="C207" i="56"/>
  <c r="F207" i="56" s="1"/>
  <c r="G207" i="56" s="1"/>
  <c r="E207" i="56"/>
  <c r="D207" i="56"/>
  <c r="B207" i="56"/>
  <c r="C206" i="56"/>
  <c r="F206" i="56" s="1"/>
  <c r="G206" i="56" s="1"/>
  <c r="E206" i="56"/>
  <c r="D206" i="56"/>
  <c r="B206" i="56"/>
  <c r="C205" i="56"/>
  <c r="F205" i="56" s="1"/>
  <c r="G205" i="56" s="1"/>
  <c r="E205" i="56"/>
  <c r="D205" i="56"/>
  <c r="B205" i="56"/>
  <c r="C204" i="56"/>
  <c r="F204" i="56" s="1"/>
  <c r="G204" i="56" s="1"/>
  <c r="E204" i="56"/>
  <c r="D204" i="56"/>
  <c r="B204" i="56"/>
  <c r="T202" i="56"/>
  <c r="S202" i="56"/>
  <c r="Q202" i="56" s="1"/>
  <c r="M202" i="56"/>
  <c r="K202" i="56"/>
  <c r="G199" i="56"/>
  <c r="C197" i="56"/>
  <c r="F197" i="56" s="1"/>
  <c r="G197" i="56" s="1"/>
  <c r="E197" i="56"/>
  <c r="D197" i="56"/>
  <c r="B197" i="56"/>
  <c r="C196" i="56"/>
  <c r="F196" i="56" s="1"/>
  <c r="G196" i="56" s="1"/>
  <c r="E196" i="56"/>
  <c r="D196" i="56"/>
  <c r="B196" i="56"/>
  <c r="C195" i="56"/>
  <c r="F195" i="56" s="1"/>
  <c r="G195" i="56" s="1"/>
  <c r="E195" i="56"/>
  <c r="D195" i="56"/>
  <c r="B195" i="56"/>
  <c r="C194" i="56"/>
  <c r="F194" i="56" s="1"/>
  <c r="G194" i="56" s="1"/>
  <c r="E194" i="56"/>
  <c r="D194" i="56"/>
  <c r="B194" i="56"/>
  <c r="C193" i="56"/>
  <c r="F193" i="56" s="1"/>
  <c r="G193" i="56"/>
  <c r="E193" i="56"/>
  <c r="D193" i="56"/>
  <c r="B193" i="56"/>
  <c r="E192" i="56"/>
  <c r="D192" i="56"/>
  <c r="C192" i="56"/>
  <c r="B192" i="56"/>
  <c r="C191" i="56"/>
  <c r="F191" i="56" s="1"/>
  <c r="G191" i="56" s="1"/>
  <c r="E191" i="56"/>
  <c r="D191" i="56"/>
  <c r="B191" i="56"/>
  <c r="C190" i="56"/>
  <c r="F190" i="56" s="1"/>
  <c r="G190" i="56" s="1"/>
  <c r="E190" i="56"/>
  <c r="D190" i="56"/>
  <c r="B190" i="56"/>
  <c r="C189" i="56"/>
  <c r="F189" i="56" s="1"/>
  <c r="G189" i="56" s="1"/>
  <c r="E189" i="56"/>
  <c r="D189" i="56"/>
  <c r="B189" i="56"/>
  <c r="E188" i="56"/>
  <c r="D188" i="56"/>
  <c r="C188" i="56"/>
  <c r="B188" i="56"/>
  <c r="C187" i="56"/>
  <c r="F187" i="56" s="1"/>
  <c r="G187" i="56" s="1"/>
  <c r="E187" i="56"/>
  <c r="D187" i="56"/>
  <c r="B187" i="56"/>
  <c r="C186" i="56"/>
  <c r="F186" i="56" s="1"/>
  <c r="G186" i="56" s="1"/>
  <c r="E186" i="56"/>
  <c r="D186" i="56"/>
  <c r="B186" i="56"/>
  <c r="C185" i="56"/>
  <c r="F185" i="56" s="1"/>
  <c r="G185" i="56" s="1"/>
  <c r="E185" i="56"/>
  <c r="D185" i="56"/>
  <c r="B185" i="56"/>
  <c r="C184" i="56"/>
  <c r="F184" i="56" s="1"/>
  <c r="G184" i="56"/>
  <c r="E184" i="56"/>
  <c r="D184" i="56"/>
  <c r="B184" i="56"/>
  <c r="C183" i="56"/>
  <c r="F183" i="56" s="1"/>
  <c r="G183" i="56" s="1"/>
  <c r="E183" i="56"/>
  <c r="D183" i="56"/>
  <c r="B183" i="56"/>
  <c r="C182" i="56"/>
  <c r="F182" i="56" s="1"/>
  <c r="G182" i="56" s="1"/>
  <c r="E182" i="56"/>
  <c r="D182" i="56"/>
  <c r="B182" i="56"/>
  <c r="E181" i="56"/>
  <c r="D181" i="56"/>
  <c r="C181" i="56"/>
  <c r="B181" i="56"/>
  <c r="E180" i="56"/>
  <c r="D180" i="56"/>
  <c r="C180" i="56"/>
  <c r="B180" i="56"/>
  <c r="T178" i="56"/>
  <c r="S178" i="56"/>
  <c r="M178" i="56"/>
  <c r="K178" i="56"/>
  <c r="C175" i="56"/>
  <c r="F175" i="56" s="1"/>
  <c r="G175" i="56" s="1"/>
  <c r="E175" i="56"/>
  <c r="D175" i="56"/>
  <c r="B175" i="56"/>
  <c r="C174" i="56"/>
  <c r="F174" i="56"/>
  <c r="G174" i="56" s="1"/>
  <c r="E174" i="56"/>
  <c r="D174" i="56"/>
  <c r="B174" i="56"/>
  <c r="C173" i="56"/>
  <c r="F173" i="56" s="1"/>
  <c r="G173" i="56" s="1"/>
  <c r="E173" i="56"/>
  <c r="D173" i="56"/>
  <c r="B173" i="56"/>
  <c r="C172" i="56"/>
  <c r="F172" i="56" s="1"/>
  <c r="G172" i="56" s="1"/>
  <c r="E172" i="56"/>
  <c r="D172" i="56"/>
  <c r="B172" i="56"/>
  <c r="C171" i="56"/>
  <c r="F171" i="56" s="1"/>
  <c r="G171" i="56"/>
  <c r="E171" i="56"/>
  <c r="D171" i="56"/>
  <c r="B171" i="56"/>
  <c r="C170" i="56"/>
  <c r="F170" i="56"/>
  <c r="G170" i="56" s="1"/>
  <c r="E170" i="56"/>
  <c r="D170" i="56"/>
  <c r="B170" i="56"/>
  <c r="C169" i="56"/>
  <c r="F169" i="56" s="1"/>
  <c r="G169" i="56" s="1"/>
  <c r="E169" i="56"/>
  <c r="D169" i="56"/>
  <c r="B169" i="56"/>
  <c r="C168" i="56"/>
  <c r="F168" i="56" s="1"/>
  <c r="G168" i="56" s="1"/>
  <c r="E168" i="56"/>
  <c r="D168" i="56"/>
  <c r="B168" i="56"/>
  <c r="C167" i="56"/>
  <c r="F167" i="56" s="1"/>
  <c r="G167" i="56" s="1"/>
  <c r="E167" i="56"/>
  <c r="D167" i="56"/>
  <c r="B167" i="56"/>
  <c r="C166" i="56"/>
  <c r="F166" i="56" s="1"/>
  <c r="G166" i="56" s="1"/>
  <c r="E166" i="56"/>
  <c r="D166" i="56"/>
  <c r="B166" i="56"/>
  <c r="C165" i="56"/>
  <c r="F165" i="56" s="1"/>
  <c r="G165" i="56" s="1"/>
  <c r="E165" i="56"/>
  <c r="D165" i="56"/>
  <c r="B165" i="56"/>
  <c r="C164" i="56"/>
  <c r="F164" i="56" s="1"/>
  <c r="G164" i="56"/>
  <c r="E164" i="56"/>
  <c r="D164" i="56"/>
  <c r="B164" i="56"/>
  <c r="C163" i="56"/>
  <c r="F163" i="56" s="1"/>
  <c r="G163" i="56" s="1"/>
  <c r="E163" i="56"/>
  <c r="D163" i="56"/>
  <c r="B163" i="56"/>
  <c r="C162" i="56"/>
  <c r="F162" i="56" s="1"/>
  <c r="G162" i="56" s="1"/>
  <c r="E162" i="56"/>
  <c r="D162" i="56"/>
  <c r="B162" i="56"/>
  <c r="C161" i="56"/>
  <c r="F161" i="56" s="1"/>
  <c r="G161" i="56" s="1"/>
  <c r="E161" i="56"/>
  <c r="D161" i="56"/>
  <c r="B161" i="56"/>
  <c r="C160" i="56"/>
  <c r="F160" i="56" s="1"/>
  <c r="G160" i="56"/>
  <c r="E160" i="56"/>
  <c r="D160" i="56"/>
  <c r="B160" i="56"/>
  <c r="C159" i="56"/>
  <c r="F159" i="56" s="1"/>
  <c r="G159" i="56" s="1"/>
  <c r="E159" i="56"/>
  <c r="D159" i="56"/>
  <c r="B159" i="56"/>
  <c r="C158" i="56"/>
  <c r="F158" i="56"/>
  <c r="G158" i="56"/>
  <c r="E158" i="56"/>
  <c r="D158" i="56"/>
  <c r="B158" i="56"/>
  <c r="C157" i="56"/>
  <c r="F157" i="56" s="1"/>
  <c r="G157" i="56" s="1"/>
  <c r="E157" i="56"/>
  <c r="D157" i="56"/>
  <c r="B157" i="56"/>
  <c r="C156" i="56"/>
  <c r="F156" i="56" s="1"/>
  <c r="G156" i="56" s="1"/>
  <c r="E156" i="56"/>
  <c r="D156" i="56"/>
  <c r="B156" i="56"/>
  <c r="C155" i="56"/>
  <c r="F155" i="56" s="1"/>
  <c r="G155" i="56" s="1"/>
  <c r="E155" i="56"/>
  <c r="D155" i="56"/>
  <c r="B155" i="56"/>
  <c r="C154" i="56"/>
  <c r="F154" i="56" s="1"/>
  <c r="G154" i="56" s="1"/>
  <c r="E154" i="56"/>
  <c r="D154" i="56"/>
  <c r="B154" i="56"/>
  <c r="C153" i="56"/>
  <c r="F153" i="56" s="1"/>
  <c r="G153" i="56" s="1"/>
  <c r="E153" i="56"/>
  <c r="D153" i="56"/>
  <c r="B153" i="56"/>
  <c r="C152" i="56"/>
  <c r="F152" i="56" s="1"/>
  <c r="G152" i="56" s="1"/>
  <c r="E152" i="56"/>
  <c r="D152" i="56"/>
  <c r="B152" i="56"/>
  <c r="C151" i="56"/>
  <c r="F151" i="56" s="1"/>
  <c r="G151" i="56" s="1"/>
  <c r="E151" i="56"/>
  <c r="D151" i="56"/>
  <c r="B151" i="56"/>
  <c r="C150" i="56"/>
  <c r="F150" i="56"/>
  <c r="G150" i="56" s="1"/>
  <c r="E150" i="56"/>
  <c r="D150" i="56"/>
  <c r="B150" i="56"/>
  <c r="C149" i="56"/>
  <c r="F149" i="56" s="1"/>
  <c r="G149" i="56" s="1"/>
  <c r="E149" i="56"/>
  <c r="D149" i="56"/>
  <c r="B149" i="56"/>
  <c r="C148" i="56"/>
  <c r="F148" i="56" s="1"/>
  <c r="G148" i="56"/>
  <c r="E148" i="56"/>
  <c r="D148" i="56"/>
  <c r="B148" i="56"/>
  <c r="C147" i="56"/>
  <c r="F147" i="56" s="1"/>
  <c r="G147" i="56" s="1"/>
  <c r="E147" i="56"/>
  <c r="D147" i="56"/>
  <c r="B147" i="56"/>
  <c r="C146" i="56"/>
  <c r="F146" i="56" s="1"/>
  <c r="G146" i="56" s="1"/>
  <c r="E146" i="56"/>
  <c r="D146" i="56"/>
  <c r="B146" i="56"/>
  <c r="C145" i="56"/>
  <c r="F145" i="56"/>
  <c r="G145" i="56" s="1"/>
  <c r="E145" i="56"/>
  <c r="D145" i="56"/>
  <c r="B145" i="56"/>
  <c r="C144" i="56"/>
  <c r="F144" i="56" s="1"/>
  <c r="G144" i="56" s="1"/>
  <c r="E144" i="56"/>
  <c r="D144" i="56"/>
  <c r="B144" i="56"/>
  <c r="C143" i="56"/>
  <c r="F143" i="56" s="1"/>
  <c r="G143" i="56" s="1"/>
  <c r="E143" i="56"/>
  <c r="D143" i="56"/>
  <c r="B143" i="56"/>
  <c r="C142" i="56"/>
  <c r="F142" i="56" s="1"/>
  <c r="G142" i="56" s="1"/>
  <c r="E142" i="56"/>
  <c r="D142" i="56"/>
  <c r="B142" i="56"/>
  <c r="C141" i="56"/>
  <c r="F141" i="56" s="1"/>
  <c r="G141" i="56" s="1"/>
  <c r="E141" i="56"/>
  <c r="D141" i="56"/>
  <c r="B141" i="56"/>
  <c r="C140" i="56"/>
  <c r="F140" i="56" s="1"/>
  <c r="G140" i="56"/>
  <c r="E140" i="56"/>
  <c r="D140" i="56"/>
  <c r="B140" i="56"/>
  <c r="C139" i="56"/>
  <c r="F139" i="56" s="1"/>
  <c r="G139" i="56"/>
  <c r="E139" i="56"/>
  <c r="D139" i="56"/>
  <c r="B139" i="56"/>
  <c r="C138" i="56"/>
  <c r="F138" i="56"/>
  <c r="G138" i="56" s="1"/>
  <c r="E138" i="56"/>
  <c r="D138" i="56"/>
  <c r="B138" i="56"/>
  <c r="C137" i="56"/>
  <c r="F137" i="56" s="1"/>
  <c r="G137" i="56" s="1"/>
  <c r="E137" i="56"/>
  <c r="D137" i="56"/>
  <c r="B137" i="56"/>
  <c r="C136" i="56"/>
  <c r="F136" i="56" s="1"/>
  <c r="G136" i="56" s="1"/>
  <c r="E136" i="56"/>
  <c r="D136" i="56"/>
  <c r="B136" i="56"/>
  <c r="C135" i="56"/>
  <c r="F135" i="56" s="1"/>
  <c r="G135" i="56" s="1"/>
  <c r="E135" i="56"/>
  <c r="D135" i="56"/>
  <c r="B135" i="56"/>
  <c r="C134" i="56"/>
  <c r="F134" i="56" s="1"/>
  <c r="G134" i="56" s="1"/>
  <c r="E134" i="56"/>
  <c r="D134" i="56"/>
  <c r="B134" i="56"/>
  <c r="C133" i="56"/>
  <c r="F133" i="56" s="1"/>
  <c r="G133" i="56" s="1"/>
  <c r="E133" i="56"/>
  <c r="D133" i="56"/>
  <c r="B133" i="56"/>
  <c r="C132" i="56"/>
  <c r="F132" i="56" s="1"/>
  <c r="G132" i="56" s="1"/>
  <c r="E132" i="56"/>
  <c r="D132" i="56"/>
  <c r="B132" i="56"/>
  <c r="C131" i="56"/>
  <c r="F131" i="56" s="1"/>
  <c r="G131" i="56" s="1"/>
  <c r="E131" i="56"/>
  <c r="D131" i="56"/>
  <c r="B131" i="56"/>
  <c r="C130" i="56"/>
  <c r="F130" i="56" s="1"/>
  <c r="G130" i="56" s="1"/>
  <c r="E130" i="56"/>
  <c r="D130" i="56"/>
  <c r="B130" i="56"/>
  <c r="C129" i="56"/>
  <c r="F129" i="56"/>
  <c r="G129" i="56" s="1"/>
  <c r="E129" i="56"/>
  <c r="D129" i="56"/>
  <c r="B129" i="56"/>
  <c r="C128" i="56"/>
  <c r="F128" i="56" s="1"/>
  <c r="G128" i="56" s="1"/>
  <c r="E128" i="56"/>
  <c r="D128" i="56"/>
  <c r="B128" i="56"/>
  <c r="C127" i="56"/>
  <c r="F127" i="56" s="1"/>
  <c r="G127" i="56" s="1"/>
  <c r="E127" i="56"/>
  <c r="D127" i="56"/>
  <c r="B127" i="56"/>
  <c r="C126" i="56"/>
  <c r="F126" i="56"/>
  <c r="G126" i="56" s="1"/>
  <c r="E126" i="56"/>
  <c r="D126" i="56"/>
  <c r="B126" i="56"/>
  <c r="C125" i="56"/>
  <c r="F125" i="56" s="1"/>
  <c r="G125" i="56" s="1"/>
  <c r="E125" i="56"/>
  <c r="D125" i="56"/>
  <c r="B125" i="56"/>
  <c r="C124" i="56"/>
  <c r="F124" i="56" s="1"/>
  <c r="G124" i="56" s="1"/>
  <c r="E124" i="56"/>
  <c r="D124" i="56"/>
  <c r="B124" i="56"/>
  <c r="C123" i="56"/>
  <c r="F123" i="56" s="1"/>
  <c r="G123" i="56"/>
  <c r="E123" i="56"/>
  <c r="D123" i="56"/>
  <c r="B123" i="56"/>
  <c r="C122" i="56"/>
  <c r="F122" i="56"/>
  <c r="G122" i="56" s="1"/>
  <c r="E122" i="56"/>
  <c r="D122" i="56"/>
  <c r="B122" i="56"/>
  <c r="C121" i="56"/>
  <c r="F121" i="56"/>
  <c r="G121" i="56" s="1"/>
  <c r="E121" i="56"/>
  <c r="D121" i="56"/>
  <c r="B121" i="56"/>
  <c r="C120" i="56"/>
  <c r="F120" i="56" s="1"/>
  <c r="G120" i="56" s="1"/>
  <c r="E120" i="56"/>
  <c r="D120" i="56"/>
  <c r="B120" i="56"/>
  <c r="C119" i="56"/>
  <c r="F119" i="56" s="1"/>
  <c r="G119" i="56" s="1"/>
  <c r="E119" i="56"/>
  <c r="D119" i="56"/>
  <c r="B119" i="56"/>
  <c r="C118" i="56"/>
  <c r="F118" i="56" s="1"/>
  <c r="G118" i="56" s="1"/>
  <c r="E118" i="56"/>
  <c r="D118" i="56"/>
  <c r="B118" i="56"/>
  <c r="C117" i="56"/>
  <c r="F117" i="56" s="1"/>
  <c r="G117" i="56" s="1"/>
  <c r="E117" i="56"/>
  <c r="D117" i="56"/>
  <c r="B117" i="56"/>
  <c r="C116" i="56"/>
  <c r="F116" i="56" s="1"/>
  <c r="G116" i="56"/>
  <c r="E116" i="56"/>
  <c r="D116" i="56"/>
  <c r="B116" i="56"/>
  <c r="C115" i="56"/>
  <c r="F115" i="56" s="1"/>
  <c r="G115" i="56" s="1"/>
  <c r="E115" i="56"/>
  <c r="D115" i="56"/>
  <c r="B115" i="56"/>
  <c r="C114" i="56"/>
  <c r="F114" i="56" s="1"/>
  <c r="G114" i="56" s="1"/>
  <c r="E114" i="56"/>
  <c r="D114" i="56"/>
  <c r="B114" i="56"/>
  <c r="C113" i="56"/>
  <c r="F113" i="56" s="1"/>
  <c r="G113" i="56" s="1"/>
  <c r="E113" i="56"/>
  <c r="D113" i="56"/>
  <c r="B113" i="56"/>
  <c r="C112" i="56"/>
  <c r="F112" i="56" s="1"/>
  <c r="G112" i="56"/>
  <c r="E112" i="56"/>
  <c r="D112" i="56"/>
  <c r="B112" i="56"/>
  <c r="C111" i="56"/>
  <c r="F111" i="56" s="1"/>
  <c r="G111" i="56" s="1"/>
  <c r="E111" i="56"/>
  <c r="D111" i="56"/>
  <c r="B111" i="56"/>
  <c r="C110" i="56"/>
  <c r="F110" i="56"/>
  <c r="G110" i="56"/>
  <c r="E110" i="56"/>
  <c r="D110" i="56"/>
  <c r="B110" i="56"/>
  <c r="C109" i="56"/>
  <c r="F109" i="56" s="1"/>
  <c r="G109" i="56" s="1"/>
  <c r="E109" i="56"/>
  <c r="D109" i="56"/>
  <c r="B109" i="56"/>
  <c r="C108" i="56"/>
  <c r="F108" i="56" s="1"/>
  <c r="G108" i="56" s="1"/>
  <c r="E108" i="56"/>
  <c r="D108" i="56"/>
  <c r="B108" i="56"/>
  <c r="C107" i="56"/>
  <c r="F107" i="56" s="1"/>
  <c r="G107" i="56" s="1"/>
  <c r="E107" i="56"/>
  <c r="D107" i="56"/>
  <c r="B107" i="56"/>
  <c r="C106" i="56"/>
  <c r="F106" i="56" s="1"/>
  <c r="G106" i="56" s="1"/>
  <c r="E106" i="56"/>
  <c r="D106" i="56"/>
  <c r="B106" i="56"/>
  <c r="C105" i="56"/>
  <c r="F105" i="56" s="1"/>
  <c r="G105" i="56" s="1"/>
  <c r="E105" i="56"/>
  <c r="D105" i="56"/>
  <c r="B105" i="56"/>
  <c r="C104" i="56"/>
  <c r="F104" i="56" s="1"/>
  <c r="G104" i="56" s="1"/>
  <c r="E104" i="56"/>
  <c r="D104" i="56"/>
  <c r="B104" i="56"/>
  <c r="C103" i="56"/>
  <c r="F103" i="56" s="1"/>
  <c r="G103" i="56" s="1"/>
  <c r="E103" i="56"/>
  <c r="D103" i="56"/>
  <c r="B103" i="56"/>
  <c r="C102" i="56"/>
  <c r="F102" i="56"/>
  <c r="G102" i="56" s="1"/>
  <c r="E102" i="56"/>
  <c r="D102" i="56"/>
  <c r="B102" i="56"/>
  <c r="C101" i="56"/>
  <c r="F101" i="56" s="1"/>
  <c r="G101" i="56" s="1"/>
  <c r="E101" i="56"/>
  <c r="D101" i="56"/>
  <c r="B101" i="56"/>
  <c r="C100" i="56"/>
  <c r="F100" i="56" s="1"/>
  <c r="G100" i="56"/>
  <c r="E100" i="56"/>
  <c r="D100" i="56"/>
  <c r="B100" i="56"/>
  <c r="C99" i="56"/>
  <c r="F99" i="56" s="1"/>
  <c r="G99" i="56" s="1"/>
  <c r="E99" i="56"/>
  <c r="D99" i="56"/>
  <c r="B99" i="56"/>
  <c r="C98" i="56"/>
  <c r="F98" i="56" s="1"/>
  <c r="G98" i="56" s="1"/>
  <c r="E98" i="56"/>
  <c r="D98" i="56"/>
  <c r="B98" i="56"/>
  <c r="C97" i="56"/>
  <c r="F97" i="56"/>
  <c r="G97" i="56" s="1"/>
  <c r="E97" i="56"/>
  <c r="D97" i="56"/>
  <c r="B97" i="56"/>
  <c r="C96" i="56"/>
  <c r="F96" i="56" s="1"/>
  <c r="G96" i="56" s="1"/>
  <c r="E96" i="56"/>
  <c r="D96" i="56"/>
  <c r="B96" i="56"/>
  <c r="C95" i="56"/>
  <c r="F95" i="56" s="1"/>
  <c r="G95" i="56" s="1"/>
  <c r="E95" i="56"/>
  <c r="D95" i="56"/>
  <c r="B95" i="56"/>
  <c r="C94" i="56"/>
  <c r="F94" i="56" s="1"/>
  <c r="G94" i="56" s="1"/>
  <c r="E94" i="56"/>
  <c r="D94" i="56"/>
  <c r="B94" i="56"/>
  <c r="C93" i="56"/>
  <c r="F93" i="56"/>
  <c r="G93" i="56" s="1"/>
  <c r="E93" i="56"/>
  <c r="D93" i="56"/>
  <c r="B93" i="56"/>
  <c r="C92" i="56"/>
  <c r="F92" i="56" s="1"/>
  <c r="G92" i="56"/>
  <c r="E92" i="56"/>
  <c r="D92" i="56"/>
  <c r="B92" i="56"/>
  <c r="C91" i="56"/>
  <c r="F91" i="56" s="1"/>
  <c r="G91" i="56"/>
  <c r="E91" i="56"/>
  <c r="D91" i="56"/>
  <c r="B91" i="56"/>
  <c r="C90" i="56"/>
  <c r="F90" i="56"/>
  <c r="G90" i="56" s="1"/>
  <c r="E90" i="56"/>
  <c r="D90" i="56"/>
  <c r="B90" i="56"/>
  <c r="T88" i="56"/>
  <c r="Q88" i="56" s="1"/>
  <c r="S88" i="56"/>
  <c r="M88" i="56"/>
  <c r="K88" i="56"/>
  <c r="C85" i="56"/>
  <c r="F85" i="56" s="1"/>
  <c r="G85" i="56"/>
  <c r="C83" i="56"/>
  <c r="F83" i="56"/>
  <c r="G83" i="56" s="1"/>
  <c r="E83" i="56"/>
  <c r="D83" i="56"/>
  <c r="B83" i="56"/>
  <c r="C82" i="56"/>
  <c r="F82" i="56"/>
  <c r="G82" i="56" s="1"/>
  <c r="E82" i="56"/>
  <c r="D82" i="56"/>
  <c r="B82" i="56"/>
  <c r="C81" i="56"/>
  <c r="F81" i="56" s="1"/>
  <c r="G81" i="56" s="1"/>
  <c r="E81" i="56"/>
  <c r="D81" i="56"/>
  <c r="B81" i="56"/>
  <c r="C80" i="56"/>
  <c r="F80" i="56" s="1"/>
  <c r="G80" i="56" s="1"/>
  <c r="E80" i="56"/>
  <c r="D80" i="56"/>
  <c r="B80" i="56"/>
  <c r="C79" i="56"/>
  <c r="F79" i="56" s="1"/>
  <c r="G79" i="56" s="1"/>
  <c r="E79" i="56"/>
  <c r="D79" i="56"/>
  <c r="B79" i="56"/>
  <c r="C78" i="56"/>
  <c r="F78" i="56"/>
  <c r="G78" i="56" s="1"/>
  <c r="E78" i="56"/>
  <c r="D78" i="56"/>
  <c r="B78" i="56"/>
  <c r="C77" i="56"/>
  <c r="F77" i="56" s="1"/>
  <c r="G77" i="56" s="1"/>
  <c r="E77" i="56"/>
  <c r="D77" i="56"/>
  <c r="B77" i="56"/>
  <c r="C76" i="56"/>
  <c r="F76" i="56" s="1"/>
  <c r="G76" i="56" s="1"/>
  <c r="E76" i="56"/>
  <c r="D76" i="56"/>
  <c r="B76" i="56"/>
  <c r="C75" i="56"/>
  <c r="F75" i="56"/>
  <c r="G75" i="56" s="1"/>
  <c r="E75" i="56"/>
  <c r="D75" i="56"/>
  <c r="B75" i="56"/>
  <c r="C74" i="56"/>
  <c r="F74" i="56"/>
  <c r="G74" i="56" s="1"/>
  <c r="E74" i="56"/>
  <c r="D74" i="56"/>
  <c r="B74" i="56"/>
  <c r="C73" i="56"/>
  <c r="F73" i="56"/>
  <c r="G73" i="56" s="1"/>
  <c r="E73" i="56"/>
  <c r="D73" i="56"/>
  <c r="B73" i="56"/>
  <c r="C72" i="56"/>
  <c r="F72" i="56" s="1"/>
  <c r="G72" i="56" s="1"/>
  <c r="E72" i="56"/>
  <c r="D72" i="56"/>
  <c r="B72" i="56"/>
  <c r="C71" i="56"/>
  <c r="F71" i="56" s="1"/>
  <c r="G71" i="56" s="1"/>
  <c r="E71" i="56"/>
  <c r="D71" i="56"/>
  <c r="B71" i="56"/>
  <c r="T69" i="56"/>
  <c r="S69" i="56"/>
  <c r="M69" i="56"/>
  <c r="K69" i="56"/>
  <c r="C66" i="56"/>
  <c r="F66" i="56"/>
  <c r="G66" i="56" s="1"/>
  <c r="E66" i="56"/>
  <c r="D66" i="56"/>
  <c r="B66" i="56"/>
  <c r="C65" i="56"/>
  <c r="F65" i="56"/>
  <c r="G65" i="56" s="1"/>
  <c r="E65" i="56"/>
  <c r="D65" i="56"/>
  <c r="B65" i="56"/>
  <c r="C64" i="56"/>
  <c r="F64" i="56" s="1"/>
  <c r="G64" i="56" s="1"/>
  <c r="E64" i="56"/>
  <c r="D64" i="56"/>
  <c r="B64" i="56"/>
  <c r="C63" i="56"/>
  <c r="F63" i="56" s="1"/>
  <c r="G63" i="56" s="1"/>
  <c r="E63" i="56"/>
  <c r="D63" i="56"/>
  <c r="B63" i="56"/>
  <c r="C62" i="56"/>
  <c r="F62" i="56" s="1"/>
  <c r="G62" i="56" s="1"/>
  <c r="E62" i="56"/>
  <c r="D62" i="56"/>
  <c r="B62" i="56"/>
  <c r="C61" i="56"/>
  <c r="F61" i="56" s="1"/>
  <c r="G61" i="56" s="1"/>
  <c r="E61" i="56"/>
  <c r="D61" i="56"/>
  <c r="B61" i="56"/>
  <c r="C60" i="56"/>
  <c r="F60" i="56" s="1"/>
  <c r="G60" i="56" s="1"/>
  <c r="E60" i="56"/>
  <c r="D60" i="56"/>
  <c r="B60" i="56"/>
  <c r="C59" i="56"/>
  <c r="F59" i="56" s="1"/>
  <c r="G59" i="56" s="1"/>
  <c r="E59" i="56"/>
  <c r="D59" i="56"/>
  <c r="B59" i="56"/>
  <c r="C58" i="56"/>
  <c r="F58" i="56" s="1"/>
  <c r="G58" i="56" s="1"/>
  <c r="E58" i="56"/>
  <c r="D58" i="56"/>
  <c r="B58" i="56"/>
  <c r="C57" i="56"/>
  <c r="F57" i="56"/>
  <c r="G57" i="56"/>
  <c r="E57" i="56"/>
  <c r="D57" i="56"/>
  <c r="B57" i="56"/>
  <c r="C56" i="56"/>
  <c r="F56" i="56" s="1"/>
  <c r="G56" i="56" s="1"/>
  <c r="E56" i="56"/>
  <c r="D56" i="56"/>
  <c r="B56" i="56"/>
  <c r="C55" i="56"/>
  <c r="F55" i="56" s="1"/>
  <c r="G55" i="56" s="1"/>
  <c r="E55" i="56"/>
  <c r="D55" i="56"/>
  <c r="B55" i="56"/>
  <c r="C54" i="56"/>
  <c r="F54" i="56"/>
  <c r="G54" i="56" s="1"/>
  <c r="E54" i="56"/>
  <c r="D54" i="56"/>
  <c r="B54" i="56"/>
  <c r="C53" i="56"/>
  <c r="F53" i="56" s="1"/>
  <c r="G53" i="56" s="1"/>
  <c r="E53" i="56"/>
  <c r="D53" i="56"/>
  <c r="B53" i="56"/>
  <c r="C52" i="56"/>
  <c r="F52" i="56" s="1"/>
  <c r="G52" i="56" s="1"/>
  <c r="E52" i="56"/>
  <c r="D52" i="56"/>
  <c r="B52" i="56"/>
  <c r="C51" i="56"/>
  <c r="F51" i="56" s="1"/>
  <c r="G51" i="56" s="1"/>
  <c r="E51" i="56"/>
  <c r="D51" i="56"/>
  <c r="B51" i="56"/>
  <c r="C50" i="56"/>
  <c r="F50" i="56"/>
  <c r="G50" i="56" s="1"/>
  <c r="E50" i="56"/>
  <c r="D50" i="56"/>
  <c r="B50" i="56"/>
  <c r="C49" i="56"/>
  <c r="F49" i="56"/>
  <c r="G49" i="56" s="1"/>
  <c r="E49" i="56"/>
  <c r="D49" i="56"/>
  <c r="B49" i="56"/>
  <c r="C48" i="56"/>
  <c r="F48" i="56" s="1"/>
  <c r="G48" i="56" s="1"/>
  <c r="E48" i="56"/>
  <c r="D48" i="56"/>
  <c r="B48" i="56"/>
  <c r="C47" i="56"/>
  <c r="F47" i="56" s="1"/>
  <c r="G47" i="56" s="1"/>
  <c r="E47" i="56"/>
  <c r="D47" i="56"/>
  <c r="B47" i="56"/>
  <c r="C46" i="56"/>
  <c r="F46" i="56" s="1"/>
  <c r="G46" i="56" s="1"/>
  <c r="E46" i="56"/>
  <c r="D46" i="56"/>
  <c r="B46" i="56"/>
  <c r="C45" i="56"/>
  <c r="F45" i="56" s="1"/>
  <c r="G45" i="56" s="1"/>
  <c r="E45" i="56"/>
  <c r="D45" i="56"/>
  <c r="B45" i="56"/>
  <c r="C44" i="56"/>
  <c r="F44" i="56" s="1"/>
  <c r="G44" i="56"/>
  <c r="E44" i="56"/>
  <c r="D44" i="56"/>
  <c r="B44" i="56"/>
  <c r="C43" i="56"/>
  <c r="F43" i="56" s="1"/>
  <c r="G43" i="56" s="1"/>
  <c r="E43" i="56"/>
  <c r="D43" i="56"/>
  <c r="B43" i="56"/>
  <c r="C42" i="56"/>
  <c r="F42" i="56" s="1"/>
  <c r="G42" i="56" s="1"/>
  <c r="E42" i="56"/>
  <c r="D42" i="56"/>
  <c r="B42" i="56"/>
  <c r="C41" i="56"/>
  <c r="F41" i="56" s="1"/>
  <c r="G41" i="56" s="1"/>
  <c r="E41" i="56"/>
  <c r="D41" i="56"/>
  <c r="B41" i="56"/>
  <c r="C40" i="56"/>
  <c r="F40" i="56" s="1"/>
  <c r="G40" i="56"/>
  <c r="E40" i="56"/>
  <c r="D40" i="56"/>
  <c r="B40" i="56"/>
  <c r="T38" i="56"/>
  <c r="S38" i="56"/>
  <c r="M38" i="56"/>
  <c r="K38" i="56"/>
  <c r="C35" i="56"/>
  <c r="F35" i="56" s="1"/>
  <c r="G35" i="56" s="1"/>
  <c r="E35" i="56"/>
  <c r="D35" i="56"/>
  <c r="B35" i="56"/>
  <c r="C34" i="56"/>
  <c r="F34" i="56" s="1"/>
  <c r="G34" i="56" s="1"/>
  <c r="E34" i="56"/>
  <c r="D34" i="56"/>
  <c r="B34" i="56"/>
  <c r="C33" i="56"/>
  <c r="F33" i="56" s="1"/>
  <c r="G33" i="56" s="1"/>
  <c r="E33" i="56"/>
  <c r="D33" i="56"/>
  <c r="B33" i="56"/>
  <c r="C32" i="56"/>
  <c r="F32" i="56" s="1"/>
  <c r="G32" i="56" s="1"/>
  <c r="E32" i="56"/>
  <c r="D32" i="56"/>
  <c r="B32" i="56"/>
  <c r="C31" i="56"/>
  <c r="F31" i="56" s="1"/>
  <c r="G31" i="56" s="1"/>
  <c r="E31" i="56"/>
  <c r="D31" i="56"/>
  <c r="B31" i="56"/>
  <c r="C30" i="56"/>
  <c r="F30" i="56" s="1"/>
  <c r="G30" i="56" s="1"/>
  <c r="E30" i="56"/>
  <c r="D30" i="56"/>
  <c r="B30" i="56"/>
  <c r="C29" i="56"/>
  <c r="F29" i="56" s="1"/>
  <c r="G29" i="56" s="1"/>
  <c r="E29" i="56"/>
  <c r="D29" i="56"/>
  <c r="B29" i="56"/>
  <c r="C28" i="56"/>
  <c r="F28" i="56" s="1"/>
  <c r="G28" i="56" s="1"/>
  <c r="E28" i="56"/>
  <c r="D28" i="56"/>
  <c r="B28" i="56"/>
  <c r="C27" i="56"/>
  <c r="F27" i="56" s="1"/>
  <c r="G27" i="56" s="1"/>
  <c r="E27" i="56"/>
  <c r="D27" i="56"/>
  <c r="B27" i="56"/>
  <c r="C26" i="56"/>
  <c r="F26" i="56" s="1"/>
  <c r="G26" i="56" s="1"/>
  <c r="E26" i="56"/>
  <c r="D26" i="56"/>
  <c r="B26" i="56"/>
  <c r="C25" i="56"/>
  <c r="F25" i="56" s="1"/>
  <c r="G25" i="56" s="1"/>
  <c r="E25" i="56"/>
  <c r="D25" i="56"/>
  <c r="C24" i="56"/>
  <c r="F24" i="56" s="1"/>
  <c r="G24" i="56" s="1"/>
  <c r="E24" i="56"/>
  <c r="D24" i="56"/>
  <c r="B24" i="56"/>
  <c r="C23" i="56"/>
  <c r="F23" i="56"/>
  <c r="G23" i="56" s="1"/>
  <c r="E23" i="56"/>
  <c r="D23" i="56"/>
  <c r="B23" i="56"/>
  <c r="C22" i="56"/>
  <c r="F22" i="56" s="1"/>
  <c r="G22" i="56" s="1"/>
  <c r="E22" i="56"/>
  <c r="D22" i="56"/>
  <c r="B22" i="56"/>
  <c r="C21" i="56"/>
  <c r="F21" i="56" s="1"/>
  <c r="G21" i="56" s="1"/>
  <c r="E21" i="56"/>
  <c r="D21" i="56"/>
  <c r="B21" i="56"/>
  <c r="C20" i="56"/>
  <c r="F20" i="56"/>
  <c r="G20" i="56" s="1"/>
  <c r="E20" i="56"/>
  <c r="D20" i="56"/>
  <c r="B20" i="56"/>
  <c r="C19" i="56"/>
  <c r="F19" i="56" s="1"/>
  <c r="G19" i="56" s="1"/>
  <c r="E19" i="56"/>
  <c r="D19" i="56"/>
  <c r="B19" i="56"/>
  <c r="C18" i="56"/>
  <c r="F18" i="56"/>
  <c r="G18" i="56" s="1"/>
  <c r="E18" i="56"/>
  <c r="D18" i="56"/>
  <c r="B18" i="56"/>
  <c r="C17" i="56"/>
  <c r="F17" i="56"/>
  <c r="G17" i="56" s="1"/>
  <c r="E17" i="56"/>
  <c r="D17" i="56"/>
  <c r="B17" i="56"/>
  <c r="C16" i="56"/>
  <c r="F16" i="56"/>
  <c r="G16" i="56" s="1"/>
  <c r="E16" i="56"/>
  <c r="D16" i="56"/>
  <c r="B16" i="56"/>
  <c r="C15" i="56"/>
  <c r="F15" i="56"/>
  <c r="G15" i="56" s="1"/>
  <c r="E15" i="56"/>
  <c r="D15" i="56"/>
  <c r="B15" i="56"/>
  <c r="T13" i="56"/>
  <c r="S13" i="56"/>
  <c r="Q13" i="56" s="1"/>
  <c r="M13" i="56"/>
  <c r="K13" i="56"/>
  <c r="T10" i="56"/>
  <c r="S10" i="56"/>
  <c r="Q10" i="56" s="1"/>
  <c r="M10" i="56"/>
  <c r="K10" i="56"/>
  <c r="T9" i="56"/>
  <c r="S9" i="56"/>
  <c r="M9" i="56"/>
  <c r="K9" i="56"/>
  <c r="T8" i="56"/>
  <c r="S8" i="56"/>
  <c r="M8" i="56"/>
  <c r="K8" i="56"/>
  <c r="T7" i="56"/>
  <c r="S7" i="56"/>
  <c r="Q7" i="56"/>
  <c r="M7" i="56"/>
  <c r="K7" i="56"/>
  <c r="T6" i="56"/>
  <c r="S6" i="56"/>
  <c r="Q6" i="56" s="1"/>
  <c r="M6" i="56"/>
  <c r="K6" i="56"/>
  <c r="T5" i="56"/>
  <c r="S5" i="56"/>
  <c r="M5" i="56"/>
  <c r="K5" i="56"/>
  <c r="T4" i="56"/>
  <c r="S4" i="56"/>
  <c r="Q4" i="56" s="1"/>
  <c r="M4" i="56"/>
  <c r="K4" i="56"/>
  <c r="T3" i="56"/>
  <c r="S3" i="56"/>
  <c r="M3" i="56"/>
  <c r="K3" i="56"/>
  <c r="T2" i="56"/>
  <c r="S2" i="56"/>
  <c r="M2" i="56"/>
  <c r="K2" i="56"/>
  <c r="T1" i="56"/>
  <c r="Q1" i="56" s="1"/>
  <c r="S1" i="56"/>
  <c r="M1" i="56"/>
  <c r="K1" i="56"/>
  <c r="N2" i="55"/>
  <c r="P2" i="55"/>
  <c r="I2" i="55"/>
  <c r="V2" i="55"/>
  <c r="N3" i="55"/>
  <c r="P3" i="55"/>
  <c r="H7" i="55"/>
  <c r="I7" i="55" s="1"/>
  <c r="N17" i="55"/>
  <c r="P17" i="55"/>
  <c r="H17" i="55"/>
  <c r="I17" i="55" s="1"/>
  <c r="V17" i="55"/>
  <c r="N52" i="55"/>
  <c r="P52" i="55"/>
  <c r="V52" i="55"/>
  <c r="G54" i="55"/>
  <c r="H54" i="55"/>
  <c r="G57" i="55"/>
  <c r="H57" i="55"/>
  <c r="G60" i="55"/>
  <c r="H60" i="55"/>
  <c r="H68" i="55"/>
  <c r="I68" i="55" s="1"/>
  <c r="N68" i="55"/>
  <c r="P68" i="55"/>
  <c r="V68" i="55"/>
  <c r="N79" i="55"/>
  <c r="P79" i="55"/>
  <c r="H79" i="55"/>
  <c r="I79" i="55"/>
  <c r="V79" i="55"/>
  <c r="N96" i="55"/>
  <c r="P96" i="55"/>
  <c r="H96" i="55"/>
  <c r="I96" i="55"/>
  <c r="V96" i="55"/>
  <c r="H104" i="55"/>
  <c r="I104" i="55"/>
  <c r="N104" i="55"/>
  <c r="P104" i="55"/>
  <c r="V104" i="55"/>
  <c r="H138" i="55"/>
  <c r="N141" i="55"/>
  <c r="P141" i="55"/>
  <c r="H141" i="55"/>
  <c r="I141" i="55" s="1"/>
  <c r="V141" i="55"/>
  <c r="N161" i="55"/>
  <c r="P161" i="55"/>
  <c r="H161" i="55"/>
  <c r="I161" i="55" s="1"/>
  <c r="V161" i="55"/>
  <c r="N162" i="55"/>
  <c r="P162" i="55"/>
  <c r="N182" i="55"/>
  <c r="P182" i="55"/>
  <c r="H182" i="55"/>
  <c r="I182" i="55" s="1"/>
  <c r="V182" i="55"/>
  <c r="N183" i="55"/>
  <c r="P183" i="55"/>
  <c r="N194" i="55"/>
  <c r="P194" i="55"/>
  <c r="H194" i="55"/>
  <c r="I194" i="55" s="1"/>
  <c r="V194" i="55"/>
  <c r="H196" i="55"/>
  <c r="H211" i="55"/>
  <c r="H214" i="55"/>
  <c r="H221" i="55"/>
  <c r="H222" i="55"/>
  <c r="H230" i="55"/>
  <c r="H237" i="55"/>
  <c r="N241" i="55"/>
  <c r="P241" i="55"/>
  <c r="H241" i="55"/>
  <c r="I241" i="55" s="1"/>
  <c r="V241" i="55"/>
  <c r="H262" i="55"/>
  <c r="I262" i="55"/>
  <c r="N262" i="55"/>
  <c r="P262" i="55"/>
  <c r="V262" i="55"/>
  <c r="H264" i="55"/>
  <c r="H267" i="55"/>
  <c r="H269" i="55"/>
  <c r="H272" i="55"/>
  <c r="H273" i="55"/>
  <c r="H274" i="55"/>
  <c r="H276" i="55"/>
  <c r="H339" i="55"/>
  <c r="I339" i="55" s="1"/>
  <c r="N339" i="55"/>
  <c r="P339" i="55"/>
  <c r="V339" i="55"/>
  <c r="N359" i="55"/>
  <c r="P359" i="55"/>
  <c r="H359" i="55"/>
  <c r="I359" i="55" s="1"/>
  <c r="V359" i="55"/>
  <c r="N374" i="55"/>
  <c r="P374" i="55"/>
  <c r="H374" i="55"/>
  <c r="I374" i="55"/>
  <c r="V374" i="55"/>
  <c r="H404" i="55"/>
  <c r="I404" i="55"/>
  <c r="N404" i="55"/>
  <c r="P404" i="55"/>
  <c r="V404" i="55"/>
  <c r="N420" i="55"/>
  <c r="P420" i="55"/>
  <c r="H420" i="55"/>
  <c r="I420" i="55" s="1"/>
  <c r="V420" i="55"/>
  <c r="N428" i="55"/>
  <c r="P428" i="55"/>
  <c r="H428" i="55"/>
  <c r="I428" i="55" s="1"/>
  <c r="V428" i="55"/>
  <c r="H439" i="55"/>
  <c r="I439" i="55" s="1"/>
  <c r="N439" i="55"/>
  <c r="P439" i="55"/>
  <c r="V439" i="55"/>
  <c r="N483" i="55"/>
  <c r="P483" i="55"/>
  <c r="H483" i="55"/>
  <c r="I483" i="55" s="1"/>
  <c r="V483" i="55"/>
  <c r="N492" i="55"/>
  <c r="P492" i="55"/>
  <c r="H492" i="55"/>
  <c r="I492" i="55"/>
  <c r="V492" i="55"/>
  <c r="N507" i="55"/>
  <c r="P507" i="55"/>
  <c r="H507" i="55"/>
  <c r="I507" i="55" s="1"/>
  <c r="V507" i="55"/>
  <c r="H529" i="55"/>
  <c r="I529" i="55" s="1"/>
  <c r="N529" i="55"/>
  <c r="P529" i="55"/>
  <c r="V529" i="55"/>
  <c r="H531" i="55"/>
  <c r="H534" i="55"/>
  <c r="H535" i="55"/>
  <c r="H536" i="55"/>
  <c r="N544" i="55"/>
  <c r="P544" i="55"/>
  <c r="H544" i="55"/>
  <c r="I544" i="55" s="1"/>
  <c r="V544" i="55"/>
  <c r="H556" i="55"/>
  <c r="I556" i="55" s="1"/>
  <c r="N556" i="55"/>
  <c r="P556" i="55"/>
  <c r="V556" i="55"/>
  <c r="H568" i="55"/>
  <c r="I568" i="55" s="1"/>
  <c r="N568" i="55"/>
  <c r="P568" i="55"/>
  <c r="V568" i="55"/>
  <c r="N573" i="55"/>
  <c r="P573" i="55"/>
  <c r="H573" i="55"/>
  <c r="I573" i="55" s="1"/>
  <c r="V573" i="55"/>
  <c r="N590" i="55"/>
  <c r="P590" i="55"/>
  <c r="H590" i="55"/>
  <c r="I590" i="55" s="1"/>
  <c r="V590" i="55"/>
  <c r="N605" i="55"/>
  <c r="P605" i="55"/>
  <c r="H605" i="55"/>
  <c r="I605" i="55" s="1"/>
  <c r="V605" i="55"/>
  <c r="N618" i="55"/>
  <c r="P618" i="55"/>
  <c r="H618" i="55"/>
  <c r="I618" i="55" s="1"/>
  <c r="V618" i="55"/>
  <c r="N619" i="55"/>
  <c r="P619" i="55"/>
  <c r="N620" i="55"/>
  <c r="P620" i="55"/>
  <c r="H628" i="55"/>
  <c r="I628" i="55"/>
  <c r="N628" i="55"/>
  <c r="P628" i="55"/>
  <c r="V628" i="55"/>
  <c r="H634" i="55"/>
  <c r="I634" i="55" s="1"/>
  <c r="N634" i="55"/>
  <c r="P634" i="55"/>
  <c r="V634" i="55"/>
  <c r="H636" i="55"/>
  <c r="H640" i="55"/>
  <c r="H643" i="55"/>
  <c r="E661" i="55"/>
  <c r="E662" i="55"/>
  <c r="E663" i="55"/>
  <c r="E664" i="55"/>
  <c r="E665" i="55"/>
  <c r="E666" i="55"/>
  <c r="E667" i="55"/>
  <c r="E668" i="55"/>
  <c r="E669" i="55"/>
  <c r="E670" i="55"/>
  <c r="E671" i="55"/>
  <c r="E672" i="55"/>
  <c r="E673" i="55"/>
  <c r="E674" i="55"/>
  <c r="E675" i="55"/>
  <c r="E676" i="55"/>
  <c r="E677" i="55"/>
  <c r="E678" i="55"/>
  <c r="E679" i="55"/>
  <c r="E680" i="55"/>
  <c r="E681" i="55"/>
  <c r="E682" i="55"/>
  <c r="E683" i="55"/>
  <c r="E684" i="55"/>
  <c r="E685" i="55"/>
  <c r="E686" i="55"/>
  <c r="E687" i="55"/>
  <c r="E688" i="55"/>
  <c r="E689" i="55"/>
  <c r="E690" i="55"/>
  <c r="E691" i="55"/>
  <c r="E692" i="55"/>
  <c r="E693" i="55"/>
  <c r="E694" i="55"/>
  <c r="E695" i="55"/>
  <c r="E696" i="55"/>
  <c r="E697" i="55"/>
  <c r="E698" i="55"/>
  <c r="E699" i="55"/>
  <c r="E700" i="55"/>
  <c r="E701" i="55"/>
  <c r="E702" i="55"/>
  <c r="H705" i="55"/>
  <c r="I705" i="55" s="1"/>
  <c r="N705" i="55"/>
  <c r="P705" i="55"/>
  <c r="V705" i="55"/>
  <c r="E707" i="55"/>
  <c r="G707" i="55"/>
  <c r="H707" i="55"/>
  <c r="E708" i="55"/>
  <c r="G708" i="55"/>
  <c r="H708" i="55"/>
  <c r="E709" i="55"/>
  <c r="G709" i="55"/>
  <c r="H709" i="55"/>
  <c r="E710" i="55"/>
  <c r="E711" i="55"/>
  <c r="E712" i="55"/>
  <c r="H715" i="55"/>
  <c r="I715" i="55"/>
  <c r="N715" i="55"/>
  <c r="P715" i="55"/>
  <c r="V715" i="55"/>
  <c r="G717" i="55"/>
  <c r="H717" i="55"/>
  <c r="G718" i="55"/>
  <c r="H718" i="55"/>
  <c r="G719" i="55"/>
  <c r="H719" i="55"/>
  <c r="G720" i="55"/>
  <c r="H720" i="55"/>
  <c r="G722" i="55"/>
  <c r="H722" i="55"/>
  <c r="G723" i="55"/>
  <c r="H723" i="55"/>
  <c r="E724" i="55"/>
  <c r="G724" i="55"/>
  <c r="H724" i="55"/>
  <c r="G725" i="55"/>
  <c r="H725" i="55"/>
  <c r="E750" i="55"/>
  <c r="H761" i="55"/>
  <c r="I761" i="55" s="1"/>
  <c r="N761" i="55"/>
  <c r="P761" i="55"/>
  <c r="V761" i="55"/>
  <c r="G763" i="55"/>
  <c r="H763" i="55"/>
  <c r="E764" i="55"/>
  <c r="G764" i="55"/>
  <c r="H764" i="55"/>
  <c r="E765" i="55"/>
  <c r="G765" i="55"/>
  <c r="H765" i="55"/>
  <c r="E766" i="55"/>
  <c r="G766" i="55"/>
  <c r="H766" i="55"/>
  <c r="H769" i="55"/>
  <c r="I769" i="55" s="1"/>
  <c r="N769" i="55"/>
  <c r="P769" i="55"/>
  <c r="V769" i="55"/>
  <c r="E771" i="55"/>
  <c r="G771" i="55"/>
  <c r="H771" i="55"/>
  <c r="E772" i="55"/>
  <c r="G772" i="55"/>
  <c r="H772" i="55"/>
  <c r="E773" i="55"/>
  <c r="E774" i="55"/>
  <c r="E775" i="55"/>
  <c r="G775" i="55"/>
  <c r="H775" i="55"/>
  <c r="E776" i="55"/>
  <c r="G776" i="55"/>
  <c r="H776" i="55"/>
  <c r="E777" i="55"/>
  <c r="E778" i="55"/>
  <c r="G778" i="55"/>
  <c r="H778" i="55"/>
  <c r="H781" i="55"/>
  <c r="I781" i="55"/>
  <c r="N781" i="55"/>
  <c r="P781" i="55"/>
  <c r="V781" i="55"/>
  <c r="E783" i="55"/>
  <c r="G783" i="55"/>
  <c r="H783" i="55"/>
  <c r="E784" i="55"/>
  <c r="G784" i="55"/>
  <c r="H784" i="55"/>
  <c r="E785" i="55"/>
  <c r="E786" i="55"/>
  <c r="G786" i="55"/>
  <c r="H786" i="55"/>
  <c r="E787" i="55"/>
  <c r="E788" i="55"/>
  <c r="G788" i="55"/>
  <c r="H788" i="55"/>
  <c r="E789" i="55"/>
  <c r="G789" i="55"/>
  <c r="H789" i="55"/>
  <c r="E790" i="55"/>
  <c r="E791" i="55"/>
  <c r="G791" i="55"/>
  <c r="H791" i="55"/>
  <c r="E792" i="55"/>
  <c r="G792" i="55"/>
  <c r="H792" i="55"/>
  <c r="E793" i="55"/>
  <c r="H796" i="55"/>
  <c r="I796" i="55" s="1"/>
  <c r="N796" i="55"/>
  <c r="P796" i="55"/>
  <c r="V796" i="55"/>
  <c r="G801" i="55"/>
  <c r="H801" i="55"/>
  <c r="G802" i="55"/>
  <c r="H802" i="55"/>
  <c r="E803" i="55"/>
  <c r="H806" i="55"/>
  <c r="I806" i="55" s="1"/>
  <c r="N806" i="55"/>
  <c r="P806" i="55"/>
  <c r="V806" i="55"/>
  <c r="G809" i="55"/>
  <c r="H809" i="55"/>
  <c r="G812" i="55"/>
  <c r="H812" i="55"/>
  <c r="G815" i="55"/>
  <c r="H815" i="55"/>
  <c r="G816" i="55"/>
  <c r="H816" i="55"/>
  <c r="H827" i="55"/>
  <c r="I827" i="55" s="1"/>
  <c r="N827" i="55"/>
  <c r="P827" i="55"/>
  <c r="V827" i="55"/>
  <c r="G829" i="55"/>
  <c r="H829" i="55"/>
  <c r="E831" i="55"/>
  <c r="G831" i="55"/>
  <c r="H831" i="55"/>
  <c r="G832" i="55"/>
  <c r="H832" i="55"/>
  <c r="G835" i="55"/>
  <c r="H835" i="55"/>
  <c r="G836" i="55"/>
  <c r="H836" i="55"/>
  <c r="G837" i="55"/>
  <c r="H837" i="55"/>
  <c r="H857" i="55"/>
  <c r="I857" i="55" s="1"/>
  <c r="N857" i="55"/>
  <c r="P857" i="55"/>
  <c r="V857" i="55"/>
  <c r="G859" i="55"/>
  <c r="H859" i="55"/>
  <c r="G862" i="55"/>
  <c r="H862" i="55"/>
  <c r="G863" i="55"/>
  <c r="H863" i="55"/>
  <c r="G866" i="55"/>
  <c r="H866" i="55"/>
  <c r="G867" i="55"/>
  <c r="H867" i="55"/>
  <c r="G868" i="55"/>
  <c r="H868" i="55"/>
  <c r="G871" i="55"/>
  <c r="H871" i="55"/>
  <c r="G874" i="55"/>
  <c r="H874" i="55"/>
  <c r="E886" i="55"/>
  <c r="E887" i="55"/>
  <c r="H903" i="55"/>
  <c r="I903" i="55" s="1"/>
  <c r="N903" i="55"/>
  <c r="P903" i="55"/>
  <c r="V903" i="55"/>
  <c r="G905" i="55"/>
  <c r="H905" i="55"/>
  <c r="E907" i="55"/>
  <c r="G907" i="55"/>
  <c r="H907" i="55"/>
  <c r="E909" i="55"/>
  <c r="G909" i="55"/>
  <c r="H909" i="55"/>
  <c r="H919" i="55"/>
  <c r="I919" i="55"/>
  <c r="N919" i="55"/>
  <c r="P919" i="55"/>
  <c r="V919" i="55"/>
  <c r="E922" i="55"/>
  <c r="E923" i="55"/>
  <c r="E924" i="55"/>
  <c r="E925" i="55"/>
  <c r="E926" i="55"/>
  <c r="G927" i="55"/>
  <c r="H927" i="55"/>
  <c r="E928" i="55"/>
  <c r="G929" i="55"/>
  <c r="H929" i="55"/>
  <c r="E930" i="55"/>
  <c r="G931" i="55"/>
  <c r="H931" i="55"/>
  <c r="E932" i="55"/>
  <c r="G933" i="55"/>
  <c r="H933" i="55"/>
  <c r="E934" i="55"/>
  <c r="E936" i="55"/>
  <c r="E937" i="55"/>
  <c r="E938" i="55"/>
  <c r="E940" i="55"/>
  <c r="G945" i="55"/>
  <c r="H945" i="55"/>
  <c r="E946" i="55"/>
  <c r="E954" i="55"/>
  <c r="E955" i="55"/>
  <c r="G956" i="55"/>
  <c r="H956" i="55"/>
  <c r="E957" i="55"/>
  <c r="E959" i="55"/>
  <c r="G959" i="55"/>
  <c r="H959" i="55"/>
  <c r="E960" i="55"/>
  <c r="E961" i="55"/>
  <c r="G962" i="55"/>
  <c r="H962" i="55"/>
  <c r="H965" i="55"/>
  <c r="I965" i="55" s="1"/>
  <c r="N965" i="55"/>
  <c r="P965" i="55"/>
  <c r="V965" i="55"/>
  <c r="E967" i="55"/>
  <c r="E968" i="55"/>
  <c r="E969" i="55"/>
  <c r="G969" i="55"/>
  <c r="H969" i="55"/>
  <c r="E970" i="55"/>
  <c r="E971" i="55"/>
  <c r="E972" i="55"/>
  <c r="E973" i="55"/>
  <c r="E974" i="55"/>
  <c r="E975" i="55"/>
  <c r="G975" i="55"/>
  <c r="H975" i="55"/>
  <c r="E976" i="55"/>
  <c r="E977" i="55"/>
  <c r="E978" i="55"/>
  <c r="G978" i="55"/>
  <c r="H978" i="55"/>
  <c r="E979" i="55"/>
  <c r="E980" i="55"/>
  <c r="E981" i="55"/>
  <c r="E982" i="55"/>
  <c r="G982" i="55"/>
  <c r="H982" i="55"/>
  <c r="E983" i="55"/>
  <c r="E984" i="55"/>
  <c r="H987" i="55"/>
  <c r="I987" i="55" s="1"/>
  <c r="N987" i="55"/>
  <c r="P987" i="55"/>
  <c r="V987" i="55"/>
  <c r="G995" i="55"/>
  <c r="H995" i="55"/>
  <c r="E1001" i="55"/>
  <c r="G1002" i="55"/>
  <c r="H1002" i="55"/>
  <c r="E1004" i="55"/>
  <c r="G1004" i="55"/>
  <c r="H1004" i="55"/>
  <c r="E1005" i="55"/>
  <c r="E1006" i="55"/>
  <c r="E1009" i="55"/>
  <c r="G1011" i="55"/>
  <c r="H1011" i="55"/>
  <c r="G1012" i="55"/>
  <c r="H1012" i="55"/>
  <c r="E1013" i="55"/>
  <c r="G1013" i="55"/>
  <c r="H1013" i="55"/>
  <c r="G1014" i="55"/>
  <c r="H1014" i="55"/>
  <c r="G1015" i="55"/>
  <c r="H1015" i="55"/>
  <c r="E1017" i="55"/>
  <c r="H1021" i="55"/>
  <c r="I1021" i="55" s="1"/>
  <c r="N1021" i="55"/>
  <c r="P1021" i="55"/>
  <c r="V1021" i="55"/>
  <c r="G1023" i="55"/>
  <c r="H1023" i="55"/>
  <c r="G1024" i="55"/>
  <c r="H1024" i="55"/>
  <c r="G1025" i="55"/>
  <c r="H1025" i="55"/>
  <c r="G1026" i="55"/>
  <c r="H1026" i="55"/>
  <c r="G1030" i="55"/>
  <c r="H1030" i="55"/>
  <c r="G1031" i="55"/>
  <c r="H1031" i="55"/>
  <c r="G1032" i="55"/>
  <c r="H1032" i="55"/>
  <c r="H1035" i="55"/>
  <c r="I1035" i="55" s="1"/>
  <c r="N1035" i="55"/>
  <c r="P1035" i="55"/>
  <c r="V1035" i="55"/>
  <c r="E1037" i="55"/>
  <c r="G1037" i="55"/>
  <c r="H1037" i="55"/>
  <c r="E1038" i="55"/>
  <c r="G1038" i="55"/>
  <c r="H1038" i="55"/>
  <c r="E1039" i="55"/>
  <c r="G1039" i="55"/>
  <c r="H1039" i="55"/>
  <c r="E1040" i="55"/>
  <c r="G1040" i="55"/>
  <c r="H1040" i="55"/>
  <c r="E1041" i="55"/>
  <c r="E1042" i="55"/>
  <c r="E1043" i="55"/>
  <c r="G1043" i="55"/>
  <c r="H1043" i="55"/>
  <c r="E1044" i="55"/>
  <c r="E1045" i="55"/>
  <c r="G1045" i="55"/>
  <c r="H1045" i="55"/>
  <c r="E1046" i="55"/>
  <c r="G1046" i="55"/>
  <c r="H1046" i="55"/>
  <c r="E1047" i="55"/>
  <c r="E1048" i="55"/>
  <c r="E1049" i="55"/>
  <c r="E1050" i="55"/>
  <c r="G1050" i="55"/>
  <c r="H1050" i="55"/>
  <c r="E1051" i="55"/>
  <c r="H1054" i="55"/>
  <c r="I1054" i="55" s="1"/>
  <c r="N1054" i="55"/>
  <c r="P1054" i="55"/>
  <c r="V1054" i="55"/>
  <c r="G1056" i="55"/>
  <c r="H1056" i="55"/>
  <c r="G1057" i="55"/>
  <c r="H1057" i="55"/>
  <c r="G1058" i="55"/>
  <c r="H1058" i="55"/>
  <c r="G1060" i="55"/>
  <c r="H1060" i="55"/>
  <c r="G1061" i="55"/>
  <c r="H1061" i="55"/>
  <c r="H1064" i="55"/>
  <c r="I1064" i="55" s="1"/>
  <c r="N1064" i="55"/>
  <c r="P1064" i="55"/>
  <c r="V1064" i="55"/>
  <c r="E1066" i="55"/>
  <c r="G1066" i="55"/>
  <c r="H1066" i="55"/>
  <c r="E1067" i="55"/>
  <c r="G1067" i="55"/>
  <c r="H1067" i="55"/>
  <c r="E1068" i="55"/>
  <c r="E1069" i="55"/>
  <c r="E1070" i="55"/>
  <c r="G1070" i="55"/>
  <c r="H1070" i="55"/>
  <c r="E1071" i="55"/>
  <c r="G1071" i="55"/>
  <c r="H1071" i="55"/>
  <c r="E1072" i="55"/>
  <c r="E1073" i="55"/>
  <c r="E1074" i="55"/>
  <c r="G1074" i="55"/>
  <c r="H1074" i="55"/>
  <c r="E1075" i="55"/>
  <c r="E1076" i="55"/>
  <c r="G1076" i="55"/>
  <c r="H1076" i="55"/>
  <c r="E1077" i="55"/>
  <c r="E1078" i="55"/>
  <c r="G1078" i="55"/>
  <c r="H1078" i="55"/>
  <c r="E1079" i="55"/>
  <c r="E1080" i="55"/>
  <c r="G1080" i="55"/>
  <c r="H1080" i="55"/>
  <c r="E1081" i="55"/>
  <c r="H1084" i="55"/>
  <c r="I1084" i="55"/>
  <c r="N1084" i="55"/>
  <c r="P1084" i="55"/>
  <c r="V1084" i="55"/>
  <c r="N1085" i="55"/>
  <c r="P1085" i="55"/>
  <c r="N1086" i="55"/>
  <c r="P1086" i="55"/>
  <c r="E1088" i="55"/>
  <c r="G1088" i="55"/>
  <c r="H1088" i="55"/>
  <c r="E1089" i="55"/>
  <c r="G1089" i="55"/>
  <c r="H1089" i="55"/>
  <c r="E1090" i="55"/>
  <c r="G1090" i="55"/>
  <c r="H1090" i="55"/>
  <c r="E1091" i="55"/>
  <c r="G1091" i="55"/>
  <c r="H1091" i="55"/>
  <c r="H1094" i="55"/>
  <c r="I1094" i="55" s="1"/>
  <c r="N1094" i="55"/>
  <c r="P1094" i="55"/>
  <c r="V1094" i="55"/>
  <c r="G1096" i="55"/>
  <c r="H1096" i="55"/>
  <c r="G1099" i="55"/>
  <c r="H1099" i="55"/>
  <c r="G1101" i="55"/>
  <c r="H1101" i="55"/>
  <c r="G1104" i="55"/>
  <c r="H1104" i="55"/>
  <c r="G1107" i="55"/>
  <c r="H1107" i="55"/>
  <c r="G1108" i="55"/>
  <c r="H1108" i="55"/>
  <c r="H1118" i="55"/>
  <c r="I1118" i="55" s="1"/>
  <c r="N1118" i="55"/>
  <c r="P1118" i="55"/>
  <c r="V1118" i="55"/>
  <c r="E1120" i="55"/>
  <c r="G1120" i="55"/>
  <c r="H1120" i="55"/>
  <c r="E1121" i="55"/>
  <c r="G1121" i="55"/>
  <c r="H1121" i="55"/>
  <c r="E1122" i="55"/>
  <c r="G1122" i="55"/>
  <c r="H1122" i="55"/>
  <c r="E1123" i="55"/>
  <c r="G1123" i="55"/>
  <c r="H1123" i="55"/>
  <c r="H1126" i="55"/>
  <c r="I1126" i="55" s="1"/>
  <c r="N1126" i="55"/>
  <c r="P1126" i="55"/>
  <c r="V1126" i="55"/>
  <c r="E1132" i="55"/>
  <c r="E1135" i="55"/>
  <c r="G1135" i="55"/>
  <c r="H1135" i="55"/>
  <c r="G1136" i="55"/>
  <c r="H1136" i="55"/>
  <c r="H1139" i="55"/>
  <c r="I1139" i="55" s="1"/>
  <c r="N1139" i="55"/>
  <c r="P1139" i="55"/>
  <c r="V1139" i="55"/>
  <c r="G1149" i="55"/>
  <c r="H1149" i="55"/>
  <c r="G1150" i="55"/>
  <c r="H1150" i="55"/>
  <c r="G1154" i="55"/>
  <c r="H1154" i="55"/>
  <c r="G1155" i="55"/>
  <c r="H1155" i="55"/>
  <c r="H1161" i="55"/>
  <c r="I1161" i="55" s="1"/>
  <c r="N1161" i="55"/>
  <c r="P1161" i="55"/>
  <c r="V1161" i="55"/>
  <c r="G1163" i="55"/>
  <c r="H1163" i="55"/>
  <c r="G1164" i="55"/>
  <c r="H1164" i="55"/>
  <c r="G1165" i="55"/>
  <c r="H1165" i="55"/>
  <c r="G1166" i="55"/>
  <c r="H1166" i="55"/>
  <c r="G1167" i="55"/>
  <c r="H1167" i="55"/>
  <c r="H1168" i="55"/>
  <c r="H1171" i="55"/>
  <c r="I1171" i="55" s="1"/>
  <c r="N1171" i="55"/>
  <c r="P1171" i="55"/>
  <c r="V1171" i="55"/>
  <c r="E1173" i="55"/>
  <c r="G1173" i="55"/>
  <c r="H1173" i="55"/>
  <c r="E1174" i="55"/>
  <c r="E1175" i="55"/>
  <c r="E1176" i="55"/>
  <c r="G1176" i="55"/>
  <c r="H1176" i="55"/>
  <c r="E1177" i="55"/>
  <c r="E1178" i="55"/>
  <c r="E1179" i="55"/>
  <c r="G1179" i="55"/>
  <c r="H1179" i="55"/>
  <c r="E1180" i="55"/>
  <c r="E1181" i="55"/>
  <c r="E1182" i="55"/>
  <c r="G1182" i="55"/>
  <c r="H1182" i="55"/>
  <c r="E1183" i="55"/>
  <c r="E1184" i="55"/>
  <c r="G1184" i="55"/>
  <c r="H1184" i="55"/>
  <c r="H1187" i="55"/>
  <c r="I1187" i="55" s="1"/>
  <c r="N1187" i="55"/>
  <c r="P1187" i="55"/>
  <c r="V1187" i="55"/>
  <c r="G1190" i="55"/>
  <c r="H1190" i="55"/>
  <c r="G1192" i="55"/>
  <c r="H1192" i="55"/>
  <c r="G1196" i="55"/>
  <c r="H1196" i="55"/>
  <c r="G1204" i="55"/>
  <c r="H1204" i="55"/>
  <c r="G1207" i="55"/>
  <c r="H1207" i="55"/>
  <c r="G1210" i="55"/>
  <c r="H1210" i="55"/>
  <c r="H1215" i="55"/>
  <c r="I1215" i="55" s="1"/>
  <c r="N1215" i="55"/>
  <c r="P1215" i="55"/>
  <c r="V1215" i="55"/>
  <c r="E1217" i="55"/>
  <c r="G1217" i="55"/>
  <c r="H1217" i="55"/>
  <c r="E1218" i="55"/>
  <c r="E1219" i="55"/>
  <c r="E1220" i="55"/>
  <c r="E1221" i="55"/>
  <c r="E1222" i="55"/>
  <c r="E1223" i="55"/>
  <c r="G1223" i="55"/>
  <c r="H1223" i="55"/>
  <c r="E1224" i="55"/>
  <c r="E1225" i="55"/>
  <c r="G1225" i="55"/>
  <c r="H1225" i="55"/>
  <c r="E1226" i="55"/>
  <c r="G1226" i="55"/>
  <c r="H1226" i="55"/>
  <c r="H1231" i="55"/>
  <c r="I1231" i="55" s="1"/>
  <c r="N1231" i="55"/>
  <c r="P1231" i="55"/>
  <c r="V1231" i="55"/>
  <c r="G1233" i="55"/>
  <c r="H1233" i="55"/>
  <c r="G1240" i="55"/>
  <c r="H1240" i="55"/>
  <c r="G1242" i="55"/>
  <c r="H1242" i="55"/>
  <c r="G1243" i="55"/>
  <c r="H1243" i="55"/>
  <c r="G1247" i="55"/>
  <c r="H1247" i="55"/>
  <c r="H1250" i="55"/>
  <c r="I1250" i="55" s="1"/>
  <c r="N1250" i="55"/>
  <c r="P1250" i="55"/>
  <c r="V1250" i="55"/>
  <c r="G1252" i="55"/>
  <c r="H1255" i="55"/>
  <c r="I1255" i="55" s="1"/>
  <c r="N1255" i="55"/>
  <c r="P1255" i="55"/>
  <c r="V1255" i="55"/>
  <c r="G1261" i="55"/>
  <c r="H1261" i="55"/>
  <c r="H1265" i="55"/>
  <c r="I1265" i="55" s="1"/>
  <c r="N1265" i="55"/>
  <c r="P1265" i="55"/>
  <c r="V1265" i="55"/>
  <c r="G1267" i="55"/>
  <c r="H1267" i="55"/>
  <c r="G1268" i="55"/>
  <c r="H1268" i="55"/>
  <c r="E1269" i="55"/>
  <c r="E1270" i="55"/>
  <c r="G1271" i="55"/>
  <c r="H1271" i="55"/>
  <c r="G1275" i="55"/>
  <c r="H1275" i="55"/>
  <c r="H1278" i="55"/>
  <c r="I1278" i="55" s="1"/>
  <c r="N1278" i="55"/>
  <c r="P1278" i="55"/>
  <c r="Y1278" i="55"/>
  <c r="V1278" i="55" s="1"/>
  <c r="E1280" i="55"/>
  <c r="G1280" i="55"/>
  <c r="H1280" i="55"/>
  <c r="E1281" i="55"/>
  <c r="G1281" i="55"/>
  <c r="H1281" i="55"/>
  <c r="E1282" i="55"/>
  <c r="E1283" i="55"/>
  <c r="G1283" i="55"/>
  <c r="H1283" i="55"/>
  <c r="E1284" i="55"/>
  <c r="E1285" i="55"/>
  <c r="E1286" i="55"/>
  <c r="E1287" i="55"/>
  <c r="E1288" i="55"/>
  <c r="G1288" i="55"/>
  <c r="H1288" i="55"/>
  <c r="E1289" i="55"/>
  <c r="E1290" i="55"/>
  <c r="E1291" i="55"/>
  <c r="E1292" i="55"/>
  <c r="H1295" i="55"/>
  <c r="I1295" i="55"/>
  <c r="N1295" i="55"/>
  <c r="P1295" i="55"/>
  <c r="V1295" i="55"/>
  <c r="E1297" i="55"/>
  <c r="G1297" i="55"/>
  <c r="H1297" i="55"/>
  <c r="E1298" i="55"/>
  <c r="G1298" i="55"/>
  <c r="H1298" i="55"/>
  <c r="E1299" i="55"/>
  <c r="E1300" i="55"/>
  <c r="E1301" i="55"/>
  <c r="G1301" i="55"/>
  <c r="H1301" i="55"/>
  <c r="E1302" i="55"/>
  <c r="E1303" i="55"/>
  <c r="E1304" i="55"/>
  <c r="G1304" i="55"/>
  <c r="H1304" i="55"/>
  <c r="E1305" i="55"/>
  <c r="E1306" i="55"/>
  <c r="H1309" i="55"/>
  <c r="I1309" i="55" s="1"/>
  <c r="N1309" i="55"/>
  <c r="P1309" i="55"/>
  <c r="V1309" i="55"/>
  <c r="E1311" i="55"/>
  <c r="E1312" i="55"/>
  <c r="E1313" i="55"/>
  <c r="E1314" i="55"/>
  <c r="E1315" i="55"/>
  <c r="E1316" i="55"/>
  <c r="E1317" i="55"/>
  <c r="E1318" i="55"/>
  <c r="G1318" i="55"/>
  <c r="H1318" i="55"/>
  <c r="E1319" i="55"/>
  <c r="E1320" i="55"/>
  <c r="E1321" i="55"/>
  <c r="E1322" i="55"/>
  <c r="E1323" i="55"/>
  <c r="E1324" i="55"/>
  <c r="G1324" i="55"/>
  <c r="H1324" i="55"/>
  <c r="E1325" i="55"/>
  <c r="E1326" i="55"/>
  <c r="E1327" i="55"/>
  <c r="E1328" i="55"/>
  <c r="E1329" i="55"/>
  <c r="E1330" i="55"/>
  <c r="E1331" i="55"/>
  <c r="E1332" i="55"/>
  <c r="E1333" i="55"/>
  <c r="G1333" i="55"/>
  <c r="H1333" i="55"/>
  <c r="E1334" i="55"/>
  <c r="E1335" i="55"/>
  <c r="E1336" i="55"/>
  <c r="E1337" i="55"/>
  <c r="G1338" i="55"/>
  <c r="H1338" i="55"/>
  <c r="H1341" i="55"/>
  <c r="I1341" i="55" s="1"/>
  <c r="N1341" i="55"/>
  <c r="P1341" i="55"/>
  <c r="V1341" i="55"/>
  <c r="G1343" i="55"/>
  <c r="H1343" i="55"/>
  <c r="G1344" i="55"/>
  <c r="H1344" i="55"/>
  <c r="G1347" i="55"/>
  <c r="H1347" i="55"/>
  <c r="G1352" i="55"/>
  <c r="H1352" i="55"/>
  <c r="G1355" i="55"/>
  <c r="H1355" i="55"/>
  <c r="H1360" i="55"/>
  <c r="I1360" i="55" s="1"/>
  <c r="N1360" i="55"/>
  <c r="P1360" i="55"/>
  <c r="V1360" i="55"/>
  <c r="E1362" i="55"/>
  <c r="E1363" i="55"/>
  <c r="E1364" i="55"/>
  <c r="E1365" i="55"/>
  <c r="E1366" i="55"/>
  <c r="E1367" i="55"/>
  <c r="E1368" i="55"/>
  <c r="E1369" i="55"/>
  <c r="E1370" i="55"/>
  <c r="E1371" i="55"/>
  <c r="E1372" i="55"/>
  <c r="E1373" i="55"/>
  <c r="E1374" i="55"/>
  <c r="E1375" i="55"/>
  <c r="E1376" i="55"/>
  <c r="E1377" i="55"/>
  <c r="E1378" i="55"/>
  <c r="G1378" i="55"/>
  <c r="H1378" i="55"/>
  <c r="E1379" i="55"/>
  <c r="E1380" i="55"/>
  <c r="E1381" i="55"/>
  <c r="G1381" i="55"/>
  <c r="H1381" i="55"/>
  <c r="E1382" i="55"/>
  <c r="E1383" i="55"/>
  <c r="E1384" i="55"/>
  <c r="E1385" i="55"/>
  <c r="E1386" i="55"/>
  <c r="E1387" i="55"/>
  <c r="E1388" i="55"/>
  <c r="E1389" i="55"/>
  <c r="E1390" i="55"/>
  <c r="E1391" i="55"/>
  <c r="G1391" i="55"/>
  <c r="H1391" i="55"/>
  <c r="E1392" i="55"/>
  <c r="E1393" i="55"/>
  <c r="E1394" i="55"/>
  <c r="E1395" i="55"/>
  <c r="E1396" i="55"/>
  <c r="E1397" i="55"/>
  <c r="E1398" i="55"/>
  <c r="E1399" i="55"/>
  <c r="E1400" i="55"/>
  <c r="E1401" i="55"/>
  <c r="E1402" i="55"/>
  <c r="G1402" i="55"/>
  <c r="H1402" i="55"/>
  <c r="E1403" i="55"/>
  <c r="E1404" i="55"/>
  <c r="E1405" i="55"/>
  <c r="E1406" i="55"/>
  <c r="E1407" i="55"/>
  <c r="E1408" i="55"/>
  <c r="E1409" i="55"/>
  <c r="G1409" i="55"/>
  <c r="H1409" i="55"/>
  <c r="E1410" i="55"/>
  <c r="E1411" i="55"/>
  <c r="E1412" i="55"/>
  <c r="E1413" i="55"/>
  <c r="E1414" i="55"/>
  <c r="E1415" i="55"/>
  <c r="G1415" i="55"/>
  <c r="H1415" i="55"/>
  <c r="E1416" i="55"/>
  <c r="E1417" i="55"/>
  <c r="E1418" i="55"/>
  <c r="E1419" i="55"/>
  <c r="E1420" i="55"/>
  <c r="E1421" i="55"/>
  <c r="E1422" i="55"/>
  <c r="G1423" i="55"/>
  <c r="H1423" i="55"/>
  <c r="H1426" i="55"/>
  <c r="I1426" i="55"/>
  <c r="N1426" i="55"/>
  <c r="P1426" i="55"/>
  <c r="V1426" i="55"/>
  <c r="E1428" i="55"/>
  <c r="G1428" i="55"/>
  <c r="H1428" i="55"/>
  <c r="E1429" i="55"/>
  <c r="E1430" i="55"/>
  <c r="G1430" i="55"/>
  <c r="H1430" i="55"/>
  <c r="E1431" i="55"/>
  <c r="E1432" i="55"/>
  <c r="E1433" i="55"/>
  <c r="G1433" i="55"/>
  <c r="H1433" i="55"/>
  <c r="E1434" i="55"/>
  <c r="G1434" i="55"/>
  <c r="H1434" i="55"/>
  <c r="E1435" i="55"/>
  <c r="E1436" i="55"/>
  <c r="E1437" i="55"/>
  <c r="E1438" i="55"/>
  <c r="H1441" i="55"/>
  <c r="I1441" i="55"/>
  <c r="N1441" i="55"/>
  <c r="P1441" i="55"/>
  <c r="V1441" i="55"/>
  <c r="G1447" i="55"/>
  <c r="H1447" i="55"/>
  <c r="G1458" i="55"/>
  <c r="H1458" i="55"/>
  <c r="G1460" i="55"/>
  <c r="H1460" i="55"/>
  <c r="G1465" i="55"/>
  <c r="H1465" i="55"/>
  <c r="G1466" i="55"/>
  <c r="H1466" i="55"/>
  <c r="G1467" i="55"/>
  <c r="H1467" i="55"/>
  <c r="H1470" i="55"/>
  <c r="I1470" i="55" s="1"/>
  <c r="N1470" i="55"/>
  <c r="P1470" i="55"/>
  <c r="V1470" i="55"/>
  <c r="E1472" i="55"/>
  <c r="G1472" i="55"/>
  <c r="H1472" i="55"/>
  <c r="E1473" i="55"/>
  <c r="G1473" i="55"/>
  <c r="H1473" i="55"/>
  <c r="E1474" i="55"/>
  <c r="G1474" i="55"/>
  <c r="H1474" i="55"/>
  <c r="E1475" i="55"/>
  <c r="G1475" i="55"/>
  <c r="H1475" i="55"/>
  <c r="E1476" i="55"/>
  <c r="E1477" i="55"/>
  <c r="E1478" i="55"/>
  <c r="G1478" i="55"/>
  <c r="H1478" i="55"/>
  <c r="E1479" i="55"/>
  <c r="E1480" i="55"/>
  <c r="E1481" i="55"/>
  <c r="G1481" i="55"/>
  <c r="H1481" i="55"/>
  <c r="E1482" i="55"/>
  <c r="G1482" i="55"/>
  <c r="H1482" i="55"/>
  <c r="E1483" i="55"/>
  <c r="G1483" i="55"/>
  <c r="H1483" i="55"/>
  <c r="E1484" i="55"/>
  <c r="E1485" i="55"/>
  <c r="E1486" i="55"/>
  <c r="G1486" i="55"/>
  <c r="H1486" i="55"/>
  <c r="E1487" i="55"/>
  <c r="E1488" i="55"/>
  <c r="E1489" i="55"/>
  <c r="E1490" i="55"/>
  <c r="E1491" i="55"/>
  <c r="E1492" i="55"/>
  <c r="E1493" i="55"/>
  <c r="E1494" i="55"/>
  <c r="E1495" i="55"/>
  <c r="E1496" i="55"/>
  <c r="E1497" i="55"/>
  <c r="E1498" i="55"/>
  <c r="E1499" i="55"/>
  <c r="E1500" i="55"/>
  <c r="E1501" i="55"/>
  <c r="E1502" i="55"/>
  <c r="E1503" i="55"/>
  <c r="H1506" i="55"/>
  <c r="I1506" i="55" s="1"/>
  <c r="N1506" i="55"/>
  <c r="P1506" i="55"/>
  <c r="V1506" i="55"/>
  <c r="G1508" i="55"/>
  <c r="H1508" i="55"/>
  <c r="G1509" i="55"/>
  <c r="H1509" i="55"/>
  <c r="G1510" i="55"/>
  <c r="H1510" i="55"/>
  <c r="G1511" i="55"/>
  <c r="H1511" i="55"/>
  <c r="G1512" i="55"/>
  <c r="H1512" i="55"/>
  <c r="G1513" i="55"/>
  <c r="H1513" i="55"/>
  <c r="G1514" i="55"/>
  <c r="H1514" i="55"/>
  <c r="H1517" i="55"/>
  <c r="I1517" i="55"/>
  <c r="N1517" i="55"/>
  <c r="P1517" i="55"/>
  <c r="V1517" i="55"/>
  <c r="G1530" i="55"/>
  <c r="H1530" i="55"/>
  <c r="G1539" i="55"/>
  <c r="H1539" i="55"/>
  <c r="G1542" i="55"/>
  <c r="H1542" i="55"/>
  <c r="H1547" i="55"/>
  <c r="I1547" i="55" s="1"/>
  <c r="N1547" i="55"/>
  <c r="P1547" i="55"/>
  <c r="V1547" i="55"/>
  <c r="N1548" i="55"/>
  <c r="P1548" i="55"/>
  <c r="G1550" i="55"/>
  <c r="H1550" i="55"/>
  <c r="G1552" i="55"/>
  <c r="H1552" i="55"/>
  <c r="G1553" i="55"/>
  <c r="H1553" i="55"/>
  <c r="G1554" i="55"/>
  <c r="H1554" i="55"/>
  <c r="G1555" i="55"/>
  <c r="H1555" i="55"/>
  <c r="G1556" i="55"/>
  <c r="H1556" i="55"/>
  <c r="H1560" i="55"/>
  <c r="I1560" i="55" s="1"/>
  <c r="N1560" i="55"/>
  <c r="P1560" i="55"/>
  <c r="V1560" i="55"/>
  <c r="E1562" i="55"/>
  <c r="E1563" i="55"/>
  <c r="E1564" i="55"/>
  <c r="G1564" i="55"/>
  <c r="H1564" i="55"/>
  <c r="E1565" i="55"/>
  <c r="E1566" i="55"/>
  <c r="E1567" i="55"/>
  <c r="E1568" i="55"/>
  <c r="E1569" i="55"/>
  <c r="G1569" i="55"/>
  <c r="H1569" i="55"/>
  <c r="E1570" i="55"/>
  <c r="E1571" i="55"/>
  <c r="E1572" i="55"/>
  <c r="G1572" i="55"/>
  <c r="H1572" i="55"/>
  <c r="E1573" i="55"/>
  <c r="G1573" i="55"/>
  <c r="H1573" i="55"/>
  <c r="E1574" i="55"/>
  <c r="E1575" i="55"/>
  <c r="E1576" i="55"/>
  <c r="G1577" i="55"/>
  <c r="H1577" i="55"/>
  <c r="H1580" i="55"/>
  <c r="I1580" i="55" s="1"/>
  <c r="N1580" i="55"/>
  <c r="P1580" i="55"/>
  <c r="V1580" i="55"/>
  <c r="G1582" i="55"/>
  <c r="H1582" i="55"/>
  <c r="G1583" i="55"/>
  <c r="H1583" i="55"/>
  <c r="G1584" i="55"/>
  <c r="H1584" i="55"/>
  <c r="G1585" i="55"/>
  <c r="H1585" i="55"/>
  <c r="G1586" i="55"/>
  <c r="H1586" i="55"/>
  <c r="G1587" i="55"/>
  <c r="H1587" i="55"/>
  <c r="H1590" i="55"/>
  <c r="I1590" i="55"/>
  <c r="N1590" i="55"/>
  <c r="P1590" i="55"/>
  <c r="V1590" i="55"/>
  <c r="E1592" i="55"/>
  <c r="G1592" i="55"/>
  <c r="H1592" i="55"/>
  <c r="E1593" i="55"/>
  <c r="G1593" i="55"/>
  <c r="H1593" i="55"/>
  <c r="E1594" i="55"/>
  <c r="G1594" i="55"/>
  <c r="H1594" i="55"/>
  <c r="E1595" i="55"/>
  <c r="E1596" i="55"/>
  <c r="G1596" i="55"/>
  <c r="H1596" i="55"/>
  <c r="E1597" i="55"/>
  <c r="E1598" i="55"/>
  <c r="G1598" i="55"/>
  <c r="H1598" i="55"/>
  <c r="E1599" i="55"/>
  <c r="E1600" i="55"/>
  <c r="E1601" i="55"/>
  <c r="E1602" i="55"/>
  <c r="E1603" i="55"/>
  <c r="E1604" i="55"/>
  <c r="E1605" i="55"/>
  <c r="E1606" i="55"/>
  <c r="E1607" i="55"/>
  <c r="E1608" i="55"/>
  <c r="E1609" i="55"/>
  <c r="E1610" i="55"/>
  <c r="E1611" i="55"/>
  <c r="E1612" i="55"/>
  <c r="H1615" i="55"/>
  <c r="I1615" i="55" s="1"/>
  <c r="N1615" i="55"/>
  <c r="P1615" i="55"/>
  <c r="V1615" i="55"/>
  <c r="E1617" i="55"/>
  <c r="G1617" i="55"/>
  <c r="H1617" i="55"/>
  <c r="E1618" i="55"/>
  <c r="G1618" i="55"/>
  <c r="H1618" i="55"/>
  <c r="E1619" i="55"/>
  <c r="G1619" i="55"/>
  <c r="H1619" i="55"/>
  <c r="E1620" i="55"/>
  <c r="G1620" i="55"/>
  <c r="H1620" i="55"/>
  <c r="E1621" i="55"/>
  <c r="G1621" i="55"/>
  <c r="H1621" i="55"/>
  <c r="E1623" i="55"/>
  <c r="G1623" i="55"/>
  <c r="H1623" i="55"/>
  <c r="E1624" i="55"/>
  <c r="G1624" i="55"/>
  <c r="H1624" i="55"/>
  <c r="E1625" i="55"/>
  <c r="G1625" i="55"/>
  <c r="H1625" i="55"/>
  <c r="E1626" i="55"/>
  <c r="G1626" i="55"/>
  <c r="H1626" i="55"/>
  <c r="E1627" i="55"/>
  <c r="G1627" i="55"/>
  <c r="H1627" i="55"/>
  <c r="H1630" i="55"/>
  <c r="I1630" i="55" s="1"/>
  <c r="N1630" i="55"/>
  <c r="P1630" i="55"/>
  <c r="V1630" i="55"/>
  <c r="E1632" i="55"/>
  <c r="G1632" i="55"/>
  <c r="H1632" i="55"/>
  <c r="E1633" i="55"/>
  <c r="E1634" i="55"/>
  <c r="G1634" i="55"/>
  <c r="H1634" i="55"/>
  <c r="E1635" i="55"/>
  <c r="E1636" i="55"/>
  <c r="G1636" i="55"/>
  <c r="H1636" i="55"/>
  <c r="G1637" i="55"/>
  <c r="H1637" i="55"/>
  <c r="H1640" i="55"/>
  <c r="I1640" i="55" s="1"/>
  <c r="N1640" i="55"/>
  <c r="P1640" i="55"/>
  <c r="V1640" i="55"/>
  <c r="E1642" i="55"/>
  <c r="G1642" i="55"/>
  <c r="H1642" i="55"/>
  <c r="G1643" i="55"/>
  <c r="H1643" i="55"/>
  <c r="G1644" i="55"/>
  <c r="H1644" i="55"/>
  <c r="E1645" i="55"/>
  <c r="G1645" i="55"/>
  <c r="H1645" i="55"/>
  <c r="E1646" i="55"/>
  <c r="E1647" i="55"/>
  <c r="H1652" i="55"/>
  <c r="I1652" i="55"/>
  <c r="N1652" i="55"/>
  <c r="P1652" i="55"/>
  <c r="V1652" i="55"/>
  <c r="G1654" i="55"/>
  <c r="H1654" i="55"/>
  <c r="G1655" i="55"/>
  <c r="H1655" i="55"/>
  <c r="G1656" i="55"/>
  <c r="H1656" i="55"/>
  <c r="G1657" i="55"/>
  <c r="H1657" i="55"/>
  <c r="G1670" i="55"/>
  <c r="H1670" i="55"/>
  <c r="H1673" i="55"/>
  <c r="I1673" i="55" s="1"/>
  <c r="N1673" i="55"/>
  <c r="P1673" i="55"/>
  <c r="V1673" i="55"/>
  <c r="G1675" i="55"/>
  <c r="H1675" i="55"/>
  <c r="G1676" i="55"/>
  <c r="H1676" i="55"/>
  <c r="G1677" i="55"/>
  <c r="H1677" i="55"/>
  <c r="G1678" i="55"/>
  <c r="H1678" i="55"/>
  <c r="G1679" i="55"/>
  <c r="H1679" i="55"/>
  <c r="G1680" i="55"/>
  <c r="H1680" i="55"/>
  <c r="G1681" i="55"/>
  <c r="H1681" i="55"/>
  <c r="H1698" i="55"/>
  <c r="I1698" i="55" s="1"/>
  <c r="N1698" i="55"/>
  <c r="P1698" i="55"/>
  <c r="V1698" i="55"/>
  <c r="G1700" i="55"/>
  <c r="H1700" i="55"/>
  <c r="G1701" i="55"/>
  <c r="H1701" i="55"/>
  <c r="E1702" i="55"/>
  <c r="E1703" i="55"/>
  <c r="G1704" i="55"/>
  <c r="H1704" i="55"/>
  <c r="G1705" i="55"/>
  <c r="H1705" i="55"/>
  <c r="E1707" i="55"/>
  <c r="E1708" i="55"/>
  <c r="G1709" i="55"/>
  <c r="H1709" i="55"/>
  <c r="E1710" i="55"/>
  <c r="E1742" i="55"/>
  <c r="H1751" i="55"/>
  <c r="I1751" i="55" s="1"/>
  <c r="N1751" i="55"/>
  <c r="P1751" i="55"/>
  <c r="V1751" i="55"/>
  <c r="G1753" i="55"/>
  <c r="H1753" i="55"/>
  <c r="G1756" i="55"/>
  <c r="H1756" i="55"/>
  <c r="G1759" i="55"/>
  <c r="H1759" i="55"/>
  <c r="G1762" i="55"/>
  <c r="H1762" i="55"/>
  <c r="H1768" i="55"/>
  <c r="I1768" i="55" s="1"/>
  <c r="N1768" i="55"/>
  <c r="P1768" i="55"/>
  <c r="V1768" i="55"/>
  <c r="N1769" i="55"/>
  <c r="P1769" i="55"/>
  <c r="N1770" i="55"/>
  <c r="P1770" i="55"/>
  <c r="E1773" i="55"/>
  <c r="G1773" i="55"/>
  <c r="H1773" i="55"/>
  <c r="E1774" i="55"/>
  <c r="G1774" i="55"/>
  <c r="H1774" i="55"/>
  <c r="E1775" i="55"/>
  <c r="G1775" i="55"/>
  <c r="H1775" i="55"/>
  <c r="E1776" i="55"/>
  <c r="G1776" i="55"/>
  <c r="H1776" i="55"/>
  <c r="E1777" i="55"/>
  <c r="G1777" i="55"/>
  <c r="H1777" i="55"/>
  <c r="H1785" i="55"/>
  <c r="I1785" i="55" s="1"/>
  <c r="N1785" i="55"/>
  <c r="P1785" i="55"/>
  <c r="V1785" i="55"/>
  <c r="E1787" i="55"/>
  <c r="G1787" i="55"/>
  <c r="H1787" i="55"/>
  <c r="E1788" i="55"/>
  <c r="G1788" i="55"/>
  <c r="H1788" i="55"/>
  <c r="E1789" i="55"/>
  <c r="G1789" i="55"/>
  <c r="H1789" i="55"/>
  <c r="E1790" i="55"/>
  <c r="G1790" i="55"/>
  <c r="H1790" i="55"/>
  <c r="E1791" i="55"/>
  <c r="G1791" i="55"/>
  <c r="H1791" i="55"/>
  <c r="G1792" i="55"/>
  <c r="H1792" i="55"/>
  <c r="H1796" i="55"/>
  <c r="I1796" i="55" s="1"/>
  <c r="N1796" i="55"/>
  <c r="P1796" i="55"/>
  <c r="V1796" i="55"/>
  <c r="E1798" i="55"/>
  <c r="E1802" i="55"/>
  <c r="G1803" i="55"/>
  <c r="H1803" i="55"/>
  <c r="G1809" i="55"/>
  <c r="H1809" i="55"/>
  <c r="G1811" i="55"/>
  <c r="H1811" i="55"/>
  <c r="G1813" i="55"/>
  <c r="H1813" i="55"/>
  <c r="G1816" i="55"/>
  <c r="H1819" i="55"/>
  <c r="I1819" i="55" s="1"/>
  <c r="N1819" i="55"/>
  <c r="P1819" i="55"/>
  <c r="V1819" i="55"/>
  <c r="E1821" i="55"/>
  <c r="G1821" i="55"/>
  <c r="H1821" i="55"/>
  <c r="E1822" i="55"/>
  <c r="E1823" i="55"/>
  <c r="G1823" i="55"/>
  <c r="H1823" i="55"/>
  <c r="E1824" i="55"/>
  <c r="G1824" i="55"/>
  <c r="H1824" i="55"/>
  <c r="E1825" i="55"/>
  <c r="E1826" i="55"/>
  <c r="G1826" i="55"/>
  <c r="H1826" i="55"/>
  <c r="H1829" i="55"/>
  <c r="I1829" i="55" s="1"/>
  <c r="N1829" i="55"/>
  <c r="P1829" i="55"/>
  <c r="V1829" i="55"/>
  <c r="G1835" i="55"/>
  <c r="H1835" i="55"/>
  <c r="G1840" i="55"/>
  <c r="H1840" i="55"/>
  <c r="G1845" i="55"/>
  <c r="H1845" i="55"/>
  <c r="G1846" i="55"/>
  <c r="H1846" i="55"/>
  <c r="H1849" i="55"/>
  <c r="I1849" i="55" s="1"/>
  <c r="N1849" i="55"/>
  <c r="P1849" i="55"/>
  <c r="V1849" i="55"/>
  <c r="E1851" i="55"/>
  <c r="E1852" i="55"/>
  <c r="E1853" i="55"/>
  <c r="E1854" i="55"/>
  <c r="E1855" i="55"/>
  <c r="E1856" i="55"/>
  <c r="E1857" i="55"/>
  <c r="E1858" i="55"/>
  <c r="E1859" i="55"/>
  <c r="E1860" i="55"/>
  <c r="E1861" i="55"/>
  <c r="E1862" i="55"/>
  <c r="E1863" i="55"/>
  <c r="E1864" i="55"/>
  <c r="E1865" i="55"/>
  <c r="E1866" i="55"/>
  <c r="E1867" i="55"/>
  <c r="E1868" i="55"/>
  <c r="E1869" i="55"/>
  <c r="E1870" i="55"/>
  <c r="E1871" i="55"/>
  <c r="G1871" i="55"/>
  <c r="H1871" i="55"/>
  <c r="E1872" i="55"/>
  <c r="G1872" i="55"/>
  <c r="H1872" i="55"/>
  <c r="E1873" i="55"/>
  <c r="E1874" i="55"/>
  <c r="G1874" i="55"/>
  <c r="H1874" i="55"/>
  <c r="E1875" i="55"/>
  <c r="E1876" i="55"/>
  <c r="E1877" i="55"/>
  <c r="E1878" i="55"/>
  <c r="E1879" i="55"/>
  <c r="G1879" i="55"/>
  <c r="H1879" i="55"/>
  <c r="E1880" i="55"/>
  <c r="E1881" i="55"/>
  <c r="E1882" i="55"/>
  <c r="E1883" i="55"/>
  <c r="G1883" i="55"/>
  <c r="H1883" i="55"/>
  <c r="E1884" i="55"/>
  <c r="E1885" i="55"/>
  <c r="E1886" i="55"/>
  <c r="E1887" i="55"/>
  <c r="E1888" i="55"/>
  <c r="G1888" i="55"/>
  <c r="H1888" i="55"/>
  <c r="H1891" i="55"/>
  <c r="I1891" i="55" s="1"/>
  <c r="N1891" i="55"/>
  <c r="P1891" i="55"/>
  <c r="V1891" i="55"/>
  <c r="G1893" i="55"/>
  <c r="H1893" i="55"/>
  <c r="G1894" i="55"/>
  <c r="H1894" i="55"/>
  <c r="G1895" i="55"/>
  <c r="H1895" i="55"/>
  <c r="G1896" i="55"/>
  <c r="H1896" i="55"/>
  <c r="G1897" i="55"/>
  <c r="H1897" i="55"/>
  <c r="H1900" i="55"/>
  <c r="I1900" i="55" s="1"/>
  <c r="N1900" i="55"/>
  <c r="P1900" i="55"/>
  <c r="V1900" i="55"/>
  <c r="E1902" i="55"/>
  <c r="G1902" i="55"/>
  <c r="H1902" i="55" s="1"/>
  <c r="E1903" i="55"/>
  <c r="E1904" i="55"/>
  <c r="E1905" i="55"/>
  <c r="G1905" i="55"/>
  <c r="H1905" i="55" s="1"/>
  <c r="E1906" i="55"/>
  <c r="G1906" i="55"/>
  <c r="H1906" i="55"/>
  <c r="E1907" i="55"/>
  <c r="G1907" i="55"/>
  <c r="H1907" i="55" s="1"/>
  <c r="E1908" i="55"/>
  <c r="G1908" i="55"/>
  <c r="H1908" i="55"/>
  <c r="E1909" i="55"/>
  <c r="E1910" i="55"/>
  <c r="H1911" i="55"/>
  <c r="H1914" i="55"/>
  <c r="I1914" i="55" s="1"/>
  <c r="N1914" i="55"/>
  <c r="P1914" i="55"/>
  <c r="V1914" i="55"/>
  <c r="G1916" i="55"/>
  <c r="G1918" i="55"/>
  <c r="G1919" i="55"/>
  <c r="G1920" i="55"/>
  <c r="G1921" i="55"/>
  <c r="G1922" i="55"/>
  <c r="G1923" i="55"/>
  <c r="G1924" i="55"/>
  <c r="G1925" i="55"/>
  <c r="H1928" i="55"/>
  <c r="I1928" i="55" s="1"/>
  <c r="N1928" i="55"/>
  <c r="P1928" i="55"/>
  <c r="V1928" i="55"/>
  <c r="G1930" i="55"/>
  <c r="H1930" i="55"/>
  <c r="G1931" i="55"/>
  <c r="H1931" i="55"/>
  <c r="G1932" i="55"/>
  <c r="H1932" i="55"/>
  <c r="E1933" i="55"/>
  <c r="G1933" i="55"/>
  <c r="H1933" i="55"/>
  <c r="G1934" i="55"/>
  <c r="H1934" i="55"/>
  <c r="H1937" i="55"/>
  <c r="I1937" i="55" s="1"/>
  <c r="N1937" i="55"/>
  <c r="P1937" i="55"/>
  <c r="V1937" i="55"/>
  <c r="E1939" i="55"/>
  <c r="E1940" i="55"/>
  <c r="E1941" i="55"/>
  <c r="E1942" i="55"/>
  <c r="E1943" i="55"/>
  <c r="E1944" i="55"/>
  <c r="E1945" i="55"/>
  <c r="E1946" i="55"/>
  <c r="E1947" i="55"/>
  <c r="E1948" i="55"/>
  <c r="E1949" i="55"/>
  <c r="E1950" i="55"/>
  <c r="E1951" i="55"/>
  <c r="E1952" i="55"/>
  <c r="E1953" i="55"/>
  <c r="E1954" i="55"/>
  <c r="E1955" i="55"/>
  <c r="E1956" i="55"/>
  <c r="E1957" i="55"/>
  <c r="E1958" i="55"/>
  <c r="E1959" i="55"/>
  <c r="E1960" i="55"/>
  <c r="E1961" i="55"/>
  <c r="E1962" i="55"/>
  <c r="E1963" i="55"/>
  <c r="E1964" i="55"/>
  <c r="E1965" i="55"/>
  <c r="E1966" i="55"/>
  <c r="G1966" i="55"/>
  <c r="H1966" i="55"/>
  <c r="E1967" i="55"/>
  <c r="E1968" i="55"/>
  <c r="G1968" i="55"/>
  <c r="H1968" i="55"/>
  <c r="E1969" i="55"/>
  <c r="E1970" i="55"/>
  <c r="E1971" i="55"/>
  <c r="E1972" i="55"/>
  <c r="E1973" i="55"/>
  <c r="G1973" i="55"/>
  <c r="H1973" i="55"/>
  <c r="E1974" i="55"/>
  <c r="G1974" i="55"/>
  <c r="H1974" i="55"/>
  <c r="E1975" i="55"/>
  <c r="E1976" i="55"/>
  <c r="E1977" i="55"/>
  <c r="E1978" i="55"/>
  <c r="E1979" i="55"/>
  <c r="E1980" i="55"/>
  <c r="E1981" i="55"/>
  <c r="E1982" i="55"/>
  <c r="G1983" i="55"/>
  <c r="H1983" i="55"/>
  <c r="H1986" i="55"/>
  <c r="I1986" i="55" s="1"/>
  <c r="N1986" i="55"/>
  <c r="P1986" i="55"/>
  <c r="V1986" i="55"/>
  <c r="E1988" i="55"/>
  <c r="G1988" i="55"/>
  <c r="H1988" i="55"/>
  <c r="E1989" i="55"/>
  <c r="G1989" i="55"/>
  <c r="H1989" i="55"/>
  <c r="E1990" i="55"/>
  <c r="G1990" i="55"/>
  <c r="H1990" i="55"/>
  <c r="E1991" i="55"/>
  <c r="G1991" i="55"/>
  <c r="H1991" i="55"/>
  <c r="E1992" i="55"/>
  <c r="G1992" i="55"/>
  <c r="H1992" i="55"/>
  <c r="E1993" i="55"/>
  <c r="G1993" i="55"/>
  <c r="H1993" i="55"/>
  <c r="E1994" i="55"/>
  <c r="G1994" i="55"/>
  <c r="H1994" i="55"/>
  <c r="E1995" i="55"/>
  <c r="E1996" i="55"/>
  <c r="E1997" i="55"/>
  <c r="E1998" i="55"/>
  <c r="E1999" i="55"/>
  <c r="E2000" i="55"/>
  <c r="E2001" i="55"/>
  <c r="E2002" i="55"/>
  <c r="E2003" i="55"/>
  <c r="E2004" i="55"/>
  <c r="E2005" i="55"/>
  <c r="E2006" i="55"/>
  <c r="E2007" i="55"/>
  <c r="E2008" i="55"/>
  <c r="E2009" i="55"/>
  <c r="E2010" i="55"/>
  <c r="E2011" i="55"/>
  <c r="E2012" i="55"/>
  <c r="E2013" i="55"/>
  <c r="E2014" i="55"/>
  <c r="E2015" i="55"/>
  <c r="E2016" i="55"/>
  <c r="E2017" i="55"/>
  <c r="E2018" i="55"/>
  <c r="E2019" i="55"/>
  <c r="E2020" i="55"/>
  <c r="E2021" i="55"/>
  <c r="E2022" i="55"/>
  <c r="E2023" i="55"/>
  <c r="E2024" i="55"/>
  <c r="E2025" i="55"/>
  <c r="E2026" i="55"/>
  <c r="E2027" i="55"/>
  <c r="E2028" i="55"/>
  <c r="E2029" i="55"/>
  <c r="E2030" i="55"/>
  <c r="E2031" i="55"/>
  <c r="E2032" i="55"/>
  <c r="E2033" i="55"/>
  <c r="H2036" i="55"/>
  <c r="I2036" i="55" s="1"/>
  <c r="N2036" i="55"/>
  <c r="P2036" i="55"/>
  <c r="V2036" i="55"/>
  <c r="H2038" i="55"/>
  <c r="H2050" i="55"/>
  <c r="H2057" i="55"/>
  <c r="H2074" i="55"/>
  <c r="H2077" i="55"/>
  <c r="H2078" i="55"/>
  <c r="H2088" i="55"/>
  <c r="H2105" i="55"/>
  <c r="I2105" i="55" s="1"/>
  <c r="N2105" i="55"/>
  <c r="P2105" i="55"/>
  <c r="V2105" i="55"/>
  <c r="G2107" i="55"/>
  <c r="H2107" i="55"/>
  <c r="G2108" i="55"/>
  <c r="H2108" i="55"/>
  <c r="G2111" i="55"/>
  <c r="H2111" i="55"/>
  <c r="G2113" i="55"/>
  <c r="H2113" i="55"/>
  <c r="E2116" i="55"/>
  <c r="G2116" i="55"/>
  <c r="H2116" i="55"/>
  <c r="E2117" i="55"/>
  <c r="G2117" i="55"/>
  <c r="H2117" i="55"/>
  <c r="H2120" i="55"/>
  <c r="I2120" i="55" s="1"/>
  <c r="N2120" i="55"/>
  <c r="P2120" i="55"/>
  <c r="V2120" i="55"/>
  <c r="G2122" i="55"/>
  <c r="H2122" i="55" s="1"/>
  <c r="G2124" i="55"/>
  <c r="H2124" i="55"/>
  <c r="H2127" i="55"/>
  <c r="I2127" i="55" s="1"/>
  <c r="N2127" i="55"/>
  <c r="P2127" i="55"/>
  <c r="V2127" i="55"/>
  <c r="G2129" i="55"/>
  <c r="H2129" i="55"/>
  <c r="G2130" i="55"/>
  <c r="H2130" i="55"/>
  <c r="G2133" i="55"/>
  <c r="H2133" i="55"/>
  <c r="E2136" i="55"/>
  <c r="E2137" i="55"/>
  <c r="G2139" i="55"/>
  <c r="H2139" i="55"/>
  <c r="E2141" i="55"/>
  <c r="G2141" i="55"/>
  <c r="H2141" i="55"/>
  <c r="E2142" i="55"/>
  <c r="G2145" i="55"/>
  <c r="H2145" i="55"/>
  <c r="G2148" i="55"/>
  <c r="H2148" i="55"/>
  <c r="H2152" i="55"/>
  <c r="I2152" i="55" s="1"/>
  <c r="N2152" i="55"/>
  <c r="P2152" i="55"/>
  <c r="V2152" i="55"/>
  <c r="H2154" i="55"/>
  <c r="H2155" i="55"/>
  <c r="H2158" i="55"/>
  <c r="H2161" i="55"/>
  <c r="H2164" i="55"/>
  <c r="H2166" i="55"/>
  <c r="H2169" i="55"/>
  <c r="H2173" i="55"/>
  <c r="I2173" i="55" s="1"/>
  <c r="N2173" i="55"/>
  <c r="P2173" i="55"/>
  <c r="V2173" i="55"/>
  <c r="N2174" i="55"/>
  <c r="P2174" i="55"/>
  <c r="E2176" i="55"/>
  <c r="H2176" i="55"/>
  <c r="E2177" i="55"/>
  <c r="E2178" i="55"/>
  <c r="H2178" i="55"/>
  <c r="E2179" i="55"/>
  <c r="H2179" i="55"/>
  <c r="E2180" i="55"/>
  <c r="E2181" i="55"/>
  <c r="H2181" i="55"/>
  <c r="E2182" i="55"/>
  <c r="E2183" i="55"/>
  <c r="H2183" i="55"/>
  <c r="E2184" i="55"/>
  <c r="H2184" i="55"/>
  <c r="E2185" i="55"/>
  <c r="E2186" i="55"/>
  <c r="E2187" i="55"/>
  <c r="H2187" i="55"/>
  <c r="E2188" i="55"/>
  <c r="H2196" i="55"/>
  <c r="I2196" i="55"/>
  <c r="N2196" i="55"/>
  <c r="P2196" i="55"/>
  <c r="V2196" i="55"/>
  <c r="N2197" i="55"/>
  <c r="P2197" i="55"/>
  <c r="N2198" i="55"/>
  <c r="P2198" i="55"/>
  <c r="E2200" i="55"/>
  <c r="G2200" i="55"/>
  <c r="H2200" i="55"/>
  <c r="E2201" i="55"/>
  <c r="G2201" i="55"/>
  <c r="H2201" i="55"/>
  <c r="E2202" i="55"/>
  <c r="G2202" i="55"/>
  <c r="H2202" i="55"/>
  <c r="H2208" i="55"/>
  <c r="I2208" i="55" s="1"/>
  <c r="N2208" i="55"/>
  <c r="P2208" i="55"/>
  <c r="V2208" i="55"/>
  <c r="E2222" i="55"/>
  <c r="E2223" i="55"/>
  <c r="G2224" i="55"/>
  <c r="H2224" i="55"/>
  <c r="E2226" i="55"/>
  <c r="G2226" i="55"/>
  <c r="H2226" i="55"/>
  <c r="G2227" i="55"/>
  <c r="H2227" i="55"/>
  <c r="G2228" i="55"/>
  <c r="H2228" i="55"/>
  <c r="E2229" i="55"/>
  <c r="E2230" i="55"/>
  <c r="G2233" i="55"/>
  <c r="H2233" i="55"/>
  <c r="G2234" i="55"/>
  <c r="H2234" i="55"/>
  <c r="G2238" i="55"/>
  <c r="H2238" i="55"/>
  <c r="H2241" i="55"/>
  <c r="I2241" i="55" s="1"/>
  <c r="N2241" i="55"/>
  <c r="P2241" i="55"/>
  <c r="V2241" i="55"/>
  <c r="E2243" i="55"/>
  <c r="E2244" i="55"/>
  <c r="E2245" i="55"/>
  <c r="G2245" i="55"/>
  <c r="H2245" i="55"/>
  <c r="E2246" i="55"/>
  <c r="E2247" i="55"/>
  <c r="E2248" i="55"/>
  <c r="E2249" i="55"/>
  <c r="G2249" i="55"/>
  <c r="H2249" i="55"/>
  <c r="E2250" i="55"/>
  <c r="E2251" i="55"/>
  <c r="E2252" i="55"/>
  <c r="G2252" i="55"/>
  <c r="H2252" i="55"/>
  <c r="E2253" i="55"/>
  <c r="G2253" i="55"/>
  <c r="H2253" i="55"/>
  <c r="E2254" i="55"/>
  <c r="E2255" i="55"/>
  <c r="E2256" i="55"/>
  <c r="G2256" i="55"/>
  <c r="H2256" i="55"/>
  <c r="E2257" i="55"/>
  <c r="E2258" i="55"/>
  <c r="E2259" i="55"/>
  <c r="G2259" i="55"/>
  <c r="H2259" i="55"/>
  <c r="E2260" i="55"/>
  <c r="E2261" i="55"/>
  <c r="E2262" i="55"/>
  <c r="G2262" i="55"/>
  <c r="H2262" i="55"/>
  <c r="E2263" i="55"/>
  <c r="E2264" i="55"/>
  <c r="E2265" i="55"/>
  <c r="G2265" i="55"/>
  <c r="H2265" i="55"/>
  <c r="E2266" i="55"/>
  <c r="E2267" i="55"/>
  <c r="E2268" i="55"/>
  <c r="G2268" i="55"/>
  <c r="H2268" i="55"/>
  <c r="H2271" i="55"/>
  <c r="I2271" i="55" s="1"/>
  <c r="N2271" i="55"/>
  <c r="P2271" i="55"/>
  <c r="V2271" i="55"/>
  <c r="G2275" i="55"/>
  <c r="H2275" i="55"/>
  <c r="G2277" i="55"/>
  <c r="H2277" i="55"/>
  <c r="E2280" i="55"/>
  <c r="G2283" i="55"/>
  <c r="H2283" i="55"/>
  <c r="G2284" i="55"/>
  <c r="H2284" i="55"/>
  <c r="G2285" i="55"/>
  <c r="H2285" i="55"/>
  <c r="H2288" i="55"/>
  <c r="I2288" i="55" s="1"/>
  <c r="N2288" i="55"/>
  <c r="P2288" i="55"/>
  <c r="V2288" i="55"/>
  <c r="E2292" i="55"/>
  <c r="G2292" i="55"/>
  <c r="H2292" i="55"/>
  <c r="E2293" i="55"/>
  <c r="G2294" i="55"/>
  <c r="H2294" i="55"/>
  <c r="E2296" i="55"/>
  <c r="E2298" i="55"/>
  <c r="E2299" i="55"/>
  <c r="G2299" i="55"/>
  <c r="H2299" i="55"/>
  <c r="G2300" i="55"/>
  <c r="H2300" i="55"/>
  <c r="E2301" i="55"/>
  <c r="G2303" i="55"/>
  <c r="H2303" i="55"/>
  <c r="H2306" i="55"/>
  <c r="I2306" i="55"/>
  <c r="N2306" i="55"/>
  <c r="P2306" i="55"/>
  <c r="V2306" i="55"/>
  <c r="G2308" i="55"/>
  <c r="H2308" i="55"/>
  <c r="G2309" i="55"/>
  <c r="H2309" i="55"/>
  <c r="G2312" i="55"/>
  <c r="H2312" i="55"/>
  <c r="G2314" i="55"/>
  <c r="H2314" i="55"/>
  <c r="G2316" i="55"/>
  <c r="H2316" i="55"/>
  <c r="G2319" i="55"/>
  <c r="H2319" i="55"/>
  <c r="G2322" i="55"/>
  <c r="H2322" i="55"/>
  <c r="G2324" i="55"/>
  <c r="H2324" i="55"/>
  <c r="H2348" i="55"/>
  <c r="I2348" i="55"/>
  <c r="N2348" i="55"/>
  <c r="P2348" i="55"/>
  <c r="V2348" i="55"/>
  <c r="E2350" i="55"/>
  <c r="G2350" i="55"/>
  <c r="H2350" i="55"/>
  <c r="E2351" i="55"/>
  <c r="G2351" i="55"/>
  <c r="H2351" i="55"/>
  <c r="E2352" i="55"/>
  <c r="E2353" i="55"/>
  <c r="G2353" i="55"/>
  <c r="H2353" i="55"/>
  <c r="E2354" i="55"/>
  <c r="E2355" i="55"/>
  <c r="E2356" i="55"/>
  <c r="G2356" i="55"/>
  <c r="H2356" i="55"/>
  <c r="E2357" i="55"/>
  <c r="E2358" i="55"/>
  <c r="E2359" i="55"/>
  <c r="G2359" i="55"/>
  <c r="H2359" i="55"/>
  <c r="E2360" i="55"/>
  <c r="E2361" i="55"/>
  <c r="E2362" i="55"/>
  <c r="G2362" i="55"/>
  <c r="H2362" i="55"/>
  <c r="E2363" i="55"/>
  <c r="G2363" i="55"/>
  <c r="H2363" i="55"/>
  <c r="E2364" i="55"/>
  <c r="G2364" i="55"/>
  <c r="H2364" i="55"/>
  <c r="G2365" i="55"/>
  <c r="H2365" i="55"/>
  <c r="H2368" i="55"/>
  <c r="I2368" i="55" s="1"/>
  <c r="N2368" i="55"/>
  <c r="P2368" i="55"/>
  <c r="V2368" i="55"/>
  <c r="E2370" i="55"/>
  <c r="G2370" i="55"/>
  <c r="H2370" i="55"/>
  <c r="E2371" i="55"/>
  <c r="E2372" i="55"/>
  <c r="G2372" i="55"/>
  <c r="H2372" i="55"/>
  <c r="H2386" i="55"/>
  <c r="I2386" i="55" s="1"/>
  <c r="N2386" i="55"/>
  <c r="P2386" i="55"/>
  <c r="V2386" i="55"/>
  <c r="E2388" i="55"/>
  <c r="H2388" i="55"/>
  <c r="E2389" i="55"/>
  <c r="E2390" i="55"/>
  <c r="E2391" i="55"/>
  <c r="H2391" i="55"/>
  <c r="E2392" i="55"/>
  <c r="E2393" i="55"/>
  <c r="H2393" i="55"/>
  <c r="E2394" i="55"/>
  <c r="H2394" i="55"/>
  <c r="E2395" i="55"/>
  <c r="H2395" i="55"/>
  <c r="E2396" i="55"/>
  <c r="E2397" i="55"/>
  <c r="H2397" i="55"/>
  <c r="E2398" i="55"/>
  <c r="H2398" i="55"/>
  <c r="E2399" i="55"/>
  <c r="H2399" i="55"/>
  <c r="E2400" i="55"/>
  <c r="H2400" i="55"/>
  <c r="H2403" i="55"/>
  <c r="I2403" i="55" s="1"/>
  <c r="N2403" i="55"/>
  <c r="P2403" i="55"/>
  <c r="V2403" i="55"/>
  <c r="G2405" i="55"/>
  <c r="H2405" i="55"/>
  <c r="G2406" i="55"/>
  <c r="H2406" i="55"/>
  <c r="G2407" i="55"/>
  <c r="H2407" i="55"/>
  <c r="G2408" i="55"/>
  <c r="H2408" i="55"/>
  <c r="G2409" i="55"/>
  <c r="H2409" i="55"/>
  <c r="G2410" i="55"/>
  <c r="H2410" i="55"/>
  <c r="G2411" i="55"/>
  <c r="H2411" i="55"/>
  <c r="H2414" i="55"/>
  <c r="I2414" i="55" s="1"/>
  <c r="N2414" i="55"/>
  <c r="P2414" i="55"/>
  <c r="V2414" i="55"/>
  <c r="G2419" i="55"/>
  <c r="H2419" i="55"/>
  <c r="G2428" i="55"/>
  <c r="H2428" i="55"/>
  <c r="G2429" i="55"/>
  <c r="H2429" i="55"/>
  <c r="G2431" i="55"/>
  <c r="H2431" i="55"/>
  <c r="G2432" i="55"/>
  <c r="H2432" i="55"/>
  <c r="G2436" i="55"/>
  <c r="H2436" i="55"/>
  <c r="H2440" i="55"/>
  <c r="I2440" i="55" s="1"/>
  <c r="N2440" i="55"/>
  <c r="P2440" i="55"/>
  <c r="V2440" i="55"/>
  <c r="G2442" i="55"/>
  <c r="H2442" i="55"/>
  <c r="G2443" i="55"/>
  <c r="H2443" i="55"/>
  <c r="G2447" i="55"/>
  <c r="H2447" i="55"/>
  <c r="G2450" i="55"/>
  <c r="H2450" i="55"/>
  <c r="G2453" i="55"/>
  <c r="H2453" i="55"/>
  <c r="G2455" i="55"/>
  <c r="H2455" i="55"/>
  <c r="G2462" i="55"/>
  <c r="H2462" i="55"/>
  <c r="H2466" i="55"/>
  <c r="I2466" i="55" s="1"/>
  <c r="N2466" i="55"/>
  <c r="P2466" i="55"/>
  <c r="V2466" i="55"/>
  <c r="N2467" i="55"/>
  <c r="P2467" i="55"/>
  <c r="E2469" i="55"/>
  <c r="G2469" i="55"/>
  <c r="H2469" i="55"/>
  <c r="G2471" i="55"/>
  <c r="H2471" i="55"/>
  <c r="G2473" i="55"/>
  <c r="H2473" i="55"/>
  <c r="G2475" i="55"/>
  <c r="H2475" i="55"/>
  <c r="E2476" i="55"/>
  <c r="E2477" i="55"/>
  <c r="G2478" i="55"/>
  <c r="H2478" i="55"/>
  <c r="G2480" i="55"/>
  <c r="H2480" i="55"/>
  <c r="G2481" i="55"/>
  <c r="H2481" i="55"/>
  <c r="E2483" i="55"/>
  <c r="E2484" i="55"/>
  <c r="E2485" i="55"/>
  <c r="E2486" i="55"/>
  <c r="H2489" i="55"/>
  <c r="I2489" i="55"/>
  <c r="N2489" i="55"/>
  <c r="P2489" i="55"/>
  <c r="V2489" i="55"/>
  <c r="G2491" i="55"/>
  <c r="H2491" i="55"/>
  <c r="G2492" i="55"/>
  <c r="H2492" i="55"/>
  <c r="G2493" i="55"/>
  <c r="H2493" i="55"/>
  <c r="G2497" i="55"/>
  <c r="H2497" i="55"/>
  <c r="G2507" i="55"/>
  <c r="H2507" i="55"/>
  <c r="G2513" i="55"/>
  <c r="H2513" i="55"/>
  <c r="G2514" i="55"/>
  <c r="H2514" i="55"/>
  <c r="G2516" i="55"/>
  <c r="H2516" i="55"/>
  <c r="G2521" i="55"/>
  <c r="H2521" i="55"/>
  <c r="H2537" i="55"/>
  <c r="I2537" i="55" s="1"/>
  <c r="N2537" i="55"/>
  <c r="P2537" i="55"/>
  <c r="V2537" i="55"/>
  <c r="G2539" i="55"/>
  <c r="H2539" i="55"/>
  <c r="G2541" i="55"/>
  <c r="H2541" i="55"/>
  <c r="G2542" i="55"/>
  <c r="H2542" i="55"/>
  <c r="G2545" i="55"/>
  <c r="H2545" i="55"/>
  <c r="G2548" i="55"/>
  <c r="H2548" i="55"/>
  <c r="H2552" i="55"/>
  <c r="I2552" i="55" s="1"/>
  <c r="N2552" i="55"/>
  <c r="P2552" i="55"/>
  <c r="V2552" i="55"/>
  <c r="H2580" i="55"/>
  <c r="I2580" i="55" s="1"/>
  <c r="N2580" i="55"/>
  <c r="P2580" i="55"/>
  <c r="V2580" i="55"/>
  <c r="G2582" i="55"/>
  <c r="H2582" i="55"/>
  <c r="G2584" i="55"/>
  <c r="H2584" i="55"/>
  <c r="G2586" i="55"/>
  <c r="H2586" i="55"/>
  <c r="G2588" i="55"/>
  <c r="H2588" i="55"/>
  <c r="G2590" i="55"/>
  <c r="H2590" i="55"/>
  <c r="G2593" i="55"/>
  <c r="H2593" i="55"/>
  <c r="H2597" i="55"/>
  <c r="I2597" i="55" s="1"/>
  <c r="N2597" i="55"/>
  <c r="P2597" i="55"/>
  <c r="V2597" i="55"/>
  <c r="E2599" i="55"/>
  <c r="E2600" i="55"/>
  <c r="G2600" i="55"/>
  <c r="H2600" i="55"/>
  <c r="E2601" i="55"/>
  <c r="G2601" i="55"/>
  <c r="H2601" i="55"/>
  <c r="G2602" i="55"/>
  <c r="G2603" i="55"/>
  <c r="H2603" i="55"/>
  <c r="G2604" i="55"/>
  <c r="H2604" i="55"/>
  <c r="G2607" i="55"/>
  <c r="H2607" i="55"/>
  <c r="H2612" i="55"/>
  <c r="I2612" i="55" s="1"/>
  <c r="N2612" i="55"/>
  <c r="P2612" i="55"/>
  <c r="V2612" i="55"/>
  <c r="E2614" i="55"/>
  <c r="G2614" i="55"/>
  <c r="H2614" i="55"/>
  <c r="E2615" i="55"/>
  <c r="E2616" i="55"/>
  <c r="E2617" i="55"/>
  <c r="G2617" i="55"/>
  <c r="H2617" i="55"/>
  <c r="E2618" i="55"/>
  <c r="E2619" i="55"/>
  <c r="E2620" i="55"/>
  <c r="G2620" i="55"/>
  <c r="H2620" i="55"/>
  <c r="E2621" i="55"/>
  <c r="E2622" i="55"/>
  <c r="E2623" i="55"/>
  <c r="G2623" i="55"/>
  <c r="H2623" i="55"/>
  <c r="E2624" i="55"/>
  <c r="E2625" i="55"/>
  <c r="E2626" i="55"/>
  <c r="E2627" i="55"/>
  <c r="G2627" i="55"/>
  <c r="H2627" i="55"/>
  <c r="E2628" i="55"/>
  <c r="E2629" i="55"/>
  <c r="E2630" i="55"/>
  <c r="E2631" i="55"/>
  <c r="E2632" i="55"/>
  <c r="E2633" i="55"/>
  <c r="H2636" i="55"/>
  <c r="I2636" i="55" s="1"/>
  <c r="N2636" i="55"/>
  <c r="P2636" i="55"/>
  <c r="V2636" i="55"/>
  <c r="G2639" i="55"/>
  <c r="H2639" i="55"/>
  <c r="G2648" i="55"/>
  <c r="H2648" i="55"/>
  <c r="G2652" i="55"/>
  <c r="H2652" i="55"/>
  <c r="G2654" i="55"/>
  <c r="H2654" i="55"/>
  <c r="H2659" i="55"/>
  <c r="I2659" i="55" s="1"/>
  <c r="N2659" i="55"/>
  <c r="P2659" i="55"/>
  <c r="V2659" i="55"/>
  <c r="E2661" i="55"/>
  <c r="H2661" i="55"/>
  <c r="E2662" i="55"/>
  <c r="H2662" i="55"/>
  <c r="E2663" i="55"/>
  <c r="H2663" i="55"/>
  <c r="E2664" i="55"/>
  <c r="E2665" i="55"/>
  <c r="E2666" i="55"/>
  <c r="E2667" i="55"/>
  <c r="E2668" i="55"/>
  <c r="E2669" i="55"/>
  <c r="H2669" i="55"/>
  <c r="E2670" i="55"/>
  <c r="H2670" i="55"/>
  <c r="E2671" i="55"/>
  <c r="H2671" i="55"/>
  <c r="E2672" i="55"/>
  <c r="E2673" i="55"/>
  <c r="H2676" i="55"/>
  <c r="I2676" i="55" s="1"/>
  <c r="N2676" i="55"/>
  <c r="P2676" i="55"/>
  <c r="V2676" i="55"/>
  <c r="E2678" i="55"/>
  <c r="H2678" i="55"/>
  <c r="E2679" i="55"/>
  <c r="E2680" i="55"/>
  <c r="E2681" i="55"/>
  <c r="H2681" i="55"/>
  <c r="E2682" i="55"/>
  <c r="H2682" i="55"/>
  <c r="E2683" i="55"/>
  <c r="E2684" i="55"/>
  <c r="E2685" i="55"/>
  <c r="E2686" i="55"/>
  <c r="H2686" i="55"/>
  <c r="E2687" i="55"/>
  <c r="E2688" i="55"/>
  <c r="H2688" i="55"/>
  <c r="E2689" i="55"/>
  <c r="E2690" i="55"/>
  <c r="H2690" i="55"/>
  <c r="E2691" i="55"/>
  <c r="E2692" i="55"/>
  <c r="E2693" i="55"/>
  <c r="H2693" i="55"/>
  <c r="E2694" i="55"/>
  <c r="H2694" i="55"/>
  <c r="E2695" i="55"/>
  <c r="E2696" i="55"/>
  <c r="H2696" i="55"/>
  <c r="E2697" i="55"/>
  <c r="E2698" i="55"/>
  <c r="E2699" i="55"/>
  <c r="E2700" i="55"/>
  <c r="H2700" i="55"/>
  <c r="E2701" i="55"/>
  <c r="E2702" i="55"/>
  <c r="H2705" i="55"/>
  <c r="I2705" i="55" s="1"/>
  <c r="N2705" i="55"/>
  <c r="P2705" i="55"/>
  <c r="V2705" i="55"/>
  <c r="H2714" i="55"/>
  <c r="H2715" i="55"/>
  <c r="H2716" i="55"/>
  <c r="H2718" i="55"/>
  <c r="H2721" i="55"/>
  <c r="H2724" i="55"/>
  <c r="H2725" i="55"/>
  <c r="H2726" i="55"/>
  <c r="H2729" i="55"/>
  <c r="I2729" i="55" s="1"/>
  <c r="N2729" i="55"/>
  <c r="P2729" i="55"/>
  <c r="V2729" i="55"/>
  <c r="H2731" i="55"/>
  <c r="H2736" i="55"/>
  <c r="H2739" i="55"/>
  <c r="H2741" i="55"/>
  <c r="H2743" i="55"/>
  <c r="H2747" i="55"/>
  <c r="I2747" i="55" s="1"/>
  <c r="N2747" i="55"/>
  <c r="P2747" i="55"/>
  <c r="V2747" i="55"/>
  <c r="G2749" i="55"/>
  <c r="H2749" i="55"/>
  <c r="G2752" i="55"/>
  <c r="H2752" i="55"/>
  <c r="G2753" i="55"/>
  <c r="H2753" i="55"/>
  <c r="H2761" i="55"/>
  <c r="I2761" i="55" s="1"/>
  <c r="N2761" i="55"/>
  <c r="P2761" i="55"/>
  <c r="V2761" i="55"/>
  <c r="H2775" i="55"/>
  <c r="I2775" i="55" s="1"/>
  <c r="N2775" i="55"/>
  <c r="P2775" i="55"/>
  <c r="V2775" i="55"/>
  <c r="E2777" i="55"/>
  <c r="E2778" i="55"/>
  <c r="E2779" i="55"/>
  <c r="E2780" i="55"/>
  <c r="G2780" i="55"/>
  <c r="H2780" i="55"/>
  <c r="E2781" i="55"/>
  <c r="E2782" i="55"/>
  <c r="E2783" i="55"/>
  <c r="G2783" i="55"/>
  <c r="H2783" i="55"/>
  <c r="E2784" i="55"/>
  <c r="E2785" i="55"/>
  <c r="E2786" i="55"/>
  <c r="E2787" i="55"/>
  <c r="G2787" i="55"/>
  <c r="H2787" i="55"/>
  <c r="E2788" i="55"/>
  <c r="E2789" i="55"/>
  <c r="E2790" i="55"/>
  <c r="G2790" i="55"/>
  <c r="H2790" i="55"/>
  <c r="E2791" i="55"/>
  <c r="G2791" i="55"/>
  <c r="H2791" i="55"/>
  <c r="E2792" i="55"/>
  <c r="E2793" i="55"/>
  <c r="E2794" i="55"/>
  <c r="G2795" i="55"/>
  <c r="H2795" i="55"/>
  <c r="H2798" i="55"/>
  <c r="I2798" i="55" s="1"/>
  <c r="N2798" i="55"/>
  <c r="P2798" i="55"/>
  <c r="V2798" i="55"/>
  <c r="E2800" i="55"/>
  <c r="H2800" i="55"/>
  <c r="E2801" i="55"/>
  <c r="H2801" i="55"/>
  <c r="E2802" i="55"/>
  <c r="E2803" i="55"/>
  <c r="H2803" i="55"/>
  <c r="E2804" i="55"/>
  <c r="H2804" i="55"/>
  <c r="E2805" i="55"/>
  <c r="H2805" i="55"/>
  <c r="E2806" i="55"/>
  <c r="E2807" i="55"/>
  <c r="H2807" i="55"/>
  <c r="E2808" i="55"/>
  <c r="H2808" i="55"/>
  <c r="H2809" i="55"/>
  <c r="H2812" i="55"/>
  <c r="I2812" i="55" s="1"/>
  <c r="N2812" i="55"/>
  <c r="P2812" i="55"/>
  <c r="V2812" i="55"/>
  <c r="H2814" i="55"/>
  <c r="H2817" i="55"/>
  <c r="H2820" i="55"/>
  <c r="H2821" i="55"/>
  <c r="H2822" i="55"/>
  <c r="H2823" i="55"/>
  <c r="H2825" i="55"/>
  <c r="H2826" i="55"/>
  <c r="H2863" i="55"/>
  <c r="I2863" i="55" s="1"/>
  <c r="N2863" i="55"/>
  <c r="P2863" i="55"/>
  <c r="V2863" i="55"/>
  <c r="E2865" i="55"/>
  <c r="G2865" i="55"/>
  <c r="H2865" i="55"/>
  <c r="E2866" i="55"/>
  <c r="G2866" i="55"/>
  <c r="H2866" i="55"/>
  <c r="E2867" i="55"/>
  <c r="G2867" i="55"/>
  <c r="H2867" i="55"/>
  <c r="E2868" i="55"/>
  <c r="G2868" i="55"/>
  <c r="H2868" i="55"/>
  <c r="E2869" i="55"/>
  <c r="G2869" i="55"/>
  <c r="H2869" i="55"/>
  <c r="H2872" i="55"/>
  <c r="I2872" i="55" s="1"/>
  <c r="N2872" i="55"/>
  <c r="P2872" i="55"/>
  <c r="V2872" i="55"/>
  <c r="G2874" i="55"/>
  <c r="H2874" i="55"/>
  <c r="G2877" i="55"/>
  <c r="H2877" i="55"/>
  <c r="G2880" i="55"/>
  <c r="H2880" i="55"/>
  <c r="G2883" i="55"/>
  <c r="H2883" i="55"/>
  <c r="G2886" i="55"/>
  <c r="H2886" i="55"/>
  <c r="G2889" i="55"/>
  <c r="H2889" i="55"/>
  <c r="H2895" i="55"/>
  <c r="I2895" i="55" s="1"/>
  <c r="N2895" i="55"/>
  <c r="P2895" i="55"/>
  <c r="V2895" i="55"/>
  <c r="H2898" i="55"/>
  <c r="H2899" i="55"/>
  <c r="H2907" i="55"/>
  <c r="H2913" i="55"/>
  <c r="H2919" i="55"/>
  <c r="H2923" i="55"/>
  <c r="H2927" i="55"/>
  <c r="I2927" i="55" s="1"/>
  <c r="N2927" i="55"/>
  <c r="P2927" i="55"/>
  <c r="V2927" i="55"/>
  <c r="H2929" i="55"/>
  <c r="H2930" i="55"/>
  <c r="H2933" i="55"/>
  <c r="H2934" i="55"/>
  <c r="H2936" i="55"/>
  <c r="H2940" i="55"/>
  <c r="H2943" i="55"/>
  <c r="H2946" i="55"/>
  <c r="H2951" i="55"/>
  <c r="I2951" i="55" s="1"/>
  <c r="N2951" i="55"/>
  <c r="P2951" i="55"/>
  <c r="V2951" i="55"/>
  <c r="H2953" i="55"/>
  <c r="H2961" i="55"/>
  <c r="H2964" i="55"/>
  <c r="H2966" i="55"/>
  <c r="H2968" i="55"/>
  <c r="H2969" i="55"/>
  <c r="H2973" i="55"/>
  <c r="H2978" i="55"/>
  <c r="I2978" i="55" s="1"/>
  <c r="N2978" i="55"/>
  <c r="P2978" i="55"/>
  <c r="V2978" i="55"/>
  <c r="H2980" i="55"/>
  <c r="H2981" i="55"/>
  <c r="H2982" i="55"/>
  <c r="H2983" i="55"/>
  <c r="H2985" i="55"/>
  <c r="H2988" i="55"/>
  <c r="H2999" i="55"/>
  <c r="I2999" i="55" s="1"/>
  <c r="N2999" i="55"/>
  <c r="P2999" i="55"/>
  <c r="V2999" i="55"/>
  <c r="H3001" i="55"/>
  <c r="H3004" i="55"/>
  <c r="H3006" i="55"/>
  <c r="H3009" i="55"/>
  <c r="H3014" i="55"/>
  <c r="I3014" i="55" s="1"/>
  <c r="N3014" i="55"/>
  <c r="P3014" i="55"/>
  <c r="V3014" i="55"/>
  <c r="G3016" i="55"/>
  <c r="H3016" i="55"/>
  <c r="G3019" i="55"/>
  <c r="H3019" i="55"/>
  <c r="G3020" i="55"/>
  <c r="H3020" i="55"/>
  <c r="G3023" i="55"/>
  <c r="H3023" i="55"/>
  <c r="G3025" i="55"/>
  <c r="H3025" i="55"/>
  <c r="H3030" i="55"/>
  <c r="I3030" i="55"/>
  <c r="N3030" i="55"/>
  <c r="P3030" i="55"/>
  <c r="V3030" i="55"/>
  <c r="H3038" i="55"/>
  <c r="H3041" i="55"/>
  <c r="H3044" i="55"/>
  <c r="H3047" i="55"/>
  <c r="H3048" i="55"/>
  <c r="H3051" i="55"/>
  <c r="I3051" i="55" s="1"/>
  <c r="N3051" i="55"/>
  <c r="P3051" i="55"/>
  <c r="V3051" i="55"/>
  <c r="E3053" i="55"/>
  <c r="E3054" i="55"/>
  <c r="E3055" i="55"/>
  <c r="E3056" i="55"/>
  <c r="E3057" i="55"/>
  <c r="E3058" i="55"/>
  <c r="E3059" i="55"/>
  <c r="G3059" i="55"/>
  <c r="H3059" i="55"/>
  <c r="E3060" i="55"/>
  <c r="E3061" i="55"/>
  <c r="G3061" i="55"/>
  <c r="H3061" i="55"/>
  <c r="E3062" i="55"/>
  <c r="E3063" i="55"/>
  <c r="E3064" i="55"/>
  <c r="E3065" i="55"/>
  <c r="E3066" i="55"/>
  <c r="E3067" i="55"/>
  <c r="G3067" i="55"/>
  <c r="H3067" i="55"/>
  <c r="E3068" i="55"/>
  <c r="E3069" i="55"/>
  <c r="E3070" i="55"/>
  <c r="G3070" i="55"/>
  <c r="H3070" i="55"/>
  <c r="E3071" i="55"/>
  <c r="H3074" i="55"/>
  <c r="I3074" i="55"/>
  <c r="N3074" i="55"/>
  <c r="P3074" i="55"/>
  <c r="V3074" i="55"/>
  <c r="H3076" i="55"/>
  <c r="H3078" i="55"/>
  <c r="H3081" i="55"/>
  <c r="H3083" i="55"/>
  <c r="H3084" i="55"/>
  <c r="H3156" i="55"/>
  <c r="I3156" i="55" s="1"/>
  <c r="N3156" i="55"/>
  <c r="P3156" i="55"/>
  <c r="V3156" i="55"/>
  <c r="G3184" i="55"/>
  <c r="H3184" i="55"/>
  <c r="G3196" i="55"/>
  <c r="H3196" i="55"/>
  <c r="G3203" i="55"/>
  <c r="H3203" i="55"/>
  <c r="G3204" i="55"/>
  <c r="H3204" i="55"/>
  <c r="G3205" i="55"/>
  <c r="H3205" i="55"/>
  <c r="H3212" i="55"/>
  <c r="H3219" i="55"/>
  <c r="H3223" i="55"/>
  <c r="I3223" i="55" s="1"/>
  <c r="N3223" i="55"/>
  <c r="P3223" i="55"/>
  <c r="V3223" i="55"/>
  <c r="N3224" i="55"/>
  <c r="P3224" i="55"/>
  <c r="H3233" i="55"/>
  <c r="I3233" i="55" s="1"/>
  <c r="N3233" i="55"/>
  <c r="P3233" i="55"/>
  <c r="V3233" i="55"/>
  <c r="E3235" i="55"/>
  <c r="H3235" i="55"/>
  <c r="E3236" i="55"/>
  <c r="E3237" i="55"/>
  <c r="E3238" i="55"/>
  <c r="H3238" i="55"/>
  <c r="E3239" i="55"/>
  <c r="H3239" i="55"/>
  <c r="E3240" i="55"/>
  <c r="H3240" i="55"/>
  <c r="E3241" i="55"/>
  <c r="H3241" i="55"/>
  <c r="E3242" i="55"/>
  <c r="H3242" i="55"/>
  <c r="E3243" i="55"/>
  <c r="H3243" i="55"/>
  <c r="H3246" i="55"/>
  <c r="I3246" i="55" s="1"/>
  <c r="N3246" i="55"/>
  <c r="P3246" i="55"/>
  <c r="V3246" i="55"/>
  <c r="H3248" i="55"/>
  <c r="H3249" i="55"/>
  <c r="H3252" i="55"/>
  <c r="H3256" i="55"/>
  <c r="H3261" i="55"/>
  <c r="H3262" i="55"/>
  <c r="H3266" i="55"/>
  <c r="H3268" i="55"/>
  <c r="H3271" i="55"/>
  <c r="H3274" i="55"/>
  <c r="I3274" i="55" s="1"/>
  <c r="N3274" i="55"/>
  <c r="P3274" i="55"/>
  <c r="V3274" i="55"/>
  <c r="H3276" i="55"/>
  <c r="H3277" i="55"/>
  <c r="H3279" i="55"/>
  <c r="H3280" i="55"/>
  <c r="H3283" i="55"/>
  <c r="H3284" i="55"/>
  <c r="H3285" i="55"/>
  <c r="H3368" i="55"/>
  <c r="I3368" i="55" s="1"/>
  <c r="N3368" i="55"/>
  <c r="P3368" i="55"/>
  <c r="V3368" i="55"/>
  <c r="H3379" i="55"/>
  <c r="H3386" i="55"/>
  <c r="H3387" i="55"/>
  <c r="H3391" i="55"/>
  <c r="H3394" i="55"/>
  <c r="H3395" i="55"/>
  <c r="H3397" i="55"/>
  <c r="H3400" i="55"/>
  <c r="H3402" i="55"/>
  <c r="H3403" i="55"/>
  <c r="H3406" i="55"/>
  <c r="I3406" i="55"/>
  <c r="N3406" i="55"/>
  <c r="P3406" i="55"/>
  <c r="V3406" i="55"/>
  <c r="G3417" i="55"/>
  <c r="H3417" i="55"/>
  <c r="G3421" i="55"/>
  <c r="H3421" i="55"/>
  <c r="G3439" i="55"/>
  <c r="H3439" i="55"/>
  <c r="G3442" i="55"/>
  <c r="H3442" i="55"/>
  <c r="G3446" i="55"/>
  <c r="H3446" i="55"/>
  <c r="G3447" i="55"/>
  <c r="H3447" i="55"/>
  <c r="G3449" i="55"/>
  <c r="H3449" i="55"/>
  <c r="G3452" i="55"/>
  <c r="H3452" i="55"/>
  <c r="H3457" i="55"/>
  <c r="I3457" i="55" s="1"/>
  <c r="N3457" i="55"/>
  <c r="P3457" i="55"/>
  <c r="V3457" i="55"/>
  <c r="H3459" i="55"/>
  <c r="H3460" i="55"/>
  <c r="H3463" i="55"/>
  <c r="H3465" i="55"/>
  <c r="H3468" i="55"/>
  <c r="H3471" i="55"/>
  <c r="H3497" i="55"/>
  <c r="I3497" i="55"/>
  <c r="N3497" i="55"/>
  <c r="P3497" i="55"/>
  <c r="V3497" i="55"/>
  <c r="E3499" i="55"/>
  <c r="E3500" i="55"/>
  <c r="E3501" i="55"/>
  <c r="E3502" i="55"/>
  <c r="E3503" i="55"/>
  <c r="G3503" i="55"/>
  <c r="H3503" i="55"/>
  <c r="E3504" i="55"/>
  <c r="E3505" i="55"/>
  <c r="G3505" i="55"/>
  <c r="H3505" i="55"/>
  <c r="E3506" i="55"/>
  <c r="E3507" i="55"/>
  <c r="E3508" i="55"/>
  <c r="E3509" i="55"/>
  <c r="E3510" i="55"/>
  <c r="E3511" i="55"/>
  <c r="E3512" i="55"/>
  <c r="E3513" i="55"/>
  <c r="E3514" i="55"/>
  <c r="G3514" i="55"/>
  <c r="H3514" i="55"/>
  <c r="E3515" i="55"/>
  <c r="E3516" i="55"/>
  <c r="E3517" i="55"/>
  <c r="E3518" i="55"/>
  <c r="E3519" i="55"/>
  <c r="E3520" i="55"/>
  <c r="E3521" i="55"/>
  <c r="E3522" i="55"/>
  <c r="E3523" i="55"/>
  <c r="E3524" i="55"/>
  <c r="G3524" i="55"/>
  <c r="H3524" i="55"/>
  <c r="E3525" i="55"/>
  <c r="E3526" i="55"/>
  <c r="E3527" i="55"/>
  <c r="G3527" i="55"/>
  <c r="H3527" i="55"/>
  <c r="E3528" i="55"/>
  <c r="E3529" i="55"/>
  <c r="E3530" i="55"/>
  <c r="E3531" i="55"/>
  <c r="G3531" i="55"/>
  <c r="H3531" i="55"/>
  <c r="E3532" i="55"/>
  <c r="G3532" i="55"/>
  <c r="H3532" i="55"/>
  <c r="E3533" i="55"/>
  <c r="E3534" i="55"/>
  <c r="E3535" i="55"/>
  <c r="E3536" i="55"/>
  <c r="E3537" i="55"/>
  <c r="E3538" i="55"/>
  <c r="E3539" i="55"/>
  <c r="E3540" i="55"/>
  <c r="E3541" i="55"/>
  <c r="E3542" i="55"/>
  <c r="E3543" i="55"/>
  <c r="E3544" i="55"/>
  <c r="E3545" i="55"/>
  <c r="E3546" i="55"/>
  <c r="E3547" i="55"/>
  <c r="E3548" i="55"/>
  <c r="E3549" i="55"/>
  <c r="E3550" i="55"/>
  <c r="I4" i="54"/>
  <c r="K4" i="54"/>
  <c r="Q4" i="54"/>
  <c r="R4" i="54"/>
  <c r="I5" i="54"/>
  <c r="I34" i="54"/>
  <c r="K34" i="54"/>
  <c r="Q34" i="54"/>
  <c r="R34" i="54"/>
  <c r="I35" i="54"/>
  <c r="I81" i="54"/>
  <c r="K81" i="54"/>
  <c r="Q81" i="54"/>
  <c r="R81" i="54"/>
  <c r="I82" i="54"/>
  <c r="I136" i="54"/>
  <c r="K136" i="54"/>
  <c r="Q136" i="54"/>
  <c r="O136" i="54"/>
  <c r="R136" i="54"/>
  <c r="I137" i="54"/>
  <c r="I165" i="54"/>
  <c r="K165" i="54"/>
  <c r="Q165" i="54"/>
  <c r="R165" i="54"/>
  <c r="I166" i="54"/>
  <c r="K166" i="54"/>
  <c r="G169" i="54"/>
  <c r="F169" i="54" s="1"/>
  <c r="G173" i="54"/>
  <c r="I4" i="53"/>
  <c r="K4" i="53"/>
  <c r="Q4" i="53"/>
  <c r="R4" i="53"/>
  <c r="I5" i="53"/>
  <c r="I22" i="53"/>
  <c r="K22" i="53"/>
  <c r="Q22" i="53"/>
  <c r="O22" i="53" s="1"/>
  <c r="R22" i="53"/>
  <c r="I23" i="53"/>
  <c r="I33" i="53"/>
  <c r="K33" i="53"/>
  <c r="Q33" i="53"/>
  <c r="O33" i="53" s="1"/>
  <c r="I34" i="53"/>
  <c r="I42" i="53"/>
  <c r="K42" i="53"/>
  <c r="Q42" i="53"/>
  <c r="R42" i="53"/>
  <c r="I43" i="53"/>
  <c r="I62" i="53"/>
  <c r="K62" i="53"/>
  <c r="Q62" i="53"/>
  <c r="R62" i="53"/>
  <c r="I63" i="53"/>
  <c r="D64" i="53"/>
  <c r="D65" i="53"/>
  <c r="D66" i="53"/>
  <c r="D67" i="53"/>
  <c r="D68" i="53"/>
  <c r="D69" i="53"/>
  <c r="D70" i="53"/>
  <c r="D71" i="53"/>
  <c r="D72" i="53"/>
  <c r="D73" i="53"/>
  <c r="D74" i="53"/>
  <c r="D75" i="53"/>
  <c r="D76" i="53"/>
  <c r="I81" i="53"/>
  <c r="K81" i="53"/>
  <c r="Q81" i="53"/>
  <c r="O81" i="53" s="1"/>
  <c r="R81" i="53"/>
  <c r="I82" i="53"/>
  <c r="I103" i="53"/>
  <c r="K103" i="53"/>
  <c r="Q103" i="53"/>
  <c r="R103" i="53"/>
  <c r="G105" i="53"/>
  <c r="G106" i="53"/>
  <c r="G109" i="53"/>
  <c r="G115" i="53"/>
  <c r="G117" i="53"/>
  <c r="G120" i="53"/>
  <c r="I104" i="53" s="1"/>
  <c r="I127" i="53"/>
  <c r="K127" i="53"/>
  <c r="Q127" i="53"/>
  <c r="R127" i="53"/>
  <c r="I128" i="53"/>
  <c r="I170" i="53"/>
  <c r="K170" i="53"/>
  <c r="Q170" i="53"/>
  <c r="R170" i="53"/>
  <c r="G172" i="53"/>
  <c r="G175" i="53"/>
  <c r="G176" i="53"/>
  <c r="I171" i="53" s="1"/>
  <c r="G179" i="53"/>
  <c r="I189" i="53"/>
  <c r="K189" i="53"/>
  <c r="Q189" i="53"/>
  <c r="O189" i="53" s="1"/>
  <c r="R189" i="53"/>
  <c r="I190" i="53"/>
  <c r="I4" i="52"/>
  <c r="K4" i="52"/>
  <c r="Q4" i="52"/>
  <c r="O4" i="52" s="1"/>
  <c r="R4" i="52"/>
  <c r="I5" i="52"/>
  <c r="I24" i="52"/>
  <c r="K24" i="52"/>
  <c r="Q24" i="52"/>
  <c r="R24" i="52"/>
  <c r="I25" i="52"/>
  <c r="I47" i="52"/>
  <c r="K47" i="52"/>
  <c r="Q47" i="52"/>
  <c r="O47" i="52" s="1"/>
  <c r="R47" i="52"/>
  <c r="I48" i="52"/>
  <c r="I76" i="52"/>
  <c r="K76" i="52"/>
  <c r="Q76" i="52"/>
  <c r="R76" i="52"/>
  <c r="I77" i="52"/>
  <c r="I117" i="52"/>
  <c r="K117" i="52"/>
  <c r="Q117" i="52"/>
  <c r="R117" i="52"/>
  <c r="I118" i="52"/>
  <c r="I156" i="52"/>
  <c r="K156" i="52"/>
  <c r="Q156" i="52"/>
  <c r="R156" i="52"/>
  <c r="O156" i="52" s="1"/>
  <c r="I157" i="52"/>
  <c r="I163" i="52"/>
  <c r="K163" i="52"/>
  <c r="Q163" i="52"/>
  <c r="O163" i="52" s="1"/>
  <c r="R163" i="52"/>
  <c r="I164" i="52"/>
  <c r="K164" i="52"/>
  <c r="Q164" i="52"/>
  <c r="R164" i="52"/>
  <c r="O164" i="52" s="1"/>
  <c r="I165" i="52"/>
  <c r="I179" i="52"/>
  <c r="K179" i="52"/>
  <c r="Q179" i="52"/>
  <c r="R179" i="52"/>
  <c r="I180" i="52"/>
  <c r="I197" i="52"/>
  <c r="K197" i="52"/>
  <c r="Q197" i="52"/>
  <c r="R197" i="52"/>
  <c r="I198" i="52"/>
  <c r="I223" i="52"/>
  <c r="K223" i="52"/>
  <c r="Q223" i="52"/>
  <c r="O223" i="52" s="1"/>
  <c r="R223" i="52"/>
  <c r="I224" i="52"/>
  <c r="I4" i="51"/>
  <c r="K4" i="51"/>
  <c r="Q4" i="51"/>
  <c r="R4" i="51"/>
  <c r="I5" i="51"/>
  <c r="I45" i="51"/>
  <c r="K45" i="51"/>
  <c r="Q45" i="51"/>
  <c r="R45" i="51"/>
  <c r="O45" i="51"/>
  <c r="I46" i="51"/>
  <c r="I62" i="51"/>
  <c r="K62" i="51"/>
  <c r="Q62" i="51"/>
  <c r="R62" i="51"/>
  <c r="O62" i="51" s="1"/>
  <c r="I63" i="51"/>
  <c r="I118" i="51"/>
  <c r="K118" i="51"/>
  <c r="Q118" i="51"/>
  <c r="R118" i="51"/>
  <c r="O118" i="51" s="1"/>
  <c r="I119" i="51"/>
  <c r="I140" i="51"/>
  <c r="K140" i="51"/>
  <c r="Q140" i="51"/>
  <c r="R140" i="51"/>
  <c r="O140" i="51" s="1"/>
  <c r="I141" i="51"/>
  <c r="I169" i="51"/>
  <c r="K169" i="51"/>
  <c r="Q169" i="51"/>
  <c r="R169" i="51"/>
  <c r="G171" i="51"/>
  <c r="I170" i="51" s="1"/>
  <c r="G174" i="51"/>
  <c r="G178" i="51"/>
  <c r="G179" i="51"/>
  <c r="G182" i="51"/>
  <c r="I188" i="51"/>
  <c r="K188" i="51"/>
  <c r="Q188" i="51"/>
  <c r="O188" i="51" s="1"/>
  <c r="R188" i="51"/>
  <c r="I189" i="51"/>
  <c r="K189" i="51"/>
  <c r="I190" i="51"/>
  <c r="K190" i="51"/>
  <c r="I191" i="51"/>
  <c r="K191" i="51"/>
  <c r="G203" i="51"/>
  <c r="G196" i="51"/>
  <c r="I192" i="51"/>
  <c r="I217" i="51"/>
  <c r="K217" i="51"/>
  <c r="Q217" i="51"/>
  <c r="R217" i="51"/>
  <c r="I218" i="51"/>
  <c r="I237" i="51"/>
  <c r="K237" i="51"/>
  <c r="Q237" i="51"/>
  <c r="O237" i="51" s="1"/>
  <c r="R237" i="51"/>
  <c r="I238" i="51"/>
  <c r="K238" i="51"/>
  <c r="Q238" i="51"/>
  <c r="R238" i="51"/>
  <c r="I239" i="51"/>
  <c r="I249" i="51"/>
  <c r="K249" i="51"/>
  <c r="Q249" i="51"/>
  <c r="R249" i="51"/>
  <c r="I250" i="51"/>
  <c r="I4" i="50"/>
  <c r="K4" i="50"/>
  <c r="Q4" i="50"/>
  <c r="R4" i="50"/>
  <c r="I5" i="50"/>
  <c r="I15" i="50"/>
  <c r="K15" i="50"/>
  <c r="R15" i="50"/>
  <c r="O15" i="50" s="1"/>
  <c r="I16" i="50"/>
  <c r="I27" i="50"/>
  <c r="K27" i="50"/>
  <c r="Q27" i="50"/>
  <c r="R27" i="50"/>
  <c r="G29" i="50"/>
  <c r="G30" i="50"/>
  <c r="G31" i="50"/>
  <c r="G32" i="50"/>
  <c r="I37" i="50"/>
  <c r="K37" i="50"/>
  <c r="Q37" i="50"/>
  <c r="R37" i="50"/>
  <c r="I38" i="50"/>
  <c r="I79" i="50"/>
  <c r="K79" i="50"/>
  <c r="Q79" i="50"/>
  <c r="O79" i="50" s="1"/>
  <c r="R79" i="50"/>
  <c r="G81" i="50"/>
  <c r="G82" i="50"/>
  <c r="G85" i="50"/>
  <c r="G87" i="50"/>
  <c r="G89" i="50"/>
  <c r="G90" i="50"/>
  <c r="G91" i="50"/>
  <c r="I128" i="50"/>
  <c r="K128" i="50"/>
  <c r="Q128" i="50"/>
  <c r="O128" i="50" s="1"/>
  <c r="R128" i="50"/>
  <c r="I129" i="50"/>
  <c r="I147" i="50"/>
  <c r="K147" i="50"/>
  <c r="Q147" i="50"/>
  <c r="O147" i="50" s="1"/>
  <c r="R147" i="50"/>
  <c r="I148" i="50"/>
  <c r="I189" i="50"/>
  <c r="K189" i="50"/>
  <c r="Q189" i="50"/>
  <c r="R189" i="50"/>
  <c r="I190" i="50"/>
  <c r="I205" i="50"/>
  <c r="K205" i="50"/>
  <c r="Q205" i="50"/>
  <c r="O205" i="50" s="1"/>
  <c r="R205" i="50"/>
  <c r="I206" i="50"/>
  <c r="I217" i="50"/>
  <c r="K217" i="50"/>
  <c r="Q217" i="50"/>
  <c r="R217" i="50"/>
  <c r="I218" i="50"/>
  <c r="I4" i="49"/>
  <c r="K4" i="49"/>
  <c r="Q4" i="49"/>
  <c r="R4" i="49"/>
  <c r="I5" i="49"/>
  <c r="I25" i="49"/>
  <c r="K25" i="49"/>
  <c r="Q25" i="49"/>
  <c r="R25" i="49"/>
  <c r="O25" i="49" s="1"/>
  <c r="I26" i="49"/>
  <c r="I66" i="49"/>
  <c r="K66" i="49"/>
  <c r="Q66" i="49"/>
  <c r="R66" i="49"/>
  <c r="O66" i="49" s="1"/>
  <c r="I67" i="49"/>
  <c r="K67" i="49"/>
  <c r="Q67" i="49"/>
  <c r="R67" i="49"/>
  <c r="G69" i="49"/>
  <c r="G72" i="49"/>
  <c r="G75" i="49"/>
  <c r="G78" i="49"/>
  <c r="G83" i="49"/>
  <c r="G84" i="49"/>
  <c r="G85" i="49"/>
  <c r="F88" i="49"/>
  <c r="G88" i="49" s="1"/>
  <c r="I93" i="49"/>
  <c r="K93" i="49"/>
  <c r="Q93" i="49"/>
  <c r="R93" i="49"/>
  <c r="O93" i="49" s="1"/>
  <c r="I94" i="49"/>
  <c r="I112" i="49"/>
  <c r="K112" i="49"/>
  <c r="Q112" i="49"/>
  <c r="R112" i="49"/>
  <c r="I113" i="49"/>
  <c r="K113" i="49"/>
  <c r="Q113" i="49"/>
  <c r="R113" i="49"/>
  <c r="I114" i="49"/>
  <c r="K114" i="49"/>
  <c r="Q114" i="49"/>
  <c r="O114" i="49" s="1"/>
  <c r="R114" i="49"/>
  <c r="I115" i="49"/>
  <c r="I140" i="49"/>
  <c r="K140" i="49"/>
  <c r="Q140" i="49"/>
  <c r="O140" i="49" s="1"/>
  <c r="R140" i="49"/>
  <c r="I141" i="49"/>
  <c r="I168" i="49"/>
  <c r="K168" i="49"/>
  <c r="Q168" i="49"/>
  <c r="R168" i="49"/>
  <c r="I169" i="49"/>
  <c r="I201" i="49"/>
  <c r="K201" i="49"/>
  <c r="Q201" i="49"/>
  <c r="R201" i="49"/>
  <c r="I202" i="49"/>
  <c r="I221" i="49"/>
  <c r="K221" i="49"/>
  <c r="Q221" i="49"/>
  <c r="R221" i="49"/>
  <c r="I222" i="49"/>
  <c r="I240" i="49"/>
  <c r="K240" i="49"/>
  <c r="Q240" i="49"/>
  <c r="O240" i="49" s="1"/>
  <c r="R240" i="49"/>
  <c r="I241" i="49"/>
  <c r="I4" i="48"/>
  <c r="K4" i="48"/>
  <c r="Q4" i="48"/>
  <c r="R4" i="48"/>
  <c r="I5" i="48"/>
  <c r="I15" i="48"/>
  <c r="K15" i="48"/>
  <c r="Q15" i="48"/>
  <c r="R15" i="48"/>
  <c r="I16" i="48"/>
  <c r="I49" i="48"/>
  <c r="K49" i="48"/>
  <c r="Q49" i="48"/>
  <c r="O49" i="48" s="1"/>
  <c r="R49" i="48"/>
  <c r="I50" i="48"/>
  <c r="I65" i="48"/>
  <c r="K65" i="48"/>
  <c r="Q65" i="48"/>
  <c r="R65" i="48"/>
  <c r="I66" i="48"/>
  <c r="I79" i="48"/>
  <c r="K79" i="48"/>
  <c r="Q79" i="48"/>
  <c r="O79" i="48"/>
  <c r="R79" i="48"/>
  <c r="I80" i="48"/>
  <c r="I106" i="48"/>
  <c r="K106" i="48"/>
  <c r="Q106" i="48"/>
  <c r="R106" i="48"/>
  <c r="O106" i="48"/>
  <c r="I107" i="48"/>
  <c r="I153" i="48"/>
  <c r="K153" i="48"/>
  <c r="Q153" i="48"/>
  <c r="O153" i="48"/>
  <c r="R153" i="48"/>
  <c r="I154" i="48"/>
  <c r="I175" i="48"/>
  <c r="K175" i="48"/>
  <c r="Q175" i="48"/>
  <c r="R175" i="48"/>
  <c r="I176" i="48"/>
  <c r="I195" i="48"/>
  <c r="K195" i="48"/>
  <c r="Q195" i="48"/>
  <c r="R195" i="48"/>
  <c r="I196" i="48"/>
  <c r="I230" i="48"/>
  <c r="K230" i="48"/>
  <c r="Q230" i="48"/>
  <c r="R230" i="48"/>
  <c r="O230" i="48" s="1"/>
  <c r="I231" i="48"/>
  <c r="O195" i="48"/>
  <c r="O103" i="53"/>
  <c r="O179" i="52"/>
  <c r="F159" i="36"/>
  <c r="F163" i="36"/>
  <c r="G163" i="36" s="1"/>
  <c r="F167" i="36"/>
  <c r="E159" i="36"/>
  <c r="E160" i="36"/>
  <c r="E161" i="36"/>
  <c r="E162" i="36"/>
  <c r="E163" i="36"/>
  <c r="E164" i="36"/>
  <c r="E165" i="36"/>
  <c r="E166" i="36"/>
  <c r="E167" i="36"/>
  <c r="E168" i="36"/>
  <c r="E169" i="36"/>
  <c r="E170" i="36"/>
  <c r="E158" i="36"/>
  <c r="D159" i="36"/>
  <c r="D160" i="36"/>
  <c r="D161" i="36"/>
  <c r="D162" i="36"/>
  <c r="D163" i="36"/>
  <c r="D164" i="36"/>
  <c r="D165" i="36"/>
  <c r="D166" i="36"/>
  <c r="D167" i="36"/>
  <c r="D168" i="36"/>
  <c r="D169" i="36"/>
  <c r="D170" i="36"/>
  <c r="D158" i="36"/>
  <c r="C159" i="36"/>
  <c r="C160" i="36"/>
  <c r="F160" i="36" s="1"/>
  <c r="G160" i="36" s="1"/>
  <c r="C161" i="36"/>
  <c r="F161" i="36" s="1"/>
  <c r="C162" i="36"/>
  <c r="F162" i="36" s="1"/>
  <c r="G162" i="36" s="1"/>
  <c r="C164" i="36"/>
  <c r="F164" i="36"/>
  <c r="G164" i="36" s="1"/>
  <c r="C165" i="36"/>
  <c r="F165" i="36"/>
  <c r="G165" i="36" s="1"/>
  <c r="C166" i="36"/>
  <c r="F166" i="36" s="1"/>
  <c r="G166" i="36" s="1"/>
  <c r="C168" i="36"/>
  <c r="F168" i="36"/>
  <c r="C169" i="36"/>
  <c r="F169" i="36" s="1"/>
  <c r="G169" i="36" s="1"/>
  <c r="C170" i="36"/>
  <c r="F170" i="36"/>
  <c r="G170" i="36" s="1"/>
  <c r="C158" i="36"/>
  <c r="F158" i="36"/>
  <c r="F216" i="36"/>
  <c r="G216" i="36" s="1"/>
  <c r="E82" i="36"/>
  <c r="C69" i="36"/>
  <c r="F69" i="36" s="1"/>
  <c r="G69" i="36" s="1"/>
  <c r="D69" i="36"/>
  <c r="E69" i="36"/>
  <c r="C70" i="36"/>
  <c r="F70" i="36" s="1"/>
  <c r="G70" i="36" s="1"/>
  <c r="D70" i="36"/>
  <c r="E70" i="36"/>
  <c r="C71" i="36"/>
  <c r="F71" i="36"/>
  <c r="G71" i="36" s="1"/>
  <c r="D71" i="36"/>
  <c r="E71" i="36"/>
  <c r="C72" i="36"/>
  <c r="F72" i="36" s="1"/>
  <c r="G72" i="36" s="1"/>
  <c r="D72" i="36"/>
  <c r="E72" i="36"/>
  <c r="C73" i="36"/>
  <c r="F73" i="36" s="1"/>
  <c r="G73" i="36" s="1"/>
  <c r="D73" i="36"/>
  <c r="E73" i="36"/>
  <c r="C74" i="36"/>
  <c r="F74" i="36" s="1"/>
  <c r="G74" i="36" s="1"/>
  <c r="D74" i="36"/>
  <c r="E74" i="36"/>
  <c r="C75" i="36"/>
  <c r="F75" i="36" s="1"/>
  <c r="G75" i="36" s="1"/>
  <c r="D75" i="36"/>
  <c r="E75" i="36"/>
  <c r="C76" i="36"/>
  <c r="F76" i="36" s="1"/>
  <c r="G76" i="36" s="1"/>
  <c r="D76" i="36"/>
  <c r="E76" i="36"/>
  <c r="C77" i="36"/>
  <c r="F77" i="36" s="1"/>
  <c r="G77" i="36" s="1"/>
  <c r="D77" i="36"/>
  <c r="E77" i="36"/>
  <c r="C78" i="36"/>
  <c r="F78" i="36" s="1"/>
  <c r="G78" i="36" s="1"/>
  <c r="D78" i="36"/>
  <c r="E78" i="36"/>
  <c r="C79" i="36"/>
  <c r="F79" i="36" s="1"/>
  <c r="G79" i="36" s="1"/>
  <c r="D79" i="36"/>
  <c r="E79" i="36"/>
  <c r="C80" i="36"/>
  <c r="F80" i="36" s="1"/>
  <c r="G80" i="36" s="1"/>
  <c r="D80" i="36"/>
  <c r="E80" i="36"/>
  <c r="C81" i="36"/>
  <c r="F81" i="36"/>
  <c r="G81" i="36" s="1"/>
  <c r="D81" i="36"/>
  <c r="E81" i="36"/>
  <c r="F214" i="37"/>
  <c r="F46" i="40"/>
  <c r="G46" i="40"/>
  <c r="C6" i="42"/>
  <c r="F6" i="42" s="1"/>
  <c r="G6" i="42" s="1"/>
  <c r="D6" i="42"/>
  <c r="E6" i="42"/>
  <c r="C7" i="42"/>
  <c r="F7" i="42" s="1"/>
  <c r="G7" i="42" s="1"/>
  <c r="D7" i="42"/>
  <c r="E7" i="42"/>
  <c r="C8" i="42"/>
  <c r="F8" i="42" s="1"/>
  <c r="G8" i="42" s="1"/>
  <c r="D8" i="42"/>
  <c r="E8" i="42"/>
  <c r="C9" i="42"/>
  <c r="F9" i="42"/>
  <c r="G9" i="42" s="1"/>
  <c r="D9" i="42"/>
  <c r="E9" i="42"/>
  <c r="C10" i="42"/>
  <c r="F10" i="42" s="1"/>
  <c r="G10" i="42" s="1"/>
  <c r="D10" i="42"/>
  <c r="E10" i="42"/>
  <c r="C11" i="42"/>
  <c r="F11" i="42" s="1"/>
  <c r="G11" i="42" s="1"/>
  <c r="D11" i="42"/>
  <c r="E11" i="42"/>
  <c r="C12" i="42"/>
  <c r="F12" i="42"/>
  <c r="G12" i="42" s="1"/>
  <c r="D12" i="42"/>
  <c r="E12" i="42"/>
  <c r="C13" i="42"/>
  <c r="F13" i="42"/>
  <c r="G13" i="42" s="1"/>
  <c r="D13" i="42"/>
  <c r="E13" i="42"/>
  <c r="C14" i="42"/>
  <c r="F14" i="42" s="1"/>
  <c r="G14" i="42" s="1"/>
  <c r="D14" i="42"/>
  <c r="E14" i="42"/>
  <c r="C15" i="42"/>
  <c r="F15" i="42" s="1"/>
  <c r="G15" i="42" s="1"/>
  <c r="D15" i="42"/>
  <c r="E15" i="42"/>
  <c r="C16" i="42"/>
  <c r="F16" i="42" s="1"/>
  <c r="G16" i="42" s="1"/>
  <c r="D16" i="42"/>
  <c r="E16" i="42"/>
  <c r="C17" i="42"/>
  <c r="F17" i="42"/>
  <c r="G17" i="42" s="1"/>
  <c r="D17" i="42"/>
  <c r="E17" i="42"/>
  <c r="C18" i="42"/>
  <c r="F18" i="42" s="1"/>
  <c r="G18" i="42" s="1"/>
  <c r="D18" i="42"/>
  <c r="E18" i="42"/>
  <c r="C19" i="42"/>
  <c r="F19" i="42" s="1"/>
  <c r="G19" i="42" s="1"/>
  <c r="D19" i="42"/>
  <c r="E19" i="42"/>
  <c r="C20" i="42"/>
  <c r="F20" i="42"/>
  <c r="G20" i="42" s="1"/>
  <c r="D20" i="42"/>
  <c r="E20" i="42"/>
  <c r="C21" i="42"/>
  <c r="F21" i="42"/>
  <c r="G21" i="42" s="1"/>
  <c r="D21" i="42"/>
  <c r="E21" i="42"/>
  <c r="C22" i="42"/>
  <c r="F22" i="42" s="1"/>
  <c r="G22" i="42" s="1"/>
  <c r="D22" i="42"/>
  <c r="E22" i="42"/>
  <c r="C23" i="42"/>
  <c r="F23" i="42" s="1"/>
  <c r="G23" i="42" s="1"/>
  <c r="D23" i="42"/>
  <c r="E23" i="42"/>
  <c r="C24" i="42"/>
  <c r="F24" i="42" s="1"/>
  <c r="D24" i="42"/>
  <c r="E24" i="42"/>
  <c r="C25" i="42"/>
  <c r="F25" i="42" s="1"/>
  <c r="D25" i="42"/>
  <c r="E25" i="42"/>
  <c r="C26" i="42"/>
  <c r="F26" i="42"/>
  <c r="D26" i="42"/>
  <c r="E26" i="42"/>
  <c r="C27" i="42"/>
  <c r="F27" i="42" s="1"/>
  <c r="D27" i="42"/>
  <c r="E27" i="42"/>
  <c r="C28" i="42"/>
  <c r="F28" i="42" s="1"/>
  <c r="D28" i="42"/>
  <c r="E28" i="42"/>
  <c r="C29" i="42"/>
  <c r="F29" i="42"/>
  <c r="D29" i="42"/>
  <c r="E29" i="42"/>
  <c r="C30" i="42"/>
  <c r="F30" i="42" s="1"/>
  <c r="D30" i="42"/>
  <c r="E30" i="42"/>
  <c r="C31" i="42"/>
  <c r="C37" i="42"/>
  <c r="H37" i="42"/>
  <c r="D37" i="42"/>
  <c r="E37" i="42"/>
  <c r="C38" i="42"/>
  <c r="H38" i="42" s="1"/>
  <c r="F38" i="42"/>
  <c r="G38" i="42" s="1"/>
  <c r="D38" i="42"/>
  <c r="E38" i="42"/>
  <c r="C39" i="42"/>
  <c r="H39" i="42" s="1"/>
  <c r="D39" i="42"/>
  <c r="E39" i="42"/>
  <c r="C40" i="42"/>
  <c r="D40" i="42"/>
  <c r="E40" i="42"/>
  <c r="C41" i="42"/>
  <c r="H41" i="42" s="1"/>
  <c r="D41" i="42"/>
  <c r="E41" i="42"/>
  <c r="F42" i="42"/>
  <c r="G42" i="42"/>
  <c r="H42" i="42"/>
  <c r="C43" i="42"/>
  <c r="H43" i="42"/>
  <c r="C44" i="42"/>
  <c r="C50" i="42"/>
  <c r="F50" i="42" s="1"/>
  <c r="G50" i="42"/>
  <c r="D50" i="42"/>
  <c r="E50" i="42"/>
  <c r="C51" i="42"/>
  <c r="F51" i="42"/>
  <c r="G51" i="42" s="1"/>
  <c r="D51" i="42"/>
  <c r="E51" i="42"/>
  <c r="C52" i="42"/>
  <c r="F52" i="42" s="1"/>
  <c r="G52" i="42" s="1"/>
  <c r="D52" i="42"/>
  <c r="E52" i="42"/>
  <c r="C53" i="42"/>
  <c r="F53" i="42" s="1"/>
  <c r="G53" i="42" s="1"/>
  <c r="D53" i="42"/>
  <c r="E53" i="42"/>
  <c r="C54" i="42"/>
  <c r="F54" i="42" s="1"/>
  <c r="G54" i="42"/>
  <c r="D54" i="42"/>
  <c r="E54" i="42"/>
  <c r="C55" i="42"/>
  <c r="F55" i="42" s="1"/>
  <c r="G55" i="42" s="1"/>
  <c r="D55" i="42"/>
  <c r="E55" i="42"/>
  <c r="C56" i="42"/>
  <c r="F56" i="42" s="1"/>
  <c r="G56" i="42" s="1"/>
  <c r="D56" i="42"/>
  <c r="E56" i="42"/>
  <c r="C57" i="42"/>
  <c r="F57" i="42"/>
  <c r="G57" i="42" s="1"/>
  <c r="D57" i="42"/>
  <c r="E57" i="42"/>
  <c r="C58" i="42"/>
  <c r="F58" i="42" s="1"/>
  <c r="G58" i="42" s="1"/>
  <c r="D58" i="42"/>
  <c r="E58" i="42"/>
  <c r="C59" i="42"/>
  <c r="F59" i="42" s="1"/>
  <c r="G59" i="42" s="1"/>
  <c r="D59" i="42"/>
  <c r="E59" i="42"/>
  <c r="C60" i="42"/>
  <c r="F60" i="42" s="1"/>
  <c r="G60" i="42" s="1"/>
  <c r="D60" i="42"/>
  <c r="E60" i="42"/>
  <c r="C61" i="42"/>
  <c r="F61" i="42"/>
  <c r="G61" i="42" s="1"/>
  <c r="D61" i="42"/>
  <c r="E61" i="42"/>
  <c r="C62" i="42"/>
  <c r="F62" i="42" s="1"/>
  <c r="G62" i="42" s="1"/>
  <c r="D62" i="42"/>
  <c r="E62" i="42"/>
  <c r="C63" i="42"/>
  <c r="F63" i="42"/>
  <c r="G63" i="42" s="1"/>
  <c r="D63" i="42"/>
  <c r="E63" i="42"/>
  <c r="C64" i="42"/>
  <c r="F64" i="42" s="1"/>
  <c r="G64" i="42" s="1"/>
  <c r="D64" i="42"/>
  <c r="E64" i="42"/>
  <c r="C65" i="42"/>
  <c r="F65" i="42"/>
  <c r="G65" i="42" s="1"/>
  <c r="D65" i="42"/>
  <c r="E65" i="42"/>
  <c r="C66" i="42"/>
  <c r="F66" i="42" s="1"/>
  <c r="G66" i="42" s="1"/>
  <c r="D66" i="42"/>
  <c r="E66" i="42"/>
  <c r="C67" i="42"/>
  <c r="F67" i="42" s="1"/>
  <c r="G67" i="42" s="1"/>
  <c r="D67" i="42"/>
  <c r="E67" i="42"/>
  <c r="C68" i="42"/>
  <c r="F68" i="42" s="1"/>
  <c r="G68" i="42" s="1"/>
  <c r="D68" i="42"/>
  <c r="E68" i="42"/>
  <c r="C69" i="42"/>
  <c r="F69" i="42"/>
  <c r="G69" i="42" s="1"/>
  <c r="D69" i="42"/>
  <c r="E69" i="42"/>
  <c r="C70" i="42"/>
  <c r="F70" i="42" s="1"/>
  <c r="G70" i="42"/>
  <c r="D70" i="42"/>
  <c r="E70" i="42"/>
  <c r="C71" i="42"/>
  <c r="F71" i="42" s="1"/>
  <c r="G71" i="42" s="1"/>
  <c r="D71" i="42"/>
  <c r="E71" i="42"/>
  <c r="C72" i="42"/>
  <c r="F72" i="42" s="1"/>
  <c r="G72" i="42"/>
  <c r="D72" i="42"/>
  <c r="E72" i="42"/>
  <c r="C73" i="42"/>
  <c r="F73" i="42"/>
  <c r="G73" i="42" s="1"/>
  <c r="D73" i="42"/>
  <c r="E73" i="42"/>
  <c r="C74" i="42"/>
  <c r="F74" i="42" s="1"/>
  <c r="G74" i="42" s="1"/>
  <c r="D74" i="42"/>
  <c r="E74" i="42"/>
  <c r="C75" i="42"/>
  <c r="F75" i="42"/>
  <c r="G75" i="42" s="1"/>
  <c r="D75" i="42"/>
  <c r="E75" i="42"/>
  <c r="C76" i="42"/>
  <c r="F76" i="42" s="1"/>
  <c r="G76" i="42" s="1"/>
  <c r="D76" i="42"/>
  <c r="E76" i="42"/>
  <c r="C77" i="42"/>
  <c r="C78" i="42"/>
  <c r="C83" i="42"/>
  <c r="F83" i="42"/>
  <c r="G83" i="42" s="1"/>
  <c r="D83" i="42"/>
  <c r="E83" i="42"/>
  <c r="C84" i="42"/>
  <c r="F84" i="42" s="1"/>
  <c r="G84" i="42" s="1"/>
  <c r="D84" i="42"/>
  <c r="E84" i="42"/>
  <c r="C85" i="42"/>
  <c r="F85" i="42"/>
  <c r="G85" i="42" s="1"/>
  <c r="D85" i="42"/>
  <c r="E85" i="42"/>
  <c r="C86" i="42"/>
  <c r="F86" i="42" s="1"/>
  <c r="G86" i="42" s="1"/>
  <c r="D86" i="42"/>
  <c r="E86" i="42"/>
  <c r="C87" i="42"/>
  <c r="F87" i="42" s="1"/>
  <c r="G87" i="42" s="1"/>
  <c r="D87" i="42"/>
  <c r="E87" i="42"/>
  <c r="C88" i="42"/>
  <c r="F88" i="42"/>
  <c r="G88" i="42" s="1"/>
  <c r="D88" i="42"/>
  <c r="E88" i="42"/>
  <c r="C89" i="42"/>
  <c r="F89" i="42" s="1"/>
  <c r="G89" i="42" s="1"/>
  <c r="D89" i="42"/>
  <c r="E89" i="42"/>
  <c r="C90" i="42"/>
  <c r="F90" i="42" s="1"/>
  <c r="G90" i="42" s="1"/>
  <c r="D90" i="42"/>
  <c r="E90" i="42"/>
  <c r="C91" i="42"/>
  <c r="F91" i="42" s="1"/>
  <c r="G91" i="42"/>
  <c r="D91" i="42"/>
  <c r="E91" i="42"/>
  <c r="C92" i="42"/>
  <c r="F92" i="42" s="1"/>
  <c r="G92" i="42" s="1"/>
  <c r="D92" i="42"/>
  <c r="E92" i="42"/>
  <c r="C93" i="42"/>
  <c r="F93" i="42" s="1"/>
  <c r="G93" i="42" s="1"/>
  <c r="D93" i="42"/>
  <c r="E93" i="42"/>
  <c r="C94" i="42"/>
  <c r="F94" i="42"/>
  <c r="G94" i="42" s="1"/>
  <c r="D94" i="42"/>
  <c r="E94" i="42"/>
  <c r="C95" i="42"/>
  <c r="F95" i="42" s="1"/>
  <c r="G95" i="42" s="1"/>
  <c r="D95" i="42"/>
  <c r="E95" i="42"/>
  <c r="C96" i="42"/>
  <c r="F96" i="42"/>
  <c r="G96" i="42" s="1"/>
  <c r="D96" i="42"/>
  <c r="E96" i="42"/>
  <c r="C97" i="42"/>
  <c r="F97" i="42" s="1"/>
  <c r="G97" i="42" s="1"/>
  <c r="D97" i="42"/>
  <c r="E97" i="42"/>
  <c r="C98" i="42"/>
  <c r="F98" i="42"/>
  <c r="G98" i="42" s="1"/>
  <c r="D98" i="42"/>
  <c r="E98" i="42"/>
  <c r="C99" i="42"/>
  <c r="F99" i="42" s="1"/>
  <c r="G99" i="42" s="1"/>
  <c r="D99" i="42"/>
  <c r="E99" i="42"/>
  <c r="C100" i="42"/>
  <c r="F100" i="42"/>
  <c r="G100" i="42" s="1"/>
  <c r="D100" i="42"/>
  <c r="E100" i="42"/>
  <c r="C101" i="42"/>
  <c r="F101" i="42" s="1"/>
  <c r="G101" i="42" s="1"/>
  <c r="D101" i="42"/>
  <c r="E101" i="42"/>
  <c r="C102" i="42"/>
  <c r="C103" i="42"/>
  <c r="C108" i="42"/>
  <c r="F108" i="42"/>
  <c r="G108" i="42" s="1"/>
  <c r="D108" i="42"/>
  <c r="E108" i="42"/>
  <c r="C109" i="42"/>
  <c r="F109" i="42" s="1"/>
  <c r="G109" i="42" s="1"/>
  <c r="D109" i="42"/>
  <c r="E109" i="42"/>
  <c r="C110" i="42"/>
  <c r="F110" i="42"/>
  <c r="G110" i="42" s="1"/>
  <c r="D110" i="42"/>
  <c r="E110" i="42"/>
  <c r="C111" i="42"/>
  <c r="F111" i="42" s="1"/>
  <c r="G111" i="42" s="1"/>
  <c r="D111" i="42"/>
  <c r="E111" i="42"/>
  <c r="C112" i="42"/>
  <c r="F112" i="42"/>
  <c r="G112" i="42" s="1"/>
  <c r="D112" i="42"/>
  <c r="E112" i="42"/>
  <c r="C113" i="42"/>
  <c r="F113" i="42" s="1"/>
  <c r="G113" i="42" s="1"/>
  <c r="D113" i="42"/>
  <c r="E113" i="42"/>
  <c r="C114" i="42"/>
  <c r="F114" i="42" s="1"/>
  <c r="D114" i="42"/>
  <c r="E114" i="42"/>
  <c r="C115" i="42"/>
  <c r="F115" i="42" s="1"/>
  <c r="D115" i="42"/>
  <c r="E115" i="42"/>
  <c r="C116" i="42"/>
  <c r="F116" i="42"/>
  <c r="D116" i="42"/>
  <c r="E116" i="42"/>
  <c r="C117" i="42"/>
  <c r="F117" i="42" s="1"/>
  <c r="D117" i="42"/>
  <c r="E117" i="42"/>
  <c r="C118" i="42"/>
  <c r="F118" i="42" s="1"/>
  <c r="D118" i="42"/>
  <c r="E118" i="42"/>
  <c r="C119" i="42"/>
  <c r="F119" i="42"/>
  <c r="D119" i="42"/>
  <c r="E119" i="42"/>
  <c r="C120" i="42"/>
  <c r="F120" i="42" s="1"/>
  <c r="D120" i="42"/>
  <c r="E120" i="42"/>
  <c r="C121" i="42"/>
  <c r="F121" i="42" s="1"/>
  <c r="D121" i="42"/>
  <c r="E121" i="42"/>
  <c r="C122" i="42"/>
  <c r="F122" i="42"/>
  <c r="D122" i="42"/>
  <c r="E122" i="42"/>
  <c r="C123" i="42"/>
  <c r="F123" i="42" s="1"/>
  <c r="D123" i="42"/>
  <c r="E123" i="42"/>
  <c r="C124" i="42"/>
  <c r="F124" i="42" s="1"/>
  <c r="D124" i="42"/>
  <c r="E124" i="42"/>
  <c r="C125" i="42"/>
  <c r="F125" i="42"/>
  <c r="D125" i="42"/>
  <c r="E125" i="42"/>
  <c r="F126" i="42"/>
  <c r="C132" i="42"/>
  <c r="H132" i="42" s="1"/>
  <c r="D132" i="42"/>
  <c r="E132" i="42"/>
  <c r="C133" i="42"/>
  <c r="F133" i="42" s="1"/>
  <c r="G133" i="42" s="1"/>
  <c r="D133" i="42"/>
  <c r="E133" i="42"/>
  <c r="C134" i="42"/>
  <c r="H134" i="42"/>
  <c r="D134" i="42"/>
  <c r="E134" i="42"/>
  <c r="C135" i="42"/>
  <c r="H135" i="42" s="1"/>
  <c r="D135" i="42"/>
  <c r="E135" i="42"/>
  <c r="C136" i="42"/>
  <c r="H136" i="42" s="1"/>
  <c r="D136" i="42"/>
  <c r="E136" i="42"/>
  <c r="C137" i="42"/>
  <c r="H137" i="42" s="1"/>
  <c r="D137" i="42"/>
  <c r="E137" i="42"/>
  <c r="C138" i="42"/>
  <c r="F138" i="42" s="1"/>
  <c r="G138" i="42"/>
  <c r="D138" i="42"/>
  <c r="E138" i="42"/>
  <c r="C139" i="42"/>
  <c r="H139" i="42" s="1"/>
  <c r="D139" i="42"/>
  <c r="E139" i="42"/>
  <c r="C140" i="42"/>
  <c r="H140" i="42" s="1"/>
  <c r="D140" i="42"/>
  <c r="E140" i="42"/>
  <c r="C141" i="42"/>
  <c r="F141" i="42" s="1"/>
  <c r="G141" i="42"/>
  <c r="D141" i="42"/>
  <c r="E141" i="42"/>
  <c r="C142" i="42"/>
  <c r="H142" i="42"/>
  <c r="D142" i="42"/>
  <c r="E142" i="42"/>
  <c r="C143" i="42"/>
  <c r="D143" i="42"/>
  <c r="E143" i="42"/>
  <c r="C144" i="42"/>
  <c r="H144" i="42" s="1"/>
  <c r="D144" i="42"/>
  <c r="E144" i="42"/>
  <c r="C145" i="42"/>
  <c r="F145" i="42" s="1"/>
  <c r="G145" i="42" s="1"/>
  <c r="D145" i="42"/>
  <c r="E145" i="42"/>
  <c r="C146" i="42"/>
  <c r="F146" i="42" s="1"/>
  <c r="G146" i="42" s="1"/>
  <c r="D146" i="42"/>
  <c r="E146" i="42"/>
  <c r="C147" i="42"/>
  <c r="F147" i="42" s="1"/>
  <c r="G147" i="42" s="1"/>
  <c r="D147" i="42"/>
  <c r="E147" i="42"/>
  <c r="C148" i="42"/>
  <c r="H148" i="42"/>
  <c r="D148" i="42"/>
  <c r="E148" i="42"/>
  <c r="F148" i="42"/>
  <c r="G148" i="42" s="1"/>
  <c r="C149" i="42"/>
  <c r="F149" i="42"/>
  <c r="G149" i="42" s="1"/>
  <c r="D149" i="42"/>
  <c r="E149" i="42"/>
  <c r="C150" i="42"/>
  <c r="D150" i="42"/>
  <c r="E150" i="42"/>
  <c r="D151" i="42"/>
  <c r="C152" i="42"/>
  <c r="H152" i="42" s="1"/>
  <c r="C153" i="42"/>
  <c r="H153" i="42" s="1"/>
  <c r="C160" i="42"/>
  <c r="F160" i="42" s="1"/>
  <c r="D160" i="42"/>
  <c r="E160" i="42"/>
  <c r="C161" i="42"/>
  <c r="F161" i="42" s="1"/>
  <c r="D161" i="42"/>
  <c r="E161" i="42"/>
  <c r="C162" i="42"/>
  <c r="F162" i="42" s="1"/>
  <c r="D162" i="42"/>
  <c r="E162" i="42"/>
  <c r="C163" i="42"/>
  <c r="F163" i="42" s="1"/>
  <c r="D163" i="42"/>
  <c r="E163" i="42"/>
  <c r="C164" i="42"/>
  <c r="F164" i="42" s="1"/>
  <c r="D164" i="42"/>
  <c r="E164" i="42"/>
  <c r="C165" i="42"/>
  <c r="F165" i="42" s="1"/>
  <c r="D165" i="42"/>
  <c r="E165" i="42"/>
  <c r="C166" i="42"/>
  <c r="F166" i="42" s="1"/>
  <c r="D166" i="42"/>
  <c r="E166" i="42"/>
  <c r="C167" i="42"/>
  <c r="F167" i="42" s="1"/>
  <c r="D167" i="42"/>
  <c r="E167" i="42"/>
  <c r="C168" i="42"/>
  <c r="F168" i="42" s="1"/>
  <c r="D168" i="42"/>
  <c r="E168" i="42"/>
  <c r="C169" i="42"/>
  <c r="F169" i="42" s="1"/>
  <c r="D169" i="42"/>
  <c r="E169" i="42"/>
  <c r="C170" i="42"/>
  <c r="F170" i="42" s="1"/>
  <c r="D170" i="42"/>
  <c r="E170" i="42"/>
  <c r="C171" i="42"/>
  <c r="F171" i="42" s="1"/>
  <c r="D171" i="42"/>
  <c r="E171" i="42"/>
  <c r="C172" i="42"/>
  <c r="F172" i="42" s="1"/>
  <c r="G172" i="42" s="1"/>
  <c r="D172" i="42"/>
  <c r="E172" i="42"/>
  <c r="C173" i="42"/>
  <c r="D173" i="42"/>
  <c r="E173" i="42"/>
  <c r="C174" i="42"/>
  <c r="H174" i="42" s="1"/>
  <c r="D174" i="42"/>
  <c r="E174" i="42"/>
  <c r="C175" i="42"/>
  <c r="H175" i="42" s="1"/>
  <c r="D175" i="42"/>
  <c r="E175" i="42"/>
  <c r="C176" i="42"/>
  <c r="H176" i="42" s="1"/>
  <c r="D176" i="42"/>
  <c r="E176" i="42"/>
  <c r="C177" i="42"/>
  <c r="D177" i="42"/>
  <c r="E177" i="42"/>
  <c r="C178" i="42"/>
  <c r="F178" i="42" s="1"/>
  <c r="G178" i="42" s="1"/>
  <c r="D178" i="42"/>
  <c r="E178" i="42"/>
  <c r="C179" i="42"/>
  <c r="H179" i="42" s="1"/>
  <c r="D179" i="42"/>
  <c r="E179" i="42"/>
  <c r="C180" i="42"/>
  <c r="F180" i="42" s="1"/>
  <c r="G180" i="42" s="1"/>
  <c r="D180" i="42"/>
  <c r="E180" i="42"/>
  <c r="C181" i="42"/>
  <c r="D181" i="42"/>
  <c r="E181" i="42"/>
  <c r="C182" i="42"/>
  <c r="F182" i="42" s="1"/>
  <c r="G182" i="42" s="1"/>
  <c r="D182" i="42"/>
  <c r="E182" i="42"/>
  <c r="C183" i="42"/>
  <c r="H183" i="42"/>
  <c r="D183" i="42"/>
  <c r="E183" i="42"/>
  <c r="C184" i="42"/>
  <c r="F184" i="42" s="1"/>
  <c r="G184" i="42" s="1"/>
  <c r="D184" i="42"/>
  <c r="E184" i="42"/>
  <c r="C185" i="42"/>
  <c r="H185" i="42" s="1"/>
  <c r="D185" i="42"/>
  <c r="E185" i="42"/>
  <c r="C186" i="42"/>
  <c r="F186" i="42" s="1"/>
  <c r="G186" i="42" s="1"/>
  <c r="D186" i="42"/>
  <c r="E186" i="42"/>
  <c r="C187" i="42"/>
  <c r="F187" i="42" s="1"/>
  <c r="G187" i="42" s="1"/>
  <c r="H187" i="42"/>
  <c r="D187" i="42"/>
  <c r="E187" i="42"/>
  <c r="C188" i="42"/>
  <c r="F188" i="42" s="1"/>
  <c r="G188" i="42" s="1"/>
  <c r="D188" i="42"/>
  <c r="E188" i="42"/>
  <c r="C189" i="42"/>
  <c r="H189" i="42" s="1"/>
  <c r="D189" i="42"/>
  <c r="E189" i="42"/>
  <c r="C190" i="42"/>
  <c r="F190" i="42" s="1"/>
  <c r="G190" i="42" s="1"/>
  <c r="D190" i="42"/>
  <c r="E190" i="42"/>
  <c r="C191" i="42"/>
  <c r="H191" i="42" s="1"/>
  <c r="D191" i="42"/>
  <c r="E191" i="42"/>
  <c r="C192" i="42"/>
  <c r="F192" i="42"/>
  <c r="G192" i="42" s="1"/>
  <c r="D192" i="42"/>
  <c r="E192" i="42"/>
  <c r="C193" i="42"/>
  <c r="H193" i="42" s="1"/>
  <c r="D193" i="42"/>
  <c r="E193" i="42"/>
  <c r="C194" i="42"/>
  <c r="F194" i="42" s="1"/>
  <c r="G194" i="42" s="1"/>
  <c r="D194" i="42"/>
  <c r="E194" i="42"/>
  <c r="C195" i="42"/>
  <c r="H195" i="42"/>
  <c r="D195" i="42"/>
  <c r="E195" i="42"/>
  <c r="C196" i="42"/>
  <c r="F196" i="42"/>
  <c r="G196" i="42" s="1"/>
  <c r="D196" i="42"/>
  <c r="E196" i="42"/>
  <c r="D197" i="42"/>
  <c r="C198" i="42"/>
  <c r="F198" i="42" s="1"/>
  <c r="G198" i="42" s="1"/>
  <c r="C199" i="42"/>
  <c r="F199" i="42" s="1"/>
  <c r="G199" i="42" s="1"/>
  <c r="C200" i="42"/>
  <c r="F200" i="42"/>
  <c r="C201" i="42"/>
  <c r="F201" i="42" s="1"/>
  <c r="C6" i="41"/>
  <c r="F6" i="41" s="1"/>
  <c r="G6" i="41" s="1"/>
  <c r="D6" i="41"/>
  <c r="E6" i="41"/>
  <c r="C7" i="41"/>
  <c r="F7" i="41" s="1"/>
  <c r="G7" i="41" s="1"/>
  <c r="D7" i="41"/>
  <c r="E7" i="41"/>
  <c r="C8" i="41"/>
  <c r="F8" i="41" s="1"/>
  <c r="G8" i="41" s="1"/>
  <c r="D8" i="41"/>
  <c r="E8" i="41"/>
  <c r="C9" i="41"/>
  <c r="F9" i="41" s="1"/>
  <c r="G9" i="41" s="1"/>
  <c r="D9" i="41"/>
  <c r="E9" i="41"/>
  <c r="C10" i="41"/>
  <c r="F10" i="41" s="1"/>
  <c r="G10" i="41" s="1"/>
  <c r="D10" i="41"/>
  <c r="E10" i="41"/>
  <c r="C11" i="41"/>
  <c r="F11" i="41" s="1"/>
  <c r="G11" i="41" s="1"/>
  <c r="D11" i="41"/>
  <c r="E11" i="41"/>
  <c r="C12" i="41"/>
  <c r="F12" i="41"/>
  <c r="G12" i="41" s="1"/>
  <c r="D12" i="41"/>
  <c r="E12" i="41"/>
  <c r="C13" i="41"/>
  <c r="F13" i="41" s="1"/>
  <c r="G13" i="41" s="1"/>
  <c r="D13" i="41"/>
  <c r="E13" i="41"/>
  <c r="C14" i="41"/>
  <c r="F14" i="41" s="1"/>
  <c r="G14" i="41" s="1"/>
  <c r="D14" i="41"/>
  <c r="E14" i="41"/>
  <c r="C15" i="41"/>
  <c r="F15" i="41" s="1"/>
  <c r="G15" i="41" s="1"/>
  <c r="D15" i="41"/>
  <c r="E15" i="41"/>
  <c r="C16" i="41"/>
  <c r="F16" i="41" s="1"/>
  <c r="D16" i="41"/>
  <c r="E16" i="41"/>
  <c r="C17" i="41"/>
  <c r="F17" i="41" s="1"/>
  <c r="D17" i="41"/>
  <c r="E17" i="41"/>
  <c r="C18" i="41"/>
  <c r="F18" i="41"/>
  <c r="D18" i="41"/>
  <c r="E18" i="41"/>
  <c r="C19" i="41"/>
  <c r="F19" i="41" s="1"/>
  <c r="D19" i="41"/>
  <c r="E19" i="41"/>
  <c r="C20" i="41"/>
  <c r="F20" i="41" s="1"/>
  <c r="D20" i="41"/>
  <c r="E20" i="41"/>
  <c r="C21" i="41"/>
  <c r="F21" i="41"/>
  <c r="D21" i="41"/>
  <c r="E21" i="41"/>
  <c r="C22" i="41"/>
  <c r="F22" i="41" s="1"/>
  <c r="D22" i="41"/>
  <c r="E22" i="41"/>
  <c r="C23" i="41"/>
  <c r="F23" i="41" s="1"/>
  <c r="D23" i="41"/>
  <c r="E23" i="41"/>
  <c r="C24" i="41"/>
  <c r="F24" i="41"/>
  <c r="D24" i="41"/>
  <c r="E24" i="41"/>
  <c r="C25" i="41"/>
  <c r="F25" i="41" s="1"/>
  <c r="D25" i="41"/>
  <c r="E25" i="41"/>
  <c r="C26" i="41"/>
  <c r="F26" i="41" s="1"/>
  <c r="D26" i="41"/>
  <c r="E26" i="41"/>
  <c r="C27" i="41"/>
  <c r="F27" i="41"/>
  <c r="D27" i="41"/>
  <c r="E27" i="41"/>
  <c r="C28" i="41"/>
  <c r="F28" i="41" s="1"/>
  <c r="D28" i="41"/>
  <c r="E28" i="41"/>
  <c r="C29" i="41"/>
  <c r="F29" i="41" s="1"/>
  <c r="D29" i="41"/>
  <c r="E29" i="41"/>
  <c r="C30" i="41"/>
  <c r="F30" i="41"/>
  <c r="D30" i="41"/>
  <c r="E30" i="41"/>
  <c r="C31" i="41"/>
  <c r="F31" i="41" s="1"/>
  <c r="D31" i="41"/>
  <c r="E31" i="41"/>
  <c r="C32" i="41"/>
  <c r="F32" i="41" s="1"/>
  <c r="D32" i="41"/>
  <c r="E32" i="41"/>
  <c r="C33" i="41"/>
  <c r="F33" i="41"/>
  <c r="D33" i="41"/>
  <c r="E33" i="41"/>
  <c r="C34" i="41"/>
  <c r="F34" i="41" s="1"/>
  <c r="D34" i="41"/>
  <c r="E34" i="41"/>
  <c r="C35" i="41"/>
  <c r="F35" i="41" s="1"/>
  <c r="D35" i="41"/>
  <c r="E35" i="41"/>
  <c r="C36" i="41"/>
  <c r="F36" i="41"/>
  <c r="D36" i="41"/>
  <c r="E36" i="41"/>
  <c r="C37" i="41"/>
  <c r="F37" i="41" s="1"/>
  <c r="D37" i="41"/>
  <c r="E37" i="41"/>
  <c r="C38" i="41"/>
  <c r="F38" i="41" s="1"/>
  <c r="D38" i="41"/>
  <c r="E38" i="41"/>
  <c r="C39" i="41"/>
  <c r="F39" i="41"/>
  <c r="D39" i="41"/>
  <c r="E39" i="41"/>
  <c r="C40" i="41"/>
  <c r="F40" i="41" s="1"/>
  <c r="D40" i="41"/>
  <c r="E40" i="41"/>
  <c r="C41" i="41"/>
  <c r="F41" i="41" s="1"/>
  <c r="D41" i="41"/>
  <c r="E41" i="41"/>
  <c r="C42" i="41"/>
  <c r="F42" i="41"/>
  <c r="D42" i="41"/>
  <c r="E42" i="41"/>
  <c r="C43" i="41"/>
  <c r="F43" i="41" s="1"/>
  <c r="D43" i="41"/>
  <c r="E43" i="41"/>
  <c r="C44" i="41"/>
  <c r="F44" i="41" s="1"/>
  <c r="D44" i="41"/>
  <c r="E44" i="41"/>
  <c r="C45" i="41"/>
  <c r="F45" i="41"/>
  <c r="D45" i="41"/>
  <c r="E45" i="41"/>
  <c r="C46" i="41"/>
  <c r="F46" i="41" s="1"/>
  <c r="D46" i="41"/>
  <c r="E46" i="41"/>
  <c r="C47" i="41"/>
  <c r="F47" i="41" s="1"/>
  <c r="D47" i="41"/>
  <c r="E47" i="41"/>
  <c r="C48" i="41"/>
  <c r="F48" i="41"/>
  <c r="D48" i="41"/>
  <c r="E48" i="41"/>
  <c r="C49" i="41"/>
  <c r="F49" i="41" s="1"/>
  <c r="D49" i="41"/>
  <c r="E49" i="41"/>
  <c r="C50" i="41"/>
  <c r="F50" i="41" s="1"/>
  <c r="D50" i="41"/>
  <c r="E50" i="41"/>
  <c r="C51" i="41"/>
  <c r="F51" i="41"/>
  <c r="D51" i="41"/>
  <c r="E51" i="41"/>
  <c r="C52" i="41"/>
  <c r="F52" i="41" s="1"/>
  <c r="D52" i="41"/>
  <c r="E52" i="41"/>
  <c r="C53" i="41"/>
  <c r="F53" i="41" s="1"/>
  <c r="D53" i="41"/>
  <c r="E53" i="41"/>
  <c r="C54" i="41"/>
  <c r="F54" i="41"/>
  <c r="D54" i="41"/>
  <c r="E54" i="41"/>
  <c r="C55" i="41"/>
  <c r="F55" i="41" s="1"/>
  <c r="D55" i="41"/>
  <c r="E55" i="41"/>
  <c r="C56" i="41"/>
  <c r="F56" i="41" s="1"/>
  <c r="D56" i="41"/>
  <c r="E56" i="41"/>
  <c r="C57" i="41"/>
  <c r="F57" i="41"/>
  <c r="D57" i="41"/>
  <c r="E57" i="41"/>
  <c r="C58" i="41"/>
  <c r="F58" i="41" s="1"/>
  <c r="D58" i="41"/>
  <c r="E58" i="41"/>
  <c r="C59" i="41"/>
  <c r="F59" i="41" s="1"/>
  <c r="D59" i="41"/>
  <c r="E59" i="41"/>
  <c r="C60" i="41"/>
  <c r="F60" i="41"/>
  <c r="D60" i="41"/>
  <c r="E60" i="41"/>
  <c r="C61" i="41"/>
  <c r="F61" i="41" s="1"/>
  <c r="D61" i="41"/>
  <c r="E61" i="41"/>
  <c r="C62" i="41"/>
  <c r="F62" i="41" s="1"/>
  <c r="D62" i="41"/>
  <c r="E62" i="41"/>
  <c r="C63" i="41"/>
  <c r="F63" i="41"/>
  <c r="D63" i="41"/>
  <c r="E63" i="41"/>
  <c r="C64" i="41"/>
  <c r="F64" i="41" s="1"/>
  <c r="D64" i="41"/>
  <c r="E64" i="41"/>
  <c r="C65" i="41"/>
  <c r="C71" i="41"/>
  <c r="D71" i="41"/>
  <c r="E71" i="41"/>
  <c r="F71" i="41"/>
  <c r="G71" i="41"/>
  <c r="C72" i="41"/>
  <c r="D72" i="41"/>
  <c r="E72" i="41"/>
  <c r="F72" i="41"/>
  <c r="G72" i="41" s="1"/>
  <c r="C73" i="41"/>
  <c r="D73" i="41"/>
  <c r="E73" i="41"/>
  <c r="F73" i="41"/>
  <c r="G73" i="41" s="1"/>
  <c r="C80" i="41"/>
  <c r="F80" i="41" s="1"/>
  <c r="G80" i="41" s="1"/>
  <c r="D80" i="41"/>
  <c r="E80" i="41"/>
  <c r="C81" i="41"/>
  <c r="F81" i="41" s="1"/>
  <c r="G81" i="41" s="1"/>
  <c r="D81" i="41"/>
  <c r="E81" i="41"/>
  <c r="C82" i="41"/>
  <c r="F82" i="41"/>
  <c r="G82" i="41" s="1"/>
  <c r="D82" i="41"/>
  <c r="E82" i="41"/>
  <c r="C83" i="41"/>
  <c r="F83" i="41" s="1"/>
  <c r="G83" i="41"/>
  <c r="D83" i="41"/>
  <c r="E83" i="41"/>
  <c r="C84" i="41"/>
  <c r="F84" i="41"/>
  <c r="G84" i="41" s="1"/>
  <c r="D84" i="41"/>
  <c r="E84" i="41"/>
  <c r="C85" i="41"/>
  <c r="F85" i="41" s="1"/>
  <c r="G85" i="41"/>
  <c r="D85" i="41"/>
  <c r="E85" i="41"/>
  <c r="C86" i="41"/>
  <c r="F86" i="41"/>
  <c r="G86" i="41" s="1"/>
  <c r="D86" i="41"/>
  <c r="E86" i="41"/>
  <c r="C87" i="41"/>
  <c r="F87" i="41" s="1"/>
  <c r="G87" i="41"/>
  <c r="D87" i="41"/>
  <c r="E87" i="41"/>
  <c r="C88" i="41"/>
  <c r="F88" i="41"/>
  <c r="G88" i="41" s="1"/>
  <c r="D88" i="41"/>
  <c r="E88" i="41"/>
  <c r="C89" i="41"/>
  <c r="F89" i="41" s="1"/>
  <c r="G89" i="41" s="1"/>
  <c r="D89" i="41"/>
  <c r="E89" i="41"/>
  <c r="C90" i="41"/>
  <c r="F90" i="41" s="1"/>
  <c r="G90" i="41" s="1"/>
  <c r="D90" i="41"/>
  <c r="E90" i="41"/>
  <c r="C91" i="41"/>
  <c r="F91" i="41" s="1"/>
  <c r="G91" i="41" s="1"/>
  <c r="D91" i="41"/>
  <c r="E91" i="41"/>
  <c r="C92" i="41"/>
  <c r="F92" i="41" s="1"/>
  <c r="G92" i="41" s="1"/>
  <c r="D92" i="41"/>
  <c r="E92" i="41"/>
  <c r="C93" i="41"/>
  <c r="F93" i="41" s="1"/>
  <c r="G93" i="41" s="1"/>
  <c r="D93" i="41"/>
  <c r="E93" i="41"/>
  <c r="C94" i="41"/>
  <c r="F94" i="41" s="1"/>
  <c r="G94" i="41" s="1"/>
  <c r="D94" i="41"/>
  <c r="E94" i="41"/>
  <c r="C95" i="41"/>
  <c r="F95" i="41" s="1"/>
  <c r="G95" i="41" s="1"/>
  <c r="D95" i="41"/>
  <c r="E95" i="41"/>
  <c r="C96" i="41"/>
  <c r="F96" i="41"/>
  <c r="G96" i="41" s="1"/>
  <c r="D96" i="41"/>
  <c r="E96" i="41"/>
  <c r="C97" i="41"/>
  <c r="F97" i="41" s="1"/>
  <c r="G97" i="41" s="1"/>
  <c r="D97" i="41"/>
  <c r="E97" i="41"/>
  <c r="C98" i="41"/>
  <c r="F98" i="41"/>
  <c r="G98" i="41" s="1"/>
  <c r="D98" i="41"/>
  <c r="E98" i="41"/>
  <c r="C99" i="41"/>
  <c r="F99" i="41" s="1"/>
  <c r="G99" i="41"/>
  <c r="D99" i="41"/>
  <c r="E99" i="41"/>
  <c r="C100" i="41"/>
  <c r="F100" i="41" s="1"/>
  <c r="G100" i="41" s="1"/>
  <c r="D100" i="41"/>
  <c r="E100" i="41"/>
  <c r="C101" i="41"/>
  <c r="F101" i="41" s="1"/>
  <c r="G101" i="41"/>
  <c r="D101" i="41"/>
  <c r="E101" i="41"/>
  <c r="C102" i="41"/>
  <c r="F102" i="41"/>
  <c r="G102" i="41" s="1"/>
  <c r="D102" i="41"/>
  <c r="E102" i="41"/>
  <c r="C103" i="41"/>
  <c r="F103" i="41" s="1"/>
  <c r="G103" i="41" s="1"/>
  <c r="D103" i="41"/>
  <c r="E103" i="41"/>
  <c r="C104" i="41"/>
  <c r="F104" i="41"/>
  <c r="G104" i="41" s="1"/>
  <c r="D104" i="41"/>
  <c r="E104" i="41"/>
  <c r="C105" i="41"/>
  <c r="F105" i="41" s="1"/>
  <c r="G105" i="41" s="1"/>
  <c r="D105" i="41"/>
  <c r="E105" i="41"/>
  <c r="C106" i="41"/>
  <c r="F106" i="41"/>
  <c r="G106" i="41" s="1"/>
  <c r="D106" i="41"/>
  <c r="E106" i="41"/>
  <c r="C107" i="41"/>
  <c r="F107" i="41" s="1"/>
  <c r="G107" i="41" s="1"/>
  <c r="D107" i="41"/>
  <c r="E107" i="41"/>
  <c r="C108" i="41"/>
  <c r="F108" i="41" s="1"/>
  <c r="G108" i="41" s="1"/>
  <c r="D108" i="41"/>
  <c r="E108" i="41"/>
  <c r="C109" i="41"/>
  <c r="F109" i="41" s="1"/>
  <c r="G109" i="41" s="1"/>
  <c r="D109" i="41"/>
  <c r="E109" i="41"/>
  <c r="C110" i="41"/>
  <c r="F110" i="41"/>
  <c r="G110" i="41" s="1"/>
  <c r="D110" i="41"/>
  <c r="E110" i="41"/>
  <c r="C111" i="41"/>
  <c r="F111" i="41" s="1"/>
  <c r="G111" i="41" s="1"/>
  <c r="D111" i="41"/>
  <c r="E111" i="41"/>
  <c r="C112" i="41"/>
  <c r="F112" i="41"/>
  <c r="G112" i="41" s="1"/>
  <c r="D112" i="41"/>
  <c r="E112" i="41"/>
  <c r="C113" i="41"/>
  <c r="F113" i="41" s="1"/>
  <c r="G113" i="41" s="1"/>
  <c r="D113" i="41"/>
  <c r="E113" i="41"/>
  <c r="C114" i="41"/>
  <c r="F114" i="41" s="1"/>
  <c r="G114" i="41" s="1"/>
  <c r="D114" i="41"/>
  <c r="E114" i="41"/>
  <c r="C115" i="41"/>
  <c r="F115" i="41" s="1"/>
  <c r="G115" i="41" s="1"/>
  <c r="D115" i="41"/>
  <c r="E115" i="41"/>
  <c r="C116" i="41"/>
  <c r="F116" i="41"/>
  <c r="G116" i="41" s="1"/>
  <c r="D116" i="41"/>
  <c r="E116" i="41"/>
  <c r="C117" i="41"/>
  <c r="F117" i="41" s="1"/>
  <c r="G117" i="41" s="1"/>
  <c r="D117" i="41"/>
  <c r="E117" i="41"/>
  <c r="C118" i="41"/>
  <c r="F118" i="41" s="1"/>
  <c r="G118" i="41" s="1"/>
  <c r="D118" i="41"/>
  <c r="E118" i="41"/>
  <c r="C119" i="41"/>
  <c r="F119" i="41" s="1"/>
  <c r="G119" i="41"/>
  <c r="D119" i="41"/>
  <c r="E119" i="41"/>
  <c r="C120" i="41"/>
  <c r="F120" i="41" s="1"/>
  <c r="G120" i="41" s="1"/>
  <c r="D120" i="41"/>
  <c r="E120" i="41"/>
  <c r="C121" i="41"/>
  <c r="F121" i="41" s="1"/>
  <c r="G121" i="41" s="1"/>
  <c r="D121" i="41"/>
  <c r="E121" i="41"/>
  <c r="C122" i="41"/>
  <c r="F122" i="41" s="1"/>
  <c r="G122" i="41" s="1"/>
  <c r="D122" i="41"/>
  <c r="E122" i="41"/>
  <c r="C123" i="41"/>
  <c r="F123" i="41" s="1"/>
  <c r="G123" i="41" s="1"/>
  <c r="D123" i="41"/>
  <c r="E123" i="41"/>
  <c r="C124" i="41"/>
  <c r="F124" i="41" s="1"/>
  <c r="G124" i="41" s="1"/>
  <c r="D124" i="41"/>
  <c r="E124" i="41"/>
  <c r="C125" i="41"/>
  <c r="F125" i="41" s="1"/>
  <c r="G125" i="41" s="1"/>
  <c r="D125" i="41"/>
  <c r="E125" i="41"/>
  <c r="C126" i="41"/>
  <c r="F126" i="41"/>
  <c r="G126" i="41" s="1"/>
  <c r="D126" i="41"/>
  <c r="E126" i="41"/>
  <c r="C127" i="41"/>
  <c r="F127" i="41" s="1"/>
  <c r="G127" i="41" s="1"/>
  <c r="D127" i="41"/>
  <c r="E127" i="41"/>
  <c r="C128" i="41"/>
  <c r="F128" i="41"/>
  <c r="G128" i="41" s="1"/>
  <c r="D128" i="41"/>
  <c r="E128" i="41"/>
  <c r="C129" i="41"/>
  <c r="F129" i="41" s="1"/>
  <c r="G129" i="41" s="1"/>
  <c r="D129" i="41"/>
  <c r="E129" i="41"/>
  <c r="C130" i="41"/>
  <c r="F130" i="41" s="1"/>
  <c r="G130" i="41" s="1"/>
  <c r="D130" i="41"/>
  <c r="E130" i="41"/>
  <c r="C131" i="41"/>
  <c r="F131" i="41" s="1"/>
  <c r="G131" i="41" s="1"/>
  <c r="D131" i="41"/>
  <c r="E131" i="41"/>
  <c r="C132" i="41"/>
  <c r="F132" i="41"/>
  <c r="G132" i="41" s="1"/>
  <c r="D132" i="41"/>
  <c r="E132" i="41"/>
  <c r="C133" i="41"/>
  <c r="F133" i="41" s="1"/>
  <c r="G133" i="41" s="1"/>
  <c r="D133" i="41"/>
  <c r="E133" i="41"/>
  <c r="C134" i="41"/>
  <c r="F134" i="41" s="1"/>
  <c r="G134" i="41" s="1"/>
  <c r="D134" i="41"/>
  <c r="E134" i="41"/>
  <c r="C135" i="41"/>
  <c r="F135" i="41" s="1"/>
  <c r="G135" i="41"/>
  <c r="D135" i="41"/>
  <c r="E135" i="41"/>
  <c r="C136" i="41"/>
  <c r="F136" i="41" s="1"/>
  <c r="G136" i="41" s="1"/>
  <c r="D136" i="41"/>
  <c r="E136" i="41"/>
  <c r="C137" i="41"/>
  <c r="F137" i="41" s="1"/>
  <c r="G137" i="41" s="1"/>
  <c r="D137" i="41"/>
  <c r="E137" i="41"/>
  <c r="C145" i="41"/>
  <c r="F145" i="41" s="1"/>
  <c r="D145" i="41"/>
  <c r="E145" i="41"/>
  <c r="C146" i="41"/>
  <c r="F146" i="41" s="1"/>
  <c r="D146" i="41"/>
  <c r="E146" i="41"/>
  <c r="C147" i="41"/>
  <c r="F147" i="41" s="1"/>
  <c r="D147" i="41"/>
  <c r="E147" i="41"/>
  <c r="C148" i="41"/>
  <c r="F148" i="41" s="1"/>
  <c r="D148" i="41"/>
  <c r="E148" i="41"/>
  <c r="C149" i="41"/>
  <c r="D149" i="41"/>
  <c r="E149" i="41"/>
  <c r="F149" i="41"/>
  <c r="C150" i="41"/>
  <c r="F150" i="41" s="1"/>
  <c r="D150" i="41"/>
  <c r="E150" i="41"/>
  <c r="C151" i="41"/>
  <c r="F151" i="41" s="1"/>
  <c r="D151" i="41"/>
  <c r="E151" i="41"/>
  <c r="C152" i="41"/>
  <c r="F152" i="41" s="1"/>
  <c r="D152" i="41"/>
  <c r="E152" i="41"/>
  <c r="C153" i="41"/>
  <c r="F153" i="41" s="1"/>
  <c r="D153" i="41"/>
  <c r="E153" i="41"/>
  <c r="C154" i="41"/>
  <c r="F154" i="41" s="1"/>
  <c r="D154" i="41"/>
  <c r="E154" i="41"/>
  <c r="C155" i="41"/>
  <c r="D155" i="41"/>
  <c r="E155" i="41"/>
  <c r="F155" i="41"/>
  <c r="C156" i="41"/>
  <c r="F156" i="41" s="1"/>
  <c r="D156" i="41"/>
  <c r="E156" i="41"/>
  <c r="C157" i="41"/>
  <c r="F157" i="41" s="1"/>
  <c r="D157" i="41"/>
  <c r="E157" i="41"/>
  <c r="C158" i="41"/>
  <c r="F158" i="41" s="1"/>
  <c r="D158" i="41"/>
  <c r="E158" i="41"/>
  <c r="C159" i="41"/>
  <c r="F159" i="41" s="1"/>
  <c r="D159" i="41"/>
  <c r="E159" i="41"/>
  <c r="C160" i="41"/>
  <c r="F160" i="41" s="1"/>
  <c r="D160" i="41"/>
  <c r="E160" i="41"/>
  <c r="C161" i="41"/>
  <c r="D161" i="41"/>
  <c r="E161" i="41"/>
  <c r="F161" i="41"/>
  <c r="C162" i="41"/>
  <c r="F162" i="41" s="1"/>
  <c r="D162" i="41"/>
  <c r="E162" i="41"/>
  <c r="C163" i="41"/>
  <c r="F163" i="41" s="1"/>
  <c r="D163" i="41"/>
  <c r="E163" i="41"/>
  <c r="C164" i="41"/>
  <c r="F164" i="41" s="1"/>
  <c r="D164" i="41"/>
  <c r="E164" i="41"/>
  <c r="C165" i="41"/>
  <c r="F165" i="41" s="1"/>
  <c r="G165" i="41" s="1"/>
  <c r="D165" i="41"/>
  <c r="E165" i="41"/>
  <c r="C166" i="41"/>
  <c r="F166" i="41" s="1"/>
  <c r="G166" i="41" s="1"/>
  <c r="D166" i="41"/>
  <c r="E166" i="41"/>
  <c r="C167" i="41"/>
  <c r="F167" i="41"/>
  <c r="G167" i="41" s="1"/>
  <c r="D167" i="41"/>
  <c r="E167" i="41"/>
  <c r="C168" i="41"/>
  <c r="F168" i="41" s="1"/>
  <c r="G168" i="41" s="1"/>
  <c r="D168" i="41"/>
  <c r="E168" i="41"/>
  <c r="C169" i="41"/>
  <c r="F169" i="41"/>
  <c r="G169" i="41" s="1"/>
  <c r="D169" i="41"/>
  <c r="E169" i="41"/>
  <c r="C170" i="41"/>
  <c r="F170" i="41" s="1"/>
  <c r="G170" i="41" s="1"/>
  <c r="D170" i="41"/>
  <c r="E170" i="41"/>
  <c r="C171" i="41"/>
  <c r="F171" i="41" s="1"/>
  <c r="G171" i="41" s="1"/>
  <c r="D171" i="41"/>
  <c r="E171" i="41"/>
  <c r="C172" i="41"/>
  <c r="F172" i="41" s="1"/>
  <c r="G172" i="41" s="1"/>
  <c r="D172" i="41"/>
  <c r="E172" i="41"/>
  <c r="C173" i="41"/>
  <c r="F173" i="41" s="1"/>
  <c r="G173" i="41" s="1"/>
  <c r="D173" i="41"/>
  <c r="E173" i="41"/>
  <c r="C174" i="41"/>
  <c r="F174" i="41" s="1"/>
  <c r="G174" i="41" s="1"/>
  <c r="D174" i="41"/>
  <c r="E174" i="41"/>
  <c r="C175" i="41"/>
  <c r="F175" i="41"/>
  <c r="G175" i="41" s="1"/>
  <c r="D175" i="41"/>
  <c r="E175" i="41"/>
  <c r="C176" i="41"/>
  <c r="F176" i="41" s="1"/>
  <c r="G176" i="41" s="1"/>
  <c r="D176" i="41"/>
  <c r="E176" i="41"/>
  <c r="C177" i="41"/>
  <c r="F177" i="41" s="1"/>
  <c r="G177" i="41" s="1"/>
  <c r="D177" i="41"/>
  <c r="E177" i="41"/>
  <c r="C178" i="41"/>
  <c r="F178" i="41" s="1"/>
  <c r="G178" i="41" s="1"/>
  <c r="D178" i="41"/>
  <c r="E178" i="41"/>
  <c r="C179" i="41"/>
  <c r="F179" i="41" s="1"/>
  <c r="G179" i="41" s="1"/>
  <c r="D179" i="41"/>
  <c r="E179" i="41"/>
  <c r="C180" i="41"/>
  <c r="F180" i="41" s="1"/>
  <c r="G180" i="41" s="1"/>
  <c r="D180" i="41"/>
  <c r="E180" i="41"/>
  <c r="C181" i="41"/>
  <c r="F181" i="41" s="1"/>
  <c r="G181" i="41" s="1"/>
  <c r="D181" i="41"/>
  <c r="E181" i="41"/>
  <c r="C182" i="41"/>
  <c r="F182" i="41" s="1"/>
  <c r="G182" i="41" s="1"/>
  <c r="D182" i="41"/>
  <c r="E182" i="41"/>
  <c r="C183" i="41"/>
  <c r="F183" i="41"/>
  <c r="G183" i="41" s="1"/>
  <c r="D183" i="41"/>
  <c r="E183" i="41"/>
  <c r="C185" i="41"/>
  <c r="F185" i="41"/>
  <c r="G185" i="41" s="1"/>
  <c r="C186" i="41"/>
  <c r="C192" i="41"/>
  <c r="F192" i="41" s="1"/>
  <c r="D192" i="41"/>
  <c r="E192" i="41"/>
  <c r="C193" i="41"/>
  <c r="F193" i="41" s="1"/>
  <c r="D193" i="41"/>
  <c r="E193" i="41"/>
  <c r="C194" i="41"/>
  <c r="F194" i="41" s="1"/>
  <c r="D194" i="41"/>
  <c r="E194" i="41"/>
  <c r="C195" i="41"/>
  <c r="F195" i="41" s="1"/>
  <c r="G195" i="41" s="1"/>
  <c r="D195" i="41"/>
  <c r="E195" i="41"/>
  <c r="C196" i="41"/>
  <c r="F196" i="41" s="1"/>
  <c r="G196" i="41" s="1"/>
  <c r="D196" i="41"/>
  <c r="E196" i="41"/>
  <c r="C197" i="41"/>
  <c r="F197" i="41" s="1"/>
  <c r="G197" i="41" s="1"/>
  <c r="D197" i="41"/>
  <c r="E197" i="41"/>
  <c r="C198" i="41"/>
  <c r="F198" i="41" s="1"/>
  <c r="G198" i="41" s="1"/>
  <c r="D198" i="41"/>
  <c r="E198" i="41"/>
  <c r="C199" i="41"/>
  <c r="F199" i="41" s="1"/>
  <c r="G199" i="41" s="1"/>
  <c r="D199" i="41"/>
  <c r="E199" i="41"/>
  <c r="C200" i="41"/>
  <c r="C201" i="41"/>
  <c r="C206" i="41"/>
  <c r="F206" i="41" s="1"/>
  <c r="G206" i="41" s="1"/>
  <c r="D206" i="41"/>
  <c r="E206" i="41"/>
  <c r="C207" i="41"/>
  <c r="F207" i="41" s="1"/>
  <c r="G207" i="41"/>
  <c r="D207" i="41"/>
  <c r="E207" i="41"/>
  <c r="C208" i="41"/>
  <c r="F208" i="41"/>
  <c r="G208" i="41" s="1"/>
  <c r="D208" i="41"/>
  <c r="E208" i="41"/>
  <c r="C209" i="41"/>
  <c r="F209" i="41" s="1"/>
  <c r="G209" i="41" s="1"/>
  <c r="D209" i="41"/>
  <c r="E209" i="41"/>
  <c r="C210" i="41"/>
  <c r="D210" i="41"/>
  <c r="E210" i="41"/>
  <c r="F210" i="41"/>
  <c r="G210" i="41" s="1"/>
  <c r="C211" i="41"/>
  <c r="F211" i="41" s="1"/>
  <c r="G211" i="41"/>
  <c r="D211" i="41"/>
  <c r="E211" i="41"/>
  <c r="C212" i="41"/>
  <c r="F212" i="41" s="1"/>
  <c r="G212" i="41" s="1"/>
  <c r="D212" i="41"/>
  <c r="E212" i="41"/>
  <c r="C213" i="41"/>
  <c r="F213" i="41" s="1"/>
  <c r="G213" i="41"/>
  <c r="D213" i="41"/>
  <c r="E213" i="41"/>
  <c r="C214" i="41"/>
  <c r="F214" i="41"/>
  <c r="G214" i="41" s="1"/>
  <c r="D214" i="41"/>
  <c r="E214" i="41"/>
  <c r="C215" i="41"/>
  <c r="F215" i="41" s="1"/>
  <c r="G215" i="41" s="1"/>
  <c r="D215" i="41"/>
  <c r="E215" i="41"/>
  <c r="C216" i="41"/>
  <c r="D216" i="41"/>
  <c r="E216" i="41"/>
  <c r="F216" i="41"/>
  <c r="G216" i="41" s="1"/>
  <c r="C217" i="41"/>
  <c r="F217" i="41" s="1"/>
  <c r="G217" i="41"/>
  <c r="D217" i="41"/>
  <c r="E217" i="41"/>
  <c r="C218" i="41"/>
  <c r="F218" i="41" s="1"/>
  <c r="G218" i="41" s="1"/>
  <c r="D218" i="41"/>
  <c r="E218" i="41"/>
  <c r="C219" i="41"/>
  <c r="F219" i="41" s="1"/>
  <c r="G219" i="41"/>
  <c r="D219" i="41"/>
  <c r="E219" i="41"/>
  <c r="C220" i="41"/>
  <c r="F220" i="41"/>
  <c r="G220" i="41" s="1"/>
  <c r="D220" i="41"/>
  <c r="E220" i="41"/>
  <c r="C221" i="41"/>
  <c r="F221" i="41" s="1"/>
  <c r="G221" i="41" s="1"/>
  <c r="D221" i="41"/>
  <c r="E221" i="41"/>
  <c r="C222" i="41"/>
  <c r="F222" i="41"/>
  <c r="G222" i="41" s="1"/>
  <c r="D222" i="41"/>
  <c r="E222" i="41"/>
  <c r="C223" i="41"/>
  <c r="F223" i="41" s="1"/>
  <c r="G223" i="41"/>
  <c r="D223" i="41"/>
  <c r="E223" i="41"/>
  <c r="C224" i="41"/>
  <c r="F224" i="41" s="1"/>
  <c r="G224" i="41" s="1"/>
  <c r="D224" i="41"/>
  <c r="E224" i="41"/>
  <c r="C225" i="41"/>
  <c r="F225" i="41" s="1"/>
  <c r="G225" i="41"/>
  <c r="D225" i="41"/>
  <c r="E225" i="41"/>
  <c r="C226" i="41"/>
  <c r="F226" i="41"/>
  <c r="G226" i="41" s="1"/>
  <c r="D226" i="41"/>
  <c r="E226" i="41"/>
  <c r="C227" i="41"/>
  <c r="F227" i="41" s="1"/>
  <c r="G227" i="41" s="1"/>
  <c r="D227" i="41"/>
  <c r="E227" i="41"/>
  <c r="C228" i="41"/>
  <c r="F228" i="41"/>
  <c r="G228" i="41" s="1"/>
  <c r="D228" i="41"/>
  <c r="E228" i="41"/>
  <c r="C229" i="41"/>
  <c r="F229" i="41" s="1"/>
  <c r="G229" i="41"/>
  <c r="D229" i="41"/>
  <c r="E229" i="41"/>
  <c r="C230" i="41"/>
  <c r="F230" i="41" s="1"/>
  <c r="G230" i="41" s="1"/>
  <c r="D230" i="41"/>
  <c r="E230" i="41"/>
  <c r="C231" i="41"/>
  <c r="F231" i="41" s="1"/>
  <c r="G231" i="41"/>
  <c r="D231" i="41"/>
  <c r="E231" i="41"/>
  <c r="C232" i="41"/>
  <c r="F232" i="41"/>
  <c r="G232" i="41" s="1"/>
  <c r="D232" i="41"/>
  <c r="E232" i="41"/>
  <c r="C233" i="41"/>
  <c r="F233" i="41" s="1"/>
  <c r="G233" i="41" s="1"/>
  <c r="D233" i="41"/>
  <c r="E233" i="41"/>
  <c r="C234" i="41"/>
  <c r="D234" i="41"/>
  <c r="E234" i="41"/>
  <c r="F234" i="41"/>
  <c r="G234" i="41" s="1"/>
  <c r="C235" i="41"/>
  <c r="F235" i="41" s="1"/>
  <c r="G235" i="41"/>
  <c r="D235" i="41"/>
  <c r="E235" i="41"/>
  <c r="C236" i="41"/>
  <c r="F236" i="41" s="1"/>
  <c r="G236" i="41" s="1"/>
  <c r="D236" i="41"/>
  <c r="E236" i="41"/>
  <c r="C237" i="41"/>
  <c r="F237" i="41" s="1"/>
  <c r="G237" i="41"/>
  <c r="D237" i="41"/>
  <c r="E237" i="41"/>
  <c r="C238" i="41"/>
  <c r="F238" i="41"/>
  <c r="G238" i="41" s="1"/>
  <c r="D238" i="41"/>
  <c r="E238" i="41"/>
  <c r="C239" i="41"/>
  <c r="F239" i="41" s="1"/>
  <c r="G239" i="41" s="1"/>
  <c r="D239" i="41"/>
  <c r="E239" i="41"/>
  <c r="C240" i="41"/>
  <c r="F240" i="41"/>
  <c r="G240" i="41" s="1"/>
  <c r="D240" i="41"/>
  <c r="E240" i="41"/>
  <c r="C241" i="41"/>
  <c r="F241" i="41" s="1"/>
  <c r="G241" i="41"/>
  <c r="D241" i="41"/>
  <c r="E241" i="41"/>
  <c r="C242" i="41"/>
  <c r="F242" i="41" s="1"/>
  <c r="G242" i="41" s="1"/>
  <c r="D242" i="41"/>
  <c r="E242" i="41"/>
  <c r="C243" i="41"/>
  <c r="F243" i="41" s="1"/>
  <c r="G243" i="41"/>
  <c r="D243" i="41"/>
  <c r="E243" i="41"/>
  <c r="C244" i="41"/>
  <c r="F244" i="41"/>
  <c r="G244" i="41" s="1"/>
  <c r="D244" i="41"/>
  <c r="E244" i="41"/>
  <c r="C245" i="41"/>
  <c r="F245" i="41" s="1"/>
  <c r="D245" i="41"/>
  <c r="E245" i="41"/>
  <c r="C246" i="41"/>
  <c r="F246" i="41" s="1"/>
  <c r="D246" i="41"/>
  <c r="E246" i="41"/>
  <c r="C247" i="41"/>
  <c r="F247" i="41" s="1"/>
  <c r="D247" i="41"/>
  <c r="E247" i="41"/>
  <c r="C249" i="41"/>
  <c r="C254" i="41"/>
  <c r="F254" i="41" s="1"/>
  <c r="G254" i="41" s="1"/>
  <c r="D254" i="41"/>
  <c r="E254" i="41"/>
  <c r="C255" i="41"/>
  <c r="F255" i="41" s="1"/>
  <c r="G255" i="41" s="1"/>
  <c r="D255" i="41"/>
  <c r="E255" i="41"/>
  <c r="C256" i="41"/>
  <c r="F256" i="41" s="1"/>
  <c r="G256" i="41" s="1"/>
  <c r="D256" i="41"/>
  <c r="E256" i="41"/>
  <c r="C257" i="41"/>
  <c r="F257" i="41" s="1"/>
  <c r="G257" i="41" s="1"/>
  <c r="D257" i="41"/>
  <c r="E257" i="41"/>
  <c r="C258" i="41"/>
  <c r="F258" i="41" s="1"/>
  <c r="G258" i="41" s="1"/>
  <c r="D258" i="41"/>
  <c r="E258" i="41"/>
  <c r="C259" i="41"/>
  <c r="F259" i="41" s="1"/>
  <c r="G259" i="41" s="1"/>
  <c r="D259" i="41"/>
  <c r="E259" i="41"/>
  <c r="C260" i="41"/>
  <c r="F260" i="41" s="1"/>
  <c r="G260" i="41" s="1"/>
  <c r="D260" i="41"/>
  <c r="E260" i="41"/>
  <c r="C261" i="41"/>
  <c r="F261" i="41" s="1"/>
  <c r="G261" i="41" s="1"/>
  <c r="D261" i="41"/>
  <c r="E261" i="41"/>
  <c r="C262" i="41"/>
  <c r="F262" i="41" s="1"/>
  <c r="G262" i="41" s="1"/>
  <c r="D262" i="41"/>
  <c r="E262" i="41"/>
  <c r="C263" i="41"/>
  <c r="F263" i="41" s="1"/>
  <c r="G263" i="41" s="1"/>
  <c r="D263" i="41"/>
  <c r="E263" i="41"/>
  <c r="C264" i="41"/>
  <c r="F264" i="41" s="1"/>
  <c r="G264" i="41" s="1"/>
  <c r="D264" i="41"/>
  <c r="E264" i="41"/>
  <c r="C265" i="41"/>
  <c r="F265" i="41" s="1"/>
  <c r="G265" i="41" s="1"/>
  <c r="D265" i="41"/>
  <c r="E265" i="41"/>
  <c r="C266" i="41"/>
  <c r="F266" i="41" s="1"/>
  <c r="G266" i="41" s="1"/>
  <c r="D266" i="41"/>
  <c r="E266" i="41"/>
  <c r="C267" i="41"/>
  <c r="F267" i="41" s="1"/>
  <c r="G267" i="41" s="1"/>
  <c r="D267" i="41"/>
  <c r="E267" i="41"/>
  <c r="C268" i="41"/>
  <c r="F268" i="41" s="1"/>
  <c r="G268" i="41" s="1"/>
  <c r="D268" i="41"/>
  <c r="E268" i="41"/>
  <c r="C269" i="41"/>
  <c r="F269" i="41" s="1"/>
  <c r="G269" i="41" s="1"/>
  <c r="D269" i="41"/>
  <c r="E269" i="41"/>
  <c r="C270" i="41"/>
  <c r="F270" i="41" s="1"/>
  <c r="G270" i="41" s="1"/>
  <c r="D270" i="41"/>
  <c r="E270" i="41"/>
  <c r="C271" i="41"/>
  <c r="F271" i="41" s="1"/>
  <c r="G271" i="41" s="1"/>
  <c r="D271" i="41"/>
  <c r="E271" i="41"/>
  <c r="C272" i="41"/>
  <c r="F272" i="41" s="1"/>
  <c r="G272" i="41" s="1"/>
  <c r="D272" i="41"/>
  <c r="E272" i="41"/>
  <c r="C273" i="41"/>
  <c r="F273" i="41" s="1"/>
  <c r="G273" i="41" s="1"/>
  <c r="D273" i="41"/>
  <c r="E273" i="41"/>
  <c r="C274" i="41"/>
  <c r="F274" i="41" s="1"/>
  <c r="G274" i="41" s="1"/>
  <c r="D274" i="41"/>
  <c r="E274" i="41"/>
  <c r="C275" i="41"/>
  <c r="F275" i="41" s="1"/>
  <c r="G275" i="41" s="1"/>
  <c r="D275" i="41"/>
  <c r="E275" i="41"/>
  <c r="C276" i="41"/>
  <c r="F276" i="41" s="1"/>
  <c r="G276" i="41" s="1"/>
  <c r="D276" i="41"/>
  <c r="E276" i="41"/>
  <c r="C277" i="41"/>
  <c r="F277" i="41" s="1"/>
  <c r="G277" i="41" s="1"/>
  <c r="D277" i="41"/>
  <c r="E277" i="41"/>
  <c r="C278" i="41"/>
  <c r="F278" i="41" s="1"/>
  <c r="G278" i="41" s="1"/>
  <c r="D278" i="41"/>
  <c r="E278" i="41"/>
  <c r="C279" i="41"/>
  <c r="F279" i="41" s="1"/>
  <c r="G279" i="41" s="1"/>
  <c r="D279" i="41"/>
  <c r="E279" i="41"/>
  <c r="C280" i="41"/>
  <c r="F280" i="41" s="1"/>
  <c r="G280" i="41" s="1"/>
  <c r="D280" i="41"/>
  <c r="E280" i="41"/>
  <c r="C281" i="41"/>
  <c r="F281" i="41" s="1"/>
  <c r="D281" i="41"/>
  <c r="E281" i="41"/>
  <c r="C282" i="41"/>
  <c r="C288" i="41"/>
  <c r="F288" i="41" s="1"/>
  <c r="G288" i="41" s="1"/>
  <c r="D288" i="41"/>
  <c r="E288" i="41"/>
  <c r="C289" i="41"/>
  <c r="F289" i="41" s="1"/>
  <c r="G289" i="41" s="1"/>
  <c r="D289" i="41"/>
  <c r="E289" i="41"/>
  <c r="C290" i="41"/>
  <c r="F290" i="41"/>
  <c r="G290" i="41" s="1"/>
  <c r="D290" i="41"/>
  <c r="E290" i="41"/>
  <c r="C291" i="41"/>
  <c r="F291" i="41" s="1"/>
  <c r="G291" i="41" s="1"/>
  <c r="D291" i="41"/>
  <c r="E291" i="41"/>
  <c r="C292" i="41"/>
  <c r="F292" i="41"/>
  <c r="G292" i="41" s="1"/>
  <c r="D292" i="41"/>
  <c r="E292" i="41"/>
  <c r="C293" i="41"/>
  <c r="F293" i="41" s="1"/>
  <c r="G293" i="41" s="1"/>
  <c r="D293" i="41"/>
  <c r="E293" i="41"/>
  <c r="C294" i="41"/>
  <c r="F294" i="41"/>
  <c r="G294" i="41" s="1"/>
  <c r="D294" i="41"/>
  <c r="E294" i="41"/>
  <c r="C295" i="41"/>
  <c r="F295" i="41" s="1"/>
  <c r="G295" i="41" s="1"/>
  <c r="D295" i="41"/>
  <c r="E295" i="41"/>
  <c r="C296" i="41"/>
  <c r="F296" i="41" s="1"/>
  <c r="G296" i="41" s="1"/>
  <c r="D296" i="41"/>
  <c r="E296" i="41"/>
  <c r="C297" i="41"/>
  <c r="F297" i="41" s="1"/>
  <c r="G297" i="41" s="1"/>
  <c r="D297" i="41"/>
  <c r="E297" i="41"/>
  <c r="C298" i="41"/>
  <c r="F298" i="41"/>
  <c r="G298" i="41" s="1"/>
  <c r="D298" i="41"/>
  <c r="E298" i="41"/>
  <c r="C299" i="41"/>
  <c r="F299" i="41" s="1"/>
  <c r="G299" i="41" s="1"/>
  <c r="D299" i="41"/>
  <c r="E299" i="41"/>
  <c r="C300" i="41"/>
  <c r="F300" i="41" s="1"/>
  <c r="G300" i="41" s="1"/>
  <c r="D300" i="41"/>
  <c r="E300" i="41"/>
  <c r="C301" i="41"/>
  <c r="F301" i="41" s="1"/>
  <c r="G301" i="41" s="1"/>
  <c r="D301" i="41"/>
  <c r="E301" i="41"/>
  <c r="C302" i="41"/>
  <c r="F302" i="41"/>
  <c r="G302" i="41" s="1"/>
  <c r="D302" i="41"/>
  <c r="E302" i="41"/>
  <c r="C303" i="41"/>
  <c r="F303" i="41" s="1"/>
  <c r="D303" i="41"/>
  <c r="E303" i="41"/>
  <c r="G303" i="41"/>
  <c r="C304" i="41"/>
  <c r="F304" i="41"/>
  <c r="G304" i="41" s="1"/>
  <c r="D304" i="41"/>
  <c r="E304" i="41"/>
  <c r="C305" i="41"/>
  <c r="F305" i="41" s="1"/>
  <c r="G305" i="41" s="1"/>
  <c r="D305" i="41"/>
  <c r="E305" i="41"/>
  <c r="C306" i="41"/>
  <c r="F306" i="41" s="1"/>
  <c r="G306" i="41" s="1"/>
  <c r="D306" i="41"/>
  <c r="E306" i="41"/>
  <c r="C307" i="41"/>
  <c r="F307" i="41" s="1"/>
  <c r="G307" i="41" s="1"/>
  <c r="D307" i="41"/>
  <c r="E307" i="41"/>
  <c r="C308" i="41"/>
  <c r="F308" i="41"/>
  <c r="G308" i="41" s="1"/>
  <c r="D308" i="41"/>
  <c r="E308" i="41"/>
  <c r="C309" i="41"/>
  <c r="F309" i="41" s="1"/>
  <c r="G309" i="41" s="1"/>
  <c r="D309" i="41"/>
  <c r="E309" i="41"/>
  <c r="C310" i="41"/>
  <c r="F310" i="41"/>
  <c r="G310" i="41" s="1"/>
  <c r="D310" i="41"/>
  <c r="E310" i="41"/>
  <c r="C311" i="41"/>
  <c r="F311" i="41" s="1"/>
  <c r="G311" i="41" s="1"/>
  <c r="D311" i="41"/>
  <c r="E311" i="41"/>
  <c r="C312" i="41"/>
  <c r="D312" i="41"/>
  <c r="E312" i="41"/>
  <c r="F312" i="41"/>
  <c r="G312" i="41" s="1"/>
  <c r="C313" i="41"/>
  <c r="F313" i="41" s="1"/>
  <c r="G313" i="41" s="1"/>
  <c r="D313" i="41"/>
  <c r="E313" i="41"/>
  <c r="C314" i="41"/>
  <c r="F314" i="41" s="1"/>
  <c r="G314" i="41" s="1"/>
  <c r="D314" i="41"/>
  <c r="E314" i="41"/>
  <c r="C315" i="41"/>
  <c r="F315" i="41" s="1"/>
  <c r="G315" i="41" s="1"/>
  <c r="D315" i="41"/>
  <c r="E315" i="41"/>
  <c r="C316" i="41"/>
  <c r="F316" i="41" s="1"/>
  <c r="G316" i="41" s="1"/>
  <c r="D316" i="41"/>
  <c r="E316" i="41"/>
  <c r="C317" i="41"/>
  <c r="F317" i="41" s="1"/>
  <c r="G317" i="41" s="1"/>
  <c r="D317" i="41"/>
  <c r="E317" i="41"/>
  <c r="C318" i="41"/>
  <c r="F318" i="41" s="1"/>
  <c r="G318" i="41" s="1"/>
  <c r="D318" i="41"/>
  <c r="E318" i="41"/>
  <c r="C319" i="41"/>
  <c r="F319" i="41" s="1"/>
  <c r="G319" i="41" s="1"/>
  <c r="D319" i="41"/>
  <c r="E319" i="41"/>
  <c r="C320" i="41"/>
  <c r="F320" i="41" s="1"/>
  <c r="G320" i="41" s="1"/>
  <c r="D320" i="41"/>
  <c r="E320" i="41"/>
  <c r="C321" i="41"/>
  <c r="F321" i="41" s="1"/>
  <c r="G321" i="41" s="1"/>
  <c r="D321" i="41"/>
  <c r="E321" i="41"/>
  <c r="C322" i="41"/>
  <c r="F322" i="41" s="1"/>
  <c r="G322" i="41" s="1"/>
  <c r="D322" i="41"/>
  <c r="E322" i="41"/>
  <c r="C323" i="41"/>
  <c r="F323" i="41" s="1"/>
  <c r="G323" i="41" s="1"/>
  <c r="D323" i="41"/>
  <c r="E323" i="41"/>
  <c r="C324" i="41"/>
  <c r="F324" i="41"/>
  <c r="G324" i="41" s="1"/>
  <c r="D324" i="41"/>
  <c r="E324" i="41"/>
  <c r="C325" i="41"/>
  <c r="F325" i="41" s="1"/>
  <c r="G325" i="41" s="1"/>
  <c r="D325" i="41"/>
  <c r="E325" i="41"/>
  <c r="C326" i="41"/>
  <c r="F326" i="41"/>
  <c r="G326" i="41" s="1"/>
  <c r="D326" i="41"/>
  <c r="E326" i="41"/>
  <c r="C327" i="41"/>
  <c r="F327" i="41" s="1"/>
  <c r="G327" i="41" s="1"/>
  <c r="D327" i="41"/>
  <c r="E327" i="41"/>
  <c r="C328" i="41"/>
  <c r="F328" i="41"/>
  <c r="G328" i="41" s="1"/>
  <c r="D328" i="41"/>
  <c r="E328" i="41"/>
  <c r="C329" i="41"/>
  <c r="F329" i="41" s="1"/>
  <c r="G329" i="41" s="1"/>
  <c r="D329" i="41"/>
  <c r="E329" i="41"/>
  <c r="C330" i="41"/>
  <c r="F330" i="41" s="1"/>
  <c r="G330" i="41" s="1"/>
  <c r="D330" i="41"/>
  <c r="E330" i="41"/>
  <c r="C331" i="41"/>
  <c r="F331" i="41" s="1"/>
  <c r="G331" i="41" s="1"/>
  <c r="D331" i="41"/>
  <c r="E331" i="41"/>
  <c r="C332" i="41"/>
  <c r="F332" i="41"/>
  <c r="G332" i="41" s="1"/>
  <c r="D332" i="41"/>
  <c r="E332" i="41"/>
  <c r="C333" i="41"/>
  <c r="F333" i="41" s="1"/>
  <c r="G333" i="41" s="1"/>
  <c r="D333" i="41"/>
  <c r="E333" i="41"/>
  <c r="C334" i="41"/>
  <c r="F334" i="41"/>
  <c r="G334" i="41" s="1"/>
  <c r="D334" i="41"/>
  <c r="E334" i="41"/>
  <c r="C335" i="41"/>
  <c r="F335" i="41" s="1"/>
  <c r="G335" i="41" s="1"/>
  <c r="D335" i="41"/>
  <c r="E335" i="41"/>
  <c r="C336" i="41"/>
  <c r="F336" i="41"/>
  <c r="G336" i="41" s="1"/>
  <c r="D336" i="41"/>
  <c r="E336" i="41"/>
  <c r="C337" i="41"/>
  <c r="F337" i="41" s="1"/>
  <c r="G337" i="41" s="1"/>
  <c r="D337" i="41"/>
  <c r="E337" i="41"/>
  <c r="C338" i="41"/>
  <c r="F338" i="41" s="1"/>
  <c r="G338" i="41" s="1"/>
  <c r="D338" i="41"/>
  <c r="E338" i="41"/>
  <c r="C339" i="41"/>
  <c r="F339" i="41" s="1"/>
  <c r="G339" i="41" s="1"/>
  <c r="D339" i="41"/>
  <c r="E339" i="41"/>
  <c r="C340" i="41"/>
  <c r="F340" i="41" s="1"/>
  <c r="G340" i="41" s="1"/>
  <c r="D340" i="41"/>
  <c r="E340" i="41"/>
  <c r="C341" i="41"/>
  <c r="F341" i="41" s="1"/>
  <c r="D341" i="41"/>
  <c r="E341" i="41"/>
  <c r="G341" i="41"/>
  <c r="C342" i="41"/>
  <c r="F342" i="41"/>
  <c r="G342" i="41" s="1"/>
  <c r="D342" i="41"/>
  <c r="E342" i="41"/>
  <c r="C343" i="41"/>
  <c r="F343" i="41" s="1"/>
  <c r="G343" i="41" s="1"/>
  <c r="D343" i="41"/>
  <c r="E343" i="41"/>
  <c r="C344" i="41"/>
  <c r="F344" i="41" s="1"/>
  <c r="G344" i="41" s="1"/>
  <c r="D344" i="41"/>
  <c r="E344" i="41"/>
  <c r="C345" i="41"/>
  <c r="F345" i="41" s="1"/>
  <c r="G345" i="41" s="1"/>
  <c r="D345" i="41"/>
  <c r="E345" i="41"/>
  <c r="C346" i="41"/>
  <c r="F346" i="41"/>
  <c r="G346" i="41" s="1"/>
  <c r="D346" i="41"/>
  <c r="E346" i="41"/>
  <c r="C347" i="41"/>
  <c r="F347" i="41" s="1"/>
  <c r="G347" i="41" s="1"/>
  <c r="D347" i="41"/>
  <c r="E347" i="41"/>
  <c r="C348" i="41"/>
  <c r="F348" i="41" s="1"/>
  <c r="G348" i="41" s="1"/>
  <c r="D348" i="41"/>
  <c r="E348" i="41"/>
  <c r="C349" i="41"/>
  <c r="F349" i="41" s="1"/>
  <c r="G349" i="41" s="1"/>
  <c r="D349" i="41"/>
  <c r="E349" i="41"/>
  <c r="C350" i="41"/>
  <c r="F350" i="41" s="1"/>
  <c r="G350" i="41" s="1"/>
  <c r="D350" i="41"/>
  <c r="E350" i="41"/>
  <c r="C351" i="41"/>
  <c r="F351" i="41" s="1"/>
  <c r="G351" i="41" s="1"/>
  <c r="D351" i="41"/>
  <c r="E351" i="41"/>
  <c r="C352" i="41"/>
  <c r="F352" i="41" s="1"/>
  <c r="G352" i="41" s="1"/>
  <c r="D352" i="41"/>
  <c r="E352" i="41"/>
  <c r="C353" i="41"/>
  <c r="F353" i="41" s="1"/>
  <c r="G353" i="41" s="1"/>
  <c r="D353" i="41"/>
  <c r="E353" i="41"/>
  <c r="C354" i="41"/>
  <c r="F354" i="41"/>
  <c r="G354" i="41" s="1"/>
  <c r="D354" i="41"/>
  <c r="E354" i="41"/>
  <c r="C355" i="41"/>
  <c r="F355" i="41" s="1"/>
  <c r="G355" i="41" s="1"/>
  <c r="D355" i="41"/>
  <c r="E355" i="41"/>
  <c r="C356" i="41"/>
  <c r="F356" i="41"/>
  <c r="G356" i="41" s="1"/>
  <c r="D356" i="41"/>
  <c r="E356" i="41"/>
  <c r="C357" i="41"/>
  <c r="F357" i="41" s="1"/>
  <c r="G357" i="41" s="1"/>
  <c r="D357" i="41"/>
  <c r="E357" i="41"/>
  <c r="C358" i="41"/>
  <c r="F358" i="41"/>
  <c r="G358" i="41" s="1"/>
  <c r="D358" i="41"/>
  <c r="E358" i="41"/>
  <c r="C359" i="41"/>
  <c r="F359" i="41" s="1"/>
  <c r="G359" i="41" s="1"/>
  <c r="D359" i="41"/>
  <c r="E359" i="41"/>
  <c r="C360" i="41"/>
  <c r="F360" i="41" s="1"/>
  <c r="G360" i="41" s="1"/>
  <c r="D360" i="41"/>
  <c r="E360" i="41"/>
  <c r="C361" i="41"/>
  <c r="F361" i="41" s="1"/>
  <c r="G361" i="41" s="1"/>
  <c r="D361" i="41"/>
  <c r="E361" i="41"/>
  <c r="C362" i="41"/>
  <c r="F362" i="41" s="1"/>
  <c r="G362" i="41" s="1"/>
  <c r="D362" i="41"/>
  <c r="E362" i="41"/>
  <c r="C363" i="41"/>
  <c r="F363" i="41" s="1"/>
  <c r="G363" i="41" s="1"/>
  <c r="D363" i="41"/>
  <c r="E363" i="41"/>
  <c r="C364" i="41"/>
  <c r="F364" i="41" s="1"/>
  <c r="G364" i="41" s="1"/>
  <c r="D364" i="41"/>
  <c r="E364" i="41"/>
  <c r="C365" i="41"/>
  <c r="F365" i="41" s="1"/>
  <c r="G365" i="41"/>
  <c r="D365" i="41"/>
  <c r="E365" i="41"/>
  <c r="C366" i="41"/>
  <c r="F366" i="41"/>
  <c r="G366" i="41" s="1"/>
  <c r="D366" i="41"/>
  <c r="E366" i="41"/>
  <c r="C367" i="41"/>
  <c r="F367" i="41" s="1"/>
  <c r="G367" i="41" s="1"/>
  <c r="D367" i="41"/>
  <c r="E367" i="41"/>
  <c r="C368" i="41"/>
  <c r="F368" i="41"/>
  <c r="G368" i="41" s="1"/>
  <c r="D368" i="41"/>
  <c r="E368" i="41"/>
  <c r="D369" i="41"/>
  <c r="C370" i="41"/>
  <c r="F370" i="41"/>
  <c r="G370" i="41" s="1"/>
  <c r="D371" i="41"/>
  <c r="C372" i="41"/>
  <c r="F372" i="41"/>
  <c r="G372" i="41" s="1"/>
  <c r="C379" i="41"/>
  <c r="F379" i="41" s="1"/>
  <c r="D379" i="41"/>
  <c r="E379" i="41"/>
  <c r="C380" i="41"/>
  <c r="F380" i="41" s="1"/>
  <c r="D380" i="41"/>
  <c r="E380" i="41"/>
  <c r="C381" i="41"/>
  <c r="F381" i="41" s="1"/>
  <c r="D381" i="41"/>
  <c r="E381" i="41"/>
  <c r="C382" i="41"/>
  <c r="F382" i="41" s="1"/>
  <c r="D382" i="41"/>
  <c r="E382" i="41"/>
  <c r="C383" i="41"/>
  <c r="F383" i="41" s="1"/>
  <c r="D383" i="41"/>
  <c r="E383" i="41"/>
  <c r="C384" i="41"/>
  <c r="F384" i="41" s="1"/>
  <c r="D384" i="41"/>
  <c r="E384" i="41"/>
  <c r="C385" i="41"/>
  <c r="F385" i="41" s="1"/>
  <c r="D385" i="41"/>
  <c r="E385" i="41"/>
  <c r="C386" i="41"/>
  <c r="F386" i="41" s="1"/>
  <c r="G386" i="41" s="1"/>
  <c r="D386" i="41"/>
  <c r="E386" i="41"/>
  <c r="C387" i="41"/>
  <c r="F387" i="41"/>
  <c r="G387" i="41" s="1"/>
  <c r="D387" i="41"/>
  <c r="E387" i="41"/>
  <c r="C388" i="41"/>
  <c r="F388" i="41" s="1"/>
  <c r="G388" i="41" s="1"/>
  <c r="D388" i="41"/>
  <c r="E388" i="41"/>
  <c r="C389" i="41"/>
  <c r="F389" i="41" s="1"/>
  <c r="G389" i="41" s="1"/>
  <c r="D389" i="41"/>
  <c r="E389" i="41"/>
  <c r="C390" i="41"/>
  <c r="F390" i="41" s="1"/>
  <c r="G390" i="41"/>
  <c r="D390" i="41"/>
  <c r="E390" i="41"/>
  <c r="C391" i="41"/>
  <c r="F391" i="41"/>
  <c r="G391" i="41" s="1"/>
  <c r="D391" i="41"/>
  <c r="E391" i="41"/>
  <c r="C392" i="41"/>
  <c r="F392" i="41" s="1"/>
  <c r="G392" i="41" s="1"/>
  <c r="D392" i="41"/>
  <c r="E392" i="41"/>
  <c r="C393" i="41"/>
  <c r="F393" i="41"/>
  <c r="G393" i="41" s="1"/>
  <c r="D393" i="41"/>
  <c r="E393" i="41"/>
  <c r="C394" i="41"/>
  <c r="F394" i="41"/>
  <c r="G394" i="41" s="1"/>
  <c r="D394" i="41"/>
  <c r="E394" i="41"/>
  <c r="C395" i="41"/>
  <c r="F395" i="41" s="1"/>
  <c r="G395" i="41" s="1"/>
  <c r="D395" i="41"/>
  <c r="E395" i="41"/>
  <c r="C396" i="41"/>
  <c r="F396" i="41" s="1"/>
  <c r="G396" i="41" s="1"/>
  <c r="D396" i="41"/>
  <c r="E396" i="41"/>
  <c r="C397" i="41"/>
  <c r="F397" i="41" s="1"/>
  <c r="G397" i="41" s="1"/>
  <c r="D397" i="41"/>
  <c r="E397" i="41"/>
  <c r="C398" i="41"/>
  <c r="F398" i="41" s="1"/>
  <c r="G398" i="41" s="1"/>
  <c r="D398" i="41"/>
  <c r="E398" i="41"/>
  <c r="C399" i="41"/>
  <c r="F399" i="41" s="1"/>
  <c r="G399" i="41" s="1"/>
  <c r="D399" i="41"/>
  <c r="E399" i="41"/>
  <c r="C400" i="41"/>
  <c r="F400" i="41" s="1"/>
  <c r="G400" i="41"/>
  <c r="D400" i="41"/>
  <c r="E400" i="41"/>
  <c r="C401" i="41"/>
  <c r="F401" i="41"/>
  <c r="G401" i="41" s="1"/>
  <c r="D401" i="41"/>
  <c r="E401" i="41"/>
  <c r="C402" i="41"/>
  <c r="F402" i="41"/>
  <c r="G402" i="41" s="1"/>
  <c r="D402" i="41"/>
  <c r="E402" i="41"/>
  <c r="C403" i="41"/>
  <c r="F403" i="41"/>
  <c r="G403" i="41" s="1"/>
  <c r="D403" i="41"/>
  <c r="E403" i="41"/>
  <c r="C404" i="41"/>
  <c r="F404" i="41" s="1"/>
  <c r="G404" i="41" s="1"/>
  <c r="D404" i="41"/>
  <c r="E404" i="41"/>
  <c r="C405" i="41"/>
  <c r="F405" i="41"/>
  <c r="G405" i="41"/>
  <c r="D405" i="41"/>
  <c r="E405" i="41"/>
  <c r="C406" i="41"/>
  <c r="C407" i="41"/>
  <c r="C412" i="41"/>
  <c r="F412" i="41" s="1"/>
  <c r="G412" i="41" s="1"/>
  <c r="D412" i="41"/>
  <c r="E412" i="41"/>
  <c r="C413" i="41"/>
  <c r="F413" i="41" s="1"/>
  <c r="G413" i="41" s="1"/>
  <c r="D413" i="41"/>
  <c r="E413" i="41"/>
  <c r="C414" i="41"/>
  <c r="F414" i="41" s="1"/>
  <c r="G414" i="41" s="1"/>
  <c r="D414" i="41"/>
  <c r="E414" i="41"/>
  <c r="C415" i="41"/>
  <c r="F415" i="41"/>
  <c r="G415" i="41" s="1"/>
  <c r="D415" i="41"/>
  <c r="E415" i="41"/>
  <c r="C416" i="41"/>
  <c r="F416" i="41" s="1"/>
  <c r="G416" i="41" s="1"/>
  <c r="D416" i="41"/>
  <c r="E416" i="41"/>
  <c r="C417" i="41"/>
  <c r="F417" i="41"/>
  <c r="G417" i="41"/>
  <c r="D417" i="41"/>
  <c r="E417" i="41"/>
  <c r="C418" i="41"/>
  <c r="F418" i="41" s="1"/>
  <c r="G418" i="41"/>
  <c r="D418" i="41"/>
  <c r="E418" i="41"/>
  <c r="C419" i="41"/>
  <c r="F419" i="41"/>
  <c r="G419" i="41" s="1"/>
  <c r="D419" i="41"/>
  <c r="E419" i="41"/>
  <c r="C420" i="41"/>
  <c r="F420" i="41" s="1"/>
  <c r="G420" i="41"/>
  <c r="D420" i="41"/>
  <c r="E420" i="41"/>
  <c r="C421" i="41"/>
  <c r="C6" i="40"/>
  <c r="F6" i="40" s="1"/>
  <c r="D6" i="40"/>
  <c r="E6" i="40"/>
  <c r="C7" i="40"/>
  <c r="F7" i="40"/>
  <c r="D7" i="40"/>
  <c r="E7" i="40"/>
  <c r="C8" i="40"/>
  <c r="F8" i="40" s="1"/>
  <c r="D8" i="40"/>
  <c r="E8" i="40"/>
  <c r="C9" i="40"/>
  <c r="F9" i="40" s="1"/>
  <c r="D9" i="40"/>
  <c r="E9" i="40"/>
  <c r="C10" i="40"/>
  <c r="F10" i="40" s="1"/>
  <c r="D10" i="40"/>
  <c r="E10" i="40"/>
  <c r="C11" i="40"/>
  <c r="F11" i="40" s="1"/>
  <c r="D11" i="40"/>
  <c r="E11" i="40"/>
  <c r="C12" i="40"/>
  <c r="F12" i="40" s="1"/>
  <c r="D12" i="40"/>
  <c r="E12" i="40"/>
  <c r="C13" i="40"/>
  <c r="F13" i="40" s="1"/>
  <c r="G13" i="40" s="1"/>
  <c r="D13" i="40"/>
  <c r="E13" i="40"/>
  <c r="C14" i="40"/>
  <c r="F14" i="40" s="1"/>
  <c r="G14" i="40" s="1"/>
  <c r="D14" i="40"/>
  <c r="E14" i="40"/>
  <c r="C15" i="40"/>
  <c r="F15" i="40" s="1"/>
  <c r="G15" i="40" s="1"/>
  <c r="D15" i="40"/>
  <c r="E15" i="40"/>
  <c r="C16" i="40"/>
  <c r="F16" i="40"/>
  <c r="G16" i="40" s="1"/>
  <c r="D16" i="40"/>
  <c r="E16" i="40"/>
  <c r="C17" i="40"/>
  <c r="F17" i="40" s="1"/>
  <c r="G17" i="40" s="1"/>
  <c r="D17" i="40"/>
  <c r="E17" i="40"/>
  <c r="C18" i="40"/>
  <c r="F18" i="40" s="1"/>
  <c r="G18" i="40" s="1"/>
  <c r="D18" i="40"/>
  <c r="E18" i="40"/>
  <c r="C19" i="40"/>
  <c r="F19" i="40" s="1"/>
  <c r="G19" i="40" s="1"/>
  <c r="D19" i="40"/>
  <c r="E19" i="40"/>
  <c r="C20" i="40"/>
  <c r="F20" i="40" s="1"/>
  <c r="G20" i="40" s="1"/>
  <c r="D20" i="40"/>
  <c r="E20" i="40"/>
  <c r="C21" i="40"/>
  <c r="F21" i="40" s="1"/>
  <c r="G21" i="40" s="1"/>
  <c r="D21" i="40"/>
  <c r="E21" i="40"/>
  <c r="C22" i="40"/>
  <c r="F22" i="40"/>
  <c r="G22" i="40" s="1"/>
  <c r="D22" i="40"/>
  <c r="E22" i="40"/>
  <c r="C23" i="40"/>
  <c r="F23" i="40" s="1"/>
  <c r="G23" i="40"/>
  <c r="D23" i="40"/>
  <c r="E23" i="40"/>
  <c r="C24" i="40"/>
  <c r="F24" i="40"/>
  <c r="G24" i="40" s="1"/>
  <c r="D24" i="40"/>
  <c r="E24" i="40"/>
  <c r="C25" i="40"/>
  <c r="F25" i="40" s="1"/>
  <c r="G25" i="40" s="1"/>
  <c r="D25" i="40"/>
  <c r="E25" i="40"/>
  <c r="C26" i="40"/>
  <c r="F26" i="40"/>
  <c r="G26" i="40" s="1"/>
  <c r="D26" i="40"/>
  <c r="E26" i="40"/>
  <c r="C27" i="40"/>
  <c r="F27" i="40" s="1"/>
  <c r="G27" i="40" s="1"/>
  <c r="D27" i="40"/>
  <c r="E27" i="40"/>
  <c r="C28" i="40"/>
  <c r="F28" i="40" s="1"/>
  <c r="G28" i="40" s="1"/>
  <c r="D28" i="40"/>
  <c r="E28" i="40"/>
  <c r="C29" i="40"/>
  <c r="F29" i="40" s="1"/>
  <c r="G29" i="40"/>
  <c r="D29" i="40"/>
  <c r="E29" i="40"/>
  <c r="C30" i="40"/>
  <c r="F30" i="40"/>
  <c r="G30" i="40" s="1"/>
  <c r="D30" i="40"/>
  <c r="E30" i="40"/>
  <c r="C31" i="40"/>
  <c r="F31" i="40" s="1"/>
  <c r="G31" i="40" s="1"/>
  <c r="D31" i="40"/>
  <c r="E31" i="40"/>
  <c r="C32" i="40"/>
  <c r="F32" i="40"/>
  <c r="G32" i="40" s="1"/>
  <c r="D32" i="40"/>
  <c r="E32" i="40"/>
  <c r="C33" i="40"/>
  <c r="F33" i="40" s="1"/>
  <c r="G33" i="40" s="1"/>
  <c r="D33" i="40"/>
  <c r="E33" i="40"/>
  <c r="C34" i="40"/>
  <c r="F34" i="40" s="1"/>
  <c r="G34" i="40" s="1"/>
  <c r="D34" i="40"/>
  <c r="E34" i="40"/>
  <c r="C35" i="40"/>
  <c r="F35" i="40" s="1"/>
  <c r="G35" i="40" s="1"/>
  <c r="D35" i="40"/>
  <c r="E35" i="40"/>
  <c r="C36" i="40"/>
  <c r="F36" i="40"/>
  <c r="G36" i="40" s="1"/>
  <c r="D36" i="40"/>
  <c r="E36" i="40"/>
  <c r="C37" i="40"/>
  <c r="F37" i="40" s="1"/>
  <c r="G37" i="40" s="1"/>
  <c r="D37" i="40"/>
  <c r="E37" i="40"/>
  <c r="C38" i="40"/>
  <c r="F38" i="40"/>
  <c r="G38" i="40" s="1"/>
  <c r="D38" i="40"/>
  <c r="E38" i="40"/>
  <c r="C39" i="40"/>
  <c r="F39" i="40" s="1"/>
  <c r="G39" i="40"/>
  <c r="D39" i="40"/>
  <c r="E39" i="40"/>
  <c r="C40" i="40"/>
  <c r="F40" i="40" s="1"/>
  <c r="D40" i="40"/>
  <c r="E40" i="40"/>
  <c r="C41" i="40"/>
  <c r="F41" i="40"/>
  <c r="D41" i="40"/>
  <c r="E41" i="40"/>
  <c r="C42" i="40"/>
  <c r="F42" i="40"/>
  <c r="D42" i="40"/>
  <c r="E42" i="40"/>
  <c r="C43" i="40"/>
  <c r="F43" i="40" s="1"/>
  <c r="D43" i="40"/>
  <c r="E43" i="40"/>
  <c r="C44" i="40"/>
  <c r="F44" i="40"/>
  <c r="D44" i="40"/>
  <c r="E44" i="40"/>
  <c r="C45" i="40"/>
  <c r="F45" i="40"/>
  <c r="D45" i="40"/>
  <c r="E45" i="40"/>
  <c r="C52" i="40"/>
  <c r="F52" i="40" s="1"/>
  <c r="D52" i="40"/>
  <c r="E52" i="40"/>
  <c r="C53" i="40"/>
  <c r="F53" i="40"/>
  <c r="D53" i="40"/>
  <c r="E53" i="40"/>
  <c r="C54" i="40"/>
  <c r="F54" i="40"/>
  <c r="D54" i="40"/>
  <c r="E54" i="40"/>
  <c r="C55" i="40"/>
  <c r="F55" i="40" s="1"/>
  <c r="D55" i="40"/>
  <c r="E55" i="40"/>
  <c r="C56" i="40"/>
  <c r="F56" i="40"/>
  <c r="D56" i="40"/>
  <c r="E56" i="40"/>
  <c r="C57" i="40"/>
  <c r="F57" i="40"/>
  <c r="D57" i="40"/>
  <c r="E57" i="40"/>
  <c r="C58" i="40"/>
  <c r="F58" i="40" s="1"/>
  <c r="D58" i="40"/>
  <c r="E58" i="40"/>
  <c r="C59" i="40"/>
  <c r="F59" i="40"/>
  <c r="D59" i="40"/>
  <c r="E59" i="40"/>
  <c r="C60" i="40"/>
  <c r="F60" i="40"/>
  <c r="D60" i="40"/>
  <c r="E60" i="40"/>
  <c r="C61" i="40"/>
  <c r="F61" i="40" s="1"/>
  <c r="D61" i="40"/>
  <c r="E61" i="40"/>
  <c r="C62" i="40"/>
  <c r="F62" i="40"/>
  <c r="D62" i="40"/>
  <c r="E62" i="40"/>
  <c r="C63" i="40"/>
  <c r="F63" i="40"/>
  <c r="D63" i="40"/>
  <c r="E63" i="40"/>
  <c r="C64" i="40"/>
  <c r="F64" i="40" s="1"/>
  <c r="D64" i="40"/>
  <c r="E64" i="40"/>
  <c r="C65" i="40"/>
  <c r="F65" i="40"/>
  <c r="D65" i="40"/>
  <c r="E65" i="40"/>
  <c r="C66" i="40"/>
  <c r="F66" i="40"/>
  <c r="D66" i="40"/>
  <c r="E66" i="40"/>
  <c r="C67" i="40"/>
  <c r="F67" i="40" s="1"/>
  <c r="D67" i="40"/>
  <c r="E67" i="40"/>
  <c r="C68" i="40"/>
  <c r="F68" i="40"/>
  <c r="D68" i="40"/>
  <c r="E68" i="40"/>
  <c r="C69" i="40"/>
  <c r="F69" i="40"/>
  <c r="D69" i="40"/>
  <c r="E69" i="40"/>
  <c r="C70" i="40"/>
  <c r="F70" i="40" s="1"/>
  <c r="D70" i="40"/>
  <c r="E70" i="40"/>
  <c r="C71" i="40"/>
  <c r="F71" i="40"/>
  <c r="D71" i="40"/>
  <c r="E71" i="40"/>
  <c r="C72" i="40"/>
  <c r="F72" i="40"/>
  <c r="D72" i="40"/>
  <c r="E72" i="40"/>
  <c r="C73" i="40"/>
  <c r="F73" i="40" s="1"/>
  <c r="D73" i="40"/>
  <c r="E73" i="40"/>
  <c r="C74" i="40"/>
  <c r="F74" i="40"/>
  <c r="D74" i="40"/>
  <c r="E74" i="40"/>
  <c r="C75" i="40"/>
  <c r="F75" i="40" s="1"/>
  <c r="G75" i="40"/>
  <c r="D75" i="40"/>
  <c r="E75" i="40"/>
  <c r="C76" i="40"/>
  <c r="F76" i="40" s="1"/>
  <c r="D76" i="40"/>
  <c r="E76" i="40"/>
  <c r="C77" i="40"/>
  <c r="D77" i="40"/>
  <c r="E77" i="40"/>
  <c r="C78" i="40"/>
  <c r="F78" i="40"/>
  <c r="D78" i="40"/>
  <c r="E78" i="40"/>
  <c r="C79" i="40"/>
  <c r="F79" i="40"/>
  <c r="D79" i="40"/>
  <c r="E79" i="40"/>
  <c r="C80" i="40"/>
  <c r="G80" i="40" s="1"/>
  <c r="D80" i="40"/>
  <c r="E80" i="40"/>
  <c r="D81" i="40"/>
  <c r="C82" i="40"/>
  <c r="G82" i="40" s="1"/>
  <c r="F82" i="40"/>
  <c r="F92" i="40"/>
  <c r="G92" i="40"/>
  <c r="F96" i="40"/>
  <c r="G96" i="40"/>
  <c r="F98" i="40"/>
  <c r="G98" i="40"/>
  <c r="F99" i="40"/>
  <c r="G99" i="40"/>
  <c r="F103" i="40"/>
  <c r="G103" i="40"/>
  <c r="F105" i="40"/>
  <c r="G105" i="40"/>
  <c r="C116" i="40"/>
  <c r="D116" i="40"/>
  <c r="E116" i="40"/>
  <c r="F116" i="40"/>
  <c r="G116" i="40" s="1"/>
  <c r="C117" i="40"/>
  <c r="F117" i="40" s="1"/>
  <c r="G117" i="40" s="1"/>
  <c r="D117" i="40"/>
  <c r="E117" i="40"/>
  <c r="C118" i="40"/>
  <c r="F118" i="40" s="1"/>
  <c r="G118" i="40" s="1"/>
  <c r="D118" i="40"/>
  <c r="E118" i="40"/>
  <c r="C119" i="40"/>
  <c r="D119" i="40"/>
  <c r="E119" i="40"/>
  <c r="F119" i="40"/>
  <c r="G119" i="40" s="1"/>
  <c r="C120" i="40"/>
  <c r="D120" i="40"/>
  <c r="E120" i="40"/>
  <c r="F120" i="40"/>
  <c r="G120" i="40" s="1"/>
  <c r="C121" i="40"/>
  <c r="D121" i="40"/>
  <c r="E121" i="40"/>
  <c r="F121" i="40"/>
  <c r="G121" i="40" s="1"/>
  <c r="C122" i="40"/>
  <c r="D122" i="40"/>
  <c r="E122" i="40"/>
  <c r="F122" i="40"/>
  <c r="G122" i="40" s="1"/>
  <c r="C123" i="40"/>
  <c r="D123" i="40"/>
  <c r="E123" i="40"/>
  <c r="F123" i="40"/>
  <c r="G123" i="40" s="1"/>
  <c r="C124" i="40"/>
  <c r="D124" i="40"/>
  <c r="E124" i="40"/>
  <c r="F124" i="40"/>
  <c r="G124" i="40" s="1"/>
  <c r="C125" i="40"/>
  <c r="D125" i="40"/>
  <c r="E125" i="40"/>
  <c r="F125" i="40"/>
  <c r="G125" i="40" s="1"/>
  <c r="G126" i="40"/>
  <c r="C127" i="40"/>
  <c r="F127" i="40"/>
  <c r="G127" i="40"/>
  <c r="C128" i="40"/>
  <c r="F128" i="40"/>
  <c r="G128" i="40" s="1"/>
  <c r="C135" i="40"/>
  <c r="F135" i="40" s="1"/>
  <c r="G135" i="40" s="1"/>
  <c r="D135" i="40"/>
  <c r="E135" i="40"/>
  <c r="C136" i="40"/>
  <c r="F136" i="40" s="1"/>
  <c r="G136" i="40" s="1"/>
  <c r="D136" i="40"/>
  <c r="E136" i="40"/>
  <c r="C137" i="40"/>
  <c r="F137" i="40" s="1"/>
  <c r="G137" i="40" s="1"/>
  <c r="D137" i="40"/>
  <c r="E137" i="40"/>
  <c r="C138" i="40"/>
  <c r="F138" i="40" s="1"/>
  <c r="G138" i="40" s="1"/>
  <c r="D138" i="40"/>
  <c r="E138" i="40"/>
  <c r="C139" i="40"/>
  <c r="F139" i="40" s="1"/>
  <c r="G139" i="40" s="1"/>
  <c r="D139" i="40"/>
  <c r="E139" i="40"/>
  <c r="C140" i="40"/>
  <c r="F140" i="40" s="1"/>
  <c r="G140" i="40" s="1"/>
  <c r="D140" i="40"/>
  <c r="E140" i="40"/>
  <c r="C141" i="40"/>
  <c r="F141" i="40" s="1"/>
  <c r="G141" i="40" s="1"/>
  <c r="D141" i="40"/>
  <c r="E141" i="40"/>
  <c r="C142" i="40"/>
  <c r="F142" i="40" s="1"/>
  <c r="G142" i="40" s="1"/>
  <c r="D142" i="40"/>
  <c r="E142" i="40"/>
  <c r="C143" i="40"/>
  <c r="F143" i="40" s="1"/>
  <c r="G143" i="40" s="1"/>
  <c r="D143" i="40"/>
  <c r="E143" i="40"/>
  <c r="C144" i="40"/>
  <c r="F144" i="40" s="1"/>
  <c r="G144" i="40" s="1"/>
  <c r="D144" i="40"/>
  <c r="E144" i="40"/>
  <c r="C145" i="40"/>
  <c r="F145" i="40" s="1"/>
  <c r="G145" i="40" s="1"/>
  <c r="D145" i="40"/>
  <c r="E145" i="40"/>
  <c r="C146" i="40"/>
  <c r="F146" i="40" s="1"/>
  <c r="G146" i="40" s="1"/>
  <c r="D146" i="40"/>
  <c r="E146" i="40"/>
  <c r="C147" i="40"/>
  <c r="F147" i="40" s="1"/>
  <c r="G147" i="40" s="1"/>
  <c r="D147" i="40"/>
  <c r="E147" i="40"/>
  <c r="C148" i="40"/>
  <c r="F148" i="40" s="1"/>
  <c r="G148" i="40" s="1"/>
  <c r="D148" i="40"/>
  <c r="E148" i="40"/>
  <c r="C149" i="40"/>
  <c r="F149" i="40" s="1"/>
  <c r="G149" i="40" s="1"/>
  <c r="D149" i="40"/>
  <c r="E149" i="40"/>
  <c r="C150" i="40"/>
  <c r="F150" i="40" s="1"/>
  <c r="G150" i="40" s="1"/>
  <c r="D150" i="40"/>
  <c r="E150" i="40"/>
  <c r="C151" i="40"/>
  <c r="F151" i="40" s="1"/>
  <c r="G151" i="40" s="1"/>
  <c r="D151" i="40"/>
  <c r="E151" i="40"/>
  <c r="C152" i="40"/>
  <c r="F152" i="40" s="1"/>
  <c r="G152" i="40" s="1"/>
  <c r="D152" i="40"/>
  <c r="E152" i="40"/>
  <c r="C153" i="40"/>
  <c r="F153" i="40" s="1"/>
  <c r="G153" i="40" s="1"/>
  <c r="D153" i="40"/>
  <c r="E153" i="40"/>
  <c r="C154" i="40"/>
  <c r="F154" i="40"/>
  <c r="G154" i="40" s="1"/>
  <c r="D154" i="40"/>
  <c r="E154" i="40"/>
  <c r="C155" i="40"/>
  <c r="F155" i="40" s="1"/>
  <c r="G155" i="40" s="1"/>
  <c r="D155" i="40"/>
  <c r="E155" i="40"/>
  <c r="C156" i="40"/>
  <c r="F156" i="40"/>
  <c r="G156" i="40" s="1"/>
  <c r="D156" i="40"/>
  <c r="E156" i="40"/>
  <c r="C157" i="40"/>
  <c r="C158" i="40"/>
  <c r="C163" i="40"/>
  <c r="F163" i="40" s="1"/>
  <c r="D163" i="40"/>
  <c r="E163" i="40"/>
  <c r="C164" i="40"/>
  <c r="F164" i="40" s="1"/>
  <c r="G164" i="40"/>
  <c r="D164" i="40"/>
  <c r="E164" i="40"/>
  <c r="C165" i="40"/>
  <c r="F165" i="40" s="1"/>
  <c r="G165" i="40" s="1"/>
  <c r="D165" i="40"/>
  <c r="E165" i="40"/>
  <c r="C166" i="40"/>
  <c r="F166" i="40" s="1"/>
  <c r="G166" i="40"/>
  <c r="D166" i="40"/>
  <c r="E166" i="40"/>
  <c r="C167" i="40"/>
  <c r="F167" i="40"/>
  <c r="G167" i="40" s="1"/>
  <c r="D167" i="40"/>
  <c r="E167" i="40"/>
  <c r="C168" i="40"/>
  <c r="F168" i="40" s="1"/>
  <c r="G168" i="40" s="1"/>
  <c r="D168" i="40"/>
  <c r="E168" i="40"/>
  <c r="C169" i="40"/>
  <c r="F169" i="40"/>
  <c r="G169" i="40" s="1"/>
  <c r="D169" i="40"/>
  <c r="E169" i="40"/>
  <c r="C170" i="40"/>
  <c r="F170" i="40" s="1"/>
  <c r="G170" i="40" s="1"/>
  <c r="D170" i="40"/>
  <c r="E170" i="40"/>
  <c r="C171" i="40"/>
  <c r="F171" i="40"/>
  <c r="G171" i="40" s="1"/>
  <c r="D171" i="40"/>
  <c r="E171" i="40"/>
  <c r="C172" i="40"/>
  <c r="F172" i="40" s="1"/>
  <c r="G172" i="40" s="1"/>
  <c r="D172" i="40"/>
  <c r="E172" i="40"/>
  <c r="C173" i="40"/>
  <c r="F173" i="40" s="1"/>
  <c r="G173" i="40" s="1"/>
  <c r="D173" i="40"/>
  <c r="E173" i="40"/>
  <c r="C174" i="40"/>
  <c r="F174" i="40" s="1"/>
  <c r="G174" i="40" s="1"/>
  <c r="D174" i="40"/>
  <c r="E174" i="40"/>
  <c r="C175" i="40"/>
  <c r="F175" i="40" s="1"/>
  <c r="G175" i="40" s="1"/>
  <c r="D175" i="40"/>
  <c r="E175" i="40"/>
  <c r="C176" i="40"/>
  <c r="F176" i="40" s="1"/>
  <c r="G176" i="40" s="1"/>
  <c r="D176" i="40"/>
  <c r="E176" i="40"/>
  <c r="C177" i="40"/>
  <c r="F177" i="40" s="1"/>
  <c r="G177" i="40" s="1"/>
  <c r="D177" i="40"/>
  <c r="E177" i="40"/>
  <c r="C178" i="40"/>
  <c r="F178" i="40" s="1"/>
  <c r="G178" i="40" s="1"/>
  <c r="D178" i="40"/>
  <c r="E178" i="40"/>
  <c r="C179" i="40"/>
  <c r="F179" i="40" s="1"/>
  <c r="G179" i="40" s="1"/>
  <c r="D179" i="40"/>
  <c r="E179" i="40"/>
  <c r="C180" i="40"/>
  <c r="F180" i="40" s="1"/>
  <c r="G180" i="40"/>
  <c r="D180" i="40"/>
  <c r="E180" i="40"/>
  <c r="C181" i="40"/>
  <c r="D181" i="40"/>
  <c r="E181" i="40"/>
  <c r="F181" i="40"/>
  <c r="G181" i="40" s="1"/>
  <c r="C182" i="40"/>
  <c r="F182" i="40" s="1"/>
  <c r="G182" i="40" s="1"/>
  <c r="D182" i="40"/>
  <c r="E182" i="40"/>
  <c r="C183" i="40"/>
  <c r="F183" i="40"/>
  <c r="G183" i="40"/>
  <c r="D183" i="40"/>
  <c r="E183" i="40"/>
  <c r="C184" i="40"/>
  <c r="F184" i="40" s="1"/>
  <c r="G184" i="40" s="1"/>
  <c r="D184" i="40"/>
  <c r="E184" i="40"/>
  <c r="C185" i="40"/>
  <c r="F185" i="40" s="1"/>
  <c r="G185" i="40" s="1"/>
  <c r="D185" i="40"/>
  <c r="E185" i="40"/>
  <c r="C186" i="40"/>
  <c r="F186" i="40" s="1"/>
  <c r="G186" i="40" s="1"/>
  <c r="D186" i="40"/>
  <c r="E186" i="40"/>
  <c r="C187" i="40"/>
  <c r="C188" i="40"/>
  <c r="C193" i="40"/>
  <c r="F193" i="40" s="1"/>
  <c r="D193" i="40"/>
  <c r="E193" i="40"/>
  <c r="C194" i="40"/>
  <c r="F194" i="40"/>
  <c r="D194" i="40"/>
  <c r="E194" i="40"/>
  <c r="C195" i="40"/>
  <c r="F195" i="40"/>
  <c r="D195" i="40"/>
  <c r="E195" i="40"/>
  <c r="C196" i="40"/>
  <c r="F196" i="40" s="1"/>
  <c r="D196" i="40"/>
  <c r="E196" i="40"/>
  <c r="C197" i="40"/>
  <c r="F197" i="40"/>
  <c r="G197" i="40" s="1"/>
  <c r="D197" i="40"/>
  <c r="E197" i="40"/>
  <c r="C198" i="40"/>
  <c r="F198" i="40" s="1"/>
  <c r="G198" i="40"/>
  <c r="D198" i="40"/>
  <c r="E198" i="40"/>
  <c r="C199" i="40"/>
  <c r="F199" i="40" s="1"/>
  <c r="G199" i="40" s="1"/>
  <c r="D199" i="40"/>
  <c r="E199" i="40"/>
  <c r="C200" i="40"/>
  <c r="F200" i="40" s="1"/>
  <c r="G200" i="40" s="1"/>
  <c r="D200" i="40"/>
  <c r="E200" i="40"/>
  <c r="C201" i="40"/>
  <c r="F201" i="40" s="1"/>
  <c r="G201" i="40" s="1"/>
  <c r="D201" i="40"/>
  <c r="E201" i="40"/>
  <c r="C202" i="40"/>
  <c r="F202" i="40" s="1"/>
  <c r="G202" i="40" s="1"/>
  <c r="D202" i="40"/>
  <c r="E202" i="40"/>
  <c r="C203" i="40"/>
  <c r="F203" i="40" s="1"/>
  <c r="G203" i="40" s="1"/>
  <c r="D203" i="40"/>
  <c r="E203" i="40"/>
  <c r="C204" i="40"/>
  <c r="F204" i="40" s="1"/>
  <c r="G204" i="40" s="1"/>
  <c r="D204" i="40"/>
  <c r="E204" i="40"/>
  <c r="C205" i="40"/>
  <c r="F205" i="40" s="1"/>
  <c r="G205" i="40" s="1"/>
  <c r="D205" i="40"/>
  <c r="E205" i="40"/>
  <c r="C206" i="40"/>
  <c r="F206" i="40" s="1"/>
  <c r="G206" i="40" s="1"/>
  <c r="D206" i="40"/>
  <c r="E206" i="40"/>
  <c r="C207" i="40"/>
  <c r="F207" i="40" s="1"/>
  <c r="G207" i="40" s="1"/>
  <c r="D207" i="40"/>
  <c r="E207" i="40"/>
  <c r="C208" i="40"/>
  <c r="F208" i="40" s="1"/>
  <c r="G208" i="40" s="1"/>
  <c r="D208" i="40"/>
  <c r="E208" i="40"/>
  <c r="C209" i="40"/>
  <c r="F209" i="40" s="1"/>
  <c r="G209" i="40" s="1"/>
  <c r="D209" i="40"/>
  <c r="E209" i="40"/>
  <c r="C210" i="40"/>
  <c r="F210" i="40" s="1"/>
  <c r="G210" i="40" s="1"/>
  <c r="D210" i="40"/>
  <c r="E210" i="40"/>
  <c r="C211" i="40"/>
  <c r="F211" i="40"/>
  <c r="G211" i="40" s="1"/>
  <c r="D211" i="40"/>
  <c r="E211" i="40"/>
  <c r="C212" i="40"/>
  <c r="F212" i="40" s="1"/>
  <c r="G212" i="40" s="1"/>
  <c r="D212" i="40"/>
  <c r="E212" i="40"/>
  <c r="C213" i="40"/>
  <c r="F213" i="40" s="1"/>
  <c r="G213" i="40" s="1"/>
  <c r="D213" i="40"/>
  <c r="E213" i="40"/>
  <c r="C214" i="40"/>
  <c r="F214" i="40" s="1"/>
  <c r="G214" i="40" s="1"/>
  <c r="D214" i="40"/>
  <c r="E214" i="40"/>
  <c r="C215" i="40"/>
  <c r="F215" i="40" s="1"/>
  <c r="G215" i="40" s="1"/>
  <c r="D215" i="40"/>
  <c r="E215" i="40"/>
  <c r="C216" i="40"/>
  <c r="F216" i="40" s="1"/>
  <c r="G216" i="40" s="1"/>
  <c r="D216" i="40"/>
  <c r="E216" i="40"/>
  <c r="C217" i="40"/>
  <c r="F217" i="40" s="1"/>
  <c r="G217" i="40" s="1"/>
  <c r="D217" i="40"/>
  <c r="E217" i="40"/>
  <c r="C218" i="40"/>
  <c r="F218" i="40" s="1"/>
  <c r="G218" i="40"/>
  <c r="D218" i="40"/>
  <c r="E218" i="40"/>
  <c r="C219" i="40"/>
  <c r="F219" i="40" s="1"/>
  <c r="G219" i="40" s="1"/>
  <c r="D219" i="40"/>
  <c r="E219" i="40"/>
  <c r="C220" i="40"/>
  <c r="F220" i="40"/>
  <c r="G220" i="40" s="1"/>
  <c r="D220" i="40"/>
  <c r="E220" i="40"/>
  <c r="C221" i="40"/>
  <c r="F221" i="40"/>
  <c r="G221" i="40" s="1"/>
  <c r="D221" i="40"/>
  <c r="E221" i="40"/>
  <c r="C222" i="40"/>
  <c r="F222" i="40" s="1"/>
  <c r="G222" i="40" s="1"/>
  <c r="D222" i="40"/>
  <c r="E222" i="40"/>
  <c r="C223" i="40"/>
  <c r="F223" i="40"/>
  <c r="G223" i="40" s="1"/>
  <c r="D223" i="40"/>
  <c r="E223" i="40"/>
  <c r="C224" i="40"/>
  <c r="F224" i="40" s="1"/>
  <c r="G224" i="40" s="1"/>
  <c r="D224" i="40"/>
  <c r="E224" i="40"/>
  <c r="F225" i="40"/>
  <c r="C231" i="40"/>
  <c r="F231" i="40" s="1"/>
  <c r="D231" i="40"/>
  <c r="E231" i="40"/>
  <c r="C232" i="40"/>
  <c r="F232" i="40" s="1"/>
  <c r="G232" i="40" s="1"/>
  <c r="D232" i="40"/>
  <c r="E232" i="40"/>
  <c r="C233" i="40"/>
  <c r="F233" i="40"/>
  <c r="G233" i="40" s="1"/>
  <c r="D233" i="40"/>
  <c r="E233" i="40"/>
  <c r="C234" i="40"/>
  <c r="F234" i="40" s="1"/>
  <c r="G234" i="40" s="1"/>
  <c r="D234" i="40"/>
  <c r="E234" i="40"/>
  <c r="C235" i="40"/>
  <c r="F235" i="40"/>
  <c r="G235" i="40" s="1"/>
  <c r="D235" i="40"/>
  <c r="E235" i="40"/>
  <c r="C236" i="40"/>
  <c r="F236" i="40" s="1"/>
  <c r="G236" i="40"/>
  <c r="D236" i="40"/>
  <c r="E236" i="40"/>
  <c r="C237" i="40"/>
  <c r="F237" i="40" s="1"/>
  <c r="G237" i="40" s="1"/>
  <c r="D237" i="40"/>
  <c r="E237" i="40"/>
  <c r="C238" i="40"/>
  <c r="F238" i="40" s="1"/>
  <c r="G238" i="40" s="1"/>
  <c r="D238" i="40"/>
  <c r="E238" i="40"/>
  <c r="C239" i="40"/>
  <c r="F239" i="40"/>
  <c r="G239" i="40" s="1"/>
  <c r="D239" i="40"/>
  <c r="E239" i="40"/>
  <c r="C240" i="40"/>
  <c r="F240" i="40" s="1"/>
  <c r="G240" i="40" s="1"/>
  <c r="D240" i="40"/>
  <c r="E240" i="40"/>
  <c r="C241" i="40"/>
  <c r="C247" i="40"/>
  <c r="F247" i="40" s="1"/>
  <c r="G247" i="40" s="1"/>
  <c r="D247" i="40"/>
  <c r="E247" i="40"/>
  <c r="C248" i="40"/>
  <c r="F248" i="40" s="1"/>
  <c r="G248" i="40" s="1"/>
  <c r="D248" i="40"/>
  <c r="E248" i="40"/>
  <c r="C249" i="40"/>
  <c r="F249" i="40" s="1"/>
  <c r="G249" i="40"/>
  <c r="D249" i="40"/>
  <c r="E249" i="40"/>
  <c r="C250" i="40"/>
  <c r="F250" i="40" s="1"/>
  <c r="G250" i="40" s="1"/>
  <c r="D250" i="40"/>
  <c r="E250" i="40"/>
  <c r="C251" i="40"/>
  <c r="F251" i="40"/>
  <c r="G251" i="40" s="1"/>
  <c r="D251" i="40"/>
  <c r="E251" i="40"/>
  <c r="C252" i="40"/>
  <c r="F252" i="40"/>
  <c r="G252" i="40" s="1"/>
  <c r="D252" i="40"/>
  <c r="E252" i="40"/>
  <c r="C253" i="40"/>
  <c r="F253" i="40" s="1"/>
  <c r="G253" i="40" s="1"/>
  <c r="D253" i="40"/>
  <c r="E253" i="40"/>
  <c r="C254" i="40"/>
  <c r="F254" i="40"/>
  <c r="G254" i="40"/>
  <c r="D254" i="40"/>
  <c r="E254" i="40"/>
  <c r="C255" i="40"/>
  <c r="F255" i="40" s="1"/>
  <c r="G255" i="40"/>
  <c r="D255" i="40"/>
  <c r="E255" i="40"/>
  <c r="C256" i="40"/>
  <c r="F256" i="40" s="1"/>
  <c r="G256" i="40" s="1"/>
  <c r="D256" i="40"/>
  <c r="E256" i="40"/>
  <c r="C257" i="40"/>
  <c r="F257" i="40" s="1"/>
  <c r="G257" i="40"/>
  <c r="D257" i="40"/>
  <c r="E257" i="40"/>
  <c r="C258" i="40"/>
  <c r="F258" i="40"/>
  <c r="G258" i="40" s="1"/>
  <c r="D258" i="40"/>
  <c r="E258" i="40"/>
  <c r="C259" i="40"/>
  <c r="F259" i="40" s="1"/>
  <c r="G259" i="40" s="1"/>
  <c r="D259" i="40"/>
  <c r="E259" i="40"/>
  <c r="C260" i="40"/>
  <c r="F260" i="40" s="1"/>
  <c r="G260" i="40" s="1"/>
  <c r="D260" i="40"/>
  <c r="E260" i="40"/>
  <c r="C261" i="40"/>
  <c r="F261" i="40" s="1"/>
  <c r="G261" i="40" s="1"/>
  <c r="D261" i="40"/>
  <c r="E261" i="40"/>
  <c r="C262" i="40"/>
  <c r="F262" i="40"/>
  <c r="G262" i="40" s="1"/>
  <c r="D262" i="40"/>
  <c r="E262" i="40"/>
  <c r="C263" i="40"/>
  <c r="F263" i="40" s="1"/>
  <c r="G263" i="40" s="1"/>
  <c r="D263" i="40"/>
  <c r="E263" i="40"/>
  <c r="C264" i="40"/>
  <c r="F264" i="40" s="1"/>
  <c r="G264" i="40" s="1"/>
  <c r="D264" i="40"/>
  <c r="E264" i="40"/>
  <c r="C265" i="40"/>
  <c r="F265" i="40" s="1"/>
  <c r="G265" i="40" s="1"/>
  <c r="D265" i="40"/>
  <c r="E265" i="40"/>
  <c r="C266" i="40"/>
  <c r="F266" i="40" s="1"/>
  <c r="G266" i="40" s="1"/>
  <c r="D266" i="40"/>
  <c r="E266" i="40"/>
  <c r="C267" i="40"/>
  <c r="F267" i="40" s="1"/>
  <c r="G267" i="40" s="1"/>
  <c r="D267" i="40"/>
  <c r="E267" i="40"/>
  <c r="C268" i="40"/>
  <c r="F268" i="40" s="1"/>
  <c r="G268" i="40" s="1"/>
  <c r="D268" i="40"/>
  <c r="E268" i="40"/>
  <c r="C269" i="40"/>
  <c r="F269" i="40" s="1"/>
  <c r="G269" i="40"/>
  <c r="D269" i="40"/>
  <c r="E269" i="40"/>
  <c r="C270" i="40"/>
  <c r="F270" i="40" s="1"/>
  <c r="G270" i="40" s="1"/>
  <c r="D270" i="40"/>
  <c r="E270" i="40"/>
  <c r="C271" i="40"/>
  <c r="F271" i="40" s="1"/>
  <c r="G271" i="40" s="1"/>
  <c r="D271" i="40"/>
  <c r="E271" i="40"/>
  <c r="C272" i="40"/>
  <c r="F272" i="40" s="1"/>
  <c r="G272" i="40" s="1"/>
  <c r="D272" i="40"/>
  <c r="E272" i="40"/>
  <c r="C273" i="40"/>
  <c r="F273" i="40" s="1"/>
  <c r="G273" i="40" s="1"/>
  <c r="D273" i="40"/>
  <c r="E273" i="40"/>
  <c r="C274" i="40"/>
  <c r="F274" i="40" s="1"/>
  <c r="G274" i="40" s="1"/>
  <c r="D274" i="40"/>
  <c r="E274" i="40"/>
  <c r="C275" i="40"/>
  <c r="F275" i="40" s="1"/>
  <c r="G275" i="40" s="1"/>
  <c r="D275" i="40"/>
  <c r="E275" i="40"/>
  <c r="C276" i="40"/>
  <c r="F276" i="40"/>
  <c r="G276" i="40" s="1"/>
  <c r="D276" i="40"/>
  <c r="E276" i="40"/>
  <c r="C277" i="40"/>
  <c r="F277" i="40" s="1"/>
  <c r="G277" i="40" s="1"/>
  <c r="D277" i="40"/>
  <c r="E277" i="40"/>
  <c r="C278" i="40"/>
  <c r="F278" i="40" s="1"/>
  <c r="G278" i="40" s="1"/>
  <c r="D278" i="40"/>
  <c r="E278" i="40"/>
  <c r="C279" i="40"/>
  <c r="F279" i="40" s="1"/>
  <c r="G279" i="40" s="1"/>
  <c r="D279" i="40"/>
  <c r="E279" i="40"/>
  <c r="C280" i="40"/>
  <c r="F280" i="40" s="1"/>
  <c r="G280" i="40" s="1"/>
  <c r="D280" i="40"/>
  <c r="E280" i="40"/>
  <c r="C281" i="40"/>
  <c r="F281" i="40" s="1"/>
  <c r="G281" i="40" s="1"/>
  <c r="D281" i="40"/>
  <c r="E281" i="40"/>
  <c r="C282" i="40"/>
  <c r="F282" i="40" s="1"/>
  <c r="G282" i="40" s="1"/>
  <c r="D282" i="40"/>
  <c r="E282" i="40"/>
  <c r="C283" i="40"/>
  <c r="F283" i="40" s="1"/>
  <c r="D283" i="40"/>
  <c r="E283" i="40"/>
  <c r="C284" i="40"/>
  <c r="F284" i="40" s="1"/>
  <c r="D284" i="40"/>
  <c r="E284" i="40"/>
  <c r="C285" i="40"/>
  <c r="C291" i="40"/>
  <c r="F291" i="40" s="1"/>
  <c r="D291" i="40"/>
  <c r="E291" i="40"/>
  <c r="C292" i="40"/>
  <c r="F292" i="40" s="1"/>
  <c r="G292" i="40" s="1"/>
  <c r="D292" i="40"/>
  <c r="E292" i="40"/>
  <c r="C293" i="40"/>
  <c r="F293" i="40" s="1"/>
  <c r="G293" i="40" s="1"/>
  <c r="D293" i="40"/>
  <c r="E293" i="40"/>
  <c r="C294" i="40"/>
  <c r="F294" i="40"/>
  <c r="G294" i="40" s="1"/>
  <c r="D294" i="40"/>
  <c r="E294" i="40"/>
  <c r="C295" i="40"/>
  <c r="F295" i="40" s="1"/>
  <c r="G295" i="40" s="1"/>
  <c r="D295" i="40"/>
  <c r="E295" i="40"/>
  <c r="C296" i="40"/>
  <c r="F296" i="40" s="1"/>
  <c r="G296" i="40" s="1"/>
  <c r="D296" i="40"/>
  <c r="E296" i="40"/>
  <c r="C297" i="40"/>
  <c r="F297" i="40" s="1"/>
  <c r="G297" i="40" s="1"/>
  <c r="D297" i="40"/>
  <c r="E297" i="40"/>
  <c r="C298" i="40"/>
  <c r="F298" i="40" s="1"/>
  <c r="G298" i="40" s="1"/>
  <c r="D298" i="40"/>
  <c r="E298" i="40"/>
  <c r="C299" i="40"/>
  <c r="F299" i="40" s="1"/>
  <c r="G299" i="40" s="1"/>
  <c r="D299" i="40"/>
  <c r="E299" i="40"/>
  <c r="C300" i="40"/>
  <c r="F300" i="40"/>
  <c r="G300" i="40" s="1"/>
  <c r="D300" i="40"/>
  <c r="E300" i="40"/>
  <c r="C301" i="40"/>
  <c r="F301" i="40" s="1"/>
  <c r="G301" i="40" s="1"/>
  <c r="D301" i="40"/>
  <c r="E301" i="40"/>
  <c r="C302" i="40"/>
  <c r="F302" i="40"/>
  <c r="G302" i="40" s="1"/>
  <c r="D302" i="40"/>
  <c r="E302" i="40"/>
  <c r="C303" i="40"/>
  <c r="F303" i="40" s="1"/>
  <c r="G303" i="40" s="1"/>
  <c r="D303" i="40"/>
  <c r="E303" i="40"/>
  <c r="C304" i="40"/>
  <c r="F304" i="40" s="1"/>
  <c r="G304" i="40" s="1"/>
  <c r="D304" i="40"/>
  <c r="E304" i="40"/>
  <c r="C305" i="40"/>
  <c r="F305" i="40" s="1"/>
  <c r="G305" i="40" s="1"/>
  <c r="D305" i="40"/>
  <c r="E305" i="40"/>
  <c r="C306" i="40"/>
  <c r="F306" i="40" s="1"/>
  <c r="G306" i="40" s="1"/>
  <c r="D306" i="40"/>
  <c r="E306" i="40"/>
  <c r="C307" i="40"/>
  <c r="F307" i="40" s="1"/>
  <c r="G307" i="40"/>
  <c r="D307" i="40"/>
  <c r="E307" i="40"/>
  <c r="C308" i="40"/>
  <c r="F308" i="40"/>
  <c r="G308" i="40" s="1"/>
  <c r="D308" i="40"/>
  <c r="E308" i="40"/>
  <c r="C309" i="40"/>
  <c r="F309" i="40" s="1"/>
  <c r="G309" i="40"/>
  <c r="D309" i="40"/>
  <c r="E309" i="40"/>
  <c r="C310" i="40"/>
  <c r="F310" i="40"/>
  <c r="G310" i="40" s="1"/>
  <c r="D310" i="40"/>
  <c r="E310" i="40"/>
  <c r="C311" i="40"/>
  <c r="F311" i="40"/>
  <c r="G311" i="40" s="1"/>
  <c r="D311" i="40"/>
  <c r="E311" i="40"/>
  <c r="C312" i="40"/>
  <c r="F312" i="40"/>
  <c r="G312" i="40" s="1"/>
  <c r="D312" i="40"/>
  <c r="E312" i="40"/>
  <c r="C313" i="40"/>
  <c r="F313" i="40" s="1"/>
  <c r="G313" i="40" s="1"/>
  <c r="D313" i="40"/>
  <c r="E313" i="40"/>
  <c r="C314" i="40"/>
  <c r="F314" i="40" s="1"/>
  <c r="G314" i="40" s="1"/>
  <c r="D314" i="40"/>
  <c r="E314" i="40"/>
  <c r="C315" i="40"/>
  <c r="F315" i="40" s="1"/>
  <c r="G315" i="40" s="1"/>
  <c r="D315" i="40"/>
  <c r="E315" i="40"/>
  <c r="C316" i="40"/>
  <c r="F316" i="40" s="1"/>
  <c r="G316" i="40" s="1"/>
  <c r="D316" i="40"/>
  <c r="E316" i="40"/>
  <c r="C317" i="40"/>
  <c r="F317" i="40" s="1"/>
  <c r="G317" i="40" s="1"/>
  <c r="D317" i="40"/>
  <c r="E317" i="40"/>
  <c r="C318" i="40"/>
  <c r="F318" i="40" s="1"/>
  <c r="G318" i="40" s="1"/>
  <c r="D318" i="40"/>
  <c r="E318" i="40"/>
  <c r="C319" i="40"/>
  <c r="F319" i="40"/>
  <c r="G319" i="40" s="1"/>
  <c r="D319" i="40"/>
  <c r="E319" i="40"/>
  <c r="C320" i="40"/>
  <c r="F320" i="40" s="1"/>
  <c r="G320" i="40" s="1"/>
  <c r="D320" i="40"/>
  <c r="E320" i="40"/>
  <c r="C321" i="40"/>
  <c r="F321" i="40" s="1"/>
  <c r="G321" i="40"/>
  <c r="D321" i="40"/>
  <c r="E321" i="40"/>
  <c r="C322" i="40"/>
  <c r="F322" i="40" s="1"/>
  <c r="G322" i="40" s="1"/>
  <c r="D322" i="40"/>
  <c r="E322" i="40"/>
  <c r="C323" i="40"/>
  <c r="F323" i="40" s="1"/>
  <c r="G323" i="40" s="1"/>
  <c r="D323" i="40"/>
  <c r="E323" i="40"/>
  <c r="C324" i="40"/>
  <c r="C325" i="40"/>
  <c r="C326" i="40"/>
  <c r="C327" i="40"/>
  <c r="C328" i="40"/>
  <c r="C329" i="40"/>
  <c r="C330" i="40"/>
  <c r="C331" i="40"/>
  <c r="C332" i="40"/>
  <c r="C333" i="40"/>
  <c r="C6" i="39"/>
  <c r="F6" i="39"/>
  <c r="G6" i="39" s="1"/>
  <c r="D6" i="39"/>
  <c r="E6" i="39"/>
  <c r="C7" i="39"/>
  <c r="F7" i="39" s="1"/>
  <c r="G7" i="39" s="1"/>
  <c r="D7" i="39"/>
  <c r="E7" i="39"/>
  <c r="C8" i="39"/>
  <c r="F8" i="39" s="1"/>
  <c r="G8" i="39" s="1"/>
  <c r="D8" i="39"/>
  <c r="E8" i="39"/>
  <c r="C9" i="39"/>
  <c r="F9" i="39" s="1"/>
  <c r="G9" i="39"/>
  <c r="D9" i="39"/>
  <c r="E9" i="39"/>
  <c r="C10" i="39"/>
  <c r="F10" i="39" s="1"/>
  <c r="G10" i="39" s="1"/>
  <c r="D10" i="39"/>
  <c r="E10" i="39"/>
  <c r="C11" i="39"/>
  <c r="F11" i="39" s="1"/>
  <c r="G11" i="39" s="1"/>
  <c r="D11" i="39"/>
  <c r="E11" i="39"/>
  <c r="C12" i="39"/>
  <c r="F12" i="39" s="1"/>
  <c r="G12" i="39" s="1"/>
  <c r="D12" i="39"/>
  <c r="E12" i="39"/>
  <c r="C13" i="39"/>
  <c r="F13" i="39" s="1"/>
  <c r="G13" i="39" s="1"/>
  <c r="D13" i="39"/>
  <c r="E13" i="39"/>
  <c r="C14" i="39"/>
  <c r="F14" i="39" s="1"/>
  <c r="G14" i="39" s="1"/>
  <c r="D14" i="39"/>
  <c r="E14" i="39"/>
  <c r="C15" i="39"/>
  <c r="F15" i="39" s="1"/>
  <c r="G15" i="39" s="1"/>
  <c r="D15" i="39"/>
  <c r="E15" i="39"/>
  <c r="C16" i="39"/>
  <c r="F16" i="39"/>
  <c r="G16" i="39" s="1"/>
  <c r="D16" i="39"/>
  <c r="E16" i="39"/>
  <c r="C17" i="39"/>
  <c r="F17" i="39" s="1"/>
  <c r="G17" i="39" s="1"/>
  <c r="D17" i="39"/>
  <c r="E17" i="39"/>
  <c r="C18" i="39"/>
  <c r="F18" i="39"/>
  <c r="G18" i="39" s="1"/>
  <c r="D18" i="39"/>
  <c r="E18" i="39"/>
  <c r="C19" i="39"/>
  <c r="F19" i="39" s="1"/>
  <c r="G19" i="39"/>
  <c r="D19" i="39"/>
  <c r="E19" i="39"/>
  <c r="C20" i="39"/>
  <c r="F20" i="39" s="1"/>
  <c r="G20" i="39" s="1"/>
  <c r="D20" i="39"/>
  <c r="E20" i="39"/>
  <c r="C21" i="39"/>
  <c r="F21" i="39" s="1"/>
  <c r="G21" i="39" s="1"/>
  <c r="D21" i="39"/>
  <c r="E21" i="39"/>
  <c r="C22" i="39"/>
  <c r="F22" i="39"/>
  <c r="G22" i="39" s="1"/>
  <c r="D22" i="39"/>
  <c r="E22" i="39"/>
  <c r="C23" i="39"/>
  <c r="F23" i="39" s="1"/>
  <c r="G23" i="39" s="1"/>
  <c r="D23" i="39"/>
  <c r="E23" i="39"/>
  <c r="C24" i="39"/>
  <c r="F24" i="39" s="1"/>
  <c r="G24" i="39" s="1"/>
  <c r="D24" i="39"/>
  <c r="E24" i="39"/>
  <c r="C25" i="39"/>
  <c r="F25" i="39" s="1"/>
  <c r="G25" i="39" s="1"/>
  <c r="D25" i="39"/>
  <c r="E25" i="39"/>
  <c r="C26" i="39"/>
  <c r="D26" i="39"/>
  <c r="E26" i="39"/>
  <c r="F26" i="39"/>
  <c r="G26" i="39" s="1"/>
  <c r="C27" i="39"/>
  <c r="F27" i="39" s="1"/>
  <c r="G27" i="39" s="1"/>
  <c r="D27" i="39"/>
  <c r="E27" i="39"/>
  <c r="C28" i="39"/>
  <c r="F28" i="39" s="1"/>
  <c r="G28" i="39" s="1"/>
  <c r="D28" i="39"/>
  <c r="E28" i="39"/>
  <c r="C29" i="39"/>
  <c r="F29" i="39" s="1"/>
  <c r="G29" i="39" s="1"/>
  <c r="D29" i="39"/>
  <c r="E29" i="39"/>
  <c r="C30" i="39"/>
  <c r="F30" i="39" s="1"/>
  <c r="G30" i="39" s="1"/>
  <c r="D30" i="39"/>
  <c r="E30" i="39"/>
  <c r="C31" i="39"/>
  <c r="F31" i="39" s="1"/>
  <c r="G31" i="39" s="1"/>
  <c r="D31" i="39"/>
  <c r="E31" i="39"/>
  <c r="C32" i="39"/>
  <c r="F32" i="39" s="1"/>
  <c r="G32" i="39" s="1"/>
  <c r="D32" i="39"/>
  <c r="E32" i="39"/>
  <c r="C33" i="39"/>
  <c r="F33" i="39" s="1"/>
  <c r="G33" i="39" s="1"/>
  <c r="D33" i="39"/>
  <c r="E33" i="39"/>
  <c r="C34" i="39"/>
  <c r="F34" i="39"/>
  <c r="G34" i="39" s="1"/>
  <c r="D34" i="39"/>
  <c r="E34" i="39"/>
  <c r="C35" i="39"/>
  <c r="F35" i="39" s="1"/>
  <c r="G35" i="39" s="1"/>
  <c r="D35" i="39"/>
  <c r="E35" i="39"/>
  <c r="C36" i="39"/>
  <c r="F36" i="39" s="1"/>
  <c r="G36" i="39" s="1"/>
  <c r="D36" i="39"/>
  <c r="E36" i="39"/>
  <c r="C37" i="39"/>
  <c r="F37" i="39" s="1"/>
  <c r="G37" i="39" s="1"/>
  <c r="D37" i="39"/>
  <c r="E37" i="39"/>
  <c r="C38" i="39"/>
  <c r="F38" i="39" s="1"/>
  <c r="G38" i="39" s="1"/>
  <c r="D38" i="39"/>
  <c r="E38" i="39"/>
  <c r="C39" i="39"/>
  <c r="F39" i="39" s="1"/>
  <c r="G39" i="39" s="1"/>
  <c r="D39" i="39"/>
  <c r="E39" i="39"/>
  <c r="C40" i="39"/>
  <c r="F40" i="39" s="1"/>
  <c r="G40" i="39" s="1"/>
  <c r="D40" i="39"/>
  <c r="E40" i="39"/>
  <c r="C41" i="39"/>
  <c r="F41" i="39" s="1"/>
  <c r="G41" i="39"/>
  <c r="D41" i="39"/>
  <c r="E41" i="39"/>
  <c r="C43" i="39"/>
  <c r="F43" i="39"/>
  <c r="G43" i="39" s="1"/>
  <c r="C50" i="39" a="1"/>
  <c r="C50" i="39" s="1"/>
  <c r="F50" i="39" s="1"/>
  <c r="G50" i="39" s="1" a="1"/>
  <c r="G50" i="39" s="1"/>
  <c r="D50" i="39"/>
  <c r="E50" i="39"/>
  <c r="D51" i="39"/>
  <c r="E51" i="39"/>
  <c r="F51" i="39"/>
  <c r="C52" i="39" a="1"/>
  <c r="C52" i="39" s="1"/>
  <c r="F52" i="39" s="1"/>
  <c r="G52" i="39" s="1" a="1"/>
  <c r="G52" i="39" s="1"/>
  <c r="D52" i="39"/>
  <c r="E52" i="39"/>
  <c r="C53" i="39" a="1"/>
  <c r="C53" i="39" s="1"/>
  <c r="F53" i="39" s="1"/>
  <c r="G53" i="39" s="1" a="1"/>
  <c r="G53" i="39" s="1"/>
  <c r="D53" i="39"/>
  <c r="E53" i="39"/>
  <c r="D54" i="39"/>
  <c r="E54" i="39"/>
  <c r="F54" i="39"/>
  <c r="C55" i="39" a="1"/>
  <c r="C55" i="39"/>
  <c r="F55" i="39" s="1"/>
  <c r="G55" i="39" s="1" a="1"/>
  <c r="G55" i="39" s="1"/>
  <c r="D55" i="39"/>
  <c r="E55" i="39"/>
  <c r="C62" i="39"/>
  <c r="F62" i="39" s="1"/>
  <c r="D62" i="39"/>
  <c r="E62" i="39"/>
  <c r="C63" i="39"/>
  <c r="F63" i="39" s="1"/>
  <c r="D63" i="39"/>
  <c r="E63" i="39"/>
  <c r="C64" i="39"/>
  <c r="F64" i="39" s="1"/>
  <c r="D64" i="39"/>
  <c r="E64" i="39"/>
  <c r="C65" i="39"/>
  <c r="F65" i="39" s="1"/>
  <c r="G65" i="39" s="1"/>
  <c r="D65" i="39"/>
  <c r="E65" i="39"/>
  <c r="C66" i="39"/>
  <c r="F66" i="39"/>
  <c r="G66" i="39" s="1"/>
  <c r="D66" i="39"/>
  <c r="E66" i="39"/>
  <c r="C67" i="39"/>
  <c r="F67" i="39" s="1"/>
  <c r="G67" i="39" s="1"/>
  <c r="D67" i="39"/>
  <c r="E67" i="39"/>
  <c r="C68" i="39"/>
  <c r="F68" i="39" s="1"/>
  <c r="G68" i="39" s="1"/>
  <c r="D68" i="39"/>
  <c r="E68" i="39"/>
  <c r="C69" i="39"/>
  <c r="F69" i="39" s="1"/>
  <c r="G69" i="39" s="1"/>
  <c r="D69" i="39"/>
  <c r="E69" i="39"/>
  <c r="C70" i="39"/>
  <c r="F70" i="39" s="1"/>
  <c r="G70" i="39" s="1"/>
  <c r="D70" i="39"/>
  <c r="E70" i="39"/>
  <c r="C71" i="39"/>
  <c r="F71" i="39" s="1"/>
  <c r="G71" i="39" s="1"/>
  <c r="D71" i="39"/>
  <c r="E71" i="39"/>
  <c r="C72" i="39"/>
  <c r="F72" i="39" s="1"/>
  <c r="G72" i="39" s="1"/>
  <c r="D72" i="39"/>
  <c r="E72" i="39"/>
  <c r="C73" i="39"/>
  <c r="F73" i="39" s="1"/>
  <c r="G73" i="39" s="1"/>
  <c r="D73" i="39"/>
  <c r="E73" i="39"/>
  <c r="C74" i="39"/>
  <c r="F74" i="39" s="1"/>
  <c r="G74" i="39" s="1"/>
  <c r="D74" i="39"/>
  <c r="E74" i="39"/>
  <c r="C75" i="39"/>
  <c r="F75" i="39" s="1"/>
  <c r="G75" i="39" s="1"/>
  <c r="D75" i="39"/>
  <c r="E75" i="39"/>
  <c r="C76" i="39"/>
  <c r="F76" i="39"/>
  <c r="G76" i="39" s="1"/>
  <c r="D76" i="39"/>
  <c r="E76" i="39"/>
  <c r="C77" i="39"/>
  <c r="F77" i="39" s="1"/>
  <c r="G77" i="39" s="1"/>
  <c r="D77" i="39"/>
  <c r="E77" i="39"/>
  <c r="C78" i="39"/>
  <c r="F78" i="39" s="1"/>
  <c r="G78" i="39" s="1"/>
  <c r="D78" i="39"/>
  <c r="E78" i="39"/>
  <c r="C79" i="39"/>
  <c r="F79" i="39" s="1"/>
  <c r="G79" i="39" s="1"/>
  <c r="D79" i="39"/>
  <c r="E79" i="39"/>
  <c r="C80" i="39"/>
  <c r="F80" i="39" s="1"/>
  <c r="G80" i="39" s="1"/>
  <c r="D80" i="39"/>
  <c r="E80" i="39"/>
  <c r="D81" i="39"/>
  <c r="E81" i="39"/>
  <c r="F81" i="39"/>
  <c r="C88" i="39"/>
  <c r="F88" i="39" s="1"/>
  <c r="D88" i="39"/>
  <c r="E88" i="39"/>
  <c r="C89" i="39"/>
  <c r="F89" i="39" s="1"/>
  <c r="D89" i="39"/>
  <c r="E89" i="39"/>
  <c r="C90" i="39"/>
  <c r="F90" i="39" s="1"/>
  <c r="G90" i="39" s="1"/>
  <c r="D90" i="39"/>
  <c r="E90" i="39"/>
  <c r="C91" i="39"/>
  <c r="F91" i="39" s="1"/>
  <c r="G91" i="39" s="1"/>
  <c r="D91" i="39"/>
  <c r="E91" i="39"/>
  <c r="C92" i="39"/>
  <c r="F92" i="39" s="1"/>
  <c r="G92" i="39" s="1"/>
  <c r="D92" i="39"/>
  <c r="E92" i="39"/>
  <c r="C93" i="39"/>
  <c r="F93" i="39" s="1"/>
  <c r="G93" i="39" s="1"/>
  <c r="D93" i="39"/>
  <c r="E93" i="39"/>
  <c r="C94" i="39"/>
  <c r="F94" i="39" s="1"/>
  <c r="G94" i="39" s="1"/>
  <c r="D94" i="39"/>
  <c r="E94" i="39"/>
  <c r="C95" i="39"/>
  <c r="F95" i="39" s="1"/>
  <c r="G95" i="39" s="1"/>
  <c r="D95" i="39"/>
  <c r="E95" i="39"/>
  <c r="C96" i="39"/>
  <c r="F96" i="39"/>
  <c r="G96" i="39" s="1"/>
  <c r="D96" i="39"/>
  <c r="E96" i="39"/>
  <c r="C97" i="39"/>
  <c r="F97" i="39" s="1"/>
  <c r="G97" i="39" s="1"/>
  <c r="D97" i="39"/>
  <c r="E97" i="39"/>
  <c r="C98" i="39"/>
  <c r="F98" i="39" s="1"/>
  <c r="G98" i="39" s="1"/>
  <c r="D98" i="39"/>
  <c r="E98" i="39"/>
  <c r="C99" i="39"/>
  <c r="F99" i="39" s="1"/>
  <c r="G99" i="39" s="1"/>
  <c r="D99" i="39"/>
  <c r="E99" i="39"/>
  <c r="C100" i="39"/>
  <c r="F100" i="39" s="1"/>
  <c r="G100" i="39" s="1"/>
  <c r="D100" i="39"/>
  <c r="E100" i="39"/>
  <c r="C101" i="39"/>
  <c r="F101" i="39" s="1"/>
  <c r="G101" i="39" s="1"/>
  <c r="D101" i="39"/>
  <c r="E101" i="39"/>
  <c r="C102" i="39"/>
  <c r="F102" i="39" s="1"/>
  <c r="G102" i="39" s="1"/>
  <c r="D102" i="39"/>
  <c r="E102" i="39"/>
  <c r="C103" i="39"/>
  <c r="F103" i="39" s="1"/>
  <c r="G103" i="39" s="1"/>
  <c r="D103" i="39"/>
  <c r="E103" i="39"/>
  <c r="C104" i="39"/>
  <c r="F104" i="39"/>
  <c r="G104" i="39" s="1"/>
  <c r="D104" i="39"/>
  <c r="E104" i="39"/>
  <c r="C105" i="39"/>
  <c r="F105" i="39" s="1"/>
  <c r="G105" i="39" s="1"/>
  <c r="D105" i="39"/>
  <c r="E105" i="39"/>
  <c r="C106" i="39"/>
  <c r="F106" i="39" s="1"/>
  <c r="G106" i="39" s="1"/>
  <c r="D106" i="39"/>
  <c r="E106" i="39"/>
  <c r="C107" i="39"/>
  <c r="F107" i="39" s="1"/>
  <c r="G107" i="39" s="1"/>
  <c r="D107" i="39"/>
  <c r="E107" i="39"/>
  <c r="C108" i="39"/>
  <c r="F108" i="39"/>
  <c r="G108" i="39" s="1"/>
  <c r="D108" i="39"/>
  <c r="E108" i="39"/>
  <c r="C109" i="39"/>
  <c r="F109" i="39" s="1"/>
  <c r="G109" i="39" s="1"/>
  <c r="D109" i="39"/>
  <c r="E109" i="39"/>
  <c r="C110" i="39"/>
  <c r="F110" i="39" s="1"/>
  <c r="G110" i="39" s="1"/>
  <c r="D110" i="39"/>
  <c r="E110" i="39"/>
  <c r="C111" i="39"/>
  <c r="F111" i="39" s="1"/>
  <c r="G111" i="39"/>
  <c r="D111" i="39"/>
  <c r="E111" i="39"/>
  <c r="C112" i="39"/>
  <c r="F112" i="39" s="1"/>
  <c r="G112" i="39" s="1"/>
  <c r="D112" i="39"/>
  <c r="E112" i="39"/>
  <c r="C113" i="39"/>
  <c r="F113" i="39" s="1"/>
  <c r="G113" i="39" s="1"/>
  <c r="D113" i="39"/>
  <c r="E113" i="39"/>
  <c r="C114" i="39"/>
  <c r="F114" i="39" s="1"/>
  <c r="G114" i="39" s="1"/>
  <c r="D114" i="39"/>
  <c r="E114" i="39"/>
  <c r="C115" i="39"/>
  <c r="F115" i="39" s="1"/>
  <c r="G115" i="39" s="1"/>
  <c r="D115" i="39"/>
  <c r="E115" i="39"/>
  <c r="C116" i="39"/>
  <c r="F116" i="39" s="1"/>
  <c r="G116" i="39" s="1"/>
  <c r="D116" i="39"/>
  <c r="E116" i="39"/>
  <c r="C117" i="39"/>
  <c r="F117" i="39" s="1"/>
  <c r="G117" i="39" s="1"/>
  <c r="D117" i="39"/>
  <c r="E117" i="39"/>
  <c r="C118" i="39"/>
  <c r="F118" i="39" s="1"/>
  <c r="G118" i="39" s="1"/>
  <c r="D118" i="39"/>
  <c r="E118" i="39"/>
  <c r="C119" i="39"/>
  <c r="F119" i="39" s="1"/>
  <c r="G119" i="39" s="1"/>
  <c r="D119" i="39"/>
  <c r="E119" i="39"/>
  <c r="C120" i="39"/>
  <c r="F120" i="39"/>
  <c r="G120" i="39" s="1"/>
  <c r="D120" i="39"/>
  <c r="E120" i="39"/>
  <c r="C121" i="39"/>
  <c r="F121" i="39" s="1"/>
  <c r="G121" i="39" s="1"/>
  <c r="D121" i="39"/>
  <c r="E121" i="39"/>
  <c r="C122" i="39"/>
  <c r="F122" i="39" s="1"/>
  <c r="G122" i="39" s="1"/>
  <c r="D122" i="39"/>
  <c r="E122" i="39"/>
  <c r="C123" i="39"/>
  <c r="F123" i="39" s="1"/>
  <c r="G123" i="39" s="1"/>
  <c r="D123" i="39"/>
  <c r="E123" i="39"/>
  <c r="C124" i="39"/>
  <c r="F124" i="39"/>
  <c r="G124" i="39" s="1"/>
  <c r="D124" i="39"/>
  <c r="E124" i="39"/>
  <c r="C125" i="39"/>
  <c r="F125" i="39" s="1"/>
  <c r="G125" i="39" s="1"/>
  <c r="D125" i="39"/>
  <c r="E125" i="39"/>
  <c r="C126" i="39"/>
  <c r="F126" i="39" s="1"/>
  <c r="G126" i="39" s="1"/>
  <c r="D126" i="39"/>
  <c r="E126" i="39"/>
  <c r="C127" i="39"/>
  <c r="F127" i="39" s="1"/>
  <c r="G127" i="39"/>
  <c r="D127" i="39"/>
  <c r="E127" i="39"/>
  <c r="C128" i="39"/>
  <c r="F128" i="39" s="1"/>
  <c r="G128" i="39" s="1"/>
  <c r="D128" i="39"/>
  <c r="E128" i="39"/>
  <c r="C129" i="39"/>
  <c r="F129" i="39" s="1"/>
  <c r="G129" i="39" s="1"/>
  <c r="D129" i="39"/>
  <c r="E129" i="39"/>
  <c r="C130" i="39"/>
  <c r="F130" i="39" s="1"/>
  <c r="G130" i="39" s="1"/>
  <c r="D130" i="39"/>
  <c r="E130" i="39"/>
  <c r="C131" i="39"/>
  <c r="F131" i="39" s="1"/>
  <c r="G131" i="39" s="1"/>
  <c r="D131" i="39"/>
  <c r="E131" i="39"/>
  <c r="C132" i="39"/>
  <c r="F132" i="39"/>
  <c r="G132" i="39" s="1"/>
  <c r="D132" i="39"/>
  <c r="E132" i="39"/>
  <c r="C133" i="39"/>
  <c r="F133" i="39" s="1"/>
  <c r="G133" i="39" s="1"/>
  <c r="D133" i="39"/>
  <c r="E133" i="39"/>
  <c r="C134" i="39"/>
  <c r="F134" i="39"/>
  <c r="D134" i="39"/>
  <c r="E134" i="39"/>
  <c r="F135" i="39"/>
  <c r="C141" i="39"/>
  <c r="D141" i="39"/>
  <c r="E141" i="39"/>
  <c r="G141" i="39"/>
  <c r="F141" i="39" s="1"/>
  <c r="C142" i="39"/>
  <c r="D142" i="39"/>
  <c r="E142" i="39"/>
  <c r="C149" i="39"/>
  <c r="F149" i="39" s="1"/>
  <c r="D149" i="39"/>
  <c r="E149" i="39"/>
  <c r="C150" i="39"/>
  <c r="H150" i="39" s="1"/>
  <c r="D150" i="39"/>
  <c r="E150" i="39"/>
  <c r="C151" i="39"/>
  <c r="F151" i="39" s="1"/>
  <c r="G151" i="39" s="1"/>
  <c r="D151" i="39"/>
  <c r="E151" i="39"/>
  <c r="C152" i="39"/>
  <c r="D152" i="39"/>
  <c r="E152" i="39"/>
  <c r="C153" i="39"/>
  <c r="F153" i="39" s="1"/>
  <c r="G153" i="39" s="1"/>
  <c r="D153" i="39"/>
  <c r="E153" i="39"/>
  <c r="C154" i="39"/>
  <c r="H154" i="39" s="1"/>
  <c r="D154" i="39"/>
  <c r="E154" i="39"/>
  <c r="C155" i="39"/>
  <c r="F155" i="39"/>
  <c r="G155" i="39" s="1"/>
  <c r="D155" i="39"/>
  <c r="E155" i="39"/>
  <c r="C156" i="39"/>
  <c r="F156" i="39" s="1"/>
  <c r="G156" i="39" s="1"/>
  <c r="D156" i="39"/>
  <c r="E156" i="39"/>
  <c r="C157" i="39"/>
  <c r="F157" i="39" s="1"/>
  <c r="G157" i="39" s="1"/>
  <c r="D157" i="39"/>
  <c r="E157" i="39"/>
  <c r="C158" i="39"/>
  <c r="F158" i="39" s="1"/>
  <c r="G158" i="39" s="1"/>
  <c r="D158" i="39"/>
  <c r="E158" i="39"/>
  <c r="C159" i="39"/>
  <c r="F159" i="39"/>
  <c r="G159" i="39"/>
  <c r="D159" i="39"/>
  <c r="E159" i="39"/>
  <c r="C160" i="39"/>
  <c r="H160" i="39" s="1"/>
  <c r="D160" i="39"/>
  <c r="C167" i="39"/>
  <c r="F167" i="39" s="1"/>
  <c r="G167" i="39" s="1"/>
  <c r="D167" i="39"/>
  <c r="E167" i="39"/>
  <c r="C168" i="39"/>
  <c r="F168" i="39" s="1"/>
  <c r="G168" i="39" s="1"/>
  <c r="D168" i="39"/>
  <c r="E168" i="39"/>
  <c r="C169" i="39"/>
  <c r="F169" i="39" s="1"/>
  <c r="G169" i="39" s="1"/>
  <c r="D169" i="39"/>
  <c r="E169" i="39"/>
  <c r="C170" i="39"/>
  <c r="F170" i="39"/>
  <c r="G170" i="39"/>
  <c r="D170" i="39"/>
  <c r="E170" i="39"/>
  <c r="C171" i="39"/>
  <c r="F171" i="39"/>
  <c r="G171" i="39" s="1"/>
  <c r="D171" i="39"/>
  <c r="E171" i="39"/>
  <c r="C172" i="39"/>
  <c r="F172" i="39" s="1"/>
  <c r="G172" i="39" s="1"/>
  <c r="D172" i="39"/>
  <c r="E172" i="39"/>
  <c r="C173" i="39"/>
  <c r="F173" i="39"/>
  <c r="G173" i="39" s="1"/>
  <c r="D173" i="39"/>
  <c r="E173" i="39"/>
  <c r="C174" i="39"/>
  <c r="F174" i="39" s="1"/>
  <c r="G174" i="39" s="1"/>
  <c r="D174" i="39"/>
  <c r="E174" i="39"/>
  <c r="C175" i="39"/>
  <c r="F175" i="39" s="1"/>
  <c r="G175" i="39" s="1"/>
  <c r="D175" i="39"/>
  <c r="E175" i="39"/>
  <c r="C176" i="39"/>
  <c r="F176" i="39" s="1"/>
  <c r="G176" i="39" s="1"/>
  <c r="D176" i="39"/>
  <c r="E176" i="39"/>
  <c r="C177" i="39"/>
  <c r="F177" i="39"/>
  <c r="G177" i="39" s="1"/>
  <c r="D177" i="39"/>
  <c r="E177" i="39"/>
  <c r="C178" i="39"/>
  <c r="F178" i="39"/>
  <c r="G178" i="39" s="1"/>
  <c r="D178" i="39"/>
  <c r="E178" i="39"/>
  <c r="C179" i="39"/>
  <c r="F179" i="39"/>
  <c r="G179" i="39" s="1"/>
  <c r="D179" i="39"/>
  <c r="E179" i="39"/>
  <c r="C180" i="39"/>
  <c r="F180" i="39" s="1"/>
  <c r="G180" i="39" s="1"/>
  <c r="D180" i="39"/>
  <c r="E180" i="39"/>
  <c r="C181" i="39"/>
  <c r="C182" i="39"/>
  <c r="C187" i="39"/>
  <c r="D187" i="39"/>
  <c r="E187" i="39"/>
  <c r="F187" i="39"/>
  <c r="C188" i="39"/>
  <c r="D188" i="39"/>
  <c r="E188" i="39"/>
  <c r="F188" i="39"/>
  <c r="C189" i="39"/>
  <c r="D189" i="39"/>
  <c r="E189" i="39"/>
  <c r="F189" i="39"/>
  <c r="C190" i="39"/>
  <c r="D190" i="39"/>
  <c r="E190" i="39"/>
  <c r="F190" i="39"/>
  <c r="C191" i="39"/>
  <c r="D191" i="39"/>
  <c r="E191" i="39"/>
  <c r="F191" i="39"/>
  <c r="C192" i="39"/>
  <c r="D192" i="39"/>
  <c r="E192" i="39"/>
  <c r="F192" i="39"/>
  <c r="C193" i="39"/>
  <c r="D193" i="39"/>
  <c r="E193" i="39"/>
  <c r="F193" i="39"/>
  <c r="C194" i="39"/>
  <c r="D194" i="39"/>
  <c r="E194" i="39"/>
  <c r="F194" i="39"/>
  <c r="C195" i="39"/>
  <c r="D195" i="39"/>
  <c r="E195" i="39"/>
  <c r="F195" i="39"/>
  <c r="C196" i="39"/>
  <c r="D196" i="39"/>
  <c r="E196" i="39"/>
  <c r="F196" i="39"/>
  <c r="C197" i="39"/>
  <c r="D197" i="39"/>
  <c r="E197" i="39"/>
  <c r="F197" i="39"/>
  <c r="C198" i="39"/>
  <c r="D198" i="39"/>
  <c r="E198" i="39"/>
  <c r="F198" i="39"/>
  <c r="C199" i="39"/>
  <c r="D199" i="39"/>
  <c r="E199" i="39"/>
  <c r="F199" i="39"/>
  <c r="C200" i="39"/>
  <c r="D200" i="39"/>
  <c r="E200" i="39"/>
  <c r="F200" i="39"/>
  <c r="C201" i="39"/>
  <c r="D201" i="39"/>
  <c r="E201" i="39"/>
  <c r="F201" i="39"/>
  <c r="G201" i="39" s="1"/>
  <c r="C202" i="39"/>
  <c r="D202" i="39"/>
  <c r="E202" i="39"/>
  <c r="F202" i="39"/>
  <c r="G202" i="39" s="1"/>
  <c r="C203" i="39"/>
  <c r="D203" i="39"/>
  <c r="E203" i="39"/>
  <c r="F203" i="39"/>
  <c r="G203" i="39" s="1"/>
  <c r="C204" i="39"/>
  <c r="D204" i="39"/>
  <c r="E204" i="39"/>
  <c r="F204" i="39"/>
  <c r="G204" i="39" s="1"/>
  <c r="C205" i="39"/>
  <c r="D205" i="39"/>
  <c r="E205" i="39"/>
  <c r="F205" i="39"/>
  <c r="G205" i="39" s="1"/>
  <c r="C206" i="39"/>
  <c r="D206" i="39"/>
  <c r="E206" i="39"/>
  <c r="F206" i="39"/>
  <c r="G206" i="39"/>
  <c r="C207" i="39"/>
  <c r="D207" i="39"/>
  <c r="E207" i="39"/>
  <c r="F207" i="39"/>
  <c r="G207" i="39" s="1"/>
  <c r="C208" i="39"/>
  <c r="D208" i="39"/>
  <c r="E208" i="39"/>
  <c r="F208" i="39"/>
  <c r="G208" i="39" s="1"/>
  <c r="C209" i="39"/>
  <c r="D209" i="39"/>
  <c r="E209" i="39"/>
  <c r="F209" i="39"/>
  <c r="G209" i="39" s="1"/>
  <c r="C210" i="39"/>
  <c r="D210" i="39"/>
  <c r="E210" i="39"/>
  <c r="F210" i="39"/>
  <c r="G210" i="39"/>
  <c r="C211" i="39"/>
  <c r="D211" i="39"/>
  <c r="E211" i="39"/>
  <c r="F211" i="39"/>
  <c r="G211" i="39" s="1"/>
  <c r="C212" i="39"/>
  <c r="D212" i="39"/>
  <c r="E212" i="39"/>
  <c r="F212" i="39"/>
  <c r="G212" i="39" s="1"/>
  <c r="C213" i="39"/>
  <c r="D213" i="39"/>
  <c r="E213" i="39"/>
  <c r="F213" i="39"/>
  <c r="G213" i="39" s="1"/>
  <c r="C214" i="39"/>
  <c r="D214" i="39"/>
  <c r="E214" i="39"/>
  <c r="F214" i="39"/>
  <c r="G214" i="39"/>
  <c r="C215" i="39"/>
  <c r="D215" i="39"/>
  <c r="E215" i="39"/>
  <c r="F215" i="39"/>
  <c r="G215" i="39" s="1"/>
  <c r="C216" i="39"/>
  <c r="D216" i="39"/>
  <c r="E216" i="39"/>
  <c r="F216" i="39"/>
  <c r="G216" i="39" s="1"/>
  <c r="C217" i="39"/>
  <c r="D217" i="39"/>
  <c r="E217" i="39"/>
  <c r="F217" i="39"/>
  <c r="G217" i="39" s="1"/>
  <c r="C218" i="39"/>
  <c r="D218" i="39"/>
  <c r="E218" i="39"/>
  <c r="F218" i="39"/>
  <c r="G218" i="39" s="1"/>
  <c r="C219" i="39"/>
  <c r="D219" i="39"/>
  <c r="E219" i="39"/>
  <c r="F219" i="39"/>
  <c r="C220" i="39"/>
  <c r="D220" i="39"/>
  <c r="E220" i="39"/>
  <c r="F220" i="39"/>
  <c r="C221" i="39"/>
  <c r="D221" i="39"/>
  <c r="E221" i="39"/>
  <c r="F221" i="39"/>
  <c r="C222" i="39"/>
  <c r="C223" i="39"/>
  <c r="C228" i="39"/>
  <c r="F228" i="39" s="1"/>
  <c r="G228" i="39" s="1"/>
  <c r="D228" i="39"/>
  <c r="E228" i="39"/>
  <c r="C229" i="39"/>
  <c r="F229" i="39" s="1"/>
  <c r="G229" i="39" s="1"/>
  <c r="D229" i="39"/>
  <c r="E229" i="39"/>
  <c r="C230" i="39"/>
  <c r="F230" i="39" s="1"/>
  <c r="G230" i="39" s="1"/>
  <c r="D230" i="39"/>
  <c r="E230" i="39"/>
  <c r="C231" i="39"/>
  <c r="F231" i="39"/>
  <c r="G231" i="39" s="1"/>
  <c r="D231" i="39"/>
  <c r="E231" i="39"/>
  <c r="C232" i="39"/>
  <c r="F232" i="39" s="1"/>
  <c r="G232" i="39" s="1"/>
  <c r="D232" i="39"/>
  <c r="E232" i="39"/>
  <c r="C233" i="39"/>
  <c r="F233" i="39" s="1"/>
  <c r="G233" i="39" s="1"/>
  <c r="D233" i="39"/>
  <c r="E233" i="39"/>
  <c r="C234" i="39"/>
  <c r="F234" i="39"/>
  <c r="G234" i="39" s="1"/>
  <c r="D234" i="39"/>
  <c r="E234" i="39"/>
  <c r="C235" i="39"/>
  <c r="F235" i="39" s="1"/>
  <c r="G235" i="39" s="1"/>
  <c r="D235" i="39"/>
  <c r="E235" i="39"/>
  <c r="C236" i="39"/>
  <c r="F236" i="39" s="1"/>
  <c r="G236" i="39" s="1"/>
  <c r="D236" i="39"/>
  <c r="E236" i="39"/>
  <c r="C237" i="39"/>
  <c r="F237" i="39" s="1"/>
  <c r="D237" i="39"/>
  <c r="E237" i="39"/>
  <c r="C238" i="39"/>
  <c r="F238" i="39" s="1"/>
  <c r="D238" i="39"/>
  <c r="E238" i="39"/>
  <c r="C239" i="39"/>
  <c r="F239" i="39" s="1"/>
  <c r="D239" i="39"/>
  <c r="E239" i="39"/>
  <c r="C240" i="39"/>
  <c r="F240" i="39"/>
  <c r="D240" i="39"/>
  <c r="E240" i="39"/>
  <c r="C241" i="39"/>
  <c r="F241" i="39" s="1"/>
  <c r="D241" i="39"/>
  <c r="E241" i="39"/>
  <c r="C242" i="39"/>
  <c r="F242" i="39"/>
  <c r="D242" i="39"/>
  <c r="E242" i="39"/>
  <c r="C243" i="39"/>
  <c r="F243" i="39" s="1"/>
  <c r="D243" i="39"/>
  <c r="E243" i="39"/>
  <c r="C244" i="39"/>
  <c r="F244" i="39" s="1"/>
  <c r="D244" i="39"/>
  <c r="E244" i="39"/>
  <c r="C245" i="39"/>
  <c r="F245" i="39" s="1"/>
  <c r="D245" i="39"/>
  <c r="E245" i="39"/>
  <c r="C246" i="39"/>
  <c r="F246" i="39" s="1"/>
  <c r="D246" i="39"/>
  <c r="E246" i="39"/>
  <c r="C247" i="39"/>
  <c r="F247" i="39" s="1"/>
  <c r="D247" i="39"/>
  <c r="E247" i="39"/>
  <c r="C248" i="39"/>
  <c r="F248" i="39"/>
  <c r="D248" i="39"/>
  <c r="E248" i="39"/>
  <c r="C249" i="39"/>
  <c r="F249" i="39" s="1"/>
  <c r="D249" i="39"/>
  <c r="E249" i="39"/>
  <c r="C250" i="39"/>
  <c r="F250" i="39"/>
  <c r="D250" i="39"/>
  <c r="E250" i="39"/>
  <c r="C251" i="39"/>
  <c r="F251" i="39" s="1"/>
  <c r="D251" i="39"/>
  <c r="E251" i="39"/>
  <c r="C252" i="39"/>
  <c r="F252" i="39" s="1"/>
  <c r="D252" i="39"/>
  <c r="E252" i="39"/>
  <c r="C253" i="39"/>
  <c r="F253" i="39" s="1"/>
  <c r="D253" i="39"/>
  <c r="E253" i="39"/>
  <c r="C254" i="39"/>
  <c r="F254" i="39" s="1"/>
  <c r="D254" i="39"/>
  <c r="E254" i="39"/>
  <c r="C255" i="39"/>
  <c r="F255" i="39" s="1"/>
  <c r="D255" i="39"/>
  <c r="E255" i="39"/>
  <c r="C256" i="39"/>
  <c r="F256" i="39" s="1"/>
  <c r="D256" i="39"/>
  <c r="E256" i="39"/>
  <c r="C257" i="39"/>
  <c r="F257" i="39" s="1"/>
  <c r="D257" i="39"/>
  <c r="E257" i="39"/>
  <c r="C258" i="39"/>
  <c r="F258" i="39" s="1"/>
  <c r="D258" i="39"/>
  <c r="E258" i="39"/>
  <c r="C259" i="39"/>
  <c r="C265" i="39"/>
  <c r="F265" i="39" s="1"/>
  <c r="D265" i="39"/>
  <c r="E265" i="39"/>
  <c r="C266" i="39"/>
  <c r="F266" i="39"/>
  <c r="D266" i="39"/>
  <c r="E266" i="39"/>
  <c r="C267" i="39"/>
  <c r="F267" i="39"/>
  <c r="D267" i="39"/>
  <c r="E267" i="39"/>
  <c r="C268" i="39"/>
  <c r="F268" i="39" s="1"/>
  <c r="G268" i="39" s="1"/>
  <c r="D268" i="39"/>
  <c r="E268" i="39"/>
  <c r="C269" i="39"/>
  <c r="F269" i="39"/>
  <c r="G269" i="39" s="1"/>
  <c r="D269" i="39"/>
  <c r="E269" i="39"/>
  <c r="C270" i="39"/>
  <c r="F270" i="39"/>
  <c r="G270" i="39" s="1"/>
  <c r="D270" i="39"/>
  <c r="E270" i="39"/>
  <c r="C271" i="39"/>
  <c r="F271" i="39" s="1"/>
  <c r="G271" i="39" s="1"/>
  <c r="D271" i="39"/>
  <c r="E271" i="39"/>
  <c r="C272" i="39"/>
  <c r="F272" i="39"/>
  <c r="G272" i="39" s="1"/>
  <c r="D272" i="39"/>
  <c r="E272" i="39"/>
  <c r="C273" i="39"/>
  <c r="F273" i="39" s="1"/>
  <c r="G273" i="39" s="1"/>
  <c r="D273" i="39"/>
  <c r="E273" i="39"/>
  <c r="C274" i="39"/>
  <c r="F274" i="39" s="1"/>
  <c r="G274" i="39" s="1"/>
  <c r="D274" i="39"/>
  <c r="E274" i="39"/>
  <c r="C275" i="39"/>
  <c r="F275" i="39" s="1"/>
  <c r="D275" i="39"/>
  <c r="E275" i="39"/>
  <c r="G275" i="39"/>
  <c r="C276" i="39"/>
  <c r="F276" i="39"/>
  <c r="G276" i="39" s="1"/>
  <c r="D276" i="39"/>
  <c r="E276" i="39"/>
  <c r="C277" i="39"/>
  <c r="F277" i="39" s="1"/>
  <c r="G277" i="39" s="1"/>
  <c r="D277" i="39"/>
  <c r="E277" i="39"/>
  <c r="C278" i="39"/>
  <c r="C279" i="39"/>
  <c r="C280" i="39"/>
  <c r="C281" i="39"/>
  <c r="C6" i="38"/>
  <c r="F6" i="38"/>
  <c r="G6" i="38" s="1"/>
  <c r="D6" i="38"/>
  <c r="E6" i="38"/>
  <c r="C7" i="38"/>
  <c r="F7" i="38" s="1"/>
  <c r="G7" i="38" s="1"/>
  <c r="D7" i="38"/>
  <c r="E7" i="38"/>
  <c r="C8" i="38"/>
  <c r="F8" i="38" s="1"/>
  <c r="G8" i="38" s="1"/>
  <c r="D8" i="38"/>
  <c r="E8" i="38"/>
  <c r="C9" i="38"/>
  <c r="F9" i="38" s="1"/>
  <c r="G9" i="38" s="1"/>
  <c r="D9" i="38"/>
  <c r="E9" i="38"/>
  <c r="C10" i="38"/>
  <c r="F10" i="38" s="1"/>
  <c r="G10" i="38" s="1"/>
  <c r="D10" i="38"/>
  <c r="E10" i="38"/>
  <c r="C11" i="38"/>
  <c r="F11" i="38" s="1"/>
  <c r="G11" i="38" s="1"/>
  <c r="D11" i="38"/>
  <c r="E11" i="38"/>
  <c r="C12" i="38"/>
  <c r="F12" i="38" s="1"/>
  <c r="G12" i="38" s="1"/>
  <c r="D12" i="38"/>
  <c r="E12" i="38"/>
  <c r="C13" i="38"/>
  <c r="F13" i="38" s="1"/>
  <c r="G13" i="38" s="1"/>
  <c r="D13" i="38"/>
  <c r="E13" i="38"/>
  <c r="C14" i="38"/>
  <c r="F14" i="38" s="1"/>
  <c r="G14" i="38" s="1"/>
  <c r="D14" i="38"/>
  <c r="E14" i="38"/>
  <c r="C15" i="38"/>
  <c r="F15" i="38" s="1"/>
  <c r="G15" i="38" s="1"/>
  <c r="D15" i="38"/>
  <c r="E15" i="38"/>
  <c r="C16" i="38"/>
  <c r="F16" i="38" s="1"/>
  <c r="G16" i="38" s="1"/>
  <c r="D16" i="38"/>
  <c r="E16" i="38"/>
  <c r="C17" i="38"/>
  <c r="F17" i="38" s="1"/>
  <c r="G17" i="38" s="1"/>
  <c r="D17" i="38"/>
  <c r="E17" i="38"/>
  <c r="C18" i="38"/>
  <c r="F18" i="38"/>
  <c r="G18" i="38" s="1"/>
  <c r="D18" i="38"/>
  <c r="E18" i="38"/>
  <c r="C19" i="38"/>
  <c r="F19" i="38" s="1"/>
  <c r="G19" i="38" s="1"/>
  <c r="D19" i="38"/>
  <c r="E19" i="38"/>
  <c r="C20" i="38"/>
  <c r="F20" i="38" s="1"/>
  <c r="G20" i="38" s="1"/>
  <c r="D20" i="38"/>
  <c r="E20" i="38"/>
  <c r="C21" i="38"/>
  <c r="F21" i="38" s="1"/>
  <c r="G21" i="38"/>
  <c r="D21" i="38"/>
  <c r="E21" i="38"/>
  <c r="C22" i="38"/>
  <c r="F22" i="38" s="1"/>
  <c r="G22" i="38" s="1"/>
  <c r="D22" i="38"/>
  <c r="E22" i="38"/>
  <c r="C23" i="38"/>
  <c r="F23" i="38" s="1"/>
  <c r="G23" i="38" s="1"/>
  <c r="D23" i="38"/>
  <c r="E23" i="38"/>
  <c r="C24" i="38"/>
  <c r="F24" i="38" s="1"/>
  <c r="G24" i="38" s="1"/>
  <c r="D24" i="38"/>
  <c r="E24" i="38"/>
  <c r="C25" i="38"/>
  <c r="F25" i="38" s="1"/>
  <c r="G25" i="38" s="1"/>
  <c r="D25" i="38"/>
  <c r="E25" i="38"/>
  <c r="C26" i="38"/>
  <c r="F26" i="38"/>
  <c r="G26" i="38" s="1"/>
  <c r="D26" i="38"/>
  <c r="E26" i="38"/>
  <c r="C27" i="38"/>
  <c r="F27" i="38" s="1"/>
  <c r="G27" i="38" s="1"/>
  <c r="D27" i="38"/>
  <c r="E27" i="38"/>
  <c r="C28" i="38"/>
  <c r="F28" i="38"/>
  <c r="G28" i="38"/>
  <c r="D28" i="38"/>
  <c r="E28" i="38"/>
  <c r="C29" i="38"/>
  <c r="F29" i="38" s="1"/>
  <c r="G29" i="38"/>
  <c r="D29" i="38"/>
  <c r="E29" i="38"/>
  <c r="C30" i="38"/>
  <c r="F30" i="38" s="1"/>
  <c r="G30" i="38" s="1"/>
  <c r="D30" i="38"/>
  <c r="E30" i="38"/>
  <c r="C31" i="38"/>
  <c r="F31" i="38" s="1"/>
  <c r="G31" i="38" s="1"/>
  <c r="D31" i="38"/>
  <c r="E31" i="38"/>
  <c r="C32" i="38"/>
  <c r="F32" i="38" s="1"/>
  <c r="D32" i="38"/>
  <c r="E32" i="38"/>
  <c r="C39" i="38"/>
  <c r="D39" i="38"/>
  <c r="E39" i="38"/>
  <c r="F39" i="38"/>
  <c r="G39" i="38"/>
  <c r="H39" i="38"/>
  <c r="D40" i="38"/>
  <c r="C41" i="38"/>
  <c r="D41" i="38"/>
  <c r="E41" i="38"/>
  <c r="F41" i="38"/>
  <c r="G41" i="38"/>
  <c r="H41" i="38"/>
  <c r="D42" i="38"/>
  <c r="C43" i="38"/>
  <c r="F43" i="38"/>
  <c r="G43" i="38" s="1"/>
  <c r="H43" i="38"/>
  <c r="C50" i="38"/>
  <c r="F50" i="38" s="1"/>
  <c r="D50" i="38"/>
  <c r="E50" i="38"/>
  <c r="C51" i="38"/>
  <c r="F51" i="38" s="1"/>
  <c r="D51" i="38"/>
  <c r="E51" i="38"/>
  <c r="C52" i="38"/>
  <c r="F52" i="38" s="1"/>
  <c r="D52" i="38"/>
  <c r="E52" i="38"/>
  <c r="C53" i="38"/>
  <c r="F53" i="38"/>
  <c r="D53" i="38"/>
  <c r="E53" i="38"/>
  <c r="C54" i="38"/>
  <c r="F54" i="38" s="1"/>
  <c r="G54" i="38" s="1"/>
  <c r="D54" i="38"/>
  <c r="E54" i="38" s="1"/>
  <c r="H54" i="38"/>
  <c r="C55" i="38"/>
  <c r="F55" i="38"/>
  <c r="G55" i="38"/>
  <c r="D55" i="38"/>
  <c r="E55" i="38" s="1"/>
  <c r="C56" i="38"/>
  <c r="F56" i="38" s="1"/>
  <c r="G56" i="38" s="1"/>
  <c r="D56" i="38"/>
  <c r="E56" i="38" s="1"/>
  <c r="C57" i="38"/>
  <c r="F57" i="38"/>
  <c r="G57" i="38" s="1"/>
  <c r="D57" i="38"/>
  <c r="E57" i="38" s="1"/>
  <c r="C58" i="38"/>
  <c r="F58" i="38" s="1"/>
  <c r="G58" i="38" s="1"/>
  <c r="D58" i="38"/>
  <c r="E58" i="38" s="1"/>
  <c r="C59" i="38"/>
  <c r="F59" i="38" s="1"/>
  <c r="G59" i="38" s="1"/>
  <c r="D59" i="38"/>
  <c r="E59" i="38" s="1"/>
  <c r="C60" i="38"/>
  <c r="F60" i="38"/>
  <c r="G60" i="38" s="1"/>
  <c r="D60" i="38"/>
  <c r="E60" i="38" s="1"/>
  <c r="C61" i="38"/>
  <c r="F61" i="38" s="1"/>
  <c r="G61" i="38" s="1"/>
  <c r="D61" i="38"/>
  <c r="E61" i="38" s="1"/>
  <c r="C62" i="38"/>
  <c r="F62" i="38"/>
  <c r="G62" i="38" s="1"/>
  <c r="D62" i="38"/>
  <c r="E62" i="38" s="1"/>
  <c r="C63" i="38"/>
  <c r="F63" i="38" s="1"/>
  <c r="G63" i="38" s="1"/>
  <c r="D63" i="38"/>
  <c r="E63" i="38" s="1"/>
  <c r="C64" i="38"/>
  <c r="F64" i="38" s="1"/>
  <c r="G64" i="38" s="1"/>
  <c r="D64" i="38"/>
  <c r="E64" i="38" s="1"/>
  <c r="C65" i="38"/>
  <c r="F65" i="38" s="1"/>
  <c r="G65" i="38" s="1"/>
  <c r="D65" i="38"/>
  <c r="E65" i="38" s="1"/>
  <c r="C66" i="38"/>
  <c r="F66" i="38" s="1"/>
  <c r="G66" i="38" s="1"/>
  <c r="D66" i="38"/>
  <c r="E66" i="38" s="1"/>
  <c r="C67" i="38"/>
  <c r="F67" i="38"/>
  <c r="G67" i="38" s="1"/>
  <c r="D67" i="38"/>
  <c r="E67" i="38" s="1"/>
  <c r="C68" i="38"/>
  <c r="F68" i="38" s="1"/>
  <c r="G68" i="38" s="1"/>
  <c r="D68" i="38"/>
  <c r="E68" i="38" s="1"/>
  <c r="C69" i="38"/>
  <c r="F69" i="38"/>
  <c r="G69" i="38" s="1"/>
  <c r="D69" i="38"/>
  <c r="E69" i="38"/>
  <c r="C70" i="38"/>
  <c r="F70" i="38" s="1"/>
  <c r="G70" i="38" s="1"/>
  <c r="D70" i="38"/>
  <c r="E70" i="38"/>
  <c r="C71" i="38"/>
  <c r="F71" i="38" s="1"/>
  <c r="G71" i="38" s="1"/>
  <c r="D71" i="38"/>
  <c r="E71" i="38" s="1"/>
  <c r="C72" i="38"/>
  <c r="F72" i="38" s="1"/>
  <c r="G72" i="38"/>
  <c r="D72" i="38"/>
  <c r="E72" i="38" s="1"/>
  <c r="H72" i="38"/>
  <c r="C73" i="38"/>
  <c r="F73" i="38" s="1"/>
  <c r="D73" i="38"/>
  <c r="E73" i="38" s="1"/>
  <c r="C80" i="38"/>
  <c r="F80" i="38" s="1"/>
  <c r="G80" i="38" s="1"/>
  <c r="D80" i="38"/>
  <c r="E80" i="38"/>
  <c r="C81" i="38"/>
  <c r="F81" i="38"/>
  <c r="G81" i="38" s="1"/>
  <c r="D81" i="38"/>
  <c r="E81" i="38"/>
  <c r="C82" i="38"/>
  <c r="F82" i="38" s="1"/>
  <c r="G82" i="38" s="1"/>
  <c r="D82" i="38"/>
  <c r="E82" i="38"/>
  <c r="C83" i="38"/>
  <c r="F83" i="38"/>
  <c r="G83" i="38" s="1"/>
  <c r="D83" i="38"/>
  <c r="E83" i="38"/>
  <c r="C84" i="38"/>
  <c r="F84" i="38" s="1"/>
  <c r="G84" i="38" s="1"/>
  <c r="D84" i="38"/>
  <c r="E84" i="38"/>
  <c r="C85" i="38"/>
  <c r="F85" i="38"/>
  <c r="G85" i="38" s="1"/>
  <c r="D85" i="38"/>
  <c r="E85" i="38"/>
  <c r="C86" i="38"/>
  <c r="F86" i="38" s="1"/>
  <c r="G86" i="38"/>
  <c r="D86" i="38"/>
  <c r="E86" i="38"/>
  <c r="C87" i="38"/>
  <c r="F87" i="38"/>
  <c r="G87" i="38" s="1"/>
  <c r="D87" i="38"/>
  <c r="E87" i="38"/>
  <c r="C88" i="38"/>
  <c r="F88" i="38" s="1"/>
  <c r="G88" i="38" s="1"/>
  <c r="D88" i="38"/>
  <c r="E88" i="38"/>
  <c r="C89" i="38"/>
  <c r="F89" i="38" s="1"/>
  <c r="G89" i="38" s="1"/>
  <c r="D89" i="38"/>
  <c r="E89" i="38"/>
  <c r="C90" i="38"/>
  <c r="F90" i="38" s="1"/>
  <c r="G90" i="38" s="1"/>
  <c r="D90" i="38"/>
  <c r="E90" i="38"/>
  <c r="C91" i="38"/>
  <c r="F91" i="38"/>
  <c r="G91" i="38" s="1"/>
  <c r="D91" i="38"/>
  <c r="E91" i="38"/>
  <c r="C97" i="38"/>
  <c r="F97" i="38"/>
  <c r="D97" i="38"/>
  <c r="E97" i="38"/>
  <c r="C98" i="38"/>
  <c r="F98" i="38"/>
  <c r="D98" i="38"/>
  <c r="E98" i="38"/>
  <c r="C99" i="38"/>
  <c r="H99" i="38" s="1"/>
  <c r="D99" i="38"/>
  <c r="E99" i="38"/>
  <c r="C100" i="38"/>
  <c r="F100" i="38"/>
  <c r="D100" i="38"/>
  <c r="E100" i="38"/>
  <c r="C101" i="38"/>
  <c r="F101" i="38" s="1"/>
  <c r="D101" i="38"/>
  <c r="E101" i="38"/>
  <c r="C102" i="38"/>
  <c r="F102" i="38"/>
  <c r="D102" i="38"/>
  <c r="E102" i="38"/>
  <c r="C103" i="38"/>
  <c r="F103" i="38"/>
  <c r="D103" i="38"/>
  <c r="E103" i="38"/>
  <c r="C104" i="38"/>
  <c r="H104" i="38" s="1"/>
  <c r="D104" i="38"/>
  <c r="E104" i="38"/>
  <c r="C105" i="38"/>
  <c r="F105" i="38"/>
  <c r="D105" i="38"/>
  <c r="E105" i="38"/>
  <c r="C106" i="38"/>
  <c r="F106" i="38"/>
  <c r="D106" i="38"/>
  <c r="E106" i="38"/>
  <c r="C107" i="38"/>
  <c r="F107" i="38" s="1"/>
  <c r="D107" i="38"/>
  <c r="E107" i="38"/>
  <c r="C108" i="38"/>
  <c r="F108" i="38"/>
  <c r="D108" i="38"/>
  <c r="E108" i="38"/>
  <c r="C109" i="38"/>
  <c r="F109" i="38"/>
  <c r="D109" i="38"/>
  <c r="E109" i="38"/>
  <c r="C110" i="38"/>
  <c r="F110" i="38" s="1"/>
  <c r="D110" i="38"/>
  <c r="E110" i="38"/>
  <c r="C111" i="38"/>
  <c r="F111" i="38"/>
  <c r="D111" i="38"/>
  <c r="E111" i="38"/>
  <c r="C112" i="38"/>
  <c r="H112" i="38"/>
  <c r="D112" i="38"/>
  <c r="E112" i="38"/>
  <c r="C113" i="38"/>
  <c r="F113" i="38" s="1"/>
  <c r="D113" i="38"/>
  <c r="E113" i="38"/>
  <c r="C114" i="38"/>
  <c r="F114" i="38"/>
  <c r="D114" i="38"/>
  <c r="E114" i="38"/>
  <c r="C115" i="38"/>
  <c r="F115" i="38"/>
  <c r="D115" i="38"/>
  <c r="E115" i="38"/>
  <c r="C116" i="38"/>
  <c r="H116" i="38" s="1"/>
  <c r="D116" i="38"/>
  <c r="E116" i="38"/>
  <c r="C117" i="38"/>
  <c r="H117" i="38" s="1"/>
  <c r="D117" i="38"/>
  <c r="E117" i="38"/>
  <c r="C118" i="38"/>
  <c r="F118" i="38"/>
  <c r="D118" i="38"/>
  <c r="E118" i="38"/>
  <c r="C119" i="38"/>
  <c r="D119" i="38"/>
  <c r="E119" i="38"/>
  <c r="C120" i="38"/>
  <c r="D120" i="38"/>
  <c r="E120" i="38"/>
  <c r="C121" i="38"/>
  <c r="D121" i="38"/>
  <c r="E121" i="38"/>
  <c r="C122" i="38"/>
  <c r="H122" i="38"/>
  <c r="D122" i="38"/>
  <c r="E122" i="38"/>
  <c r="C123" i="38"/>
  <c r="D123" i="38"/>
  <c r="E123" i="38"/>
  <c r="C124" i="38"/>
  <c r="F124" i="38"/>
  <c r="D124" i="38"/>
  <c r="E124" i="38"/>
  <c r="C125" i="38"/>
  <c r="D125" i="38"/>
  <c r="E125" i="38"/>
  <c r="C126" i="38"/>
  <c r="D126" i="38"/>
  <c r="E126" i="38"/>
  <c r="C127" i="38"/>
  <c r="H127" i="38" s="1"/>
  <c r="D127" i="38"/>
  <c r="E127" i="38"/>
  <c r="C128" i="38"/>
  <c r="H128" i="38" s="1"/>
  <c r="D128" i="38"/>
  <c r="E128" i="38"/>
  <c r="C129" i="38"/>
  <c r="D129" i="38"/>
  <c r="E129" i="38"/>
  <c r="C130" i="38"/>
  <c r="H130" i="38" s="1"/>
  <c r="D130" i="38"/>
  <c r="E130" i="38"/>
  <c r="C131" i="38"/>
  <c r="D131" i="38"/>
  <c r="E131" i="38"/>
  <c r="C132" i="38"/>
  <c r="H132" i="38" s="1"/>
  <c r="D132" i="38"/>
  <c r="E132" i="38"/>
  <c r="C133" i="38"/>
  <c r="D133" i="38"/>
  <c r="E133" i="38"/>
  <c r="C134" i="38"/>
  <c r="D134" i="38"/>
  <c r="E134" i="38"/>
  <c r="C135" i="38"/>
  <c r="D135" i="38"/>
  <c r="E135" i="38"/>
  <c r="C136" i="38"/>
  <c r="D136" i="38"/>
  <c r="E136" i="38"/>
  <c r="C137" i="38"/>
  <c r="H137" i="38" s="1"/>
  <c r="D137" i="38"/>
  <c r="E137" i="38"/>
  <c r="C138" i="38"/>
  <c r="H138" i="38" s="1"/>
  <c r="D138" i="38"/>
  <c r="E138" i="38"/>
  <c r="C139" i="38"/>
  <c r="H139" i="38"/>
  <c r="D139" i="38"/>
  <c r="E139" i="38"/>
  <c r="C140" i="38"/>
  <c r="F140" i="38"/>
  <c r="D140" i="38"/>
  <c r="E140" i="38"/>
  <c r="C141" i="38"/>
  <c r="D141" i="38"/>
  <c r="E141" i="38"/>
  <c r="C142" i="38"/>
  <c r="D142" i="38"/>
  <c r="E142" i="38"/>
  <c r="C143" i="38"/>
  <c r="D143" i="38"/>
  <c r="E143" i="38"/>
  <c r="C144" i="38"/>
  <c r="H144" i="38" s="1"/>
  <c r="D144" i="38"/>
  <c r="E144" i="38"/>
  <c r="C145" i="38"/>
  <c r="D145" i="38"/>
  <c r="E145" i="38"/>
  <c r="C146" i="38"/>
  <c r="H146" i="38"/>
  <c r="D146" i="38"/>
  <c r="E146" i="38"/>
  <c r="D147" i="38"/>
  <c r="C148" i="38"/>
  <c r="F148" i="38"/>
  <c r="G148" i="38"/>
  <c r="C155" i="38"/>
  <c r="F155" i="38"/>
  <c r="G155" i="38" s="1"/>
  <c r="D155" i="38"/>
  <c r="C156" i="38"/>
  <c r="F156" i="38"/>
  <c r="G156" i="38"/>
  <c r="D156" i="38"/>
  <c r="E156" i="38" s="1"/>
  <c r="C157" i="38"/>
  <c r="F157" i="38" s="1"/>
  <c r="G157" i="38" s="1"/>
  <c r="D157" i="38"/>
  <c r="E157" i="38" s="1"/>
  <c r="C158" i="38"/>
  <c r="F158" i="38" s="1"/>
  <c r="G158" i="38" s="1"/>
  <c r="D158" i="38"/>
  <c r="E158" i="38" s="1"/>
  <c r="C159" i="38"/>
  <c r="F159" i="38" s="1"/>
  <c r="G159" i="38" s="1"/>
  <c r="D159" i="38"/>
  <c r="E159" i="38" s="1"/>
  <c r="C160" i="38"/>
  <c r="F160" i="38" s="1"/>
  <c r="G160" i="38" s="1"/>
  <c r="D160" i="38"/>
  <c r="E160" i="38" s="1"/>
  <c r="C161" i="38"/>
  <c r="F161" i="38" s="1"/>
  <c r="G161" i="38" s="1"/>
  <c r="D161" i="38"/>
  <c r="E161" i="38" s="1"/>
  <c r="C162" i="38"/>
  <c r="F162" i="38" s="1"/>
  <c r="G162" i="38" s="1"/>
  <c r="D162" i="38"/>
  <c r="E162" i="38" s="1"/>
  <c r="C163" i="38"/>
  <c r="C164" i="38"/>
  <c r="C169" i="38"/>
  <c r="F169" i="38"/>
  <c r="D169" i="38"/>
  <c r="E169" i="38"/>
  <c r="C170" i="38"/>
  <c r="F170" i="38" s="1"/>
  <c r="D170" i="38"/>
  <c r="E170" i="38"/>
  <c r="C171" i="38"/>
  <c r="F171" i="38" s="1"/>
  <c r="D171" i="38"/>
  <c r="E171" i="38"/>
  <c r="C172" i="38"/>
  <c r="F172" i="38"/>
  <c r="G172" i="38" s="1"/>
  <c r="D172" i="38"/>
  <c r="E172" i="38"/>
  <c r="C173" i="38"/>
  <c r="F173" i="38" s="1"/>
  <c r="G173" i="38" s="1"/>
  <c r="D173" i="38"/>
  <c r="E173" i="38"/>
  <c r="C174" i="38"/>
  <c r="F174" i="38" s="1"/>
  <c r="G174" i="38" s="1"/>
  <c r="D174" i="38"/>
  <c r="E174" i="38"/>
  <c r="C175" i="38"/>
  <c r="F175" i="38"/>
  <c r="G175" i="38" s="1"/>
  <c r="D175" i="38"/>
  <c r="E175" i="38"/>
  <c r="C176" i="38"/>
  <c r="F176" i="38"/>
  <c r="G176" i="38" s="1"/>
  <c r="D176" i="38"/>
  <c r="E176" i="38"/>
  <c r="C177" i="38"/>
  <c r="F177" i="38" s="1"/>
  <c r="G177" i="38" s="1"/>
  <c r="D177" i="38"/>
  <c r="E177" i="38"/>
  <c r="C178" i="38"/>
  <c r="F178" i="38" s="1"/>
  <c r="G178" i="38" s="1"/>
  <c r="D178" i="38"/>
  <c r="E178" i="38"/>
  <c r="C179" i="38"/>
  <c r="F179" i="38" s="1"/>
  <c r="G179" i="38" s="1"/>
  <c r="D179" i="38"/>
  <c r="E179" i="38"/>
  <c r="C180" i="38"/>
  <c r="F180" i="38" s="1"/>
  <c r="G180" i="38" s="1"/>
  <c r="D180" i="38"/>
  <c r="E180" i="38"/>
  <c r="C181" i="38"/>
  <c r="F181" i="38" s="1"/>
  <c r="G181" i="38" s="1"/>
  <c r="D181" i="38"/>
  <c r="E181" i="38"/>
  <c r="C182" i="38"/>
  <c r="F182" i="38"/>
  <c r="G182" i="38" s="1"/>
  <c r="D182" i="38"/>
  <c r="E182" i="38"/>
  <c r="C183" i="38"/>
  <c r="F183" i="38" s="1"/>
  <c r="G183" i="38" s="1"/>
  <c r="D183" i="38"/>
  <c r="E183" i="38"/>
  <c r="C184" i="38"/>
  <c r="F184" i="38" s="1"/>
  <c r="G184" i="38" s="1"/>
  <c r="D184" i="38"/>
  <c r="E184" i="38"/>
  <c r="C185" i="38"/>
  <c r="F185" i="38"/>
  <c r="G185" i="38" s="1"/>
  <c r="D185" i="38"/>
  <c r="E185" i="38"/>
  <c r="C186" i="38"/>
  <c r="F186" i="38" s="1"/>
  <c r="G186" i="38" s="1"/>
  <c r="D186" i="38"/>
  <c r="E186" i="38"/>
  <c r="C187" i="38"/>
  <c r="F187" i="38" s="1"/>
  <c r="G187" i="38" s="1"/>
  <c r="D187" i="38"/>
  <c r="E187" i="38"/>
  <c r="C188" i="38"/>
  <c r="F188" i="38"/>
  <c r="G188" i="38" s="1"/>
  <c r="D188" i="38"/>
  <c r="E188" i="38"/>
  <c r="C189" i="38"/>
  <c r="F189" i="38" s="1"/>
  <c r="G189" i="38" s="1"/>
  <c r="D189" i="38"/>
  <c r="E189" i="38"/>
  <c r="C190" i="38"/>
  <c r="F190" i="38" s="1"/>
  <c r="G190" i="38" s="1"/>
  <c r="D190" i="38"/>
  <c r="E190" i="38"/>
  <c r="C191" i="38"/>
  <c r="F191" i="38"/>
  <c r="G191" i="38" s="1"/>
  <c r="D191" i="38"/>
  <c r="E191" i="38"/>
  <c r="C192" i="38"/>
  <c r="F192" i="38" s="1"/>
  <c r="G192" i="38" s="1"/>
  <c r="D192" i="38"/>
  <c r="E192" i="38"/>
  <c r="C193" i="38"/>
  <c r="F193" i="38" s="1"/>
  <c r="G193" i="38" s="1"/>
  <c r="D193" i="38"/>
  <c r="E193" i="38"/>
  <c r="C194" i="38"/>
  <c r="F194" i="38" s="1"/>
  <c r="G194" i="38" s="1"/>
  <c r="D194" i="38"/>
  <c r="E194" i="38"/>
  <c r="C195" i="38"/>
  <c r="F195" i="38" s="1"/>
  <c r="G195" i="38" s="1"/>
  <c r="D195" i="38"/>
  <c r="E195" i="38"/>
  <c r="C196" i="38"/>
  <c r="F196" i="38" s="1"/>
  <c r="G196" i="38" s="1"/>
  <c r="D196" i="38"/>
  <c r="E196" i="38"/>
  <c r="C197" i="38"/>
  <c r="F197" i="38"/>
  <c r="G197" i="38" s="1"/>
  <c r="D197" i="38"/>
  <c r="E197" i="38"/>
  <c r="C198" i="38"/>
  <c r="F198" i="38" s="1"/>
  <c r="G198" i="38" s="1"/>
  <c r="D198" i="38"/>
  <c r="E198" i="38"/>
  <c r="C199" i="38"/>
  <c r="F199" i="38" s="1"/>
  <c r="G199" i="38" s="1"/>
  <c r="D199" i="38"/>
  <c r="E199" i="38"/>
  <c r="C200" i="38"/>
  <c r="F200" i="38" s="1"/>
  <c r="G200" i="38" s="1"/>
  <c r="D200" i="38"/>
  <c r="E200" i="38"/>
  <c r="C201" i="38"/>
  <c r="F201" i="38" s="1"/>
  <c r="G201" i="38" s="1"/>
  <c r="D201" i="38"/>
  <c r="E201" i="38"/>
  <c r="C202" i="38"/>
  <c r="F202" i="38" s="1"/>
  <c r="D202" i="38"/>
  <c r="E202" i="38"/>
  <c r="C203" i="38"/>
  <c r="F203" i="38" s="1"/>
  <c r="D203" i="38"/>
  <c r="E203" i="38"/>
  <c r="C204" i="38"/>
  <c r="F204" i="38" s="1"/>
  <c r="D204" i="38"/>
  <c r="E204" i="38"/>
  <c r="C205" i="38"/>
  <c r="F205" i="38" s="1"/>
  <c r="D205" i="38"/>
  <c r="E205" i="38"/>
  <c r="C206" i="38"/>
  <c r="F206" i="38" s="1"/>
  <c r="D206" i="38"/>
  <c r="E206" i="38"/>
  <c r="C207" i="38"/>
  <c r="C213" i="38"/>
  <c r="F213" i="38" s="1"/>
  <c r="G213" i="38" s="1"/>
  <c r="D213" i="38"/>
  <c r="E213" i="38"/>
  <c r="C214" i="38"/>
  <c r="F214" i="38" s="1"/>
  <c r="G214" i="38" s="1"/>
  <c r="D214" i="38"/>
  <c r="E214" i="38"/>
  <c r="C215" i="38"/>
  <c r="F215" i="38"/>
  <c r="G215" i="38" s="1"/>
  <c r="D215" i="38"/>
  <c r="E215" i="38"/>
  <c r="C216" i="38"/>
  <c r="F216" i="38" s="1"/>
  <c r="G216" i="38" s="1"/>
  <c r="D216" i="38"/>
  <c r="E216" i="38"/>
  <c r="C217" i="38"/>
  <c r="F217" i="38" s="1"/>
  <c r="G217" i="38" s="1"/>
  <c r="D217" i="38"/>
  <c r="E217" i="38"/>
  <c r="C218" i="38"/>
  <c r="F218" i="38" s="1"/>
  <c r="G218" i="38" s="1"/>
  <c r="D218" i="38"/>
  <c r="E218" i="38"/>
  <c r="C219" i="38"/>
  <c r="F219" i="38" s="1"/>
  <c r="G219" i="38" s="1"/>
  <c r="D219" i="38"/>
  <c r="E219" i="38"/>
  <c r="C220" i="38"/>
  <c r="F220" i="38" s="1"/>
  <c r="D220" i="38"/>
  <c r="E220" i="38"/>
  <c r="C221" i="38"/>
  <c r="F221" i="38"/>
  <c r="D221" i="38"/>
  <c r="E221" i="38"/>
  <c r="C222" i="38"/>
  <c r="F222" i="38" s="1"/>
  <c r="D222" i="38"/>
  <c r="E222" i="38"/>
  <c r="C223" i="38"/>
  <c r="F223" i="38" s="1"/>
  <c r="D223" i="38"/>
  <c r="E223" i="38"/>
  <c r="C224" i="38"/>
  <c r="F224" i="38" s="1"/>
  <c r="D224" i="38"/>
  <c r="E224" i="38"/>
  <c r="C225" i="38"/>
  <c r="F225" i="38"/>
  <c r="D225" i="38"/>
  <c r="E225" i="38"/>
  <c r="C226" i="38"/>
  <c r="F226" i="38" s="1"/>
  <c r="D226" i="38"/>
  <c r="E226" i="38"/>
  <c r="C227" i="38"/>
  <c r="F227" i="38"/>
  <c r="D227" i="38"/>
  <c r="E227" i="38"/>
  <c r="C228" i="38"/>
  <c r="F228" i="38" s="1"/>
  <c r="D228" i="38"/>
  <c r="E228" i="38"/>
  <c r="C229" i="38"/>
  <c r="F229" i="38" s="1"/>
  <c r="D229" i="38"/>
  <c r="E229" i="38"/>
  <c r="C230" i="38"/>
  <c r="F230" i="38" s="1"/>
  <c r="D230" i="38"/>
  <c r="E230" i="38"/>
  <c r="C231" i="38"/>
  <c r="F231" i="38" s="1"/>
  <c r="D231" i="38"/>
  <c r="E231" i="38"/>
  <c r="C232" i="38"/>
  <c r="F232" i="38" s="1"/>
  <c r="D232" i="38"/>
  <c r="E232" i="38"/>
  <c r="C233" i="38"/>
  <c r="F233" i="38" s="1"/>
  <c r="D233" i="38"/>
  <c r="E233" i="38"/>
  <c r="C240" i="38"/>
  <c r="F240" i="38" s="1"/>
  <c r="D240" i="38"/>
  <c r="E240" i="38"/>
  <c r="C241" i="38"/>
  <c r="F241" i="38"/>
  <c r="D241" i="38"/>
  <c r="E241" i="38"/>
  <c r="C242" i="38"/>
  <c r="F242" i="38" s="1"/>
  <c r="D242" i="38"/>
  <c r="E242" i="38"/>
  <c r="C243" i="38"/>
  <c r="F243" i="38"/>
  <c r="D243" i="38"/>
  <c r="E243" i="38"/>
  <c r="C244" i="38"/>
  <c r="F244" i="38" s="1"/>
  <c r="D244" i="38"/>
  <c r="E244" i="38"/>
  <c r="C245" i="38"/>
  <c r="F245" i="38" s="1"/>
  <c r="D245" i="38"/>
  <c r="E245" i="38"/>
  <c r="C246" i="38"/>
  <c r="F246" i="38" s="1"/>
  <c r="D246" i="38"/>
  <c r="E246" i="38"/>
  <c r="C247" i="38"/>
  <c r="F247" i="38"/>
  <c r="D247" i="38"/>
  <c r="E247" i="38"/>
  <c r="C248" i="38"/>
  <c r="F248" i="38" s="1"/>
  <c r="D248" i="38"/>
  <c r="E248" i="38"/>
  <c r="C249" i="38"/>
  <c r="F249" i="38"/>
  <c r="D249" i="38"/>
  <c r="E249" i="38"/>
  <c r="C250" i="38"/>
  <c r="F250" i="38" s="1"/>
  <c r="D250" i="38"/>
  <c r="E250" i="38"/>
  <c r="C251" i="38"/>
  <c r="F251" i="38" s="1"/>
  <c r="D251" i="38"/>
  <c r="E251" i="38"/>
  <c r="C252" i="38"/>
  <c r="F252" i="38" s="1"/>
  <c r="D252" i="38"/>
  <c r="E252" i="38"/>
  <c r="C253" i="38"/>
  <c r="F253" i="38" s="1"/>
  <c r="G253" i="38" s="1"/>
  <c r="D253" i="38"/>
  <c r="E253" i="38"/>
  <c r="C254" i="38"/>
  <c r="F254" i="38"/>
  <c r="G254" i="38"/>
  <c r="D254" i="38"/>
  <c r="E254" i="38"/>
  <c r="C255" i="38"/>
  <c r="F255" i="38"/>
  <c r="G255" i="38"/>
  <c r="D255" i="38"/>
  <c r="E255" i="38"/>
  <c r="C256" i="38"/>
  <c r="F256" i="38" s="1"/>
  <c r="G256" i="38" s="1"/>
  <c r="D256" i="38"/>
  <c r="E256" i="38"/>
  <c r="C257" i="38"/>
  <c r="F257" i="38" s="1"/>
  <c r="G257" i="38" s="1"/>
  <c r="D257" i="38"/>
  <c r="E257" i="38"/>
  <c r="C258" i="38"/>
  <c r="F258" i="38" s="1"/>
  <c r="G258" i="38" s="1"/>
  <c r="D258" i="38"/>
  <c r="E258" i="38"/>
  <c r="C259" i="38"/>
  <c r="F259" i="38"/>
  <c r="G259" i="38" s="1"/>
  <c r="D259" i="38"/>
  <c r="E259" i="38"/>
  <c r="C260" i="38"/>
  <c r="F260" i="38"/>
  <c r="G260" i="38" s="1"/>
  <c r="D260" i="38"/>
  <c r="E260" i="38"/>
  <c r="C261" i="38"/>
  <c r="F261" i="38" s="1"/>
  <c r="G261" i="38" s="1"/>
  <c r="D261" i="38"/>
  <c r="E261" i="38"/>
  <c r="C262" i="38"/>
  <c r="F262" i="38" s="1"/>
  <c r="G262" i="38" s="1"/>
  <c r="D262" i="38"/>
  <c r="E262" i="38"/>
  <c r="C263" i="38"/>
  <c r="F263" i="38" s="1"/>
  <c r="G263" i="38" s="1"/>
  <c r="D263" i="38"/>
  <c r="E263" i="38"/>
  <c r="C264" i="38"/>
  <c r="F264" i="38" s="1"/>
  <c r="G264" i="38" s="1"/>
  <c r="D264" i="38"/>
  <c r="E264" i="38"/>
  <c r="C265" i="38"/>
  <c r="F265" i="38" s="1"/>
  <c r="G265" i="38" s="1"/>
  <c r="D265" i="38"/>
  <c r="E265" i="38"/>
  <c r="C266" i="38"/>
  <c r="F266" i="38" s="1"/>
  <c r="G266" i="38" s="1"/>
  <c r="D266" i="38"/>
  <c r="E266" i="38"/>
  <c r="C267" i="38"/>
  <c r="F267" i="38"/>
  <c r="G267" i="38" s="1"/>
  <c r="D267" i="38"/>
  <c r="E267" i="38"/>
  <c r="C268" i="38"/>
  <c r="F268" i="38" s="1"/>
  <c r="G268" i="38" s="1"/>
  <c r="D268" i="38"/>
  <c r="E268" i="38"/>
  <c r="C269" i="38"/>
  <c r="F269" i="38" s="1"/>
  <c r="G269" i="38" s="1"/>
  <c r="D269" i="38"/>
  <c r="E269" i="38"/>
  <c r="C270" i="38"/>
  <c r="F270" i="38" s="1"/>
  <c r="G270" i="38" s="1"/>
  <c r="D270" i="38"/>
  <c r="E270" i="38"/>
  <c r="C271" i="38"/>
  <c r="F271" i="38" s="1"/>
  <c r="G271" i="38" s="1"/>
  <c r="D271" i="38"/>
  <c r="E271" i="38"/>
  <c r="C272" i="38"/>
  <c r="F272" i="38"/>
  <c r="G272" i="38" s="1"/>
  <c r="D272" i="38"/>
  <c r="E272" i="38"/>
  <c r="C273" i="38"/>
  <c r="F273" i="38" s="1"/>
  <c r="G273" i="38" s="1"/>
  <c r="D273" i="38"/>
  <c r="E273" i="38"/>
  <c r="C274" i="38"/>
  <c r="F274" i="38" s="1"/>
  <c r="G274" i="38" s="1"/>
  <c r="D274" i="38"/>
  <c r="E274" i="38"/>
  <c r="C275" i="38"/>
  <c r="F275" i="38" s="1"/>
  <c r="G275" i="38" s="1"/>
  <c r="D275" i="38"/>
  <c r="E275" i="38"/>
  <c r="C276" i="38"/>
  <c r="F276" i="38" s="1"/>
  <c r="G276" i="38" s="1"/>
  <c r="D276" i="38"/>
  <c r="E276" i="38"/>
  <c r="C277" i="38"/>
  <c r="F277" i="38"/>
  <c r="G277" i="38" s="1"/>
  <c r="D277" i="38"/>
  <c r="E277" i="38"/>
  <c r="C278" i="38"/>
  <c r="F278" i="38"/>
  <c r="G278" i="38" s="1"/>
  <c r="D278" i="38"/>
  <c r="E278" i="38"/>
  <c r="C279" i="38"/>
  <c r="F279" i="38" s="1"/>
  <c r="G279" i="38" s="1"/>
  <c r="D279" i="38"/>
  <c r="E279" i="38"/>
  <c r="C280" i="38"/>
  <c r="F280" i="38" s="1"/>
  <c r="G280" i="38" s="1"/>
  <c r="D280" i="38"/>
  <c r="E280" i="38"/>
  <c r="C281" i="38"/>
  <c r="F281" i="38" s="1"/>
  <c r="G281" i="38" s="1"/>
  <c r="D281" i="38"/>
  <c r="E281" i="38"/>
  <c r="C282" i="38"/>
  <c r="F282" i="38"/>
  <c r="G282" i="38" s="1"/>
  <c r="D282" i="38"/>
  <c r="E282" i="38"/>
  <c r="C283" i="38"/>
  <c r="F283" i="38"/>
  <c r="G283" i="38" s="1"/>
  <c r="D283" i="38"/>
  <c r="E283" i="38"/>
  <c r="C284" i="38"/>
  <c r="F284" i="38" s="1"/>
  <c r="G284" i="38" s="1"/>
  <c r="D284" i="38"/>
  <c r="E284" i="38"/>
  <c r="C285" i="38"/>
  <c r="F285" i="38" s="1"/>
  <c r="G285" i="38" s="1"/>
  <c r="D285" i="38"/>
  <c r="E285" i="38"/>
  <c r="C286" i="38"/>
  <c r="F286" i="38"/>
  <c r="G286" i="38"/>
  <c r="D286" i="38"/>
  <c r="E286" i="38"/>
  <c r="C287" i="38"/>
  <c r="F287" i="38" s="1"/>
  <c r="G287" i="38" s="1"/>
  <c r="D287" i="38"/>
  <c r="E287" i="38"/>
  <c r="C288" i="38"/>
  <c r="F288" i="38" s="1"/>
  <c r="G288" i="38" s="1"/>
  <c r="D288" i="38"/>
  <c r="E288" i="38"/>
  <c r="C289" i="38"/>
  <c r="F289" i="38" s="1"/>
  <c r="G289" i="38" s="1"/>
  <c r="D289" i="38"/>
  <c r="E289" i="38"/>
  <c r="C290" i="38"/>
  <c r="F290" i="38" s="1"/>
  <c r="G290" i="38" s="1"/>
  <c r="D290" i="38"/>
  <c r="E290" i="38"/>
  <c r="C291" i="38"/>
  <c r="F291" i="38" s="1"/>
  <c r="G291" i="38" s="1"/>
  <c r="D291" i="38"/>
  <c r="E291" i="38"/>
  <c r="C292" i="38"/>
  <c r="F292" i="38"/>
  <c r="G292" i="38" s="1"/>
  <c r="D292" i="38"/>
  <c r="E292" i="38"/>
  <c r="C293" i="38"/>
  <c r="F293" i="38" s="1"/>
  <c r="G293" i="38" s="1"/>
  <c r="D293" i="38"/>
  <c r="E293" i="38"/>
  <c r="C294" i="38"/>
  <c r="F294" i="38" s="1"/>
  <c r="G294" i="38" s="1"/>
  <c r="D294" i="38"/>
  <c r="E294" i="38"/>
  <c r="C295" i="38"/>
  <c r="F295" i="38" s="1"/>
  <c r="G295" i="38" s="1"/>
  <c r="D295" i="38"/>
  <c r="E295" i="38"/>
  <c r="C296" i="38"/>
  <c r="F296" i="38" s="1"/>
  <c r="G296" i="38" s="1"/>
  <c r="D296" i="38"/>
  <c r="E296" i="38"/>
  <c r="C297" i="38"/>
  <c r="F297" i="38" s="1"/>
  <c r="D297" i="38"/>
  <c r="E297" i="38"/>
  <c r="C298" i="38"/>
  <c r="F298" i="38"/>
  <c r="D298" i="38"/>
  <c r="E298" i="38"/>
  <c r="C299" i="38"/>
  <c r="D299" i="38"/>
  <c r="E299" i="38"/>
  <c r="F299" i="38"/>
  <c r="C300" i="38"/>
  <c r="F300" i="38"/>
  <c r="D300" i="38"/>
  <c r="E300" i="38"/>
  <c r="C301" i="38"/>
  <c r="F301" i="38" s="1"/>
  <c r="F302" i="38"/>
  <c r="F303" i="38"/>
  <c r="L305" i="38"/>
  <c r="P305" i="38"/>
  <c r="C307" i="38"/>
  <c r="F307" i="38"/>
  <c r="G307" i="38"/>
  <c r="D307" i="38"/>
  <c r="E307" i="38"/>
  <c r="C308" i="38"/>
  <c r="F308" i="38" s="1"/>
  <c r="G308" i="38" s="1"/>
  <c r="D308" i="38"/>
  <c r="E308" i="38"/>
  <c r="C309" i="38"/>
  <c r="F309" i="38" s="1"/>
  <c r="G309" i="38" s="1"/>
  <c r="D309" i="38"/>
  <c r="E309" i="38"/>
  <c r="C310" i="38"/>
  <c r="F310" i="38" s="1"/>
  <c r="G310" i="38" s="1"/>
  <c r="D310" i="38"/>
  <c r="E310" i="38"/>
  <c r="C311" i="38"/>
  <c r="F311" i="38" s="1"/>
  <c r="G311" i="38" s="1"/>
  <c r="D311" i="38"/>
  <c r="E311" i="38"/>
  <c r="C312" i="38"/>
  <c r="F312" i="38"/>
  <c r="G312" i="38" s="1"/>
  <c r="D312" i="38"/>
  <c r="E312" i="38"/>
  <c r="C313" i="38"/>
  <c r="F313" i="38" s="1"/>
  <c r="G313" i="38" s="1"/>
  <c r="D313" i="38"/>
  <c r="E313" i="38"/>
  <c r="C314" i="38"/>
  <c r="F314" i="38"/>
  <c r="G314" i="38" s="1"/>
  <c r="D314" i="38"/>
  <c r="E314" i="38"/>
  <c r="C315" i="38"/>
  <c r="F315" i="38" s="1"/>
  <c r="G315" i="38" s="1"/>
  <c r="D315" i="38"/>
  <c r="E315" i="38"/>
  <c r="C316" i="38"/>
  <c r="F316" i="38" s="1"/>
  <c r="G316" i="38" s="1"/>
  <c r="D316" i="38"/>
  <c r="E316" i="38"/>
  <c r="C317" i="38"/>
  <c r="F317" i="38" s="1"/>
  <c r="G317" i="38"/>
  <c r="D317" i="38"/>
  <c r="E317" i="38"/>
  <c r="C318" i="38"/>
  <c r="F318" i="38" s="1"/>
  <c r="G318" i="38" s="1"/>
  <c r="D318" i="38"/>
  <c r="E318" i="38"/>
  <c r="C319" i="38"/>
  <c r="F319" i="38" s="1"/>
  <c r="G319" i="38" s="1"/>
  <c r="D319" i="38"/>
  <c r="E319" i="38"/>
  <c r="C320" i="38"/>
  <c r="F320" i="38" s="1"/>
  <c r="D320" i="38"/>
  <c r="E320" i="38"/>
  <c r="C321" i="38"/>
  <c r="F321" i="38" s="1"/>
  <c r="D321" i="38"/>
  <c r="E321" i="38"/>
  <c r="C322" i="38"/>
  <c r="F322" i="38" s="1"/>
  <c r="D322" i="38"/>
  <c r="E322" i="38"/>
  <c r="C323" i="38"/>
  <c r="F323" i="38" s="1"/>
  <c r="D323" i="38"/>
  <c r="E323" i="38"/>
  <c r="C324" i="38"/>
  <c r="F324" i="38" s="1"/>
  <c r="D324" i="38"/>
  <c r="E324" i="38"/>
  <c r="C325" i="38"/>
  <c r="F325" i="38" s="1"/>
  <c r="D325" i="38"/>
  <c r="E325" i="38"/>
  <c r="C326" i="38"/>
  <c r="F326" i="38" s="1"/>
  <c r="D326" i="38"/>
  <c r="E326" i="38"/>
  <c r="C327" i="38"/>
  <c r="F327" i="38" s="1"/>
  <c r="D327" i="38"/>
  <c r="E327" i="38"/>
  <c r="C328" i="38"/>
  <c r="F328" i="38" s="1"/>
  <c r="D328" i="38"/>
  <c r="E328" i="38"/>
  <c r="C329" i="38"/>
  <c r="F329" i="38" s="1"/>
  <c r="D329" i="38"/>
  <c r="E329" i="38"/>
  <c r="C330" i="38"/>
  <c r="F330" i="38" s="1"/>
  <c r="D330" i="38"/>
  <c r="E330" i="38"/>
  <c r="C331" i="38"/>
  <c r="F331" i="38" s="1"/>
  <c r="D331" i="38"/>
  <c r="E331" i="38"/>
  <c r="C332" i="38"/>
  <c r="F332" i="38" s="1"/>
  <c r="D332" i="38"/>
  <c r="E332" i="38"/>
  <c r="C333" i="38"/>
  <c r="F333" i="38" s="1"/>
  <c r="D333" i="38"/>
  <c r="E333" i="38"/>
  <c r="C334" i="38"/>
  <c r="F334" i="38" s="1"/>
  <c r="D334" i="38"/>
  <c r="E334" i="38"/>
  <c r="C335" i="38"/>
  <c r="F335" i="38" s="1"/>
  <c r="D335" i="38"/>
  <c r="E335" i="38"/>
  <c r="C336" i="38"/>
  <c r="F336" i="38" s="1"/>
  <c r="D336" i="38"/>
  <c r="E336" i="38"/>
  <c r="C337" i="38"/>
  <c r="F337" i="38" s="1"/>
  <c r="D337" i="38"/>
  <c r="E337" i="38"/>
  <c r="C338" i="38"/>
  <c r="F338" i="38" s="1"/>
  <c r="D338" i="38"/>
  <c r="E338" i="38"/>
  <c r="C339" i="38"/>
  <c r="F339" i="38" s="1"/>
  <c r="D339" i="38"/>
  <c r="E339" i="38"/>
  <c r="C340" i="38"/>
  <c r="F340" i="38" s="1"/>
  <c r="D340" i="38"/>
  <c r="E340" i="38"/>
  <c r="C341" i="38"/>
  <c r="F341" i="38" s="1"/>
  <c r="D341" i="38"/>
  <c r="E341" i="38"/>
  <c r="C6" i="37"/>
  <c r="F6" i="37" s="1"/>
  <c r="G6" i="37" s="1"/>
  <c r="D6" i="37"/>
  <c r="E6" i="37"/>
  <c r="C7" i="37"/>
  <c r="F7" i="37" s="1"/>
  <c r="G7" i="37" s="1"/>
  <c r="D7" i="37"/>
  <c r="E7" i="37"/>
  <c r="C8" i="37"/>
  <c r="F8" i="37" s="1"/>
  <c r="G8" i="37" s="1"/>
  <c r="D8" i="37"/>
  <c r="E8" i="37"/>
  <c r="C9" i="37"/>
  <c r="F9" i="37"/>
  <c r="G9" i="37" s="1"/>
  <c r="D9" i="37"/>
  <c r="E9" i="37"/>
  <c r="C10" i="37"/>
  <c r="F10" i="37" s="1"/>
  <c r="G10" i="37" s="1"/>
  <c r="D10" i="37"/>
  <c r="E10" i="37"/>
  <c r="C11" i="37"/>
  <c r="F11" i="37" s="1"/>
  <c r="G11" i="37" s="1"/>
  <c r="D11" i="37"/>
  <c r="E11" i="37"/>
  <c r="C12" i="37"/>
  <c r="F12" i="37" s="1"/>
  <c r="G12" i="37" s="1"/>
  <c r="D12" i="37"/>
  <c r="E12" i="37"/>
  <c r="C13" i="37"/>
  <c r="F13" i="37"/>
  <c r="G13" i="37"/>
  <c r="D13" i="37"/>
  <c r="E13" i="37"/>
  <c r="C14" i="37"/>
  <c r="F14" i="37" s="1"/>
  <c r="G14" i="37" s="1"/>
  <c r="D14" i="37"/>
  <c r="E14" i="37"/>
  <c r="C15" i="37"/>
  <c r="F15" i="37" s="1"/>
  <c r="G15" i="37" s="1"/>
  <c r="D15" i="37"/>
  <c r="E15" i="37"/>
  <c r="C16" i="37"/>
  <c r="F16" i="37"/>
  <c r="G16" i="37" s="1"/>
  <c r="D16" i="37"/>
  <c r="E16" i="37"/>
  <c r="C17" i="37"/>
  <c r="F17" i="37" s="1"/>
  <c r="G17" i="37" s="1"/>
  <c r="D17" i="37"/>
  <c r="E17" i="37"/>
  <c r="C18" i="37"/>
  <c r="F18" i="37" s="1"/>
  <c r="G18" i="37" s="1"/>
  <c r="D18" i="37"/>
  <c r="E18" i="37"/>
  <c r="C19" i="37"/>
  <c r="F19" i="37" s="1"/>
  <c r="D19" i="37"/>
  <c r="E19" i="37"/>
  <c r="C20" i="37"/>
  <c r="F20" i="37" s="1"/>
  <c r="D20" i="37"/>
  <c r="E20" i="37"/>
  <c r="C21" i="37"/>
  <c r="F21" i="37" s="1"/>
  <c r="D21" i="37"/>
  <c r="E21" i="37"/>
  <c r="C22" i="37"/>
  <c r="F22" i="37"/>
  <c r="D22" i="37"/>
  <c r="E22" i="37"/>
  <c r="C23" i="37"/>
  <c r="F23" i="37" s="1"/>
  <c r="D23" i="37"/>
  <c r="E23" i="37"/>
  <c r="C24" i="37"/>
  <c r="F24" i="37" s="1"/>
  <c r="D24" i="37"/>
  <c r="E24" i="37"/>
  <c r="C25" i="37"/>
  <c r="F25" i="37" s="1"/>
  <c r="D25" i="37"/>
  <c r="E25" i="37"/>
  <c r="C26" i="37"/>
  <c r="F26" i="37"/>
  <c r="D26" i="37"/>
  <c r="E26" i="37"/>
  <c r="C27" i="37"/>
  <c r="F27" i="37" s="1"/>
  <c r="D27" i="37"/>
  <c r="E27" i="37"/>
  <c r="C28" i="37"/>
  <c r="F28" i="37"/>
  <c r="D28" i="37"/>
  <c r="E28" i="37"/>
  <c r="C29" i="37"/>
  <c r="F29" i="37" s="1"/>
  <c r="D29" i="37"/>
  <c r="E29" i="37"/>
  <c r="C30" i="37"/>
  <c r="F30" i="37" s="1"/>
  <c r="D30" i="37"/>
  <c r="E30" i="37"/>
  <c r="C31" i="37"/>
  <c r="C37" i="37"/>
  <c r="F37" i="37" s="1"/>
  <c r="G37" i="37" s="1"/>
  <c r="D37" i="37"/>
  <c r="E37" i="37"/>
  <c r="C38" i="37"/>
  <c r="F38" i="37"/>
  <c r="G38" i="37" s="1"/>
  <c r="D38" i="37"/>
  <c r="E38" i="37"/>
  <c r="C39" i="37"/>
  <c r="F39" i="37" s="1"/>
  <c r="G39" i="37" s="1"/>
  <c r="D39" i="37"/>
  <c r="E39" i="37"/>
  <c r="C40" i="37"/>
  <c r="F40" i="37" s="1"/>
  <c r="G40" i="37" s="1"/>
  <c r="D40" i="37"/>
  <c r="E40" i="37"/>
  <c r="C41" i="37"/>
  <c r="F41" i="37" s="1"/>
  <c r="G41" i="37" s="1"/>
  <c r="D41" i="37"/>
  <c r="E41" i="37"/>
  <c r="C42" i="37"/>
  <c r="F42" i="37" s="1"/>
  <c r="G42" i="37" s="1"/>
  <c r="D42" i="37"/>
  <c r="E42" i="37"/>
  <c r="C43" i="37"/>
  <c r="F43" i="37" s="1"/>
  <c r="G43" i="37" s="1"/>
  <c r="D43" i="37"/>
  <c r="E43" i="37"/>
  <c r="C44" i="37"/>
  <c r="F44" i="37" s="1"/>
  <c r="G44" i="37" s="1"/>
  <c r="D44" i="37"/>
  <c r="E44" i="37"/>
  <c r="C45" i="37"/>
  <c r="F45" i="37"/>
  <c r="D45" i="37"/>
  <c r="E45" i="37"/>
  <c r="C46" i="37"/>
  <c r="F46" i="37" s="1"/>
  <c r="D46" i="37"/>
  <c r="E46" i="37"/>
  <c r="C47" i="37"/>
  <c r="F47" i="37"/>
  <c r="D47" i="37"/>
  <c r="E47" i="37"/>
  <c r="C48" i="37"/>
  <c r="F48" i="37" s="1"/>
  <c r="D48" i="37"/>
  <c r="E48" i="37"/>
  <c r="C49" i="37"/>
  <c r="F49" i="37" s="1"/>
  <c r="D49" i="37"/>
  <c r="E49" i="37"/>
  <c r="C50" i="37"/>
  <c r="F50" i="37" s="1"/>
  <c r="D50" i="37"/>
  <c r="E50" i="37"/>
  <c r="C51" i="37"/>
  <c r="F51" i="37"/>
  <c r="D51" i="37"/>
  <c r="E51" i="37"/>
  <c r="C52" i="37"/>
  <c r="F52" i="37" s="1"/>
  <c r="D52" i="37"/>
  <c r="E52" i="37"/>
  <c r="C53" i="37"/>
  <c r="F53" i="37" s="1"/>
  <c r="D53" i="37"/>
  <c r="E53" i="37"/>
  <c r="C54" i="37"/>
  <c r="F54" i="37" s="1"/>
  <c r="D54" i="37"/>
  <c r="E54" i="37"/>
  <c r="C55" i="37"/>
  <c r="F55" i="37" s="1"/>
  <c r="D55" i="37"/>
  <c r="E55" i="37"/>
  <c r="C56" i="37"/>
  <c r="F56" i="37" s="1"/>
  <c r="D56" i="37"/>
  <c r="E56" i="37"/>
  <c r="C57" i="37"/>
  <c r="F57" i="37" s="1"/>
  <c r="D57" i="37"/>
  <c r="E57" i="37"/>
  <c r="C58" i="37"/>
  <c r="F58" i="37" s="1"/>
  <c r="D58" i="37"/>
  <c r="E58" i="37"/>
  <c r="C59" i="37"/>
  <c r="F59" i="37"/>
  <c r="D59" i="37"/>
  <c r="E59" i="37"/>
  <c r="C60" i="37"/>
  <c r="F60" i="37" s="1"/>
  <c r="D60" i="37"/>
  <c r="E60" i="37"/>
  <c r="C61" i="37"/>
  <c r="F61" i="37" s="1"/>
  <c r="D61" i="37"/>
  <c r="E61" i="37"/>
  <c r="C62" i="37"/>
  <c r="F62" i="37" s="1"/>
  <c r="D62" i="37"/>
  <c r="E62" i="37"/>
  <c r="C63" i="37"/>
  <c r="F63" i="37"/>
  <c r="D63" i="37"/>
  <c r="E63" i="37"/>
  <c r="C64" i="37"/>
  <c r="F64" i="37" s="1"/>
  <c r="D64" i="37"/>
  <c r="E64" i="37"/>
  <c r="C65" i="37"/>
  <c r="F65" i="37"/>
  <c r="D65" i="37"/>
  <c r="E65" i="37"/>
  <c r="C66" i="37"/>
  <c r="F66" i="37" s="1"/>
  <c r="D66" i="37"/>
  <c r="E66" i="37"/>
  <c r="C67" i="37"/>
  <c r="F67" i="37"/>
  <c r="D67" i="37"/>
  <c r="E67" i="37"/>
  <c r="C68" i="37"/>
  <c r="F68" i="37" s="1"/>
  <c r="D68" i="37"/>
  <c r="E68" i="37"/>
  <c r="C69" i="37"/>
  <c r="F69" i="37"/>
  <c r="D69" i="37"/>
  <c r="E69" i="37"/>
  <c r="C70" i="37"/>
  <c r="F70" i="37" s="1"/>
  <c r="D70" i="37"/>
  <c r="E70" i="37"/>
  <c r="C71" i="37"/>
  <c r="F71" i="37"/>
  <c r="D71" i="37"/>
  <c r="E71" i="37"/>
  <c r="C72" i="37"/>
  <c r="F72" i="37" s="1"/>
  <c r="D72" i="37"/>
  <c r="E72" i="37"/>
  <c r="C73" i="37"/>
  <c r="F73" i="37" s="1"/>
  <c r="D73" i="37"/>
  <c r="E73" i="37"/>
  <c r="C74" i="37"/>
  <c r="F74" i="37" s="1"/>
  <c r="D74" i="37"/>
  <c r="E74" i="37"/>
  <c r="C75" i="37"/>
  <c r="F75" i="37"/>
  <c r="D75" i="37"/>
  <c r="E75" i="37"/>
  <c r="C76" i="37"/>
  <c r="F76" i="37" s="1"/>
  <c r="D76" i="37"/>
  <c r="E76" i="37"/>
  <c r="C77" i="37"/>
  <c r="F77" i="37" s="1"/>
  <c r="D77" i="37"/>
  <c r="E77" i="37"/>
  <c r="C78" i="37"/>
  <c r="F78" i="37" s="1"/>
  <c r="D78" i="37"/>
  <c r="E78" i="37"/>
  <c r="C79" i="37"/>
  <c r="F79" i="37" s="1"/>
  <c r="D79" i="37"/>
  <c r="E79" i="37"/>
  <c r="C80" i="37"/>
  <c r="F80" i="37" s="1"/>
  <c r="D80" i="37"/>
  <c r="E80" i="37"/>
  <c r="C81" i="37"/>
  <c r="F81" i="37" s="1"/>
  <c r="D81" i="37"/>
  <c r="E81" i="37"/>
  <c r="C82" i="37"/>
  <c r="F82" i="37" s="1"/>
  <c r="D82" i="37"/>
  <c r="E82" i="37"/>
  <c r="C83" i="37"/>
  <c r="F83" i="37"/>
  <c r="D83" i="37"/>
  <c r="E83" i="37"/>
  <c r="C84" i="37"/>
  <c r="F84" i="37" s="1"/>
  <c r="D84" i="37"/>
  <c r="E84" i="37"/>
  <c r="C85" i="37"/>
  <c r="F85" i="37" s="1"/>
  <c r="D85" i="37"/>
  <c r="E85" i="37"/>
  <c r="C86" i="37"/>
  <c r="F86" i="37" s="1"/>
  <c r="D86" i="37"/>
  <c r="E86" i="37"/>
  <c r="C87" i="37"/>
  <c r="F87" i="37"/>
  <c r="D87" i="37"/>
  <c r="E87" i="37"/>
  <c r="C88" i="37"/>
  <c r="F88" i="37" s="1"/>
  <c r="D88" i="37"/>
  <c r="E88" i="37"/>
  <c r="C89" i="37"/>
  <c r="C90" i="37"/>
  <c r="C95" i="37"/>
  <c r="F95" i="37"/>
  <c r="G95" i="37"/>
  <c r="D95" i="37"/>
  <c r="E95" i="37"/>
  <c r="C96" i="37"/>
  <c r="F96" i="37" s="1"/>
  <c r="G96" i="37"/>
  <c r="D96" i="37"/>
  <c r="E96" i="37"/>
  <c r="C97" i="37"/>
  <c r="F97" i="37"/>
  <c r="G97" i="37" s="1"/>
  <c r="D97" i="37"/>
  <c r="E97" i="37"/>
  <c r="C99" i="37"/>
  <c r="F99" i="37" s="1"/>
  <c r="G99" i="37" s="1"/>
  <c r="D99" i="37"/>
  <c r="E99" i="37"/>
  <c r="C106" i="37"/>
  <c r="F106" i="37" s="1"/>
  <c r="G106" i="37" s="1"/>
  <c r="D106" i="37"/>
  <c r="E106" i="37"/>
  <c r="C107" i="37"/>
  <c r="F107" i="37" s="1"/>
  <c r="G107" i="37" s="1"/>
  <c r="D107" i="37"/>
  <c r="E107" i="37"/>
  <c r="C108" i="37"/>
  <c r="F108" i="37"/>
  <c r="G108" i="37" s="1"/>
  <c r="D108" i="37"/>
  <c r="E108" i="37"/>
  <c r="C109" i="37"/>
  <c r="F109" i="37"/>
  <c r="G109" i="37" s="1"/>
  <c r="D109" i="37"/>
  <c r="E109" i="37"/>
  <c r="C110" i="37"/>
  <c r="D110" i="37"/>
  <c r="E110" i="37"/>
  <c r="F110" i="37"/>
  <c r="G110" i="37"/>
  <c r="C111" i="37"/>
  <c r="F111" i="37" s="1"/>
  <c r="G111" i="37" s="1"/>
  <c r="D111" i="37"/>
  <c r="E111" i="37"/>
  <c r="C112" i="37"/>
  <c r="D112" i="37"/>
  <c r="E112" i="37"/>
  <c r="F112" i="37"/>
  <c r="G112" i="37" s="1"/>
  <c r="C113" i="37"/>
  <c r="F113" i="37" s="1"/>
  <c r="G113" i="37" s="1"/>
  <c r="D113" i="37"/>
  <c r="E113" i="37"/>
  <c r="C114" i="37"/>
  <c r="F114" i="37"/>
  <c r="G114" i="37" s="1"/>
  <c r="D114" i="37"/>
  <c r="E114" i="37"/>
  <c r="C115" i="37"/>
  <c r="F115" i="37" s="1"/>
  <c r="G115" i="37" s="1"/>
  <c r="D115" i="37"/>
  <c r="E115" i="37"/>
  <c r="C116" i="37"/>
  <c r="F116" i="37" s="1"/>
  <c r="G116" i="37" s="1"/>
  <c r="D116" i="37"/>
  <c r="E116" i="37"/>
  <c r="C117" i="37"/>
  <c r="F117" i="37" s="1"/>
  <c r="G117" i="37" s="1"/>
  <c r="D117" i="37"/>
  <c r="E117" i="37"/>
  <c r="C118" i="37"/>
  <c r="F118" i="37" s="1"/>
  <c r="G118" i="37" s="1"/>
  <c r="D118" i="37"/>
  <c r="E118" i="37"/>
  <c r="C119" i="37"/>
  <c r="F119" i="37" s="1"/>
  <c r="G119" i="37"/>
  <c r="D119" i="37"/>
  <c r="E119" i="37"/>
  <c r="C120" i="37"/>
  <c r="F120" i="37"/>
  <c r="G120" i="37"/>
  <c r="D120" i="37"/>
  <c r="E120" i="37"/>
  <c r="C121" i="37"/>
  <c r="F121" i="37" s="1"/>
  <c r="G121" i="37" s="1"/>
  <c r="D121" i="37"/>
  <c r="E121" i="37"/>
  <c r="C122" i="37"/>
  <c r="F122" i="37" s="1"/>
  <c r="G122" i="37" s="1"/>
  <c r="D122" i="37"/>
  <c r="E122" i="37"/>
  <c r="C123" i="37"/>
  <c r="F123" i="37" s="1"/>
  <c r="G123" i="37" s="1"/>
  <c r="D123" i="37"/>
  <c r="E123" i="37"/>
  <c r="C124" i="37"/>
  <c r="F124" i="37"/>
  <c r="G124" i="37"/>
  <c r="D124" i="37"/>
  <c r="E124" i="37"/>
  <c r="C131" i="37"/>
  <c r="F131" i="37"/>
  <c r="G131" i="37" s="1"/>
  <c r="D131" i="37"/>
  <c r="E131" i="37"/>
  <c r="C132" i="37"/>
  <c r="F132" i="37"/>
  <c r="G132" i="37" s="1"/>
  <c r="D132" i="37"/>
  <c r="E132" i="37"/>
  <c r="C133" i="37"/>
  <c r="F133" i="37" s="1"/>
  <c r="G133" i="37" s="1"/>
  <c r="D133" i="37"/>
  <c r="E133" i="37"/>
  <c r="C134" i="37"/>
  <c r="F134" i="37" s="1"/>
  <c r="G134" i="37" s="1"/>
  <c r="D134" i="37"/>
  <c r="E134" i="37"/>
  <c r="C135" i="37"/>
  <c r="F135" i="37" s="1"/>
  <c r="G135" i="37" s="1"/>
  <c r="D135" i="37"/>
  <c r="E135" i="37"/>
  <c r="C136" i="37"/>
  <c r="D136" i="37"/>
  <c r="E136" i="37"/>
  <c r="F136" i="37"/>
  <c r="G136" i="37" s="1"/>
  <c r="C137" i="37"/>
  <c r="F137" i="37"/>
  <c r="G137" i="37" s="1"/>
  <c r="D137" i="37"/>
  <c r="E137" i="37"/>
  <c r="C138" i="37"/>
  <c r="F138" i="37" s="1"/>
  <c r="G138" i="37" s="1"/>
  <c r="D138" i="37"/>
  <c r="E138" i="37"/>
  <c r="C139" i="37"/>
  <c r="F139" i="37" s="1"/>
  <c r="G139" i="37" s="1"/>
  <c r="D139" i="37"/>
  <c r="E139" i="37"/>
  <c r="C140" i="37"/>
  <c r="F140" i="37" s="1"/>
  <c r="G140" i="37" s="1"/>
  <c r="D140" i="37"/>
  <c r="E140" i="37"/>
  <c r="C141" i="37"/>
  <c r="F141" i="37" s="1"/>
  <c r="G141" i="37" s="1"/>
  <c r="D141" i="37"/>
  <c r="E141" i="37"/>
  <c r="C142" i="37"/>
  <c r="F142" i="37"/>
  <c r="G142" i="37" s="1"/>
  <c r="D142" i="37"/>
  <c r="E142" i="37"/>
  <c r="C144" i="37"/>
  <c r="C149" i="37"/>
  <c r="F149" i="37" s="1"/>
  <c r="G149" i="37" s="1"/>
  <c r="D149" i="37"/>
  <c r="E149" i="37"/>
  <c r="C150" i="37"/>
  <c r="F150" i="37" s="1"/>
  <c r="G150" i="37" s="1"/>
  <c r="D150" i="37"/>
  <c r="E150" i="37"/>
  <c r="C151" i="37"/>
  <c r="F151" i="37" s="1"/>
  <c r="G151" i="37" s="1"/>
  <c r="D151" i="37"/>
  <c r="E151" i="37"/>
  <c r="C152" i="37"/>
  <c r="F152" i="37"/>
  <c r="G152" i="37" s="1"/>
  <c r="D152" i="37"/>
  <c r="E152" i="37"/>
  <c r="C153" i="37"/>
  <c r="F153" i="37" s="1"/>
  <c r="G153" i="37" s="1"/>
  <c r="D153" i="37"/>
  <c r="E153" i="37"/>
  <c r="C154" i="37"/>
  <c r="F154" i="37" s="1"/>
  <c r="G154" i="37" s="1"/>
  <c r="D154" i="37"/>
  <c r="E154" i="37"/>
  <c r="C155" i="37"/>
  <c r="F155" i="37" s="1"/>
  <c r="G155" i="37" s="1"/>
  <c r="D155" i="37"/>
  <c r="E155" i="37"/>
  <c r="C156" i="37"/>
  <c r="F156" i="37" s="1"/>
  <c r="G156" i="37" s="1"/>
  <c r="D156" i="37"/>
  <c r="E156" i="37"/>
  <c r="C157" i="37"/>
  <c r="F157" i="37"/>
  <c r="G157" i="37" s="1"/>
  <c r="D157" i="37"/>
  <c r="E157" i="37"/>
  <c r="C158" i="37"/>
  <c r="F158" i="37" s="1"/>
  <c r="G158" i="37" s="1"/>
  <c r="D158" i="37"/>
  <c r="E158" i="37"/>
  <c r="C159" i="37"/>
  <c r="F159" i="37" s="1"/>
  <c r="G159" i="37" s="1"/>
  <c r="D159" i="37"/>
  <c r="E159" i="37"/>
  <c r="C160" i="37"/>
  <c r="F160" i="37" s="1"/>
  <c r="D160" i="37"/>
  <c r="E160" i="37"/>
  <c r="C161" i="37"/>
  <c r="F161" i="37" s="1"/>
  <c r="D161" i="37"/>
  <c r="E161" i="37"/>
  <c r="C162" i="37"/>
  <c r="F162" i="37"/>
  <c r="D162" i="37"/>
  <c r="E162" i="37"/>
  <c r="C163" i="37"/>
  <c r="F163" i="37" s="1"/>
  <c r="D163" i="37"/>
  <c r="E163" i="37"/>
  <c r="C164" i="37"/>
  <c r="F164" i="37" s="1"/>
  <c r="D164" i="37"/>
  <c r="E164" i="37"/>
  <c r="C165" i="37"/>
  <c r="F165" i="37"/>
  <c r="D165" i="37"/>
  <c r="E165" i="37"/>
  <c r="C166" i="37"/>
  <c r="F166" i="37" s="1"/>
  <c r="D166" i="37"/>
  <c r="E166" i="37"/>
  <c r="C167" i="37"/>
  <c r="F167" i="37" s="1"/>
  <c r="D167" i="37"/>
  <c r="E167" i="37"/>
  <c r="C168" i="37"/>
  <c r="F168" i="37"/>
  <c r="D168" i="37"/>
  <c r="E168" i="37"/>
  <c r="C169" i="37"/>
  <c r="F169" i="37" s="1"/>
  <c r="D169" i="37"/>
  <c r="E169" i="37"/>
  <c r="C170" i="37"/>
  <c r="F170" i="37" s="1"/>
  <c r="D170" i="37"/>
  <c r="E170" i="37"/>
  <c r="C171" i="37"/>
  <c r="F171" i="37"/>
  <c r="D171" i="37"/>
  <c r="E171" i="37"/>
  <c r="C172" i="37"/>
  <c r="F172" i="37" s="1"/>
  <c r="D172" i="37"/>
  <c r="E172" i="37"/>
  <c r="C173" i="37"/>
  <c r="F173" i="37" s="1"/>
  <c r="D173" i="37"/>
  <c r="E173" i="37"/>
  <c r="C174" i="37"/>
  <c r="F174" i="37"/>
  <c r="D174" i="37"/>
  <c r="E174" i="37"/>
  <c r="C175" i="37"/>
  <c r="F175" i="37" s="1"/>
  <c r="D175" i="37"/>
  <c r="E175" i="37"/>
  <c r="C176" i="37"/>
  <c r="F176" i="37" s="1"/>
  <c r="D176" i="37"/>
  <c r="E176" i="37"/>
  <c r="C177" i="37"/>
  <c r="F177" i="37"/>
  <c r="D177" i="37"/>
  <c r="E177" i="37"/>
  <c r="C178" i="37"/>
  <c r="F178" i="37" s="1"/>
  <c r="D178" i="37"/>
  <c r="E178" i="37"/>
  <c r="C179" i="37"/>
  <c r="F179" i="37" s="1"/>
  <c r="D179" i="37"/>
  <c r="E179" i="37"/>
  <c r="C180" i="37"/>
  <c r="F180" i="37"/>
  <c r="D180" i="37"/>
  <c r="E180" i="37"/>
  <c r="C181" i="37"/>
  <c r="F181" i="37" s="1"/>
  <c r="D181" i="37"/>
  <c r="E181" i="37"/>
  <c r="C182" i="37"/>
  <c r="F182" i="37" s="1"/>
  <c r="D182" i="37"/>
  <c r="E182" i="37"/>
  <c r="C183" i="37"/>
  <c r="F183" i="37"/>
  <c r="D183" i="37"/>
  <c r="E183" i="37"/>
  <c r="C184" i="37"/>
  <c r="F184" i="37" s="1"/>
  <c r="D184" i="37"/>
  <c r="E184" i="37"/>
  <c r="C185" i="37"/>
  <c r="F185" i="37" s="1"/>
  <c r="D185" i="37"/>
  <c r="E185" i="37"/>
  <c r="C186" i="37"/>
  <c r="F186" i="37"/>
  <c r="D186" i="37"/>
  <c r="E186" i="37"/>
  <c r="C187" i="37"/>
  <c r="F187" i="37" s="1"/>
  <c r="D187" i="37"/>
  <c r="E187" i="37"/>
  <c r="C188" i="37"/>
  <c r="F188" i="37" s="1"/>
  <c r="D188" i="37"/>
  <c r="E188" i="37"/>
  <c r="C189" i="37"/>
  <c r="F189" i="37"/>
  <c r="D189" i="37"/>
  <c r="E189" i="37"/>
  <c r="C190" i="37"/>
  <c r="F190" i="37" s="1"/>
  <c r="D190" i="37"/>
  <c r="E190" i="37"/>
  <c r="C191" i="37"/>
  <c r="F191" i="37" s="1"/>
  <c r="D191" i="37"/>
  <c r="E191" i="37"/>
  <c r="C192" i="37"/>
  <c r="F192" i="37"/>
  <c r="D192" i="37"/>
  <c r="E192" i="37"/>
  <c r="C193" i="37"/>
  <c r="F193" i="37" s="1"/>
  <c r="D193" i="37"/>
  <c r="E193" i="37"/>
  <c r="C194" i="37"/>
  <c r="F194" i="37" s="1"/>
  <c r="D194" i="37"/>
  <c r="E194" i="37"/>
  <c r="C195" i="37"/>
  <c r="F195" i="37"/>
  <c r="D195" i="37"/>
  <c r="E195" i="37"/>
  <c r="C196" i="37"/>
  <c r="F196" i="37" s="1"/>
  <c r="D196" i="37"/>
  <c r="E196" i="37"/>
  <c r="C197" i="37"/>
  <c r="F197" i="37" s="1"/>
  <c r="D197" i="37"/>
  <c r="E197" i="37"/>
  <c r="C198" i="37"/>
  <c r="F198" i="37"/>
  <c r="D198" i="37"/>
  <c r="E198" i="37"/>
  <c r="C199" i="37"/>
  <c r="F199" i="37" s="1"/>
  <c r="D199" i="37"/>
  <c r="E199" i="37"/>
  <c r="C200" i="37"/>
  <c r="F200" i="37" s="1"/>
  <c r="D200" i="37"/>
  <c r="E200" i="37"/>
  <c r="C201" i="37"/>
  <c r="F201" i="37"/>
  <c r="D201" i="37"/>
  <c r="E201" i="37"/>
  <c r="C202" i="37"/>
  <c r="F202" i="37" s="1"/>
  <c r="D202" i="37"/>
  <c r="E202" i="37"/>
  <c r="C203" i="37"/>
  <c r="F203" i="37" s="1"/>
  <c r="D203" i="37"/>
  <c r="E203" i="37"/>
  <c r="C204" i="37"/>
  <c r="F204" i="37"/>
  <c r="D204" i="37"/>
  <c r="E204" i="37"/>
  <c r="C205" i="37"/>
  <c r="F205" i="37" s="1"/>
  <c r="D205" i="37"/>
  <c r="E205" i="37"/>
  <c r="C206" i="37"/>
  <c r="F206" i="37" s="1"/>
  <c r="D206" i="37"/>
  <c r="E206" i="37"/>
  <c r="C207" i="37"/>
  <c r="F207" i="37"/>
  <c r="D207" i="37"/>
  <c r="E207" i="37"/>
  <c r="C208" i="37"/>
  <c r="C209" i="37"/>
  <c r="C214" i="37"/>
  <c r="D214" i="37"/>
  <c r="E214" i="37"/>
  <c r="G214" i="37"/>
  <c r="C215" i="37"/>
  <c r="D215" i="37"/>
  <c r="E215" i="37"/>
  <c r="C216" i="37"/>
  <c r="D216" i="37"/>
  <c r="E216" i="37"/>
  <c r="C217" i="37"/>
  <c r="D217" i="37"/>
  <c r="E217" i="37"/>
  <c r="F217" i="37"/>
  <c r="G217" i="37" s="1"/>
  <c r="C218" i="37"/>
  <c r="D218" i="37"/>
  <c r="E218" i="37"/>
  <c r="C219" i="37"/>
  <c r="D219" i="37"/>
  <c r="E219" i="37"/>
  <c r="C220" i="37"/>
  <c r="D220" i="37"/>
  <c r="E220" i="37"/>
  <c r="F220" i="37"/>
  <c r="G220" i="37" s="1"/>
  <c r="C221" i="37"/>
  <c r="D221" i="37"/>
  <c r="E221" i="37"/>
  <c r="F221" i="37"/>
  <c r="G221" i="37" s="1"/>
  <c r="C222" i="37"/>
  <c r="D222" i="37"/>
  <c r="E222" i="37"/>
  <c r="F222" i="37"/>
  <c r="G222" i="37" s="1"/>
  <c r="C223" i="37"/>
  <c r="D223" i="37"/>
  <c r="E223" i="37"/>
  <c r="F223" i="37"/>
  <c r="G223" i="37"/>
  <c r="C224" i="37"/>
  <c r="D224" i="37"/>
  <c r="E224" i="37"/>
  <c r="C225" i="37"/>
  <c r="D225" i="37"/>
  <c r="E225" i="37"/>
  <c r="C226" i="37"/>
  <c r="D226" i="37"/>
  <c r="E226" i="37"/>
  <c r="F226" i="37"/>
  <c r="G226" i="37" s="1"/>
  <c r="C227" i="37"/>
  <c r="D227" i="37"/>
  <c r="E227" i="37"/>
  <c r="C228" i="37"/>
  <c r="D228" i="37"/>
  <c r="E228" i="37"/>
  <c r="C229" i="37"/>
  <c r="D229" i="37"/>
  <c r="E229" i="37"/>
  <c r="C230" i="37"/>
  <c r="D230" i="37"/>
  <c r="E230" i="37"/>
  <c r="C231" i="37"/>
  <c r="D231" i="37"/>
  <c r="E231" i="37"/>
  <c r="C232" i="37"/>
  <c r="D232" i="37"/>
  <c r="E232" i="37"/>
  <c r="C233" i="37"/>
  <c r="D233" i="37"/>
  <c r="E233" i="37"/>
  <c r="C234" i="37"/>
  <c r="D234" i="37"/>
  <c r="E234" i="37"/>
  <c r="C235" i="37"/>
  <c r="D235" i="37"/>
  <c r="E235" i="37"/>
  <c r="C236" i="37"/>
  <c r="D236" i="37"/>
  <c r="E236" i="37"/>
  <c r="C237" i="37"/>
  <c r="D237" i="37"/>
  <c r="E237" i="37"/>
  <c r="C238" i="37"/>
  <c r="D238" i="37"/>
  <c r="E238" i="37"/>
  <c r="C239" i="37"/>
  <c r="D239" i="37"/>
  <c r="E239" i="37"/>
  <c r="C240" i="37"/>
  <c r="D240" i="37"/>
  <c r="E240" i="37"/>
  <c r="C241" i="37"/>
  <c r="D241" i="37"/>
  <c r="E241" i="37"/>
  <c r="C242" i="37"/>
  <c r="D242" i="37"/>
  <c r="E242" i="37"/>
  <c r="C243" i="37"/>
  <c r="D243" i="37"/>
  <c r="E243" i="37"/>
  <c r="C244" i="37"/>
  <c r="D244" i="37"/>
  <c r="E244" i="37"/>
  <c r="C245" i="37"/>
  <c r="D245" i="37"/>
  <c r="E245" i="37"/>
  <c r="C246" i="37"/>
  <c r="D246" i="37"/>
  <c r="E246" i="37"/>
  <c r="C247" i="37"/>
  <c r="D247" i="37"/>
  <c r="E247" i="37"/>
  <c r="C248" i="37"/>
  <c r="D248" i="37"/>
  <c r="E248" i="37"/>
  <c r="C249" i="37"/>
  <c r="D249" i="37"/>
  <c r="E249" i="37"/>
  <c r="C250" i="37"/>
  <c r="D250" i="37"/>
  <c r="E250" i="37"/>
  <c r="C251" i="37"/>
  <c r="D251" i="37"/>
  <c r="E251" i="37"/>
  <c r="C252" i="37"/>
  <c r="D252" i="37"/>
  <c r="E252" i="37"/>
  <c r="C253" i="37"/>
  <c r="D253" i="37"/>
  <c r="E253" i="37"/>
  <c r="C254" i="37"/>
  <c r="D254" i="37"/>
  <c r="E254" i="37"/>
  <c r="C255" i="37"/>
  <c r="D255" i="37"/>
  <c r="E255" i="37"/>
  <c r="C256" i="37"/>
  <c r="D256" i="37"/>
  <c r="E256" i="37"/>
  <c r="C257" i="37"/>
  <c r="D257" i="37"/>
  <c r="E257" i="37"/>
  <c r="C258" i="37"/>
  <c r="D258" i="37"/>
  <c r="E258" i="37"/>
  <c r="C259" i="37"/>
  <c r="D259" i="37"/>
  <c r="E259" i="37"/>
  <c r="C260" i="37"/>
  <c r="D260" i="37"/>
  <c r="E260" i="37"/>
  <c r="C261" i="37"/>
  <c r="D261" i="37"/>
  <c r="E261" i="37"/>
  <c r="C262" i="37"/>
  <c r="D262" i="37"/>
  <c r="E262" i="37"/>
  <c r="C263" i="37"/>
  <c r="D263" i="37"/>
  <c r="E263" i="37"/>
  <c r="C264" i="37"/>
  <c r="D264" i="37"/>
  <c r="E264" i="37"/>
  <c r="C265" i="37"/>
  <c r="D265" i="37"/>
  <c r="E265" i="37"/>
  <c r="C266" i="37"/>
  <c r="D266" i="37"/>
  <c r="E266" i="37"/>
  <c r="C267" i="37"/>
  <c r="D267" i="37"/>
  <c r="E267" i="37"/>
  <c r="C268" i="37"/>
  <c r="D268" i="37"/>
  <c r="E268" i="37"/>
  <c r="C269" i="37"/>
  <c r="D269" i="37"/>
  <c r="E269" i="37"/>
  <c r="C270" i="37"/>
  <c r="D270" i="37"/>
  <c r="E270" i="37"/>
  <c r="C271" i="37"/>
  <c r="D271" i="37"/>
  <c r="E271" i="37"/>
  <c r="C272" i="37"/>
  <c r="D272" i="37"/>
  <c r="E272" i="37"/>
  <c r="C273" i="37"/>
  <c r="D273" i="37"/>
  <c r="E273" i="37"/>
  <c r="C274" i="37"/>
  <c r="D274" i="37"/>
  <c r="E274" i="37"/>
  <c r="C275" i="37"/>
  <c r="D275" i="37"/>
  <c r="E275" i="37"/>
  <c r="C276" i="37"/>
  <c r="D276" i="37"/>
  <c r="E276" i="37"/>
  <c r="C277" i="37"/>
  <c r="D277" i="37"/>
  <c r="E277" i="37"/>
  <c r="C278" i="37"/>
  <c r="D278" i="37"/>
  <c r="E278" i="37"/>
  <c r="C279" i="37"/>
  <c r="D279" i="37"/>
  <c r="E279" i="37"/>
  <c r="C280" i="37"/>
  <c r="D280" i="37"/>
  <c r="E280" i="37"/>
  <c r="C281" i="37"/>
  <c r="D281" i="37"/>
  <c r="E281" i="37"/>
  <c r="C282" i="37"/>
  <c r="D282" i="37"/>
  <c r="E282" i="37"/>
  <c r="C283" i="37"/>
  <c r="D283" i="37"/>
  <c r="E283" i="37"/>
  <c r="C284" i="37"/>
  <c r="D284" i="37"/>
  <c r="E284" i="37"/>
  <c r="C285" i="37"/>
  <c r="D285" i="37"/>
  <c r="E285" i="37"/>
  <c r="C286" i="37"/>
  <c r="D286" i="37"/>
  <c r="E286" i="37"/>
  <c r="C287" i="37"/>
  <c r="D287" i="37"/>
  <c r="E287" i="37"/>
  <c r="C288" i="37"/>
  <c r="D288" i="37"/>
  <c r="E288" i="37"/>
  <c r="C289" i="37"/>
  <c r="D289" i="37"/>
  <c r="E289" i="37"/>
  <c r="C290" i="37"/>
  <c r="D290" i="37"/>
  <c r="E290" i="37"/>
  <c r="C291" i="37"/>
  <c r="D291" i="37"/>
  <c r="E291" i="37"/>
  <c r="C292" i="37"/>
  <c r="D292" i="37"/>
  <c r="E292" i="37"/>
  <c r="C293" i="37"/>
  <c r="D293" i="37"/>
  <c r="E293" i="37"/>
  <c r="C294" i="37"/>
  <c r="D294" i="37"/>
  <c r="E294" i="37"/>
  <c r="C295" i="37"/>
  <c r="D295" i="37"/>
  <c r="E295" i="37"/>
  <c r="C296" i="37"/>
  <c r="D296" i="37"/>
  <c r="E296" i="37"/>
  <c r="C297" i="37"/>
  <c r="D297" i="37"/>
  <c r="E297" i="37"/>
  <c r="C298" i="37"/>
  <c r="D298" i="37"/>
  <c r="E298" i="37"/>
  <c r="C299" i="37"/>
  <c r="D299" i="37"/>
  <c r="E299" i="37"/>
  <c r="C300" i="37"/>
  <c r="D300" i="37"/>
  <c r="E300" i="37"/>
  <c r="C301" i="37"/>
  <c r="D301" i="37"/>
  <c r="E301" i="37"/>
  <c r="C302" i="37"/>
  <c r="D302" i="37"/>
  <c r="E302" i="37"/>
  <c r="C303" i="37"/>
  <c r="D303" i="37"/>
  <c r="E303" i="37"/>
  <c r="C304" i="37"/>
  <c r="D304" i="37"/>
  <c r="E304" i="37"/>
  <c r="C305" i="37"/>
  <c r="D305" i="37"/>
  <c r="E305" i="37"/>
  <c r="C306" i="37"/>
  <c r="D306" i="37"/>
  <c r="E306" i="37"/>
  <c r="C307" i="37"/>
  <c r="D307" i="37"/>
  <c r="E307" i="37"/>
  <c r="C308" i="37"/>
  <c r="D308" i="37"/>
  <c r="E308" i="37"/>
  <c r="C309" i="37"/>
  <c r="D309" i="37"/>
  <c r="E309" i="37"/>
  <c r="C310" i="37"/>
  <c r="D310" i="37"/>
  <c r="E310" i="37"/>
  <c r="C311" i="37"/>
  <c r="C317" i="37"/>
  <c r="F317" i="37" s="1"/>
  <c r="G317" i="37" s="1"/>
  <c r="D317" i="37"/>
  <c r="E317" i="37"/>
  <c r="C318" i="37"/>
  <c r="F318" i="37" s="1"/>
  <c r="G318" i="37" s="1"/>
  <c r="D318" i="37"/>
  <c r="E318" i="37"/>
  <c r="C319" i="37"/>
  <c r="F319" i="37" s="1"/>
  <c r="G319" i="37" s="1"/>
  <c r="D319" i="37"/>
  <c r="E319" i="37"/>
  <c r="C320" i="37"/>
  <c r="F320" i="37" s="1"/>
  <c r="G320" i="37" s="1"/>
  <c r="D320" i="37"/>
  <c r="E320" i="37"/>
  <c r="C321" i="37"/>
  <c r="F321" i="37" s="1"/>
  <c r="G321" i="37" s="1"/>
  <c r="D321" i="37"/>
  <c r="E321" i="37"/>
  <c r="C322" i="37"/>
  <c r="F322" i="37"/>
  <c r="D322" i="37"/>
  <c r="E322" i="37"/>
  <c r="C323" i="37"/>
  <c r="F323" i="37"/>
  <c r="D323" i="37"/>
  <c r="E323" i="37"/>
  <c r="C324" i="37"/>
  <c r="F324" i="37"/>
  <c r="D324" i="37"/>
  <c r="E324" i="37"/>
  <c r="C325" i="37"/>
  <c r="C330" i="37"/>
  <c r="F330" i="37"/>
  <c r="D330" i="37"/>
  <c r="E330" i="37"/>
  <c r="C331" i="37"/>
  <c r="F331" i="37"/>
  <c r="G331" i="37" s="1"/>
  <c r="D331" i="37"/>
  <c r="E331" i="37"/>
  <c r="C332" i="37"/>
  <c r="F332" i="37" s="1"/>
  <c r="D332" i="37"/>
  <c r="E332" i="37"/>
  <c r="C333" i="37"/>
  <c r="F333" i="37" s="1"/>
  <c r="D333" i="37"/>
  <c r="E333" i="37"/>
  <c r="C334" i="37"/>
  <c r="F334" i="37" s="1"/>
  <c r="D334" i="37"/>
  <c r="E334" i="37"/>
  <c r="C335" i="37"/>
  <c r="F335" i="37" s="1"/>
  <c r="D335" i="37"/>
  <c r="E335" i="37"/>
  <c r="C336" i="37"/>
  <c r="F336" i="37" s="1"/>
  <c r="D336" i="37"/>
  <c r="E336" i="37"/>
  <c r="C337" i="37"/>
  <c r="F337" i="37" s="1"/>
  <c r="D337" i="37"/>
  <c r="E337" i="37"/>
  <c r="C338" i="37"/>
  <c r="F338" i="37" s="1"/>
  <c r="G338" i="37" s="1"/>
  <c r="D338" i="37"/>
  <c r="E338" i="37"/>
  <c r="C339" i="37"/>
  <c r="F339" i="37" s="1"/>
  <c r="D339" i="37"/>
  <c r="E339" i="37"/>
  <c r="E6" i="36"/>
  <c r="E7" i="36"/>
  <c r="E8" i="36"/>
  <c r="E9" i="36"/>
  <c r="E10" i="36"/>
  <c r="E11" i="36"/>
  <c r="E12" i="36"/>
  <c r="E13" i="36"/>
  <c r="E14" i="36"/>
  <c r="E15" i="36"/>
  <c r="E16" i="36"/>
  <c r="E17" i="36"/>
  <c r="E18" i="36"/>
  <c r="E19" i="36"/>
  <c r="E20" i="36"/>
  <c r="F27" i="36"/>
  <c r="G27" i="36" s="1"/>
  <c r="F28" i="36"/>
  <c r="G28" i="36" s="1"/>
  <c r="E29" i="36"/>
  <c r="E31" i="36"/>
  <c r="F31" i="36"/>
  <c r="G31" i="36"/>
  <c r="E32" i="36"/>
  <c r="E33" i="36"/>
  <c r="F33" i="36"/>
  <c r="G33" i="36" s="1"/>
  <c r="E34" i="36"/>
  <c r="E35" i="36"/>
  <c r="F35" i="36"/>
  <c r="G35" i="36" s="1"/>
  <c r="E37" i="36"/>
  <c r="F37" i="36"/>
  <c r="G37" i="36" s="1"/>
  <c r="C44" i="36"/>
  <c r="F44" i="36"/>
  <c r="G44" i="36" s="1"/>
  <c r="D44" i="36"/>
  <c r="E44" i="36"/>
  <c r="C45" i="36"/>
  <c r="F45" i="36" s="1"/>
  <c r="G45" i="36" s="1"/>
  <c r="D45" i="36"/>
  <c r="E45" i="36"/>
  <c r="C46" i="36"/>
  <c r="F46" i="36" s="1"/>
  <c r="G46" i="36" s="1"/>
  <c r="D46" i="36"/>
  <c r="E46" i="36"/>
  <c r="C47" i="36"/>
  <c r="F47" i="36"/>
  <c r="G47" i="36" s="1"/>
  <c r="D47" i="36"/>
  <c r="E47" i="36"/>
  <c r="C48" i="36"/>
  <c r="F48" i="36" s="1"/>
  <c r="G48" i="36" s="1"/>
  <c r="D48" i="36"/>
  <c r="E48" i="36"/>
  <c r="C49" i="36"/>
  <c r="F49" i="36" s="1"/>
  <c r="G49" i="36" s="1"/>
  <c r="D49" i="36"/>
  <c r="E49" i="36"/>
  <c r="C50" i="36"/>
  <c r="F50" i="36" s="1"/>
  <c r="G50" i="36" s="1"/>
  <c r="D50" i="36"/>
  <c r="E50" i="36"/>
  <c r="C51" i="36"/>
  <c r="F51" i="36" s="1"/>
  <c r="G51" i="36" s="1"/>
  <c r="D51" i="36"/>
  <c r="E51" i="36"/>
  <c r="C52" i="36"/>
  <c r="F52" i="36"/>
  <c r="G52" i="36" s="1"/>
  <c r="D52" i="36"/>
  <c r="E52" i="36"/>
  <c r="C53" i="36"/>
  <c r="F53" i="36" s="1"/>
  <c r="G53" i="36" s="1"/>
  <c r="D53" i="36"/>
  <c r="E53" i="36"/>
  <c r="C54" i="36"/>
  <c r="F54" i="36" s="1"/>
  <c r="G54" i="36" s="1"/>
  <c r="D54" i="36"/>
  <c r="E54" i="36"/>
  <c r="C55" i="36"/>
  <c r="F55" i="36" s="1"/>
  <c r="G55" i="36" s="1"/>
  <c r="D55" i="36"/>
  <c r="E55" i="36"/>
  <c r="C56" i="36"/>
  <c r="F56" i="36"/>
  <c r="G56" i="36" s="1"/>
  <c r="D56" i="36"/>
  <c r="E56" i="36"/>
  <c r="C57" i="36"/>
  <c r="F57" i="36" s="1"/>
  <c r="G57" i="36" s="1"/>
  <c r="D57" i="36"/>
  <c r="E57" i="36"/>
  <c r="C58" i="36"/>
  <c r="F58" i="36" s="1"/>
  <c r="G58" i="36" s="1"/>
  <c r="D58" i="36"/>
  <c r="E58" i="36"/>
  <c r="C59" i="36"/>
  <c r="F59" i="36" s="1"/>
  <c r="G59" i="36" s="1"/>
  <c r="D59" i="36"/>
  <c r="E59" i="36"/>
  <c r="C60" i="36"/>
  <c r="F60" i="36"/>
  <c r="G60" i="36" s="1"/>
  <c r="D60" i="36"/>
  <c r="E60" i="36"/>
  <c r="C61" i="36"/>
  <c r="F82" i="36"/>
  <c r="C94" i="36"/>
  <c r="F94" i="36"/>
  <c r="G94" i="36" s="1"/>
  <c r="D94" i="36"/>
  <c r="E94" i="36"/>
  <c r="C95" i="36"/>
  <c r="F95" i="36" s="1"/>
  <c r="G95" i="36" s="1"/>
  <c r="D95" i="36"/>
  <c r="E95" i="36"/>
  <c r="C96" i="36"/>
  <c r="F96" i="36" s="1"/>
  <c r="G96" i="36" s="1"/>
  <c r="D96" i="36"/>
  <c r="E96" i="36"/>
  <c r="C97" i="36"/>
  <c r="F97" i="36" s="1"/>
  <c r="G97" i="36" s="1"/>
  <c r="D97" i="36"/>
  <c r="E97" i="36"/>
  <c r="C98" i="36"/>
  <c r="F98" i="36"/>
  <c r="G98" i="36" s="1"/>
  <c r="D98" i="36"/>
  <c r="E98" i="36"/>
  <c r="C99" i="36"/>
  <c r="F99" i="36"/>
  <c r="G99" i="36" s="1"/>
  <c r="D99" i="36"/>
  <c r="E99" i="36"/>
  <c r="C100" i="36"/>
  <c r="F100" i="36" s="1"/>
  <c r="G100" i="36" s="1"/>
  <c r="D100" i="36"/>
  <c r="E100" i="36"/>
  <c r="C101" i="36"/>
  <c r="F101" i="36" s="1"/>
  <c r="G101" i="36" s="1"/>
  <c r="D101" i="36"/>
  <c r="E101" i="36"/>
  <c r="C102" i="36"/>
  <c r="F102" i="36"/>
  <c r="G102" i="36" s="1"/>
  <c r="D102" i="36"/>
  <c r="E102" i="36"/>
  <c r="C103" i="36"/>
  <c r="F103" i="36"/>
  <c r="G103" i="36" s="1"/>
  <c r="D103" i="36"/>
  <c r="E103" i="36"/>
  <c r="C104" i="36"/>
  <c r="F104" i="36" s="1"/>
  <c r="G104" i="36" s="1"/>
  <c r="D104" i="36"/>
  <c r="E104" i="36"/>
  <c r="C105" i="36"/>
  <c r="F105" i="36" s="1"/>
  <c r="G105" i="36" s="1"/>
  <c r="D105" i="36"/>
  <c r="E105" i="36"/>
  <c r="C106" i="36"/>
  <c r="F106" i="36" s="1"/>
  <c r="G106" i="36" s="1"/>
  <c r="D106" i="36"/>
  <c r="E106" i="36"/>
  <c r="C107" i="36"/>
  <c r="F107" i="36"/>
  <c r="G107" i="36" s="1"/>
  <c r="D107" i="36"/>
  <c r="E107" i="36"/>
  <c r="C108" i="36"/>
  <c r="F108" i="36" s="1"/>
  <c r="G108" i="36" s="1"/>
  <c r="D108" i="36"/>
  <c r="E108" i="36"/>
  <c r="C109" i="36"/>
  <c r="F109" i="36" s="1"/>
  <c r="G109" i="36" s="1"/>
  <c r="D109" i="36"/>
  <c r="E109" i="36"/>
  <c r="C110" i="36"/>
  <c r="F110" i="36"/>
  <c r="G110" i="36" s="1"/>
  <c r="D110" i="36"/>
  <c r="E110" i="36"/>
  <c r="C111" i="36"/>
  <c r="F111" i="36" s="1"/>
  <c r="G111" i="36" s="1"/>
  <c r="D111" i="36"/>
  <c r="E111" i="36"/>
  <c r="C112" i="36"/>
  <c r="F112" i="36" s="1"/>
  <c r="G112" i="36" s="1"/>
  <c r="D112" i="36"/>
  <c r="E112" i="36"/>
  <c r="C113" i="36"/>
  <c r="F113" i="36" s="1"/>
  <c r="G113" i="36" s="1"/>
  <c r="D113" i="36"/>
  <c r="E113" i="36"/>
  <c r="C114" i="36"/>
  <c r="F114" i="36"/>
  <c r="G114" i="36" s="1"/>
  <c r="D114" i="36"/>
  <c r="E114" i="36"/>
  <c r="C115" i="36"/>
  <c r="F115" i="36"/>
  <c r="G115" i="36" s="1"/>
  <c r="D115" i="36"/>
  <c r="E115" i="36"/>
  <c r="C116" i="36"/>
  <c r="F116" i="36" s="1"/>
  <c r="G116" i="36" s="1"/>
  <c r="D116" i="36"/>
  <c r="E116" i="36"/>
  <c r="C117" i="36"/>
  <c r="F117" i="36" s="1"/>
  <c r="G117" i="36" s="1"/>
  <c r="D117" i="36"/>
  <c r="E117" i="36"/>
  <c r="C118" i="36"/>
  <c r="F118" i="36"/>
  <c r="G118" i="36" s="1"/>
  <c r="D118" i="36"/>
  <c r="E118" i="36"/>
  <c r="C119" i="36"/>
  <c r="F119" i="36"/>
  <c r="G119" i="36" s="1"/>
  <c r="D119" i="36"/>
  <c r="E119" i="36"/>
  <c r="C120" i="36"/>
  <c r="F120" i="36" s="1"/>
  <c r="G120" i="36" s="1"/>
  <c r="D120" i="36"/>
  <c r="E120" i="36"/>
  <c r="C121" i="36"/>
  <c r="F121" i="36" s="1"/>
  <c r="G121" i="36" s="1"/>
  <c r="D121" i="36"/>
  <c r="E121" i="36"/>
  <c r="C122" i="36"/>
  <c r="F122" i="36" s="1"/>
  <c r="G122" i="36" s="1"/>
  <c r="D122" i="36"/>
  <c r="E122" i="36"/>
  <c r="C123" i="36"/>
  <c r="F123" i="36"/>
  <c r="G123" i="36" s="1"/>
  <c r="D123" i="36"/>
  <c r="E123" i="36"/>
  <c r="C124" i="36"/>
  <c r="F124" i="36" s="1"/>
  <c r="G124" i="36" s="1"/>
  <c r="D124" i="36"/>
  <c r="E124" i="36"/>
  <c r="C125" i="36"/>
  <c r="F125" i="36" s="1"/>
  <c r="G125" i="36" s="1"/>
  <c r="D125" i="36"/>
  <c r="E125" i="36"/>
  <c r="C126" i="36"/>
  <c r="F126" i="36" s="1"/>
  <c r="G126" i="36" s="1"/>
  <c r="D126" i="36"/>
  <c r="E126" i="36"/>
  <c r="C127" i="36"/>
  <c r="F127" i="36"/>
  <c r="G127" i="36" s="1"/>
  <c r="D127" i="36"/>
  <c r="E127" i="36"/>
  <c r="C128" i="36"/>
  <c r="F128" i="36" s="1"/>
  <c r="G128" i="36" s="1"/>
  <c r="D128" i="36"/>
  <c r="E128" i="36"/>
  <c r="C129" i="36"/>
  <c r="F129" i="36" s="1"/>
  <c r="G129" i="36" s="1"/>
  <c r="D129" i="36"/>
  <c r="E129" i="36"/>
  <c r="C130" i="36"/>
  <c r="C131" i="36"/>
  <c r="C136" i="36"/>
  <c r="F136" i="36" s="1"/>
  <c r="G136" i="36" s="1"/>
  <c r="D136" i="36"/>
  <c r="E136" i="36"/>
  <c r="C137" i="36"/>
  <c r="F137" i="36" s="1"/>
  <c r="G137" i="36" s="1"/>
  <c r="D137" i="36"/>
  <c r="E137" i="36"/>
  <c r="C138" i="36"/>
  <c r="F138" i="36"/>
  <c r="G138" i="36" s="1"/>
  <c r="D138" i="36"/>
  <c r="E138" i="36"/>
  <c r="C139" i="36"/>
  <c r="F139" i="36" s="1"/>
  <c r="G139" i="36" s="1"/>
  <c r="D139" i="36"/>
  <c r="E139" i="36"/>
  <c r="C140" i="36"/>
  <c r="F140" i="36" s="1"/>
  <c r="G140" i="36" s="1"/>
  <c r="D140" i="36"/>
  <c r="E140" i="36"/>
  <c r="C141" i="36"/>
  <c r="F141" i="36" s="1"/>
  <c r="G141" i="36" s="1"/>
  <c r="D141" i="36"/>
  <c r="E141" i="36"/>
  <c r="C142" i="36"/>
  <c r="F142" i="36"/>
  <c r="G142" i="36" s="1"/>
  <c r="D142" i="36"/>
  <c r="E142" i="36"/>
  <c r="C143" i="36"/>
  <c r="F143" i="36" s="1"/>
  <c r="G143" i="36" s="1"/>
  <c r="D143" i="36"/>
  <c r="E143" i="36"/>
  <c r="C144" i="36"/>
  <c r="F144" i="36" s="1"/>
  <c r="G144" i="36" s="1"/>
  <c r="D144" i="36"/>
  <c r="E144" i="36"/>
  <c r="C145" i="36"/>
  <c r="F145" i="36" s="1"/>
  <c r="G145" i="36" s="1"/>
  <c r="D145" i="36"/>
  <c r="E145" i="36"/>
  <c r="C146" i="36"/>
  <c r="F146" i="36"/>
  <c r="G146" i="36"/>
  <c r="D146" i="36"/>
  <c r="E146" i="36"/>
  <c r="C147" i="36"/>
  <c r="F147" i="36" s="1"/>
  <c r="G147" i="36" s="1"/>
  <c r="D147" i="36"/>
  <c r="E147" i="36"/>
  <c r="C148" i="36"/>
  <c r="F148" i="36" s="1"/>
  <c r="G148" i="36" s="1"/>
  <c r="D148" i="36"/>
  <c r="E148" i="36"/>
  <c r="C149" i="36"/>
  <c r="F149" i="36" s="1"/>
  <c r="G149" i="36" s="1"/>
  <c r="D149" i="36"/>
  <c r="E149" i="36"/>
  <c r="C150" i="36"/>
  <c r="F150" i="36"/>
  <c r="G150" i="36" s="1"/>
  <c r="D150" i="36"/>
  <c r="E150" i="36"/>
  <c r="C151" i="36"/>
  <c r="F151" i="36" s="1"/>
  <c r="G151" i="36" s="1"/>
  <c r="D151" i="36"/>
  <c r="E151" i="36"/>
  <c r="D152" i="36"/>
  <c r="E152" i="36"/>
  <c r="F152" i="36"/>
  <c r="G152" i="36" s="1"/>
  <c r="G158" i="36"/>
  <c r="G159" i="36"/>
  <c r="G161" i="36"/>
  <c r="G167" i="36"/>
  <c r="G168" i="36"/>
  <c r="C180" i="36"/>
  <c r="F180" i="36"/>
  <c r="G180" i="36" s="1"/>
  <c r="D180" i="36"/>
  <c r="E180" i="36"/>
  <c r="C181" i="36"/>
  <c r="F181" i="36" s="1"/>
  <c r="G181" i="36" s="1"/>
  <c r="D181" i="36"/>
  <c r="E181" i="36"/>
  <c r="C182" i="36"/>
  <c r="F182" i="36" s="1"/>
  <c r="G182" i="36" s="1"/>
  <c r="D182" i="36"/>
  <c r="E182" i="36"/>
  <c r="C183" i="36"/>
  <c r="F183" i="36"/>
  <c r="G183" i="36"/>
  <c r="D183" i="36"/>
  <c r="E183" i="36"/>
  <c r="C184" i="36"/>
  <c r="F184" i="36" s="1"/>
  <c r="G184" i="36" s="1"/>
  <c r="D184" i="36"/>
  <c r="E184" i="36"/>
  <c r="C185" i="36"/>
  <c r="F185" i="36" s="1"/>
  <c r="G185" i="36" s="1"/>
  <c r="D185" i="36"/>
  <c r="E185" i="36"/>
  <c r="C186" i="36"/>
  <c r="F186" i="36" s="1"/>
  <c r="G186" i="36" s="1"/>
  <c r="D186" i="36"/>
  <c r="E186" i="36"/>
  <c r="C187" i="36"/>
  <c r="F187" i="36" s="1"/>
  <c r="G187" i="36" s="1"/>
  <c r="D187" i="36"/>
  <c r="E187" i="36"/>
  <c r="C188" i="36"/>
  <c r="F188" i="36" s="1"/>
  <c r="G188" i="36" s="1"/>
  <c r="D188" i="36"/>
  <c r="E188" i="36"/>
  <c r="C189" i="36"/>
  <c r="F189" i="36" s="1"/>
  <c r="G189" i="36" s="1"/>
  <c r="D189" i="36"/>
  <c r="E189" i="36"/>
  <c r="C190" i="36"/>
  <c r="F190" i="36" s="1"/>
  <c r="G190" i="36" s="1"/>
  <c r="D190" i="36"/>
  <c r="E190" i="36"/>
  <c r="C191" i="36"/>
  <c r="F191" i="36" s="1"/>
  <c r="G191" i="36" s="1"/>
  <c r="D191" i="36"/>
  <c r="E191" i="36"/>
  <c r="C192" i="36"/>
  <c r="F192" i="36"/>
  <c r="G192" i="36" s="1"/>
  <c r="D192" i="36"/>
  <c r="E192" i="36"/>
  <c r="C193" i="36"/>
  <c r="F193" i="36" s="1"/>
  <c r="G193" i="36" s="1"/>
  <c r="D193" i="36"/>
  <c r="E193" i="36"/>
  <c r="C194" i="36"/>
  <c r="F194" i="36" s="1"/>
  <c r="G194" i="36" s="1"/>
  <c r="D194" i="36"/>
  <c r="E194" i="36"/>
  <c r="C195" i="36"/>
  <c r="F195" i="36" s="1"/>
  <c r="G195" i="36" s="1"/>
  <c r="D195" i="36"/>
  <c r="E195" i="36"/>
  <c r="C196" i="36"/>
  <c r="F196" i="36"/>
  <c r="G196" i="36" s="1"/>
  <c r="D196" i="36"/>
  <c r="E196" i="36"/>
  <c r="C197" i="36"/>
  <c r="F197" i="36" s="1"/>
  <c r="G197" i="36" s="1"/>
  <c r="D197" i="36"/>
  <c r="E197" i="36"/>
  <c r="C198" i="36"/>
  <c r="F198" i="36" s="1"/>
  <c r="G198" i="36" s="1"/>
  <c r="D198" i="36"/>
  <c r="E198" i="36"/>
  <c r="C199" i="36"/>
  <c r="F199" i="36" s="1"/>
  <c r="G199" i="36" s="1"/>
  <c r="D199" i="36"/>
  <c r="E199" i="36"/>
  <c r="C200" i="36"/>
  <c r="F200" i="36" s="1"/>
  <c r="G200" i="36" s="1"/>
  <c r="D200" i="36"/>
  <c r="E200" i="36"/>
  <c r="C201" i="36"/>
  <c r="F201" i="36" s="1"/>
  <c r="G201" i="36" s="1"/>
  <c r="D201" i="36"/>
  <c r="E201" i="36"/>
  <c r="C202" i="36"/>
  <c r="F202" i="36" s="1"/>
  <c r="G202" i="36" s="1"/>
  <c r="D202" i="36"/>
  <c r="E202" i="36"/>
  <c r="C203" i="36"/>
  <c r="F203" i="36" s="1"/>
  <c r="G203" i="36" s="1"/>
  <c r="D203" i="36"/>
  <c r="E203" i="36"/>
  <c r="C204" i="36"/>
  <c r="F204" i="36"/>
  <c r="G204" i="36" s="1"/>
  <c r="D204" i="36"/>
  <c r="E204" i="36"/>
  <c r="C205" i="36"/>
  <c r="F205" i="36" s="1"/>
  <c r="G205" i="36" s="1"/>
  <c r="D205" i="36"/>
  <c r="E205" i="36"/>
  <c r="C206" i="36"/>
  <c r="F206" i="36" s="1"/>
  <c r="G206" i="36" s="1"/>
  <c r="D206" i="36"/>
  <c r="E206" i="36"/>
  <c r="C207" i="36"/>
  <c r="F207" i="36" s="1"/>
  <c r="G207" i="36" s="1"/>
  <c r="D207" i="36"/>
  <c r="E207" i="36"/>
  <c r="C208" i="36"/>
  <c r="F208" i="36"/>
  <c r="G208" i="36" s="1"/>
  <c r="D208" i="36"/>
  <c r="E208" i="36"/>
  <c r="C209" i="36"/>
  <c r="F209" i="36" s="1"/>
  <c r="G209" i="36" s="1"/>
  <c r="D209" i="36"/>
  <c r="E209" i="36"/>
  <c r="C210" i="36"/>
  <c r="F210" i="36" s="1"/>
  <c r="G210" i="36" s="1"/>
  <c r="D210" i="36"/>
  <c r="E210" i="36"/>
  <c r="C211" i="36"/>
  <c r="F211" i="36" s="1"/>
  <c r="G211" i="36" s="1"/>
  <c r="D211" i="36"/>
  <c r="E211" i="36"/>
  <c r="C212" i="36"/>
  <c r="F212" i="36"/>
  <c r="G212" i="36" s="1"/>
  <c r="D212" i="36"/>
  <c r="E212" i="36"/>
  <c r="C213" i="36"/>
  <c r="F213" i="36" s="1"/>
  <c r="G213" i="36" s="1"/>
  <c r="D213" i="36"/>
  <c r="E213" i="36"/>
  <c r="C214" i="36"/>
  <c r="F214" i="36" s="1"/>
  <c r="G214" i="36" s="1"/>
  <c r="D214" i="36"/>
  <c r="E214" i="36"/>
  <c r="C215" i="36"/>
  <c r="F215" i="36" s="1"/>
  <c r="G215" i="36" s="1"/>
  <c r="D215" i="36"/>
  <c r="E215" i="36"/>
  <c r="C222" i="36"/>
  <c r="F222" i="36" s="1"/>
  <c r="D222" i="36"/>
  <c r="E222" i="36"/>
  <c r="C223" i="36"/>
  <c r="F223" i="36" s="1"/>
  <c r="D223" i="36"/>
  <c r="E223" i="36"/>
  <c r="C224" i="36"/>
  <c r="F224" i="36"/>
  <c r="D224" i="36"/>
  <c r="E224" i="36"/>
  <c r="C225" i="36"/>
  <c r="F225" i="36" s="1"/>
  <c r="D225" i="36"/>
  <c r="E225" i="36"/>
  <c r="C226" i="36"/>
  <c r="F226" i="36" s="1"/>
  <c r="D226" i="36"/>
  <c r="E226" i="36"/>
  <c r="C227" i="36"/>
  <c r="F227" i="36"/>
  <c r="D227" i="36"/>
  <c r="E227" i="36"/>
  <c r="C228" i="36"/>
  <c r="F228" i="36" s="1"/>
  <c r="D228" i="36"/>
  <c r="E228" i="36"/>
  <c r="C229" i="36"/>
  <c r="F229" i="36" s="1"/>
  <c r="D229" i="36"/>
  <c r="E229" i="36"/>
  <c r="C230" i="36"/>
  <c r="F230" i="36"/>
  <c r="D230" i="36"/>
  <c r="E230" i="36"/>
  <c r="C231" i="36"/>
  <c r="F231" i="36" s="1"/>
  <c r="D231" i="36"/>
  <c r="E231" i="36"/>
  <c r="C232" i="36"/>
  <c r="F232" i="36" s="1"/>
  <c r="G232" i="36" s="1"/>
  <c r="D232" i="36"/>
  <c r="E232" i="36"/>
  <c r="C233" i="36"/>
  <c r="F233" i="36" s="1"/>
  <c r="G233" i="36" s="1"/>
  <c r="D233" i="36"/>
  <c r="E233" i="36"/>
  <c r="C234" i="36"/>
  <c r="F234" i="36" s="1"/>
  <c r="G234" i="36" s="1"/>
  <c r="D234" i="36"/>
  <c r="E234" i="36"/>
  <c r="C235" i="36"/>
  <c r="F235" i="36"/>
  <c r="C236" i="36"/>
  <c r="C241" i="36"/>
  <c r="F241" i="36" s="1"/>
  <c r="G241" i="36" s="1"/>
  <c r="D241" i="36"/>
  <c r="E241" i="36"/>
  <c r="C242" i="36"/>
  <c r="F242" i="36"/>
  <c r="G242" i="36"/>
  <c r="D242" i="36"/>
  <c r="E242" i="36"/>
  <c r="C243" i="36"/>
  <c r="F243" i="36" s="1"/>
  <c r="G243" i="36" s="1"/>
  <c r="D243" i="36"/>
  <c r="E243" i="36"/>
  <c r="C244" i="36"/>
  <c r="F244" i="36" s="1"/>
  <c r="G244" i="36" s="1"/>
  <c r="D244" i="36"/>
  <c r="E244" i="36"/>
  <c r="C245" i="36"/>
  <c r="F245" i="36" s="1"/>
  <c r="G245" i="36" s="1"/>
  <c r="D245" i="36"/>
  <c r="E245" i="36"/>
  <c r="C246" i="36"/>
  <c r="F246" i="36"/>
  <c r="G246" i="36" s="1"/>
  <c r="D246" i="36"/>
  <c r="E246" i="36"/>
  <c r="C247" i="36"/>
  <c r="F247" i="36" s="1"/>
  <c r="G247" i="36" s="1"/>
  <c r="D247" i="36"/>
  <c r="E247" i="36"/>
  <c r="C248" i="36"/>
  <c r="F248" i="36" s="1"/>
  <c r="G248" i="36" s="1"/>
  <c r="D248" i="36"/>
  <c r="E248" i="36"/>
  <c r="C249" i="36"/>
  <c r="F249" i="36" s="1"/>
  <c r="G249" i="36" s="1"/>
  <c r="D249" i="36"/>
  <c r="E249" i="36"/>
  <c r="C250" i="36"/>
  <c r="F250" i="36"/>
  <c r="G250" i="36"/>
  <c r="D250" i="36"/>
  <c r="E250" i="36"/>
  <c r="C251" i="36"/>
  <c r="F251" i="36" s="1"/>
  <c r="G251" i="36" s="1"/>
  <c r="D251" i="36"/>
  <c r="E251" i="36"/>
  <c r="C252" i="36"/>
  <c r="F252" i="36" s="1"/>
  <c r="G252" i="36" s="1"/>
  <c r="D252" i="36"/>
  <c r="E252" i="36"/>
  <c r="C253" i="36"/>
  <c r="F253" i="36" s="1"/>
  <c r="G253" i="36" s="1"/>
  <c r="D253" i="36"/>
  <c r="E253" i="36"/>
  <c r="C254" i="36"/>
  <c r="F254" i="36"/>
  <c r="G254" i="36"/>
  <c r="D254" i="36"/>
  <c r="E254" i="36"/>
  <c r="C255" i="36"/>
  <c r="F255" i="36" s="1"/>
  <c r="G255" i="36" s="1"/>
  <c r="D255" i="36"/>
  <c r="E255" i="36"/>
  <c r="C256" i="36"/>
  <c r="F256" i="36" s="1"/>
  <c r="G256" i="36" s="1"/>
  <c r="D256" i="36"/>
  <c r="E256" i="36"/>
  <c r="C257" i="36"/>
  <c r="F257" i="36" s="1"/>
  <c r="G257" i="36" s="1"/>
  <c r="D257" i="36"/>
  <c r="E257" i="36"/>
  <c r="C258" i="36"/>
  <c r="F258" i="36" s="1"/>
  <c r="G258" i="36" s="1"/>
  <c r="D258" i="36"/>
  <c r="E258" i="36"/>
  <c r="C259" i="36"/>
  <c r="F259" i="36" s="1"/>
  <c r="G259" i="36" s="1"/>
  <c r="D259" i="36"/>
  <c r="E259" i="36"/>
  <c r="C260" i="36"/>
  <c r="F260" i="36" s="1"/>
  <c r="G260" i="36" s="1"/>
  <c r="D260" i="36"/>
  <c r="E260" i="36"/>
  <c r="C261" i="36"/>
  <c r="F261" i="36" s="1"/>
  <c r="G261" i="36" s="1"/>
  <c r="D261" i="36"/>
  <c r="E261" i="36"/>
  <c r="C262" i="36"/>
  <c r="F262" i="36"/>
  <c r="G262" i="36" s="1"/>
  <c r="D262" i="36"/>
  <c r="E262" i="36"/>
  <c r="C263" i="36"/>
  <c r="F263" i="36" s="1"/>
  <c r="G263" i="36" s="1"/>
  <c r="D263" i="36"/>
  <c r="E263" i="36"/>
  <c r="C264" i="36"/>
  <c r="F264" i="36" s="1"/>
  <c r="G264" i="36" s="1"/>
  <c r="D264" i="36"/>
  <c r="E264" i="36"/>
  <c r="C265" i="36"/>
  <c r="F265" i="36" s="1"/>
  <c r="G265" i="36" s="1"/>
  <c r="D265" i="36"/>
  <c r="E265" i="36"/>
  <c r="C266" i="36"/>
  <c r="F266" i="36"/>
  <c r="G266" i="36"/>
  <c r="D266" i="36"/>
  <c r="E266" i="36"/>
  <c r="C267" i="36"/>
  <c r="F267" i="36"/>
  <c r="G267" i="36" s="1"/>
  <c r="D267" i="36"/>
  <c r="E267" i="36"/>
  <c r="C268" i="36"/>
  <c r="F268" i="36" s="1"/>
  <c r="G268" i="36" s="1"/>
  <c r="D268" i="36"/>
  <c r="E268" i="36"/>
  <c r="C269" i="36"/>
  <c r="F269" i="36" s="1"/>
  <c r="G269" i="36" s="1"/>
  <c r="D269" i="36"/>
  <c r="E269" i="36"/>
  <c r="C270" i="36"/>
  <c r="F270" i="36" s="1"/>
  <c r="G270" i="36" s="1"/>
  <c r="D270" i="36"/>
  <c r="E270" i="36"/>
  <c r="C271" i="36"/>
  <c r="F271" i="36" s="1"/>
  <c r="G271" i="36" s="1"/>
  <c r="D271" i="36"/>
  <c r="E271" i="36"/>
  <c r="C272" i="36"/>
  <c r="F272" i="36" s="1"/>
  <c r="G272" i="36" s="1"/>
  <c r="D272" i="36"/>
  <c r="E272" i="36"/>
  <c r="C273" i="36"/>
  <c r="F273" i="36" s="1"/>
  <c r="G273" i="36" s="1"/>
  <c r="D273" i="36"/>
  <c r="E273" i="36"/>
  <c r="C274" i="36"/>
  <c r="F274" i="36" s="1"/>
  <c r="G274" i="36" s="1"/>
  <c r="D274" i="36"/>
  <c r="E274" i="36"/>
  <c r="C275" i="36"/>
  <c r="F275" i="36" s="1"/>
  <c r="G275" i="36" s="1"/>
  <c r="D275" i="36"/>
  <c r="E275" i="36"/>
  <c r="C276" i="36"/>
  <c r="F276" i="36" s="1"/>
  <c r="G276" i="36" s="1"/>
  <c r="D276" i="36"/>
  <c r="E276" i="36"/>
  <c r="C277" i="36"/>
  <c r="F277" i="36" s="1"/>
  <c r="G277" i="36" s="1"/>
  <c r="D277" i="36"/>
  <c r="E277" i="36"/>
  <c r="C278" i="36"/>
  <c r="F278" i="36"/>
  <c r="G278" i="36" s="1"/>
  <c r="D278" i="36"/>
  <c r="E278" i="36"/>
  <c r="C279" i="36"/>
  <c r="F279" i="36" s="1"/>
  <c r="G279" i="36" s="1"/>
  <c r="D279" i="36"/>
  <c r="E279" i="36"/>
  <c r="C280" i="36"/>
  <c r="F280" i="36" s="1"/>
  <c r="G280" i="36" s="1"/>
  <c r="D280" i="36"/>
  <c r="E280" i="36"/>
  <c r="C281" i="36"/>
  <c r="F281" i="36" s="1"/>
  <c r="G281" i="36" s="1"/>
  <c r="D281" i="36"/>
  <c r="E281" i="36"/>
  <c r="C282" i="36"/>
  <c r="F282" i="36"/>
  <c r="G282" i="36"/>
  <c r="D282" i="36"/>
  <c r="E282" i="36"/>
  <c r="C283" i="36"/>
  <c r="F283" i="36"/>
  <c r="G283" i="36" s="1"/>
  <c r="D283" i="36"/>
  <c r="E283" i="36"/>
  <c r="C284" i="36"/>
  <c r="F284" i="36" s="1"/>
  <c r="G284" i="36" s="1"/>
  <c r="D284" i="36"/>
  <c r="E284" i="36"/>
  <c r="C285" i="36"/>
  <c r="F285" i="36" s="1"/>
  <c r="G285" i="36" s="1"/>
  <c r="D285" i="36"/>
  <c r="E285" i="36"/>
  <c r="C286" i="36"/>
  <c r="F286" i="36" s="1"/>
  <c r="G286" i="36" s="1"/>
  <c r="D286" i="36"/>
  <c r="E286" i="36"/>
  <c r="C287" i="36"/>
  <c r="F287" i="36" s="1"/>
  <c r="G287" i="36" s="1"/>
  <c r="D287" i="36"/>
  <c r="E287" i="36"/>
  <c r="C288" i="36"/>
  <c r="F288" i="36" s="1"/>
  <c r="G288" i="36" s="1"/>
  <c r="D288" i="36"/>
  <c r="E288" i="36"/>
  <c r="C289" i="36"/>
  <c r="F289" i="36" s="1"/>
  <c r="G289" i="36" s="1"/>
  <c r="D289" i="36"/>
  <c r="E289" i="36"/>
  <c r="C290" i="36"/>
  <c r="F290" i="36" s="1"/>
  <c r="G290" i="36" s="1"/>
  <c r="D290" i="36"/>
  <c r="E290" i="36"/>
  <c r="C291" i="36"/>
  <c r="F291" i="36" s="1"/>
  <c r="G291" i="36" s="1"/>
  <c r="D291" i="36"/>
  <c r="E291" i="36"/>
  <c r="C292" i="36"/>
  <c r="F292" i="36" s="1"/>
  <c r="G292" i="36" s="1"/>
  <c r="D292" i="36"/>
  <c r="E292" i="36"/>
  <c r="C293" i="36"/>
  <c r="F293" i="36" s="1"/>
  <c r="G293" i="36" s="1"/>
  <c r="D293" i="36"/>
  <c r="E293" i="36"/>
  <c r="C294" i="36"/>
  <c r="F294" i="36"/>
  <c r="G294" i="36" s="1"/>
  <c r="D294" i="36"/>
  <c r="E294" i="36"/>
  <c r="C295" i="36"/>
  <c r="F295" i="36" s="1"/>
  <c r="G295" i="36" s="1"/>
  <c r="D295" i="36"/>
  <c r="E295" i="36"/>
  <c r="C296" i="36"/>
  <c r="F296" i="36" s="1"/>
  <c r="G296" i="36" s="1"/>
  <c r="D296" i="36"/>
  <c r="E296" i="36"/>
  <c r="C297" i="36"/>
  <c r="F297" i="36" s="1"/>
  <c r="G297" i="36" s="1"/>
  <c r="D297" i="36"/>
  <c r="E297" i="36"/>
  <c r="C298" i="36"/>
  <c r="F298" i="36"/>
  <c r="G298" i="36"/>
  <c r="D298" i="36"/>
  <c r="E298" i="36"/>
  <c r="C299" i="36"/>
  <c r="F299" i="36"/>
  <c r="G299" i="36" s="1"/>
  <c r="D299" i="36"/>
  <c r="E299" i="36"/>
  <c r="C300" i="36"/>
  <c r="F300" i="36" s="1"/>
  <c r="G300" i="36" s="1"/>
  <c r="D300" i="36"/>
  <c r="E300" i="36"/>
  <c r="C301" i="36"/>
  <c r="F301" i="36" s="1"/>
  <c r="G301" i="36" s="1"/>
  <c r="D301" i="36"/>
  <c r="E301" i="36"/>
  <c r="C302" i="36"/>
  <c r="F302" i="36" s="1"/>
  <c r="G302" i="36" s="1"/>
  <c r="D302" i="36"/>
  <c r="E302" i="36"/>
  <c r="C303" i="36"/>
  <c r="F303" i="36" s="1"/>
  <c r="G303" i="36" s="1"/>
  <c r="D303" i="36"/>
  <c r="E303" i="36"/>
  <c r="C304" i="36"/>
  <c r="F304" i="36" s="1"/>
  <c r="G304" i="36" s="1"/>
  <c r="D304" i="36"/>
  <c r="E304" i="36"/>
  <c r="C305" i="36"/>
  <c r="F305" i="36" s="1"/>
  <c r="G305" i="36" s="1"/>
  <c r="D305" i="36"/>
  <c r="E305" i="36"/>
  <c r="C306" i="36"/>
  <c r="F306" i="36" s="1"/>
  <c r="G306" i="36" s="1"/>
  <c r="D306" i="36"/>
  <c r="E306" i="36"/>
  <c r="C307" i="36"/>
  <c r="F307" i="36" s="1"/>
  <c r="G307" i="36" s="1"/>
  <c r="D307" i="36"/>
  <c r="E307" i="36"/>
  <c r="C308" i="36"/>
  <c r="F308" i="36" s="1"/>
  <c r="G308" i="36" s="1"/>
  <c r="D308" i="36"/>
  <c r="E308" i="36"/>
  <c r="C309" i="36"/>
  <c r="F309" i="36" s="1"/>
  <c r="G309" i="36" s="1"/>
  <c r="D309" i="36"/>
  <c r="E309" i="36"/>
  <c r="C310" i="36"/>
  <c r="C311" i="36"/>
  <c r="C312" i="36"/>
  <c r="C313" i="36"/>
  <c r="C314" i="36"/>
  <c r="C315" i="36"/>
  <c r="H199" i="42"/>
  <c r="H147" i="42"/>
  <c r="F144" i="42"/>
  <c r="G144" i="42" s="1"/>
  <c r="H106" i="38"/>
  <c r="G78" i="40"/>
  <c r="G76" i="40"/>
  <c r="H148" i="38"/>
  <c r="H159" i="39"/>
  <c r="H151" i="39"/>
  <c r="H146" i="42"/>
  <c r="H138" i="42"/>
  <c r="H149" i="42"/>
  <c r="H141" i="42"/>
  <c r="H133" i="42"/>
  <c r="H114" i="38"/>
  <c r="H109" i="38"/>
  <c r="H102" i="38"/>
  <c r="H98" i="38"/>
  <c r="H118" i="38"/>
  <c r="H101" i="38"/>
  <c r="F117" i="38"/>
  <c r="H113" i="38"/>
  <c r="H97" i="38"/>
  <c r="H196" i="42"/>
  <c r="F195" i="42"/>
  <c r="G195" i="42" s="1"/>
  <c r="H192" i="42"/>
  <c r="F191" i="42"/>
  <c r="G191" i="42"/>
  <c r="F189" i="42"/>
  <c r="G189" i="42" s="1"/>
  <c r="H188" i="42"/>
  <c r="H186" i="42"/>
  <c r="F185" i="42"/>
  <c r="G185" i="42" s="1"/>
  <c r="H184" i="42"/>
  <c r="F183" i="42"/>
  <c r="G183" i="42"/>
  <c r="H182" i="42"/>
  <c r="H181" i="42"/>
  <c r="F181" i="42"/>
  <c r="G181" i="42" s="1"/>
  <c r="H178" i="42"/>
  <c r="H177" i="42"/>
  <c r="F177" i="42"/>
  <c r="G177" i="42"/>
  <c r="F174" i="42"/>
  <c r="G174" i="42"/>
  <c r="H173" i="42"/>
  <c r="F173" i="42"/>
  <c r="G173" i="42"/>
  <c r="H172" i="42"/>
  <c r="F41" i="42"/>
  <c r="G41" i="42"/>
  <c r="F39" i="42"/>
  <c r="G39" i="42" s="1"/>
  <c r="F37" i="42"/>
  <c r="G37" i="42"/>
  <c r="H115" i="38"/>
  <c r="H107" i="38"/>
  <c r="F146" i="38"/>
  <c r="G146" i="38" s="1"/>
  <c r="H145" i="38"/>
  <c r="F145" i="38"/>
  <c r="G145" i="38" s="1"/>
  <c r="F144" i="38"/>
  <c r="G144" i="38" s="1"/>
  <c r="H143" i="38"/>
  <c r="F143" i="38"/>
  <c r="G143" i="38" s="1"/>
  <c r="F142" i="38"/>
  <c r="G142" i="38"/>
  <c r="H142" i="38"/>
  <c r="H141" i="38"/>
  <c r="F141" i="38"/>
  <c r="G141" i="38" s="1"/>
  <c r="G140" i="38"/>
  <c r="H140" i="38"/>
  <c r="F139" i="38"/>
  <c r="G139" i="38"/>
  <c r="F138" i="38"/>
  <c r="G138" i="38" s="1"/>
  <c r="F137" i="38"/>
  <c r="G137" i="38"/>
  <c r="F136" i="38"/>
  <c r="G136" i="38"/>
  <c r="H136" i="38"/>
  <c r="H135" i="38"/>
  <c r="F135" i="38"/>
  <c r="G135" i="38" s="1"/>
  <c r="F134" i="38"/>
  <c r="G134" i="38"/>
  <c r="H134" i="38"/>
  <c r="H133" i="38"/>
  <c r="F133" i="38"/>
  <c r="G133" i="38" s="1"/>
  <c r="H131" i="38"/>
  <c r="F131" i="38"/>
  <c r="G131" i="38" s="1"/>
  <c r="F130" i="38"/>
  <c r="G130" i="38" s="1"/>
  <c r="H129" i="38"/>
  <c r="F129" i="38"/>
  <c r="G129" i="38" s="1"/>
  <c r="F126" i="38"/>
  <c r="G126" i="38" s="1"/>
  <c r="H126" i="38"/>
  <c r="H125" i="38"/>
  <c r="F125" i="38"/>
  <c r="G125" i="38"/>
  <c r="G124" i="38"/>
  <c r="H124" i="38"/>
  <c r="H123" i="38"/>
  <c r="F123" i="38"/>
  <c r="G123" i="38"/>
  <c r="F122" i="38"/>
  <c r="G122" i="38" s="1"/>
  <c r="H121" i="38"/>
  <c r="F121" i="38"/>
  <c r="G121" i="38"/>
  <c r="F120" i="38"/>
  <c r="G120" i="38" s="1"/>
  <c r="H120" i="38"/>
  <c r="H119" i="38"/>
  <c r="F119" i="38"/>
  <c r="G119" i="38" s="1"/>
  <c r="H111" i="38"/>
  <c r="H103" i="38"/>
  <c r="H105" i="38"/>
  <c r="H100" i="38"/>
  <c r="O37" i="50"/>
  <c r="O27" i="50"/>
  <c r="O117" i="52"/>
  <c r="F160" i="39"/>
  <c r="G160" i="39" s="1"/>
  <c r="H155" i="39"/>
  <c r="G74" i="40"/>
  <c r="F40" i="42"/>
  <c r="G40" i="42" s="1"/>
  <c r="H40" i="42"/>
  <c r="F150" i="39"/>
  <c r="G150" i="39" s="1"/>
  <c r="O4" i="50"/>
  <c r="O62" i="53"/>
  <c r="Q5" i="56"/>
  <c r="H198" i="42"/>
  <c r="O238" i="51"/>
  <c r="O4" i="54"/>
  <c r="Q2" i="56"/>
  <c r="F142" i="42"/>
  <c r="G142" i="42" s="1"/>
  <c r="F43" i="42"/>
  <c r="G43" i="42"/>
  <c r="O4" i="48"/>
  <c r="O201" i="49"/>
  <c r="O112" i="49"/>
  <c r="O4" i="49"/>
  <c r="O34" i="54"/>
  <c r="F137" i="42"/>
  <c r="G137" i="42" s="1"/>
  <c r="O15" i="48"/>
  <c r="O113" i="49"/>
  <c r="I80" i="50"/>
  <c r="O42" i="53"/>
  <c r="R9" i="58"/>
  <c r="R67" i="57"/>
  <c r="Q178" i="56"/>
  <c r="Q265" i="56"/>
  <c r="R9" i="57"/>
  <c r="R323" i="57"/>
  <c r="R1" i="59"/>
  <c r="R3" i="59"/>
  <c r="R37" i="57"/>
  <c r="R1" i="58"/>
  <c r="V6" i="61"/>
  <c r="V284" i="61"/>
  <c r="R5" i="58"/>
  <c r="R8" i="60"/>
  <c r="R10" i="60"/>
  <c r="V308" i="61"/>
  <c r="V323" i="61"/>
  <c r="V37" i="61"/>
  <c r="V51" i="61"/>
  <c r="V279" i="61"/>
  <c r="V282" i="61"/>
  <c r="V286" i="61"/>
  <c r="V296" i="61"/>
  <c r="V300" i="61"/>
  <c r="V311" i="61"/>
  <c r="V315" i="61"/>
  <c r="V326" i="61"/>
  <c r="V330" i="61"/>
  <c r="V344" i="61"/>
  <c r="R13" i="59"/>
  <c r="R7" i="60"/>
  <c r="R144" i="60"/>
  <c r="V4" i="61"/>
  <c r="V47" i="61"/>
  <c r="V229" i="61"/>
  <c r="V39" i="61"/>
  <c r="V278" i="61"/>
  <c r="V281" i="61"/>
  <c r="V310" i="61"/>
  <c r="V325" i="61"/>
  <c r="V346" i="61"/>
  <c r="V353" i="61"/>
  <c r="V357" i="61"/>
  <c r="V3" i="61"/>
  <c r="V31" i="61"/>
  <c r="V35" i="61"/>
  <c r="V46" i="61"/>
  <c r="V220" i="61"/>
  <c r="V228" i="61"/>
  <c r="V236" i="61"/>
  <c r="V274" i="61"/>
  <c r="V339" i="61"/>
  <c r="R70" i="59"/>
  <c r="R76" i="59"/>
  <c r="R118" i="60"/>
  <c r="V13" i="61"/>
  <c r="V17" i="61"/>
  <c r="V38" i="61"/>
  <c r="V252" i="61"/>
  <c r="V270" i="61"/>
  <c r="V291" i="61"/>
  <c r="V294" i="61"/>
  <c r="V320" i="61"/>
  <c r="V342" i="61"/>
  <c r="V356" i="61"/>
  <c r="H108" i="38"/>
  <c r="H110" i="38"/>
  <c r="F112" i="38"/>
  <c r="F104" i="38"/>
  <c r="H156" i="39"/>
  <c r="H152" i="39"/>
  <c r="F152" i="39"/>
  <c r="G152" i="39" s="1"/>
  <c r="G79" i="40"/>
  <c r="G77" i="40"/>
  <c r="F77" i="40"/>
  <c r="F143" i="42"/>
  <c r="G143" i="42"/>
  <c r="H143" i="42"/>
  <c r="H145" i="42"/>
  <c r="F140" i="42"/>
  <c r="G140" i="42" s="1"/>
  <c r="F132" i="42"/>
  <c r="G132" i="42" s="1"/>
  <c r="F150" i="42"/>
  <c r="G150" i="42" s="1"/>
  <c r="H150" i="42"/>
  <c r="F134" i="42"/>
  <c r="G134" i="42" s="1"/>
  <c r="Q38" i="56"/>
  <c r="O221" i="49"/>
  <c r="O249" i="51"/>
  <c r="O217" i="51"/>
  <c r="O170" i="53"/>
  <c r="O24" i="52"/>
  <c r="O165" i="54"/>
  <c r="Q9" i="56"/>
  <c r="Q294" i="56"/>
  <c r="Q306" i="56"/>
  <c r="R147" i="58"/>
  <c r="R7" i="58"/>
  <c r="R77" i="60"/>
  <c r="V52" i="61"/>
  <c r="V36" i="61"/>
  <c r="V44" i="61"/>
  <c r="V221" i="61"/>
  <c r="V237" i="61"/>
  <c r="V275" i="61"/>
  <c r="V303" i="61"/>
  <c r="V12" i="61"/>
  <c r="V20" i="61"/>
  <c r="V267" i="61"/>
  <c r="F135" i="42" l="1"/>
  <c r="G135" i="42" s="1"/>
  <c r="F152" i="42"/>
  <c r="G152" i="42" s="1"/>
  <c r="F176" i="42"/>
  <c r="G176" i="42" s="1"/>
  <c r="H190" i="42"/>
  <c r="F139" i="42"/>
  <c r="G139" i="42" s="1"/>
  <c r="F193" i="42"/>
  <c r="G193" i="42" s="1"/>
  <c r="H194" i="42"/>
  <c r="F179" i="42"/>
  <c r="G179" i="42" s="1"/>
  <c r="F175" i="42"/>
  <c r="G175" i="42" s="1"/>
  <c r="H180" i="42"/>
  <c r="F153" i="42"/>
  <c r="G153" i="42" s="1"/>
  <c r="F80" i="40"/>
  <c r="H153" i="39"/>
  <c r="H157" i="39"/>
  <c r="F128" i="38"/>
  <c r="G128" i="38" s="1"/>
  <c r="F132" i="38"/>
  <c r="G132" i="38" s="1"/>
  <c r="F99" i="38"/>
  <c r="F116" i="38"/>
  <c r="I167" i="54"/>
  <c r="O81" i="54"/>
  <c r="O4" i="53"/>
  <c r="O127" i="53"/>
  <c r="O197" i="52"/>
  <c r="O76" i="52"/>
  <c r="O169" i="51"/>
  <c r="O4" i="51"/>
  <c r="O217" i="50"/>
  <c r="I68" i="49"/>
  <c r="O168" i="49"/>
  <c r="O67" i="49"/>
  <c r="O65" i="48"/>
  <c r="R9" i="60"/>
  <c r="R1" i="60"/>
  <c r="R49" i="60"/>
  <c r="R2" i="60"/>
  <c r="R2" i="59"/>
  <c r="R93" i="59"/>
  <c r="R4" i="58"/>
  <c r="R10" i="58"/>
  <c r="R61" i="58"/>
  <c r="R2" i="58"/>
  <c r="R3" i="57"/>
  <c r="R8" i="57"/>
  <c r="Q69" i="56"/>
  <c r="V16" i="61"/>
  <c r="V231" i="61"/>
  <c r="V268" i="61"/>
  <c r="V318" i="61"/>
  <c r="V337" i="61"/>
  <c r="V341" i="61"/>
  <c r="V240" i="61"/>
  <c r="V242" i="61"/>
  <c r="V10" i="61"/>
  <c r="V333" i="61"/>
  <c r="V335" i="61"/>
  <c r="V354" i="61"/>
  <c r="V19" i="61"/>
  <c r="V223" i="61"/>
  <c r="V225" i="61"/>
  <c r="V234" i="61"/>
  <c r="V238" i="61"/>
  <c r="V283" i="61"/>
  <c r="V33" i="61"/>
  <c r="V48" i="61"/>
  <c r="V259" i="61"/>
  <c r="V15" i="61"/>
  <c r="V230" i="61"/>
  <c r="V232" i="61"/>
  <c r="V245" i="61"/>
  <c r="V253" i="61"/>
  <c r="V290" i="61"/>
  <c r="V321" i="61"/>
  <c r="V269" i="61"/>
  <c r="V313" i="61"/>
  <c r="V336" i="61"/>
  <c r="V7" i="61"/>
  <c r="V9" i="61"/>
  <c r="V22" i="61"/>
  <c r="V26" i="61"/>
  <c r="V29" i="61"/>
  <c r="V288" i="61"/>
  <c r="V359" i="61"/>
  <c r="V317" i="61"/>
  <c r="V18" i="61"/>
  <c r="V254" i="61"/>
  <c r="V258" i="61"/>
  <c r="V276" i="61"/>
  <c r="V297" i="61"/>
  <c r="V305" i="61"/>
  <c r="V351" i="61"/>
  <c r="V34" i="61"/>
  <c r="F127" i="38"/>
  <c r="G127" i="38" s="1"/>
  <c r="F136" i="42"/>
  <c r="G136" i="42" s="1"/>
  <c r="H158" i="39"/>
  <c r="F154" i="39"/>
  <c r="G154" i="39" s="1"/>
  <c r="O189" i="50"/>
  <c r="I28" i="50"/>
  <c r="O175" i="48"/>
  <c r="Q3" i="56"/>
  <c r="Q8" i="56"/>
  <c r="R13" i="58"/>
  <c r="R159" i="57"/>
  <c r="R8" i="59"/>
  <c r="V251" i="61"/>
  <c r="V272" i="61"/>
  <c r="V265" i="61"/>
  <c r="V287" i="61"/>
  <c r="V352" i="61"/>
</calcChain>
</file>

<file path=xl/sharedStrings.xml><?xml version="1.0" encoding="utf-8"?>
<sst xmlns="http://schemas.openxmlformats.org/spreadsheetml/2006/main" count="21968" uniqueCount="4218">
  <si>
    <t>002176.SZ</t>
  </si>
  <si>
    <t>300343.SZ</t>
  </si>
  <si>
    <t>300409.SZ</t>
  </si>
  <si>
    <t>600876.SH</t>
  </si>
  <si>
    <t>代码</t>
  </si>
  <si>
    <t>道氏技术</t>
  </si>
  <si>
    <t>东海证券股份有限公司</t>
  </si>
  <si>
    <t>发行对象</t>
  </si>
  <si>
    <t>海通证券股份有限公司</t>
  </si>
  <si>
    <t>江特电机</t>
  </si>
  <si>
    <t>联创股份</t>
  </si>
  <si>
    <t>洛阳玻璃</t>
  </si>
  <si>
    <t>限售解禁日</t>
  </si>
  <si>
    <t>中国银河证券股份有限公司</t>
  </si>
  <si>
    <t>300180.SZ</t>
  </si>
  <si>
    <t>华峰超纤</t>
  </si>
  <si>
    <t>002292.SZ</t>
  </si>
  <si>
    <t>奥飞娱乐</t>
  </si>
  <si>
    <t>600340.SH</t>
  </si>
  <si>
    <t>华夏幸福</t>
  </si>
  <si>
    <t>002244.SZ</t>
  </si>
  <si>
    <t>滨江集团</t>
  </si>
  <si>
    <t>002441.SZ</t>
  </si>
  <si>
    <t>众业达</t>
  </si>
  <si>
    <t>300253.SZ</t>
  </si>
  <si>
    <t>卫宁健康</t>
  </si>
  <si>
    <t>002657.SZ</t>
  </si>
  <si>
    <t>中科金财</t>
  </si>
  <si>
    <t>600177.SH</t>
  </si>
  <si>
    <t>雅戈尔</t>
  </si>
  <si>
    <t>000046.SZ</t>
  </si>
  <si>
    <t>泛海控股</t>
  </si>
  <si>
    <t>000701.SZ</t>
  </si>
  <si>
    <t>厦门信达</t>
  </si>
  <si>
    <t>601599.SH</t>
  </si>
  <si>
    <t>鹿港文化</t>
  </si>
  <si>
    <t>002280.SZ</t>
  </si>
  <si>
    <t>联络互动</t>
  </si>
  <si>
    <t>600328.SH</t>
  </si>
  <si>
    <t>兰太实业</t>
  </si>
  <si>
    <t>002617.SZ</t>
  </si>
  <si>
    <t>露笑科技</t>
  </si>
  <si>
    <t>002139.SZ</t>
  </si>
  <si>
    <t>拓邦股份</t>
  </si>
  <si>
    <t>600756.SH</t>
  </si>
  <si>
    <t>浪潮软件</t>
  </si>
  <si>
    <t>002444.SZ</t>
  </si>
  <si>
    <t>巨星科技</t>
  </si>
  <si>
    <t>300287.SZ</t>
  </si>
  <si>
    <t>飞利信</t>
  </si>
  <si>
    <t>002610.SZ</t>
  </si>
  <si>
    <t>爱康科技</t>
  </si>
  <si>
    <t>000791.SZ</t>
  </si>
  <si>
    <t>甘肃电投</t>
  </si>
  <si>
    <t>601555.SH</t>
  </si>
  <si>
    <t>东吴证券</t>
  </si>
  <si>
    <t>300236.SZ</t>
  </si>
  <si>
    <t>上海新阳</t>
  </si>
  <si>
    <t>600468.SH</t>
  </si>
  <si>
    <t>百利电气</t>
  </si>
  <si>
    <t>002722.SZ</t>
  </si>
  <si>
    <t>金轮股份</t>
  </si>
  <si>
    <t>002249.SZ</t>
  </si>
  <si>
    <t>大洋电机</t>
  </si>
  <si>
    <t>002027.SZ</t>
  </si>
  <si>
    <t>分众传媒</t>
  </si>
  <si>
    <t>300182.SZ</t>
  </si>
  <si>
    <t>捷成股份</t>
  </si>
  <si>
    <t>002462.SZ</t>
  </si>
  <si>
    <t>嘉事堂</t>
  </si>
  <si>
    <t>000887.SZ</t>
  </si>
  <si>
    <t>中鼎股份</t>
  </si>
  <si>
    <t>300388.SZ</t>
  </si>
  <si>
    <t>国祯环保</t>
  </si>
  <si>
    <t>300250.SZ</t>
  </si>
  <si>
    <t>初灵信息</t>
  </si>
  <si>
    <t>002590.SZ</t>
  </si>
  <si>
    <t>万安科技</t>
  </si>
  <si>
    <t>000735.SZ</t>
  </si>
  <si>
    <t>罗牛山</t>
  </si>
  <si>
    <t>000961.SZ</t>
  </si>
  <si>
    <t>中南建设</t>
  </si>
  <si>
    <t>000977.SZ</t>
  </si>
  <si>
    <t>浪潮信息</t>
  </si>
  <si>
    <t>300113.SZ</t>
  </si>
  <si>
    <t>顺网科技</t>
  </si>
  <si>
    <t>600393.SH</t>
  </si>
  <si>
    <t>粤泰股份</t>
  </si>
  <si>
    <t>300304.SZ</t>
  </si>
  <si>
    <t>云意电气</t>
  </si>
  <si>
    <t>002380.SZ</t>
  </si>
  <si>
    <t>科远智慧</t>
  </si>
  <si>
    <t>300197.SZ</t>
  </si>
  <si>
    <t>铁汉生态</t>
  </si>
  <si>
    <t>002195.SZ</t>
  </si>
  <si>
    <t>二三四五</t>
  </si>
  <si>
    <t>002706.SZ</t>
  </si>
  <si>
    <t>良信电器</t>
  </si>
  <si>
    <t>300377.SZ</t>
  </si>
  <si>
    <t>赢时胜</t>
  </si>
  <si>
    <t>300055.SZ</t>
  </si>
  <si>
    <t>万邦达</t>
  </si>
  <si>
    <t>002546.SZ</t>
  </si>
  <si>
    <t>新联电子</t>
  </si>
  <si>
    <t>000690.SZ</t>
  </si>
  <si>
    <t>宝新能源</t>
  </si>
  <si>
    <t>序号</t>
    <phoneticPr fontId="0" type="noConversion"/>
  </si>
  <si>
    <t>项目</t>
  </si>
  <si>
    <t>预计募集（亿）</t>
  </si>
  <si>
    <t>实际募集（亿）</t>
  </si>
  <si>
    <t>底价</t>
  </si>
  <si>
    <t>发行对象数量</t>
  </si>
  <si>
    <t>参与报价对象</t>
  </si>
  <si>
    <t>申报报价</t>
  </si>
  <si>
    <t>周雪钦</t>
  </si>
  <si>
    <t>财通基金管理有限公司</t>
  </si>
  <si>
    <t>认购日价格</t>
  </si>
  <si>
    <t>发行价</t>
  </si>
  <si>
    <t>序号</t>
  </si>
  <si>
    <t>华夏人寿保险股份有限公司</t>
  </si>
  <si>
    <t>天安财产保险股份有限公司</t>
  </si>
  <si>
    <t>申万菱信基金管理有限公司</t>
  </si>
  <si>
    <t>华泰柏瑞基金管理有限公司</t>
  </si>
  <si>
    <t>北京隆达创展科贸有限公司</t>
  </si>
  <si>
    <t>泰康资产管理有限责任公司</t>
  </si>
  <si>
    <t>青岛城投金融控股集团有限公司</t>
  </si>
  <si>
    <t>公告链接</t>
  </si>
  <si>
    <t>第一创业证券股份有限公司</t>
  </si>
  <si>
    <t>东海基金管理有限责任公司</t>
  </si>
  <si>
    <t>解禁后收益</t>
  </si>
  <si>
    <t>建信基金管理有限责任公司</t>
  </si>
  <si>
    <t>兴业全球基金管理有限公司</t>
  </si>
  <si>
    <t>中国人寿资产管理有限公司</t>
  </si>
  <si>
    <t>长城国融投资管理有限公司</t>
  </si>
  <si>
    <t>创金合信基金管理有限公司</t>
  </si>
  <si>
    <t>华泰资产管理有限公司</t>
  </si>
  <si>
    <t>华安基金管理有限公司</t>
  </si>
  <si>
    <t>赖宗阳</t>
  </si>
  <si>
    <t>申万菱信（上海）资产管理有限公司</t>
  </si>
  <si>
    <t>汇添富基金管理股份有限公司</t>
  </si>
  <si>
    <t>广东温氏投资有限公司</t>
  </si>
  <si>
    <t>光大保德信基金管理有限公司</t>
  </si>
  <si>
    <t>招商财富资产管理有限公司</t>
  </si>
  <si>
    <t>长江证券（上海）资产管理有限公司</t>
  </si>
  <si>
    <t>中信建投基金管理有限公司</t>
  </si>
  <si>
    <t>工银瑞信基金管理有限公司</t>
  </si>
  <si>
    <t>平安大华基金管理有限公司</t>
  </si>
  <si>
    <t>诺安基金管理有限公司</t>
  </si>
  <si>
    <t>泰达宏利基金管理有限公司</t>
  </si>
  <si>
    <t>中国银河投资管理有限公司</t>
  </si>
  <si>
    <t>兴证证券资产管理有限公司</t>
  </si>
  <si>
    <t>9:00-12:00</t>
  </si>
  <si>
    <t>鹏华基金管理有限公司</t>
  </si>
  <si>
    <t>8:30-11:30</t>
  </si>
  <si>
    <t>浙江浙商证券资产管理有限公司</t>
  </si>
  <si>
    <t>信达证券股份有限公司</t>
  </si>
  <si>
    <t>华宝信托有限责任公司</t>
  </si>
  <si>
    <t>刘晖</t>
  </si>
  <si>
    <t>深圳平安大华汇通财富管理有限公司</t>
  </si>
  <si>
    <t>http://data.eastmoney.com/notices/detail/601555/AN201601210013220650,JUU0JUI4JTlDJUU1JTkwJUI0JUU4JUFGJTgxJUU1JTg4JUI4.html</t>
  </si>
  <si>
    <t>获配股数</t>
  </si>
  <si>
    <t>http://pdf.dfcfw.com/pdf/H2_AN201601220013248453_1.pdf</t>
  </si>
  <si>
    <t>http://data.eastmoney.com/notices/detail/600468/AN201601270013289839,JUU3JTk5JUJFJUU1JTg4JUE5JUU3JTk0JUI1JUU2JUIwJTk0.html</t>
  </si>
  <si>
    <t>http://data.eastmoney.com/notices/detail/000977/AN201601260013277878,JUU2JUI1JUFBJUU2JUJEJUFFJUU0JUJGJUExJUU2JTgxJUFG.html</t>
  </si>
  <si>
    <t>http://data.eastmoney.com/notices/detail/000046/AN201601280013305353,JUU2JUIzJTlCJUU2JUI1JUI3JUU2JThFJUE3JUU4JTgyJUEx.html</t>
  </si>
  <si>
    <t>http://data.eastmoney.com/notices/detail/600876/AN201602030013383255,JUU2JUI0JTlCJUU5JTk4JUIzJUU3JThFJUJCJUU3JTkyJTgz.html</t>
  </si>
  <si>
    <t>http://data.eastmoney.com/notices/detail/002195/AN201602010013345239,JUU0JUJBJThDJUU0JUI4JTg5JUU1JTlCJTlCJUU0JUJBJTk0.html</t>
  </si>
  <si>
    <t>http://data.eastmoney.com/notices/detail/600328/AN201602040013400640,JUU1JTg1JUIwJUU1JUE0JUFBJUU1JUFFJTlFJUU0JUI4JTlB.html</t>
  </si>
  <si>
    <t>http://data.eastmoney.com/notices/detail/300409/AN201601270013287757,JUU5JTgxJTkzJUU2JUIwJThGJUU2JThBJTgwJUU2JTlDJUFG.html</t>
  </si>
  <si>
    <t>http://data.eastmoney.com/notices/detail/002444/AN201602010013343675,JUU1JUI3JUE4JUU2JTk4JTlGJUU3JUE3JTkxJUU2JThBJTgw.html</t>
  </si>
  <si>
    <t>http://data.eastmoney.com/notices/detail/002280/AN201602010013345724,JUU4JTgxJTk0JUU3JUJCJTlDJUU0JUJBJTkyJUU1JThBJUE4.html</t>
  </si>
  <si>
    <t>http://data.eastmoney.com/notices/detail/002249/AN201602030013381797,JUU1JUE0JUE3JUU2JUI0JThCJUU3JTk0JUI1JUU2JTlDJUJB.html</t>
  </si>
  <si>
    <t>http://data.eastmoney.com/notices/detail/600756/AN201602220013567147,JUU2JUI1JUFBJUU2JUJEJUFFJUU4JUJEJUFGJUU0JUJCJUI2.html</t>
  </si>
  <si>
    <t>博时基金管理有限公司</t>
  </si>
  <si>
    <t>宁波市星通投资管理有限公司</t>
  </si>
  <si>
    <t>http://data.eastmoney.com/notices/detail/000701/AN201602240013593769,JUU1JThFJUE2JUU5JTk3JUE4JUU0JUJGJUExJUU4JUJFJUJF.html</t>
  </si>
  <si>
    <t>http://data.eastmoney.com/notices/detail/002590/AN201602230013579561,JUU0JUI4JTg3JUU1JUFFJTg5JUU3JUE3JTkxJUU2JThBJTgw.html</t>
  </si>
  <si>
    <t>http://data.eastmoney.com/notices/detail/002462/AN201602280013638296,JUU1JTk4JTg5JUU0JUJBJThCJUU1JUEwJTgy.html</t>
  </si>
  <si>
    <t>http://data.eastmoney.com/notices/detail/601599/AN201603040013777711,JUU5JUI5JUJGJUU2JUI4JUFGJUU2JTk2JTg3JUU1JThDJTk2.html</t>
  </si>
  <si>
    <t>http://data.eastmoney.com/notices/detail/002657/AN201603060013789555,JUU0JUI4JUFEJUU3JUE3JTkxJUU5JTg3JTkxJUU4JUI0JUEy.html</t>
  </si>
  <si>
    <t>http://data.eastmoney.com/notices/detail/000791/AN201603070013795488,JUU3JTk0JTk4JUU4JTgyJTgzJUU3JTk0JUI1JUU2JThBJTk1.html</t>
  </si>
  <si>
    <t>http://data.eastmoney.com/notices/detail/300253/AN201603030013763586,JUU1JThEJUFCJUU1JUFFJTgxJUU1JTgxJUE1JUU1JUJBJUI3.html</t>
  </si>
  <si>
    <t>http://data.eastmoney.com/notices/detail/300197/AN201603180013935425,JUU5JTkzJTgxJUU2JUIxJTg5JUU3JTk0JTlGJUU2JTgwJTgx.html</t>
  </si>
  <si>
    <t>http://data.eastmoney.com/notices/detail/002610/AN201603200013947778,JUU3JTg4JUIxJUU1JUJBJUI3JUU3JUE3JTkxJUU2JThBJTgw.html</t>
  </si>
  <si>
    <t>http://data.eastmoney.com/notices/detail/300182/AN201603220014023681,JUU2JThEJUI3JUU2JTg4JTkwJUU4JTgyJUExJUU0JUJCJUJE.html</t>
  </si>
  <si>
    <t>http://data.eastmoney.com/notices/detail/002176/AN201603220014027930,JUU2JUIxJTlGJUU3JTg5JUI5JUU3JTk0JUI1JUU2JTlDJUJB.html</t>
  </si>
  <si>
    <t>8:00至11:00</t>
  </si>
  <si>
    <t>http://data.eastmoney.com/notices/detail/002292/AN201603270014092818,JUU1JUE1JUE1JUU5JUEzJTlFJUU1JUE4JUIxJUU0JUI5JTkw.html</t>
  </si>
  <si>
    <t>http://data.eastmoney.com/notices/detail/600393/AN201603310014178483,JUU3JUIyJUE0JUU2JUIzJUIwJUU4JTgyJUExJUU0JUJCJUJE.html</t>
  </si>
  <si>
    <t>http://data.eastmoney.com/notices/detail/002244/AN201603290014122014,JUU2JUJCJUE4JUU2JUIxJTlGJUU5JTlCJTg2JUU1JTlCJUEy.html</t>
  </si>
  <si>
    <t>解禁日收盘价</t>
  </si>
  <si>
    <t>13:00-17:00</t>
  </si>
  <si>
    <t>http://data.eastmoney.com/notices/detail/300180/AN201603170013919761,JUU1JThEJThFJUU1JUIzJUIwJUU4JUI2JTg1JUU3JUJBJUE0.html</t>
  </si>
  <si>
    <t>http://data.eastmoney.com/notices/detail/002722/AN201604040014216407,JUU5JTg3JTkxJUU4JUJEJUFFJUU4JTgyJUExJUU0JUJCJUJE.html</t>
  </si>
  <si>
    <t>http://data.eastmoney.com/notices/detail/002441/AN201604050014234970,JUU0JUJDJTk3JUU0JUI4JTlBJUU4JUJFJUJF.html</t>
  </si>
  <si>
    <t>http://data.eastmoney.com/notices/detail/300250/AN201604050014237363,JUU1JTg4JTlEJUU3JTgxJUI1JUU0JUJGJUExJUU2JTgxJUFG.html</t>
  </si>
  <si>
    <t>http://data.eastmoney.com/notices/detail/002706/AN201604050014237295,JUU4JTg5JUFGJUU0JUJGJUExJUU3JTk0JUI1JUU1JTk5JUE4.html</t>
  </si>
  <si>
    <t>http://data.eastmoney.com/notices/detail/300377/AN201603230014046195,JUU4JUI1JUEyJUU2JTk3JUI2JUU4JTgzJTlD.html</t>
  </si>
  <si>
    <t>http://data.eastmoney.com/notices/detail/300113/AN201604050014231146,JUU5JUExJUJBJUU3JUJEJTkxJUU3JUE3JTkxJUU2JThBJTgw.html</t>
  </si>
  <si>
    <t>http://data.eastmoney.com/notices/detail/600177/AN201604130014341096,JUU5JTlCJTg1JUU2JTg4JTg4JUU1JUIwJTk0.html</t>
  </si>
  <si>
    <t>13:00—16:00</t>
  </si>
  <si>
    <t>http://data.eastmoney.com/notices/detail/000735/AN201604110014307394,JUU3JUJEJTk3JTIwJUU3JTg5JTlCJTIwJUU1JUIxJUIx.html</t>
  </si>
  <si>
    <t>12:00-15:00</t>
  </si>
  <si>
    <t>http://data.eastmoney.com/notices/detail/002139/AN201604110014310099,JUU2JThCJTkzJUU5JTgyJUE2JUU4JTgyJUExJUU0JUJCJUJE.html</t>
  </si>
  <si>
    <t>13:00-16:00</t>
  </si>
  <si>
    <t>http://data.eastmoney.com/notices/detail/002027/AN201604130014342553,JUU1JTg4JTg2JUU0JUJDJTk3JUU0JUJDJUEwJUU1JUFBJTky.html</t>
  </si>
  <si>
    <t>http://data.eastmoney.com/notices/detail/300236/AN201604150014377774,JUU0JUI4JThBJUU2JUI1JUI3JUU2JTk2JUIwJUU5JTk4JUIz.html</t>
  </si>
  <si>
    <t>http://data.eastmoney.com/notices/detail/002380/AN201604170014390887,JUU3JUE3JTkxJUU4JUJGJTlDJUU2JTk5JUJBJUU2JTg1JUE3.html</t>
  </si>
  <si>
    <t>http://data.eastmoney.com/notices/detail/002617/AN201604140014357425,JUU5JTlDJUIyJUU3JUFDJTkxJUU3JUE3JTkxJUU2JThBJTgw.html</t>
  </si>
  <si>
    <t>9:00-15:00</t>
  </si>
  <si>
    <t>http://data.eastmoney.com/notices/detail/000961/AN201604180014402803,JUU0JUI4JUFEJUU1JThEJTk3JUU1JUJCJUJBJUU4JUFFJUJF.html</t>
  </si>
  <si>
    <t>http://data.eastmoney.com/notices/detail/300388/AN201604080014291325,JUU1JTlCJUJEJUU3JUE1JUFGJUU3JThFJUFGJUU0JUJGJTlE.html</t>
  </si>
  <si>
    <t>http://data.eastmoney.com/notices/detail/300304/AN201604110014308027,JUU0JUJBJTkxJUU2JTg0JThGJUU3JTk0JUI1JUU2JUIwJTk0.html</t>
  </si>
  <si>
    <t>http://data.eastmoney.com/notices/detail/002546/AN201604200014445583,JUU2JTk2JUIwJUU4JTgxJTk0JUU3JTk0JUI1JUU1JUFEJTkw.html</t>
  </si>
  <si>
    <t>http://data.eastmoney.com/notices/detail/000690/AN201604240014507459,JUU1JUFFJTlEJUU2JTk2JUIwJUU4JTgzJUJEJUU2JUJBJTkw.html</t>
  </si>
  <si>
    <t>http://data.eastmoney.com/notices/detail/300343/AN201604250014524361,JUU4JTgxJTk0JUU1JTg4JTlCJUU4JTgyJUExJUU0JUJCJUJE.html</t>
  </si>
  <si>
    <t>http://data.eastmoney.com/notices/detail/300287/AN201604250014524510,JUU5JUEzJTlFJUU1JTg4JUE5JUU0JUJGJUEx.html</t>
  </si>
  <si>
    <t>http://data.eastmoney.com/notices/detail/000887/AN201604280014597041,JUU0JUI4JUFEJUU5JUJDJThFJUU4JTgyJUExJUU0JUJCJUJE.html</t>
  </si>
  <si>
    <t>http://data.eastmoney.com/notices/detail/300055/AN201604200014445569,JUU0JUI4JTg3JUU5JTgyJUE2JUU4JUJFJUJF.html</t>
  </si>
  <si>
    <t>10:00-13:00</t>
  </si>
  <si>
    <t>备注</t>
  </si>
  <si>
    <t>10派0.20元</t>
  </si>
  <si>
    <t>10派0.4元</t>
  </si>
  <si>
    <t>不分配不转增</t>
  </si>
  <si>
    <t>没有, 按11:30算</t>
  </si>
  <si>
    <t>易方达基金管理有限公司</t>
  </si>
  <si>
    <t>新华资产管理股份有限公司</t>
  </si>
  <si>
    <t>华商基金管理有限公司</t>
  </si>
  <si>
    <t>嘉实基金管理有限公司</t>
  </si>
  <si>
    <t>泓德基金管理有限公司</t>
  </si>
  <si>
    <t>广发证券资产管理（广东）有限公司</t>
  </si>
  <si>
    <t>获配金额（亿元）</t>
  </si>
  <si>
    <t/>
  </si>
  <si>
    <t>国泰基金管理有限公司</t>
  </si>
  <si>
    <t>信达澳银基金管理有限公司</t>
  </si>
  <si>
    <t>中欧盛世资产管理（上海）有限公司</t>
  </si>
  <si>
    <t>10派0.30元</t>
  </si>
  <si>
    <t>10派2元</t>
  </si>
  <si>
    <t>10派2.5元</t>
  </si>
  <si>
    <t>10派1.50元</t>
  </si>
  <si>
    <t>10转10股派0.5元</t>
  </si>
  <si>
    <t>10派0.6元</t>
  </si>
  <si>
    <t>10派1.00元</t>
  </si>
  <si>
    <t>10派3元</t>
  </si>
  <si>
    <t>10派5.4元</t>
  </si>
  <si>
    <t>10派0.11元</t>
  </si>
  <si>
    <t>10派0.50元</t>
  </si>
  <si>
    <t>10转10股派1.00元</t>
  </si>
  <si>
    <t>10转10股派1.5元</t>
  </si>
  <si>
    <t>10转15股派1.50元</t>
  </si>
  <si>
    <t>10派0.95元</t>
  </si>
  <si>
    <t>10派0.55元</t>
  </si>
  <si>
    <t>10转1股派1元,10转5股</t>
  </si>
  <si>
    <t>10派1元,10转30股</t>
  </si>
  <si>
    <t>10转4.996546股派0.899378元</t>
  </si>
  <si>
    <t>10派0.33元</t>
  </si>
  <si>
    <t>10派0.3元</t>
  </si>
  <si>
    <t>10派0.90元</t>
  </si>
  <si>
    <t>10派1.1元</t>
  </si>
  <si>
    <t>10转9.9229858426股派2.579976319元</t>
  </si>
  <si>
    <t>10转10股派5元</t>
  </si>
  <si>
    <t>10转12.6167股派2.426289元</t>
  </si>
  <si>
    <t>10派8.00元</t>
  </si>
  <si>
    <t>10转5股派1.5元</t>
  </si>
  <si>
    <t>10转10股派2.5元</t>
  </si>
  <si>
    <t>10转7股派0.4元</t>
  </si>
  <si>
    <t>10转15股派0.4</t>
  </si>
  <si>
    <t>10派0.5元</t>
  </si>
  <si>
    <t>10派2.00元</t>
  </si>
  <si>
    <t>10转27股派2元</t>
  </si>
  <si>
    <t>10派0.28元</t>
  </si>
  <si>
    <t>10派0.8元</t>
  </si>
  <si>
    <t>10派0.15元</t>
  </si>
  <si>
    <t>时间</t>
  </si>
  <si>
    <t>报价日期</t>
  </si>
  <si>
    <t>发行折扣</t>
  </si>
  <si>
    <t>底价折扣</t>
  </si>
  <si>
    <t>中国长城资产管理公司</t>
  </si>
  <si>
    <t>金鹰基金管理有限公司</t>
  </si>
  <si>
    <t>天弘基金管理有限公司</t>
  </si>
  <si>
    <t>恒泰证券股份有限公司</t>
  </si>
  <si>
    <t>张怀斌</t>
  </si>
  <si>
    <t>安徽省铁路建设投资基金有限公司</t>
  </si>
  <si>
    <t>重庆信三威投资咨询中心（有限合伙）</t>
  </si>
  <si>
    <t>安徽大安投资管理有限公司</t>
  </si>
  <si>
    <t>鹏华资产管理（深圳）有限公司</t>
  </si>
  <si>
    <t>10派0.22元</t>
  </si>
  <si>
    <t>获配股数 (万)</t>
  </si>
  <si>
    <t>申购金额(亿)</t>
  </si>
  <si>
    <t>获配金额(亿)</t>
  </si>
  <si>
    <r>
      <rPr>
        <b/>
        <sz val="11"/>
        <color theme="0" tint="-4.9989318521683403E-2"/>
        <rFont val="Microsoft JhengHei"/>
        <family val="2"/>
        <charset val="136"/>
      </rPr>
      <t>序号</t>
    </r>
  </si>
  <si>
    <r>
      <rPr>
        <b/>
        <sz val="11"/>
        <color theme="0" tint="-4.9989318521683403E-2"/>
        <rFont val="Microsoft JhengHei"/>
        <family val="2"/>
        <charset val="136"/>
      </rPr>
      <t>询价对象名称</t>
    </r>
  </si>
  <si>
    <r>
      <rPr>
        <b/>
        <sz val="11"/>
        <color theme="0" tint="-4.9989318521683403E-2"/>
        <rFont val="Microsoft JhengHei"/>
        <family val="2"/>
        <charset val="136"/>
      </rPr>
      <t>申购金额
（万元）</t>
    </r>
  </si>
  <si>
    <r>
      <rPr>
        <b/>
        <sz val="12"/>
        <color theme="0" tint="-4.9989318521683403E-2"/>
        <rFont val="Microsoft JhengHei"/>
        <family val="2"/>
        <charset val="136"/>
      </rPr>
      <t>序号</t>
    </r>
  </si>
  <si>
    <t>-</t>
  </si>
  <si>
    <t>富国基金管理有限公司</t>
  </si>
  <si>
    <t>投资者名称</t>
  </si>
  <si>
    <t>江信基金管理有限公司</t>
  </si>
  <si>
    <r>
      <rPr>
        <b/>
        <sz val="10.5"/>
        <color theme="0" tint="-4.9989318521683403E-2"/>
        <rFont val="Microsoft JhengHei"/>
        <family val="2"/>
        <charset val="136"/>
      </rPr>
      <t>序号</t>
    </r>
  </si>
  <si>
    <t>东方汇智资产管理有限公司</t>
  </si>
  <si>
    <t>信诚基金管理有限公司</t>
  </si>
  <si>
    <r>
      <rPr>
        <b/>
        <sz val="10.5"/>
        <color theme="0" tint="-4.9989318521683403E-2"/>
        <rFont val="Microsoft JhengHei"/>
        <family val="2"/>
        <charset val="136"/>
      </rPr>
      <t>认购金额
（万元）</t>
    </r>
  </si>
  <si>
    <r>
      <rPr>
        <b/>
        <sz val="10.5"/>
        <color theme="0" tint="-4.9989318521683403E-2"/>
        <rFont val="Microsoft JhengHei"/>
        <family val="2"/>
        <charset val="136"/>
      </rPr>
      <t>获配投资者名称</t>
    </r>
  </si>
  <si>
    <r>
      <rPr>
        <b/>
        <sz val="10.5"/>
        <color theme="0" tint="-4.9989318521683403E-2"/>
        <rFont val="Microsoft JhengHei"/>
        <family val="2"/>
        <charset val="136"/>
      </rPr>
      <t>获配股数
（股）</t>
    </r>
  </si>
  <si>
    <r>
      <rPr>
        <b/>
        <sz val="10.5"/>
        <color theme="0" tint="-4.9989318521683403E-2"/>
        <rFont val="Microsoft JhengHei"/>
        <family val="2"/>
        <charset val="136"/>
      </rPr>
      <t>获配金额
（元）</t>
    </r>
  </si>
  <si>
    <r>
      <rPr>
        <b/>
        <sz val="10.5"/>
        <color theme="0" tint="-4.9989318521683403E-2"/>
        <rFont val="Microsoft JhengHei"/>
        <family val="2"/>
        <charset val="136"/>
      </rPr>
      <t>单号</t>
    </r>
  </si>
  <si>
    <r>
      <rPr>
        <b/>
        <sz val="10.5"/>
        <color theme="0" tint="-4.9989318521683403E-2"/>
        <rFont val="Microsoft JhengHei"/>
        <family val="2"/>
        <charset val="136"/>
      </rPr>
      <t>投资者名称</t>
    </r>
  </si>
  <si>
    <r>
      <rPr>
        <b/>
        <sz val="10.5"/>
        <color theme="0" tint="-4.9989318521683403E-2"/>
        <rFont val="Microsoft JhengHei"/>
        <family val="2"/>
        <charset val="136"/>
      </rPr>
      <t>申购价格
（元</t>
    </r>
    <r>
      <rPr>
        <b/>
        <sz val="10.5"/>
        <color theme="0" tint="-4.9989318521683403E-2"/>
        <rFont val="Arial"/>
        <family val="2"/>
      </rPr>
      <t>/</t>
    </r>
    <r>
      <rPr>
        <b/>
        <sz val="10.5"/>
        <color theme="0" tint="-4.9989318521683403E-2"/>
        <rFont val="Microsoft JhengHei"/>
        <family val="2"/>
        <charset val="136"/>
      </rPr>
      <t>股）</t>
    </r>
  </si>
  <si>
    <r>
      <rPr>
        <b/>
        <sz val="10.5"/>
        <color theme="0" tint="-4.9989318521683403E-2"/>
        <rFont val="Microsoft JhengHei"/>
        <family val="2"/>
        <charset val="136"/>
      </rPr>
      <t>申购金额
（万元）</t>
    </r>
  </si>
  <si>
    <t>华融证券股份有限公司</t>
  </si>
  <si>
    <t>北京永安财富投资基金管理有限公司</t>
  </si>
  <si>
    <t>南京瑞达信沨股权投资合伙企业（有限合伙）</t>
  </si>
  <si>
    <r>
      <rPr>
        <b/>
        <sz val="9"/>
        <color theme="0" tint="-4.9989318521683403E-2"/>
        <rFont val="Microsoft JhengHei"/>
        <family val="2"/>
        <charset val="136"/>
      </rPr>
      <t>序号</t>
    </r>
  </si>
  <si>
    <r>
      <rPr>
        <b/>
        <sz val="12"/>
        <color theme="0" tint="-4.9989318521683403E-2"/>
        <rFont val="Microsoft JhengHei"/>
        <family val="2"/>
        <charset val="136"/>
      </rPr>
      <t>询价对象名称</t>
    </r>
  </si>
  <si>
    <t>华富基金管理有限公司</t>
  </si>
  <si>
    <t>博时资本管理有限公司</t>
  </si>
  <si>
    <t>中信证券股份有限公司</t>
  </si>
  <si>
    <t>上银基金管理有限公司</t>
  </si>
  <si>
    <r>
      <rPr>
        <b/>
        <sz val="10.5"/>
        <color theme="0" tint="-4.9989318521683403E-2"/>
        <rFont val="Microsoft JhengHei"/>
        <family val="2"/>
        <charset val="136"/>
      </rPr>
      <t>申购对象</t>
    </r>
  </si>
  <si>
    <r>
      <rPr>
        <b/>
        <sz val="10.5"/>
        <color theme="0" tint="-4.9989318521683403E-2"/>
        <rFont val="Microsoft JhengHei"/>
        <family val="2"/>
        <charset val="136"/>
      </rPr>
      <t>认购对象</t>
    </r>
  </si>
  <si>
    <t>国华人寿保险股份有限公司</t>
  </si>
  <si>
    <t>南方基金管理有限公司</t>
  </si>
  <si>
    <t>投资者全称</t>
  </si>
  <si>
    <t>获配股数（股）</t>
  </si>
  <si>
    <t>询价对象名称</t>
  </si>
  <si>
    <r>
      <rPr>
        <b/>
        <sz val="11"/>
        <color theme="0" tint="-4.9989318521683403E-2"/>
        <rFont val="Microsoft JhengHei"/>
        <family val="2"/>
        <charset val="136"/>
      </rPr>
      <t>获配投资者名称</t>
    </r>
  </si>
  <si>
    <r>
      <rPr>
        <b/>
        <sz val="11"/>
        <color theme="0" tint="-4.9989318521683403E-2"/>
        <rFont val="Microsoft JhengHei"/>
        <family val="2"/>
        <charset val="136"/>
      </rPr>
      <t>获配股数（股）</t>
    </r>
  </si>
  <si>
    <t>控股股东</t>
  </si>
  <si>
    <t>平安资产管理有限责任公司</t>
  </si>
  <si>
    <t>西藏自治区投资有限公司</t>
  </si>
  <si>
    <r>
      <rPr>
        <b/>
        <sz val="10.5"/>
        <color theme="0" tint="-4.9989318521683403E-2"/>
        <rFont val="Microsoft JhengHei"/>
        <family val="2"/>
        <charset val="136"/>
      </rPr>
      <t>认购金额（元）</t>
    </r>
  </si>
  <si>
    <r>
      <rPr>
        <b/>
        <sz val="10.5"/>
        <color theme="0" tint="-4.9989318521683403E-2"/>
        <rFont val="Microsoft JhengHei"/>
        <family val="2"/>
        <charset val="136"/>
      </rPr>
      <t>发行对象</t>
    </r>
  </si>
  <si>
    <t>宝盈基金管理有限公司</t>
  </si>
  <si>
    <t>北京泰生鸿明投资中心（有限合伙）</t>
  </si>
  <si>
    <r>
      <rPr>
        <b/>
        <sz val="10.5"/>
        <color theme="0" tint="-4.9989318521683403E-2"/>
        <rFont val="Microsoft JhengHei"/>
        <family val="2"/>
        <charset val="136"/>
      </rPr>
      <t>获配数量（股）</t>
    </r>
  </si>
  <si>
    <r>
      <rPr>
        <b/>
        <sz val="11"/>
        <color theme="0" tint="-4.9989318521683403E-2"/>
        <rFont val="Microsoft JhengHei"/>
        <family val="2"/>
        <charset val="136"/>
      </rPr>
      <t>发行对象名称</t>
    </r>
  </si>
  <si>
    <t>北信瑞丰基金管理有限公司</t>
  </si>
  <si>
    <t>长安基金管理有限公司</t>
  </si>
  <si>
    <r>
      <rPr>
        <b/>
        <sz val="10.5"/>
        <color theme="0" tint="-4.9989318521683403E-2"/>
        <rFont val="Microsoft JhengHei"/>
        <family val="2"/>
        <charset val="136"/>
      </rPr>
      <t>投资者全称</t>
    </r>
  </si>
  <si>
    <r>
      <rPr>
        <b/>
        <sz val="10.5"/>
        <color theme="0" tint="-4.9989318521683403E-2"/>
        <rFont val="Microsoft JhengHei"/>
        <family val="2"/>
        <charset val="136"/>
      </rPr>
      <t>申购价格
（元）</t>
    </r>
  </si>
  <si>
    <r>
      <rPr>
        <b/>
        <sz val="10.5"/>
        <color theme="0" tint="-4.9989318521683403E-2"/>
        <rFont val="Microsoft JhengHei"/>
        <family val="2"/>
        <charset val="136"/>
      </rPr>
      <t>机构名称</t>
    </r>
  </si>
  <si>
    <r>
      <rPr>
        <b/>
        <sz val="10.5"/>
        <color theme="0" tint="-4.9989318521683403E-2"/>
        <rFont val="Microsoft JhengHei"/>
        <family val="2"/>
        <charset val="136"/>
      </rPr>
      <t>申购价格
（元</t>
    </r>
    <r>
      <rPr>
        <b/>
        <sz val="10.5"/>
        <color theme="0" tint="-4.9989318521683403E-2"/>
        <rFont val="Times New Roman"/>
        <family val="1"/>
      </rPr>
      <t>/</t>
    </r>
    <r>
      <rPr>
        <b/>
        <sz val="10.5"/>
        <color theme="0" tint="-4.9989318521683403E-2"/>
        <rFont val="Microsoft JhengHei"/>
        <family val="2"/>
        <charset val="136"/>
      </rPr>
      <t>股）</t>
    </r>
  </si>
  <si>
    <r>
      <rPr>
        <b/>
        <sz val="10.5"/>
        <color theme="0" tint="-4.9989318521683403E-2"/>
        <rFont val="Microsoft JhengHei"/>
        <family val="2"/>
        <charset val="136"/>
      </rPr>
      <t>申购金额
（元）</t>
    </r>
  </si>
  <si>
    <r>
      <rPr>
        <b/>
        <sz val="10"/>
        <color theme="0" tint="-4.9989318521683403E-2"/>
        <rFont val="Microsoft JhengHei"/>
        <family val="2"/>
        <charset val="136"/>
      </rPr>
      <t>序号</t>
    </r>
  </si>
  <si>
    <r>
      <rPr>
        <b/>
        <sz val="10"/>
        <color theme="0" tint="-4.9989318521683403E-2"/>
        <rFont val="Microsoft JhengHei"/>
        <family val="2"/>
        <charset val="136"/>
      </rPr>
      <t>发行对象名称</t>
    </r>
  </si>
  <si>
    <r>
      <rPr>
        <b/>
        <sz val="10.5"/>
        <color theme="0" tint="-4.9989318521683403E-2"/>
        <rFont val="Microsoft JhengHei"/>
        <family val="2"/>
        <charset val="136"/>
      </rPr>
      <t>询价对象名称</t>
    </r>
  </si>
  <si>
    <t>序
号</t>
  </si>
  <si>
    <t>申购对象</t>
  </si>
  <si>
    <t>招商基金管理有限公司</t>
  </si>
  <si>
    <t>认购对象</t>
  </si>
  <si>
    <t>获配股数
（股）</t>
  </si>
  <si>
    <t>民生通惠资产管理有限公司</t>
  </si>
  <si>
    <t>兴业财富资产管理有限公司</t>
  </si>
  <si>
    <t>诺安基金管理有
限公司</t>
  </si>
  <si>
    <t>配售股数（股）</t>
  </si>
  <si>
    <t>北京中吉金投资产管理有限公司</t>
  </si>
  <si>
    <t>申购价格
（元/股）</t>
  </si>
  <si>
    <t>洪涛</t>
  </si>
  <si>
    <t>华安未来资产管理（上海）有限公司</t>
  </si>
  <si>
    <t>华龙证券股份有限公司</t>
  </si>
  <si>
    <t>获配数量
（股）</t>
  </si>
  <si>
    <t>长信基金管理有限责任公司</t>
  </si>
  <si>
    <t>中广核资本控股有限公司</t>
  </si>
  <si>
    <t>广发基金管理有限公司</t>
  </si>
  <si>
    <r>
      <rPr>
        <b/>
        <sz val="10.5"/>
        <color theme="0" tint="-4.9989318521683403E-2"/>
        <rFont val="Microsoft JhengHei"/>
        <family val="2"/>
        <charset val="136"/>
      </rPr>
      <t>申购金额（元）</t>
    </r>
  </si>
  <si>
    <r>
      <rPr>
        <b/>
        <sz val="9"/>
        <color theme="0" tint="-4.9989318521683403E-2"/>
        <rFont val="Microsoft JhengHei"/>
        <family val="2"/>
        <charset val="136"/>
      </rPr>
      <t>发行对象</t>
    </r>
  </si>
  <si>
    <r>
      <rPr>
        <b/>
        <sz val="10"/>
        <color theme="0" tint="-4.9989318521683403E-2"/>
        <rFont val="Microsoft JhengHei"/>
        <family val="2"/>
        <charset val="136"/>
      </rPr>
      <t>是否足额及时缴纳保
证金</t>
    </r>
  </si>
  <si>
    <r>
      <rPr>
        <b/>
        <sz val="10"/>
        <color theme="0" tint="-4.9989318521683403E-2"/>
        <rFont val="Microsoft JhengHei"/>
        <family val="2"/>
        <charset val="136"/>
      </rPr>
      <t xml:space="preserve">申购价格
</t>
    </r>
    <r>
      <rPr>
        <b/>
        <sz val="10"/>
        <color theme="0" tint="-4.9989318521683403E-2"/>
        <rFont val="Times New Roman"/>
        <family val="1"/>
      </rPr>
      <t>(</t>
    </r>
    <r>
      <rPr>
        <b/>
        <sz val="10"/>
        <color theme="0" tint="-4.9989318521683403E-2"/>
        <rFont val="Microsoft JhengHei"/>
        <family val="2"/>
        <charset val="136"/>
      </rPr>
      <t>元</t>
    </r>
    <r>
      <rPr>
        <b/>
        <sz val="10"/>
        <color theme="0" tint="-4.9989318521683403E-2"/>
        <rFont val="Times New Roman"/>
        <family val="1"/>
      </rPr>
      <t>/</t>
    </r>
    <r>
      <rPr>
        <b/>
        <sz val="10"/>
        <color theme="0" tint="-4.9989318521683403E-2"/>
        <rFont val="Microsoft JhengHei"/>
        <family val="2"/>
        <charset val="136"/>
      </rPr>
      <t>股</t>
    </r>
    <r>
      <rPr>
        <b/>
        <sz val="10"/>
        <color theme="0" tint="-4.9989318521683403E-2"/>
        <rFont val="Times New Roman"/>
        <family val="1"/>
      </rPr>
      <t>)</t>
    </r>
  </si>
  <si>
    <r>
      <rPr>
        <b/>
        <sz val="10.5"/>
        <color theme="0" tint="-4.9989318521683403E-2"/>
        <rFont val="Microsoft JhengHei"/>
        <family val="2"/>
        <charset val="136"/>
      </rPr>
      <t>名称</t>
    </r>
  </si>
  <si>
    <r>
      <rPr>
        <b/>
        <sz val="10.5"/>
        <color theme="0" tint="-4.9989318521683403E-2"/>
        <rFont val="Microsoft JhengHei"/>
        <family val="2"/>
        <charset val="136"/>
      </rPr>
      <t>发行对象名称</t>
    </r>
  </si>
  <si>
    <t>耿晓菲</t>
  </si>
  <si>
    <t>安信基金管理有限责任公司</t>
  </si>
  <si>
    <r>
      <rPr>
        <b/>
        <sz val="10.5"/>
        <color theme="0" tint="-4.9989318521683403E-2"/>
        <rFont val="Microsoft JhengHei"/>
        <family val="2"/>
        <charset val="136"/>
      </rPr>
      <t>参与报价投资者名称</t>
    </r>
  </si>
  <si>
    <t>上海北信瑞丰资产管理有限公司</t>
  </si>
  <si>
    <r>
      <rPr>
        <b/>
        <sz val="11"/>
        <color theme="0" tint="-4.9989318521683403E-2"/>
        <rFont val="Microsoft JhengHei"/>
        <family val="2"/>
        <charset val="136"/>
      </rPr>
      <t>最终获配股数
（股）</t>
    </r>
  </si>
  <si>
    <r>
      <rPr>
        <b/>
        <sz val="10"/>
        <color theme="0" tint="-4.9989318521683403E-2"/>
        <rFont val="Microsoft JhengHei"/>
        <family val="2"/>
        <charset val="136"/>
      </rPr>
      <t>投资者名称</t>
    </r>
  </si>
  <si>
    <r>
      <rPr>
        <b/>
        <sz val="10.5"/>
        <color theme="0" tint="-4.9989318521683403E-2"/>
        <rFont val="Microsoft JhengHei"/>
        <family val="2"/>
        <charset val="136"/>
      </rPr>
      <t>认购对象名称</t>
    </r>
  </si>
  <si>
    <r>
      <rPr>
        <b/>
        <sz val="10.5"/>
        <color theme="0" tint="-4.9989318521683403E-2"/>
        <rFont val="Microsoft JhengHei"/>
        <family val="2"/>
        <charset val="136"/>
      </rPr>
      <t>获配股数（股）</t>
    </r>
  </si>
  <si>
    <t>是</t>
  </si>
  <si>
    <t>西藏康盛投资管理有限公司</t>
  </si>
  <si>
    <t>不适用</t>
  </si>
  <si>
    <t>否</t>
  </si>
  <si>
    <t>上海博道投资管理有限公司</t>
  </si>
  <si>
    <t>上海金元百利资产管理有限公司</t>
  </si>
  <si>
    <t>东莞证券股份有限公司</t>
  </si>
  <si>
    <t>西部证券股份有限公司</t>
  </si>
  <si>
    <t>新华人寿保险股份有限公司</t>
  </si>
  <si>
    <t>上海朴易资产管理有限公司</t>
  </si>
  <si>
    <t>上海诚鼎扬子投资合伙企业
（有限合伙）</t>
  </si>
  <si>
    <t>安徽国元信托有限责任公司</t>
  </si>
  <si>
    <t>上海长江财富资产管理有限公司</t>
  </si>
  <si>
    <t>国联证券股份有限公司</t>
  </si>
  <si>
    <t>获配对象</t>
  </si>
  <si>
    <t>申购金额（万元）</t>
  </si>
  <si>
    <t>申购价格（元/
股）</t>
  </si>
  <si>
    <t>控股股东不参与竞价的</t>
  </si>
  <si>
    <t>荣继华</t>
  </si>
  <si>
    <t>大连乾阳科技有限公司</t>
  </si>
  <si>
    <t>北京中京伟业投资管理有限责任公司</t>
  </si>
  <si>
    <t>天津联亿乾坤贸易有限公司</t>
  </si>
  <si>
    <r>
      <rPr>
        <b/>
        <sz val="9"/>
        <color theme="0" tint="-4.9989318521683403E-2"/>
        <rFont val="Microsoft JhengHei"/>
        <family val="2"/>
        <charset val="136"/>
      </rPr>
      <t>获配股数（股）</t>
    </r>
  </si>
  <si>
    <t>申购金额</t>
  </si>
  <si>
    <r>
      <rPr>
        <sz val="11"/>
        <color theme="0" tint="-4.9989318521683403E-2"/>
        <rFont val="SimSun"/>
        <family val="3"/>
        <charset val="134"/>
      </rPr>
      <t>西藏瑞华投资发
展有限公司</t>
    </r>
  </si>
  <si>
    <t>国寿安保基金管理有限公司</t>
  </si>
  <si>
    <r>
      <rPr>
        <sz val="11"/>
        <color theme="0" tint="-4.9989318521683403E-2"/>
        <rFont val="SimSun"/>
        <family val="3"/>
        <charset val="134"/>
      </rPr>
      <t>诺安基金管理有
限公司</t>
    </r>
  </si>
  <si>
    <r>
      <rPr>
        <sz val="11"/>
        <color theme="0" tint="-4.9989318521683403E-2"/>
        <rFont val="SimSun"/>
        <family val="3"/>
        <charset val="134"/>
      </rPr>
      <t>上海长江财富资产管理有限
公司</t>
    </r>
  </si>
  <si>
    <t>朱新明</t>
  </si>
  <si>
    <r>
      <rPr>
        <sz val="11"/>
        <color theme="0" tint="-4.9989318521683403E-2"/>
        <rFont val="SimSun"/>
        <family val="3"/>
        <charset val="134"/>
      </rPr>
      <t>民生通惠资产管
理有限公司</t>
    </r>
  </si>
  <si>
    <r>
      <rPr>
        <sz val="11"/>
        <color theme="0" tint="-4.9989318521683403E-2"/>
        <rFont val="SimSun"/>
        <family val="3"/>
        <charset val="134"/>
      </rPr>
      <t>申万宏源证券有
限公司</t>
    </r>
  </si>
  <si>
    <r>
      <rPr>
        <sz val="11"/>
        <color theme="0" tint="-4.9989318521683403E-2"/>
        <rFont val="SimSun"/>
        <family val="3"/>
        <charset val="134"/>
      </rPr>
      <t>兴业全球基金管
理有限公司</t>
    </r>
  </si>
  <si>
    <t>获配数量（股）</t>
  </si>
  <si>
    <t>申购时间</t>
  </si>
  <si>
    <r>
      <rPr>
        <sz val="10.5"/>
        <color theme="0" tint="-4.9989318521683403E-2"/>
        <rFont val="SimSun"/>
        <family val="3"/>
        <charset val="134"/>
      </rPr>
      <t>申购金额
（万元）</t>
    </r>
  </si>
  <si>
    <r>
      <rPr>
        <sz val="10.5"/>
        <color theme="0" tint="-4.9989318521683403E-2"/>
        <rFont val="SimSun"/>
        <family val="3"/>
        <charset val="134"/>
      </rPr>
      <t>认购价格
（元）</t>
    </r>
  </si>
  <si>
    <t>申购对象名称</t>
  </si>
  <si>
    <t>顾子皿</t>
  </si>
  <si>
    <r>
      <rPr>
        <sz val="11"/>
        <color theme="0" tint="-4.9989318521683403E-2"/>
        <rFont val="SimSun"/>
        <family val="3"/>
        <charset val="134"/>
      </rPr>
      <t>深圳中植产投互联网金融投资企业（有限
合伙）</t>
    </r>
  </si>
  <si>
    <t>民生加银基金管理有限公司</t>
  </si>
  <si>
    <t>湖州泽瑞投资管理合伙企业（有限合伙）</t>
  </si>
  <si>
    <t>深圳中植产投互联网金融投资企业（有限
合伙）</t>
  </si>
  <si>
    <r>
      <rPr>
        <b/>
        <sz val="10.5"/>
        <color theme="0" tint="-4.9989318521683403E-2"/>
        <rFont val="Microsoft JhengHei"/>
        <family val="2"/>
        <charset val="136"/>
      </rPr>
      <t>获配股数（万股）</t>
    </r>
  </si>
  <si>
    <r>
      <rPr>
        <b/>
        <sz val="10.5"/>
        <color theme="0" tint="-4.9989318521683403E-2"/>
        <rFont val="Microsoft JhengHei"/>
        <family val="2"/>
        <charset val="136"/>
      </rPr>
      <t>获配对象名称</t>
    </r>
  </si>
  <si>
    <t>申购资金总额
（万元）</t>
  </si>
  <si>
    <t>申报价格
（元/股）</t>
  </si>
  <si>
    <t>询价对象</t>
  </si>
  <si>
    <t>国盈资产管理有限公司</t>
  </si>
  <si>
    <r>
      <rPr>
        <sz val="11"/>
        <color theme="0" tint="-4.9989318521683403E-2"/>
        <rFont val="SimSun"/>
        <family val="3"/>
        <charset val="134"/>
      </rPr>
      <t>北京韬蕴八号产业投资管理中心（有限
合伙）</t>
    </r>
  </si>
  <si>
    <t>蒋根青</t>
  </si>
  <si>
    <t>陈剑锋</t>
  </si>
  <si>
    <t>吴文莉</t>
  </si>
  <si>
    <r>
      <rPr>
        <sz val="11"/>
        <color theme="0" tint="-4.9989318521683403E-2"/>
        <rFont val="SimSun"/>
        <family val="3"/>
        <charset val="134"/>
      </rPr>
      <t>东源（天津）股权投资基金管理股份有
限公司</t>
    </r>
  </si>
  <si>
    <r>
      <rPr>
        <sz val="11"/>
        <color theme="0" tint="-4.9989318521683403E-2"/>
        <rFont val="SimSun"/>
        <family val="3"/>
        <charset val="134"/>
      </rPr>
      <t>国商融通（北京）投资基金管理有限公
司</t>
    </r>
  </si>
  <si>
    <t>西部信托有限公司</t>
  </si>
  <si>
    <t>钢研大慧投资有限公司</t>
  </si>
  <si>
    <r>
      <rPr>
        <b/>
        <sz val="9"/>
        <color theme="0" tint="-4.9989318521683403E-2"/>
        <rFont val="Microsoft JhengHei"/>
        <family val="2"/>
        <charset val="136"/>
      </rPr>
      <t>林芝锦华投资管理
有限公司</t>
    </r>
  </si>
  <si>
    <r>
      <rPr>
        <b/>
        <sz val="9"/>
        <color theme="0" tint="-4.9989318521683403E-2"/>
        <rFont val="Microsoft JhengHei"/>
        <family val="2"/>
        <charset val="136"/>
      </rPr>
      <t>德邦创新资本有限
责任公司</t>
    </r>
  </si>
  <si>
    <r>
      <rPr>
        <b/>
        <sz val="9"/>
        <color theme="0" tint="-4.9989318521683403E-2"/>
        <rFont val="Microsoft JhengHei"/>
        <family val="2"/>
        <charset val="136"/>
      </rPr>
      <t>财通基金管理有限公司</t>
    </r>
  </si>
  <si>
    <t>润海投资有限公司</t>
  </si>
  <si>
    <r>
      <rPr>
        <b/>
        <sz val="9"/>
        <color theme="0" tint="-4.9989318521683403E-2"/>
        <rFont val="Microsoft JhengHei"/>
        <family val="2"/>
        <charset val="136"/>
      </rPr>
      <t>华安未来资产（上海）有限公司</t>
    </r>
  </si>
  <si>
    <r>
      <rPr>
        <sz val="9"/>
        <color theme="0" tint="-4.9989318521683403E-2"/>
        <rFont val="SimSun"/>
        <family val="3"/>
        <charset val="134"/>
      </rPr>
      <t>东海瑞京资产管理
（上海）有限公司</t>
    </r>
  </si>
  <si>
    <r>
      <rPr>
        <b/>
        <sz val="9"/>
        <color theme="0" tint="-4.9989318521683403E-2"/>
        <rFont val="Microsoft JhengHei"/>
        <family val="2"/>
        <charset val="136"/>
      </rPr>
      <t>建信基金管理有限
责任公司</t>
    </r>
  </si>
  <si>
    <r>
      <rPr>
        <b/>
        <sz val="9"/>
        <color theme="0" tint="-4.9989318521683403E-2"/>
        <rFont val="Microsoft JhengHei"/>
        <family val="2"/>
        <charset val="136"/>
      </rPr>
      <t>泰达宏利基金管理有限公司</t>
    </r>
  </si>
  <si>
    <r>
      <rPr>
        <b/>
        <sz val="9"/>
        <color theme="0" tint="-4.9989318521683403E-2"/>
        <rFont val="Microsoft JhengHei"/>
        <family val="2"/>
        <charset val="136"/>
      </rPr>
      <t>中国银河证券股份
有限公司</t>
    </r>
  </si>
  <si>
    <r>
      <rPr>
        <b/>
        <sz val="9"/>
        <color theme="0" tint="-4.9989318521683403E-2"/>
        <rFont val="Microsoft JhengHei"/>
        <family val="2"/>
        <charset val="136"/>
      </rPr>
      <t>新华联控股有限公
司</t>
    </r>
  </si>
  <si>
    <r>
      <rPr>
        <sz val="9"/>
        <color theme="0" tint="-4.9989318521683403E-2"/>
        <rFont val="SimSun"/>
        <family val="3"/>
        <charset val="134"/>
      </rPr>
      <t>海通证券股份有限
公司</t>
    </r>
  </si>
  <si>
    <r>
      <rPr>
        <sz val="9"/>
        <color theme="0" tint="-4.9989318521683403E-2"/>
        <rFont val="SimSun"/>
        <family val="3"/>
        <charset val="134"/>
      </rPr>
      <t>信泰人寿保险股份
有限公司</t>
    </r>
  </si>
  <si>
    <r>
      <rPr>
        <b/>
        <sz val="9"/>
        <color theme="0" tint="-4.9989318521683403E-2"/>
        <rFont val="Microsoft JhengHei"/>
        <family val="2"/>
        <charset val="136"/>
      </rPr>
      <t>获配股数</t>
    </r>
    <r>
      <rPr>
        <b/>
        <sz val="9"/>
        <color theme="0" tint="-4.9989318521683403E-2"/>
        <rFont val="Times New Roman"/>
        <family val="1"/>
      </rPr>
      <t>(</t>
    </r>
    <r>
      <rPr>
        <b/>
        <sz val="9"/>
        <color theme="0" tint="-4.9989318521683403E-2"/>
        <rFont val="Microsoft JhengHei"/>
        <family val="2"/>
        <charset val="136"/>
      </rPr>
      <t>股）</t>
    </r>
  </si>
  <si>
    <r>
      <rPr>
        <b/>
        <sz val="9"/>
        <color theme="0" tint="-4.9989318521683403E-2"/>
        <rFont val="Microsoft JhengHei"/>
        <family val="2"/>
        <charset val="136"/>
      </rPr>
      <t xml:space="preserve">申购金额
</t>
    </r>
    <r>
      <rPr>
        <b/>
        <sz val="9"/>
        <color theme="0" tint="-4.9989318521683403E-2"/>
        <rFont val="Times New Roman"/>
        <family val="1"/>
      </rPr>
      <t>(</t>
    </r>
    <r>
      <rPr>
        <b/>
        <sz val="9"/>
        <color theme="0" tint="-4.9989318521683403E-2"/>
        <rFont val="Microsoft JhengHei"/>
        <family val="2"/>
        <charset val="136"/>
      </rPr>
      <t>万元</t>
    </r>
    <r>
      <rPr>
        <b/>
        <sz val="9"/>
        <color theme="0" tint="-4.9989318521683403E-2"/>
        <rFont val="Times New Roman"/>
        <family val="1"/>
      </rPr>
      <t>)</t>
    </r>
  </si>
  <si>
    <r>
      <rPr>
        <b/>
        <sz val="9"/>
        <color theme="0" tint="-4.9989318521683403E-2"/>
        <rFont val="Microsoft JhengHei"/>
        <family val="2"/>
        <charset val="136"/>
      </rPr>
      <t xml:space="preserve">申购价格
</t>
    </r>
    <r>
      <rPr>
        <b/>
        <sz val="9"/>
        <color theme="0" tint="-4.9989318521683403E-2"/>
        <rFont val="Times New Roman"/>
        <family val="1"/>
      </rPr>
      <t>(</t>
    </r>
    <r>
      <rPr>
        <b/>
        <sz val="9"/>
        <color theme="0" tint="-4.9989318521683403E-2"/>
        <rFont val="Microsoft JhengHei"/>
        <family val="2"/>
        <charset val="136"/>
      </rPr>
      <t>元</t>
    </r>
    <r>
      <rPr>
        <b/>
        <sz val="9"/>
        <color theme="0" tint="-4.9989318521683403E-2"/>
        <rFont val="Times New Roman"/>
        <family val="1"/>
      </rPr>
      <t>/</t>
    </r>
    <r>
      <rPr>
        <b/>
        <sz val="9"/>
        <color theme="0" tint="-4.9989318521683403E-2"/>
        <rFont val="Microsoft JhengHei"/>
        <family val="2"/>
        <charset val="136"/>
      </rPr>
      <t>股</t>
    </r>
    <r>
      <rPr>
        <b/>
        <sz val="9"/>
        <color theme="0" tint="-4.9989318521683403E-2"/>
        <rFont val="Times New Roman"/>
        <family val="1"/>
      </rPr>
      <t>)</t>
    </r>
  </si>
  <si>
    <t>三峡资本控股有限责任公司</t>
  </si>
  <si>
    <t>合伙)</t>
  </si>
  <si>
    <t>南京瑞达信沨股权投资合伙企业(有限</t>
  </si>
  <si>
    <t>长安财富资产管理有限公司</t>
  </si>
  <si>
    <t>珠海中兵广发投资基金合伙企业(有限
合伙)</t>
  </si>
  <si>
    <t>新华基金管理有限公司</t>
  </si>
  <si>
    <t>江苏宗申三轮摩托车制造有限公司</t>
  </si>
  <si>
    <t>申万菱信(上海)资产管理有限公司</t>
  </si>
  <si>
    <t>阳光资产管理股份有限公司</t>
  </si>
  <si>
    <t>张克强</t>
  </si>
  <si>
    <t>湘财证券股份有限公司</t>
  </si>
  <si>
    <t>深圳君盛青湾投资企业(有限合伙)</t>
  </si>
  <si>
    <t>华安未来资产管理(上海)有限公司</t>
  </si>
  <si>
    <t>上海诚鼎扬子投资合伙企业(有限合
伙)</t>
  </si>
  <si>
    <t>北京隆成明润投资有限公司</t>
  </si>
  <si>
    <t>北京郁金香天枢资产管理中心(有限合
伙)</t>
  </si>
  <si>
    <t>广发乾和投资有限公司</t>
  </si>
  <si>
    <t>浙江新大集团有限公司</t>
  </si>
  <si>
    <t>鹏华资产管理(深圳)有限公司</t>
  </si>
  <si>
    <t>山东省金融资产管理股份有限公司</t>
  </si>
  <si>
    <t>邦信资产管理有限公司</t>
  </si>
  <si>
    <t>东方邦信创业投资有限公司</t>
  </si>
  <si>
    <t>武汉开发投资有限公司</t>
  </si>
  <si>
    <t>农银汇理(上海)资产管理有限公司</t>
  </si>
  <si>
    <t>浪潮软件集团有限公司</t>
  </si>
  <si>
    <r>
      <rPr>
        <b/>
        <sz val="10.5"/>
        <color theme="0" tint="-4.9989318521683403E-2"/>
        <rFont val="Microsoft JhengHei"/>
        <family val="2"/>
        <charset val="136"/>
      </rPr>
      <t>配售股数（股）</t>
    </r>
  </si>
  <si>
    <t>申购金额（元）</t>
  </si>
  <si>
    <t>申购价格（元）</t>
  </si>
  <si>
    <t>号</t>
  </si>
  <si>
    <t>天津百利机械装备集团有限公司</t>
  </si>
  <si>
    <r>
      <rPr>
        <b/>
        <sz val="10"/>
        <color theme="0" tint="-4.9989318521683403E-2"/>
        <rFont val="Microsoft JhengHei"/>
        <family val="2"/>
        <charset val="136"/>
      </rPr>
      <t>认购金额(元)</t>
    </r>
  </si>
  <si>
    <r>
      <rPr>
        <b/>
        <sz val="10"/>
        <color theme="0" tint="-4.9989318521683403E-2"/>
        <rFont val="Microsoft JhengHei"/>
        <family val="2"/>
        <charset val="136"/>
      </rPr>
      <t>申购价格（元/股）</t>
    </r>
  </si>
  <si>
    <r>
      <rPr>
        <b/>
        <sz val="10"/>
        <color theme="0" tint="-4.9989318521683403E-2"/>
        <rFont val="Microsoft JhengHei"/>
        <family val="2"/>
        <charset val="136"/>
      </rPr>
      <t>申购对象</t>
    </r>
  </si>
  <si>
    <r>
      <rPr>
        <b/>
        <sz val="10"/>
        <color theme="0" tint="-4.9989318521683403E-2"/>
        <rFont val="Microsoft JhengHei"/>
        <family val="2"/>
        <charset val="136"/>
      </rPr>
      <t>序
号</t>
    </r>
  </si>
  <si>
    <t>青岛城投金融控股集团有限</t>
  </si>
  <si>
    <t>信达新兴财富（北京）资产管理</t>
  </si>
  <si>
    <t>国开金融有限责任公司</t>
  </si>
  <si>
    <t>认购对象名称</t>
  </si>
  <si>
    <t>申购金额万</t>
  </si>
  <si>
    <t>申购价格</t>
  </si>
  <si>
    <t>中新苏州工业园区城市投资运营有限公
司</t>
  </si>
  <si>
    <t>苏州物资控股（集团）有限责任公司</t>
  </si>
  <si>
    <t>苏州历史文化名城发展集团有限公司</t>
  </si>
  <si>
    <t>张家港市直属公有资产经营有限公司</t>
  </si>
  <si>
    <t>江苏省吴中经济技术发展总公司</t>
  </si>
  <si>
    <r>
      <rPr>
        <sz val="11"/>
        <color theme="0" tint="-4.9989318521683403E-2"/>
        <rFont val="SimSun"/>
        <family val="3"/>
        <charset val="134"/>
      </rPr>
      <t>苏州聚新中小科技创业投资企业（有
限合伙）</t>
    </r>
  </si>
  <si>
    <t>配售数量（万股）</t>
  </si>
  <si>
    <r>
      <rPr>
        <b/>
        <sz val="10.5"/>
        <color theme="0" tint="-4.9989318521683403E-2"/>
        <rFont val="Microsoft JhengHei"/>
        <family val="2"/>
        <charset val="136"/>
      </rPr>
      <t>申购价格 (元/股）</t>
    </r>
  </si>
  <si>
    <t>上海中植鑫荞投资管理有限公司</t>
  </si>
  <si>
    <t>周万沅</t>
  </si>
  <si>
    <t>发行对象名称</t>
  </si>
  <si>
    <r>
      <rPr>
        <sz val="11"/>
        <color theme="0" tint="-4.9989318521683403E-2"/>
        <rFont val="SimSun"/>
        <family val="3"/>
        <charset val="134"/>
      </rPr>
      <t>华安未来资产管理（上海）有
限公司</t>
    </r>
  </si>
  <si>
    <t>无报价信息</t>
  </si>
  <si>
    <r>
      <rPr>
        <b/>
        <sz val="12"/>
        <color theme="0" tint="-4.9989318521683403E-2"/>
        <rFont val="Microsoft JhengHei"/>
        <family val="2"/>
        <charset val="136"/>
      </rPr>
      <t>认购金额
（元）</t>
    </r>
  </si>
  <si>
    <r>
      <rPr>
        <b/>
        <sz val="12"/>
        <color theme="0" tint="-4.9989318521683403E-2"/>
        <rFont val="Microsoft JhengHei"/>
        <family val="2"/>
        <charset val="136"/>
      </rPr>
      <t>认购股数
（股）</t>
    </r>
  </si>
  <si>
    <r>
      <rPr>
        <b/>
        <sz val="12"/>
        <color theme="0" tint="-4.9989318521683403E-2"/>
        <rFont val="Microsoft JhengHei"/>
        <family val="2"/>
        <charset val="136"/>
      </rPr>
      <t>认购对象</t>
    </r>
  </si>
  <si>
    <t>华鑫证券有限责任公司</t>
  </si>
  <si>
    <t>华融国际信托有限责任公司</t>
  </si>
  <si>
    <t>邬杏川</t>
  </si>
  <si>
    <t>北京众和成长投资中心（有限合伙）</t>
  </si>
  <si>
    <t>南山集团资本投资有限公司</t>
  </si>
  <si>
    <t>凯银投资管理有限公司</t>
  </si>
  <si>
    <t>河南超赢投资有限公司</t>
  </si>
  <si>
    <t>顾三官</t>
  </si>
  <si>
    <t>杨廷栋</t>
  </si>
  <si>
    <t>武汉睿福德投资管理中心（有限合伙）</t>
  </si>
  <si>
    <t>北京中商荣盛贸易有限公司</t>
  </si>
  <si>
    <t>朱烨东</t>
  </si>
  <si>
    <r>
      <rPr>
        <sz val="10.5"/>
        <color theme="0" tint="-4.9989318521683403E-2"/>
        <rFont val="Arial"/>
        <family val="2"/>
      </rPr>
      <t>-</t>
    </r>
  </si>
  <si>
    <r>
      <rPr>
        <b/>
        <sz val="10.5"/>
        <color theme="0" tint="-4.9989318521683403E-2"/>
        <rFont val="Microsoft JhengHei"/>
        <family val="2"/>
        <charset val="136"/>
      </rPr>
      <t>认购股数（股）</t>
    </r>
  </si>
  <si>
    <r>
      <rPr>
        <sz val="10.5"/>
        <color theme="0" tint="-4.9989318521683403E-2"/>
        <rFont val="SimSun"/>
        <family val="3"/>
        <charset val="134"/>
      </rPr>
      <t>中融</t>
    </r>
    <r>
      <rPr>
        <sz val="10.5"/>
        <color theme="0" tint="-4.9989318521683403E-2"/>
        <rFont val="Times New Roman"/>
        <family val="2"/>
      </rPr>
      <t>(</t>
    </r>
    <r>
      <rPr>
        <sz val="10.5"/>
        <color theme="0" tint="-4.9989318521683403E-2"/>
        <rFont val="SimSun"/>
        <family val="3"/>
        <charset val="134"/>
      </rPr>
      <t>北京</t>
    </r>
    <r>
      <rPr>
        <sz val="10.5"/>
        <color theme="0" tint="-4.9989318521683403E-2"/>
        <rFont val="Times New Roman"/>
        <family val="2"/>
      </rPr>
      <t>)</t>
    </r>
    <r>
      <rPr>
        <sz val="10.5"/>
        <color theme="0" tint="-4.9989318521683403E-2"/>
        <rFont val="SimSun"/>
        <family val="3"/>
        <charset val="134"/>
      </rPr>
      <t>资产管理有限公司</t>
    </r>
  </si>
  <si>
    <t>霍尔果斯金海狮股权投资管理合伙企业（有限合伙）</t>
  </si>
  <si>
    <t>熊贤忠</t>
  </si>
  <si>
    <t>华福证券有限责任公司</t>
  </si>
  <si>
    <t>德盈润泰实业有限公司</t>
  </si>
  <si>
    <t>创金和信基金管理有限公司</t>
  </si>
  <si>
    <t>郑磊鑫</t>
  </si>
  <si>
    <t>东海基金管理有限公司</t>
  </si>
  <si>
    <t>深圳尚诚壹品资产管理有限公司</t>
  </si>
  <si>
    <t>张家港市金城融创投资管理有限公司</t>
  </si>
  <si>
    <t>长城证券股份有限公司</t>
  </si>
  <si>
    <t>曾毅刚</t>
  </si>
  <si>
    <t>钱菊芳</t>
  </si>
  <si>
    <t>张家港市云雾实业有限公司</t>
  </si>
  <si>
    <t>深圳市前海进化论资产管理有限公司</t>
  </si>
  <si>
    <r>
      <rPr>
        <b/>
        <sz val="10.5"/>
        <color theme="0" tint="-4.9989318521683403E-2"/>
        <rFont val="Microsoft JhengHei"/>
        <family val="2"/>
        <charset val="136"/>
      </rPr>
      <t>获配数量
（万股）</t>
    </r>
  </si>
  <si>
    <r>
      <rPr>
        <b/>
        <sz val="10.5"/>
        <color theme="0" tint="-4.9989318521683403E-2"/>
        <rFont val="Microsoft JhengHei"/>
        <family val="2"/>
        <charset val="136"/>
      </rPr>
      <t>申购对象全称</t>
    </r>
  </si>
  <si>
    <t>金额</t>
  </si>
  <si>
    <r>
      <rPr>
        <b/>
        <sz val="10.5"/>
        <color theme="0" tint="-4.9989318521683403E-2"/>
        <rFont val="Microsoft JhengHei"/>
        <family val="2"/>
        <charset val="136"/>
      </rPr>
      <t>申购数量
（万股）</t>
    </r>
  </si>
  <si>
    <r>
      <rPr>
        <sz val="11"/>
        <color theme="0" tint="-4.9989318521683403E-2"/>
        <rFont val="SimSun"/>
        <family val="3"/>
        <charset val="134"/>
      </rPr>
      <t>东源（天津）股权投资基金管理股份
有限公司</t>
    </r>
  </si>
  <si>
    <t>北京长电创新投资管理有限公司</t>
  </si>
  <si>
    <t>四川鼎祥股权投资基金有限公司</t>
  </si>
  <si>
    <t>深圳市振辉利科技有限公司</t>
  </si>
  <si>
    <t>国机财务有限责任公司</t>
  </si>
  <si>
    <t>广发证券股份有限公司</t>
  </si>
  <si>
    <t>国机资本控股有限公司</t>
  </si>
  <si>
    <t>牛贲资产管理（上海）有限公司</t>
  </si>
  <si>
    <t>熊华</t>
  </si>
  <si>
    <t>江苏苏豪投资集团有限公司</t>
  </si>
  <si>
    <r>
      <rPr>
        <b/>
        <sz val="11"/>
        <color theme="0" tint="-4.9989318521683403E-2"/>
        <rFont val="Microsoft JhengHei"/>
        <family val="2"/>
        <charset val="136"/>
      </rPr>
      <t>是否已缴
纳保证金</t>
    </r>
  </si>
  <si>
    <r>
      <rPr>
        <b/>
        <sz val="11"/>
        <color theme="0" tint="-4.9989318521683403E-2"/>
        <rFont val="Microsoft JhengHei"/>
        <family val="2"/>
        <charset val="136"/>
      </rPr>
      <t>申购价格（元/
股）</t>
    </r>
  </si>
  <si>
    <r>
      <rPr>
        <b/>
        <sz val="11"/>
        <color theme="0" tint="-4.9989318521683403E-2"/>
        <rFont val="Microsoft JhengHei"/>
        <family val="2"/>
        <charset val="136"/>
      </rPr>
      <t>认购对象名称</t>
    </r>
  </si>
  <si>
    <t>上海同安投资管理有限公司</t>
  </si>
  <si>
    <t>申万宏源证券有限公司</t>
  </si>
  <si>
    <r>
      <rPr>
        <b/>
        <sz val="11"/>
        <color theme="0" tint="-4.9989318521683403E-2"/>
        <rFont val="Microsoft JhengHei"/>
        <family val="2"/>
        <charset val="136"/>
      </rPr>
      <t>获配对象名称</t>
    </r>
  </si>
  <si>
    <r>
      <rPr>
        <b/>
        <sz val="9"/>
        <color theme="0" tint="-4.9989318521683403E-2"/>
        <rFont val="Times New Roman"/>
        <family val="1"/>
      </rPr>
      <t>-</t>
    </r>
  </si>
  <si>
    <r>
      <rPr>
        <b/>
        <sz val="9"/>
        <color theme="0" tint="-4.9989318521683403E-2"/>
        <rFont val="Microsoft JhengHei"/>
        <family val="2"/>
        <charset val="136"/>
      </rPr>
      <t>第一创业证券股份有限公司</t>
    </r>
  </si>
  <si>
    <t>厦门国贸控股有限公司</t>
  </si>
  <si>
    <r>
      <rPr>
        <b/>
        <sz val="9"/>
        <color theme="0" tint="-4.9989318521683403E-2"/>
        <rFont val="Microsoft JhengHei"/>
        <family val="2"/>
        <charset val="136"/>
      </rPr>
      <t>华鑫证券</t>
    </r>
    <r>
      <rPr>
        <b/>
        <u/>
        <sz val="9"/>
        <color theme="0" tint="-4.9989318521683403E-2"/>
        <rFont val="Microsoft JhengHei"/>
        <family val="2"/>
      </rPr>
      <t>有限责任公司</t>
    </r>
  </si>
  <si>
    <r>
      <rPr>
        <b/>
        <sz val="9"/>
        <color theme="0" tint="-4.9989318521683403E-2"/>
        <rFont val="Microsoft JhengHei"/>
        <family val="2"/>
        <charset val="136"/>
      </rPr>
      <t>朱新明</t>
    </r>
  </si>
  <si>
    <r>
      <rPr>
        <sz val="11"/>
        <color theme="0" tint="-4.9989318521683403E-2"/>
        <rFont val="Times New Roman"/>
        <family val="2"/>
      </rPr>
      <t>-</t>
    </r>
  </si>
  <si>
    <t>深圳天风天成资产管理有限公司</t>
  </si>
  <si>
    <t>陕西蓝海风投资管理有限公司</t>
  </si>
  <si>
    <r>
      <rPr>
        <b/>
        <sz val="9"/>
        <color theme="0" tint="-4.9989318521683403E-2"/>
        <rFont val="Microsoft JhengHei"/>
        <family val="2"/>
        <charset val="136"/>
      </rPr>
      <t>陕西蓝海风投资管理有限公司</t>
    </r>
  </si>
  <si>
    <t>平安大华基金管理有限公司____</t>
  </si>
  <si>
    <t>新华基金管理股份有限公司</t>
  </si>
  <si>
    <r>
      <rPr>
        <sz val="11"/>
        <color theme="0" tint="-4.9989318521683403E-2"/>
        <rFont val="DengXian"/>
        <family val="2"/>
        <charset val="134"/>
        <scheme val="minor"/>
      </rPr>
      <t>财通基金管理有限公司</t>
    </r>
  </si>
  <si>
    <r>
      <rPr>
        <sz val="11"/>
        <color theme="0" tint="-4.9989318521683403E-2"/>
        <rFont val="DengXian"/>
        <family val="2"/>
        <charset val="134"/>
        <scheme val="minor"/>
      </rPr>
      <t>199,999,982・70</t>
    </r>
  </si>
  <si>
    <r>
      <rPr>
        <sz val="11"/>
        <color theme="0" tint="-4.9989318521683403E-2"/>
        <rFont val="DengXian"/>
        <family val="2"/>
        <charset val="134"/>
        <scheme val="minor"/>
      </rPr>
      <t>中国银河证券股份有限公司</t>
    </r>
  </si>
  <si>
    <r>
      <rPr>
        <sz val="11"/>
        <color theme="0" tint="-4.9989318521683403E-2"/>
        <rFont val="DengXian"/>
        <family val="2"/>
        <charset val="134"/>
        <scheme val="minor"/>
      </rPr>
      <t>武汉睿福德投资管理中心（有限合伙）</t>
    </r>
  </si>
  <si>
    <r>
      <rPr>
        <sz val="11"/>
        <color theme="0" tint="-4.9989318521683403E-2"/>
        <rFont val="DengXian"/>
        <family val="2"/>
        <charset val="134"/>
        <scheme val="minor"/>
      </rPr>
      <t>99,999,991・35</t>
    </r>
  </si>
  <si>
    <r>
      <rPr>
        <sz val="11"/>
        <color theme="0" tint="-4.9989318521683403E-2"/>
        <rFont val="DengXian"/>
        <family val="2"/>
        <charset val="134"/>
        <scheme val="minor"/>
      </rPr>
      <t>泰康资产管理有限责任公司</t>
    </r>
  </si>
  <si>
    <r>
      <rPr>
        <sz val="11"/>
        <color theme="0" tint="-4.9989318521683403E-2"/>
        <rFont val="DengXian"/>
        <family val="2"/>
        <charset val="134"/>
        <scheme val="minor"/>
      </rPr>
      <t>获配金额（元）</t>
    </r>
  </si>
  <si>
    <r>
      <rPr>
        <sz val="11"/>
        <color theme="0" tint="-4.9989318521683403E-2"/>
        <rFont val="DengXian"/>
        <family val="2"/>
        <charset val="134"/>
        <scheme val="minor"/>
      </rPr>
      <t>获配股数 （股）</t>
    </r>
  </si>
  <si>
    <r>
      <rPr>
        <sz val="11"/>
        <color theme="0" tint="-4.9989318521683403E-2"/>
        <rFont val="DengXian"/>
        <family val="2"/>
        <charset val="134"/>
        <scheme val="minor"/>
      </rPr>
      <t>获配投资者名称</t>
    </r>
  </si>
  <si>
    <t>申购金额 万元</t>
  </si>
  <si>
    <t>申购价格 （元/股）</t>
  </si>
  <si>
    <t>安信证券股份有限公司</t>
  </si>
  <si>
    <t>安徽志道投资有限公司</t>
  </si>
  <si>
    <t>申万菱信（上海）资产管理有限
公司</t>
  </si>
  <si>
    <t>太平洋证券股份有限公司</t>
  </si>
  <si>
    <t>申购价格（元
/股）</t>
  </si>
  <si>
    <t>章建平</t>
  </si>
  <si>
    <t>无效报价</t>
  </si>
  <si>
    <r>
      <rPr>
        <b/>
        <sz val="10.5"/>
        <color theme="0" tint="-4.9989318521683403E-2"/>
        <rFont val="Microsoft JhengHei"/>
        <family val="2"/>
        <charset val="136"/>
      </rPr>
      <t>配售股数
（股）</t>
    </r>
  </si>
  <si>
    <t>中车金证投资有限公司</t>
  </si>
  <si>
    <r>
      <rPr>
        <sz val="10"/>
        <color theme="0" tint="-4.9989318521683403E-2"/>
        <rFont val="SimSun"/>
        <family val="3"/>
        <charset val="134"/>
      </rPr>
      <t>招商财富资产管理有限
公司</t>
    </r>
  </si>
  <si>
    <r>
      <rPr>
        <sz val="10"/>
        <color theme="0" tint="-4.9989318521683403E-2"/>
        <rFont val="SimSun"/>
        <family val="3"/>
        <charset val="134"/>
      </rPr>
      <t>东海基金管理有限责任
公司</t>
    </r>
  </si>
  <si>
    <t>东源（天津）股权投资
基金管理股份有限公司</t>
  </si>
  <si>
    <t>民生通惠资产管理有限
公司</t>
  </si>
  <si>
    <t>兴证证券资产管理有限
公司</t>
  </si>
  <si>
    <t>申万菱信（上海）资产
管理有限公司</t>
  </si>
  <si>
    <t>申购数量
（万股）</t>
  </si>
  <si>
    <t>刘建国</t>
  </si>
  <si>
    <r>
      <rPr>
        <sz val="10.5"/>
        <color theme="0" tint="-4.9989318521683403E-2"/>
        <rFont val="SimSun"/>
        <family val="3"/>
        <charset val="134"/>
      </rPr>
      <t>华安未来资产管理（上海）
有限公司</t>
    </r>
  </si>
  <si>
    <t>北京京泰阳光投资有限公司</t>
  </si>
  <si>
    <r>
      <rPr>
        <b/>
        <sz val="10.5"/>
        <color theme="0" tint="-4.9989318521683403E-2"/>
        <rFont val="Microsoft JhengHei"/>
        <family val="2"/>
        <charset val="136"/>
      </rPr>
      <t>认购股数（万股）</t>
    </r>
  </si>
  <si>
    <r>
      <rPr>
        <b/>
        <sz val="10.5"/>
        <color theme="0" tint="-4.9989318521683403E-2"/>
        <rFont val="Microsoft JhengHei"/>
        <family val="2"/>
        <charset val="136"/>
      </rPr>
      <t>认购价格（元</t>
    </r>
    <r>
      <rPr>
        <b/>
        <sz val="10.5"/>
        <color theme="0" tint="-4.9989318521683403E-2"/>
        <rFont val="Microsoft YaHei"/>
        <family val="2"/>
      </rPr>
      <t>/</t>
    </r>
    <r>
      <rPr>
        <b/>
        <sz val="10.5"/>
        <color theme="0" tint="-4.9989318521683403E-2"/>
        <rFont val="Microsoft JhengHei"/>
        <family val="2"/>
        <charset val="136"/>
      </rPr>
      <t>股）</t>
    </r>
  </si>
  <si>
    <r>
      <rPr>
        <b/>
        <sz val="10.5"/>
        <color theme="0" tint="-4.9989318521683403E-2"/>
        <rFont val="Microsoft JhengHei"/>
        <family val="2"/>
        <charset val="136"/>
      </rPr>
      <t>认购投资者名称</t>
    </r>
  </si>
  <si>
    <r>
      <rPr>
        <sz val="10.5"/>
        <color theme="0" tint="-4.9989318521683403E-2"/>
        <rFont val="SimSun"/>
        <family val="3"/>
        <charset val="134"/>
      </rPr>
      <t>兴业财富资产管理有限公
司</t>
    </r>
  </si>
  <si>
    <r>
      <rPr>
        <sz val="10.5"/>
        <color theme="0" tint="-4.9989318521683403E-2"/>
        <rFont val="SimSun"/>
        <family val="3"/>
        <charset val="134"/>
      </rPr>
      <t>深圳平安大华汇通财富管
理有限公司</t>
    </r>
  </si>
  <si>
    <t>万家共赢资产管理有限公司</t>
  </si>
  <si>
    <t>上海锐懿资产管理有限公司</t>
  </si>
  <si>
    <t>李天云</t>
  </si>
  <si>
    <t>宏信证券有限责任公司</t>
  </si>
  <si>
    <t>大成创新资本管理有限公司</t>
  </si>
  <si>
    <r>
      <rPr>
        <b/>
        <sz val="10.5"/>
        <color theme="0" tint="-4.9989318521683403E-2"/>
        <rFont val="Microsoft JhengHei"/>
        <family val="2"/>
        <charset val="136"/>
      </rPr>
      <t>认购价格
（元/股）</t>
    </r>
  </si>
  <si>
    <t>中民投资本管理有限公司</t>
  </si>
  <si>
    <r>
      <rPr>
        <sz val="10.5"/>
        <color theme="0" tint="-4.9989318521683403E-2"/>
        <rFont val="SimSun"/>
        <family val="3"/>
        <charset val="134"/>
      </rPr>
      <t>北京永安财富投资基金管理有限
公司</t>
    </r>
  </si>
  <si>
    <r>
      <rPr>
        <sz val="10.5"/>
        <color theme="0" tint="-4.9989318521683403E-2"/>
        <rFont val="SimSun"/>
        <family val="3"/>
        <charset val="134"/>
      </rPr>
      <t>18,080
（不符合认购邀请书要求，此档申购无效）</t>
    </r>
  </si>
  <si>
    <r>
      <rPr>
        <sz val="10.5"/>
        <color theme="0" tint="-4.9989318521683403E-2"/>
        <rFont val="SimSun"/>
        <family val="3"/>
        <charset val="134"/>
      </rPr>
      <t>27.20
（不符合认购邀请书要求，此档申购无效）</t>
    </r>
  </si>
  <si>
    <t>潘宇红</t>
  </si>
  <si>
    <r>
      <rPr>
        <sz val="10.5"/>
        <color theme="0" tint="-4.9989318521683403E-2"/>
        <rFont val="SimSun"/>
        <family val="3"/>
        <charset val="134"/>
      </rPr>
      <t>南京瑞达信沨股权投资合伙企业
（有限合伙）</t>
    </r>
  </si>
  <si>
    <t>中邮创业基金管理股份有限公司</t>
  </si>
  <si>
    <t>无效申购</t>
  </si>
  <si>
    <r>
      <rPr>
        <sz val="10.5"/>
        <color theme="0" tint="-4.9989318521683403E-2"/>
        <rFont val="SimSun"/>
        <family val="3"/>
        <charset val="134"/>
      </rPr>
      <t>申万菱信（上海）资产管理有限公
司</t>
    </r>
  </si>
  <si>
    <r>
      <rPr>
        <b/>
        <sz val="10.5"/>
        <color theme="0" tint="-4.9989318521683403E-2"/>
        <rFont val="Microsoft JhengHei"/>
        <family val="2"/>
        <charset val="136"/>
      </rPr>
      <t>申购价格 (元/股)</t>
    </r>
  </si>
  <si>
    <r>
      <rPr>
        <sz val="10.5"/>
        <color theme="0" tint="-4.9989318521683403E-2"/>
        <rFont val="Times New Roman"/>
        <family val="2"/>
      </rPr>
      <t>16:56</t>
    </r>
  </si>
  <si>
    <r>
      <rPr>
        <sz val="10.5"/>
        <color theme="0" tint="-4.9989318521683403E-2"/>
        <rFont val="Times New Roman"/>
        <family val="2"/>
      </rPr>
      <t>16:07</t>
    </r>
  </si>
  <si>
    <t>深圳市红塔资产管理有限公司</t>
  </si>
  <si>
    <t>2015 年 3 月 3 日 15:45至 17:15</t>
  </si>
  <si>
    <r>
      <rPr>
        <b/>
        <sz val="10.5"/>
        <color theme="0" tint="-4.9989318521683403E-2"/>
        <rFont val="Microsoft JhengHei"/>
        <family val="2"/>
        <charset val="136"/>
      </rPr>
      <t>二、投资者追加认购情况</t>
    </r>
  </si>
  <si>
    <t>追加认购情况</t>
  </si>
  <si>
    <r>
      <rPr>
        <sz val="10.5"/>
        <color theme="0" tint="-4.9989318521683403E-2"/>
        <rFont val="Times New Roman"/>
        <family val="2"/>
      </rPr>
      <t>10:49</t>
    </r>
  </si>
  <si>
    <r>
      <rPr>
        <sz val="10.5"/>
        <color theme="0" tint="-4.9989318521683403E-2"/>
        <rFont val="Times New Roman"/>
        <family val="2"/>
      </rPr>
      <t>10:53</t>
    </r>
  </si>
  <si>
    <r>
      <rPr>
        <sz val="10.5"/>
        <color theme="0" tint="-4.9989318521683403E-2"/>
        <rFont val="Times New Roman"/>
        <family val="2"/>
      </rPr>
      <t>10:58</t>
    </r>
  </si>
  <si>
    <r>
      <rPr>
        <sz val="10.5"/>
        <color theme="0" tint="-4.9989318521683403E-2"/>
        <rFont val="Times New Roman"/>
        <family val="2"/>
      </rPr>
      <t>10:59</t>
    </r>
  </si>
  <si>
    <r>
      <rPr>
        <b/>
        <sz val="10.5"/>
        <color theme="0" tint="-4.9989318521683403E-2"/>
        <rFont val="Microsoft JhengHei"/>
        <family val="2"/>
        <charset val="136"/>
      </rPr>
      <t>申购时间</t>
    </r>
  </si>
  <si>
    <t>北京中金元合创业投资中心（有限合伙）</t>
  </si>
  <si>
    <t>不需要</t>
  </si>
  <si>
    <t>中融基金管理有限公司</t>
  </si>
  <si>
    <t>深圳市融通资本财富管理有限公司</t>
  </si>
  <si>
    <r>
      <rPr>
        <b/>
        <sz val="10.5"/>
        <color theme="0" tint="-4.9989318521683403E-2"/>
        <rFont val="Microsoft JhengHei"/>
        <family val="2"/>
        <charset val="136"/>
      </rPr>
      <t>是否缴纳保证金</t>
    </r>
  </si>
  <si>
    <r>
      <rPr>
        <b/>
        <sz val="10.5"/>
        <color theme="0" tint="-4.9989318521683403E-2"/>
        <rFont val="Microsoft JhengHei"/>
        <family val="2"/>
        <charset val="136"/>
      </rPr>
      <t>每档累计申购金额
（万元）</t>
    </r>
  </si>
  <si>
    <r>
      <rPr>
        <b/>
        <sz val="10.5"/>
        <color theme="0" tint="-4.9989318521683403E-2"/>
        <rFont val="Microsoft JhengHei"/>
        <family val="2"/>
        <charset val="136"/>
      </rPr>
      <t>每档申购价格
（元</t>
    </r>
    <r>
      <rPr>
        <b/>
        <sz val="10.5"/>
        <color theme="0" tint="-4.9989318521683403E-2"/>
        <rFont val="Arial"/>
        <family val="2"/>
      </rPr>
      <t xml:space="preserve">/
</t>
    </r>
    <r>
      <rPr>
        <b/>
        <sz val="10.5"/>
        <color theme="0" tint="-4.9989318521683403E-2"/>
        <rFont val="Microsoft JhengHei"/>
        <family val="2"/>
        <charset val="136"/>
      </rPr>
      <t>股）</t>
    </r>
  </si>
  <si>
    <t>天治基金管理有限公司</t>
  </si>
  <si>
    <t>爱康实业</t>
  </si>
  <si>
    <r>
      <rPr>
        <b/>
        <sz val="12"/>
        <color theme="0" tint="-4.9989318521683403E-2"/>
        <rFont val="Microsoft YaHei"/>
        <family val="2"/>
      </rPr>
      <t>认购股数
（万股）</t>
    </r>
  </si>
  <si>
    <r>
      <rPr>
        <b/>
        <sz val="12"/>
        <color theme="0" tint="-4.9989318521683403E-2"/>
        <rFont val="Microsoft YaHei"/>
        <family val="2"/>
      </rPr>
      <t>发行对象的姓名</t>
    </r>
    <r>
      <rPr>
        <b/>
        <sz val="12"/>
        <color theme="0" tint="-4.9989318521683403E-2"/>
        <rFont val="Times New Roman"/>
        <family val="1"/>
      </rPr>
      <t>/</t>
    </r>
    <r>
      <rPr>
        <b/>
        <sz val="12"/>
        <color theme="0" tint="-4.9989318521683403E-2"/>
        <rFont val="Microsoft YaHei"/>
        <family val="2"/>
      </rPr>
      <t>名称</t>
    </r>
  </si>
  <si>
    <r>
      <rPr>
        <b/>
        <sz val="12"/>
        <color theme="0" tint="-4.9989318521683403E-2"/>
        <rFont val="Microsoft YaHei"/>
        <family val="2"/>
      </rPr>
      <t>认购金额
（万元）</t>
    </r>
  </si>
  <si>
    <r>
      <rPr>
        <b/>
        <sz val="12"/>
        <color theme="0" tint="-4.9989318521683403E-2"/>
        <rFont val="Microsoft YaHei"/>
        <family val="2"/>
      </rPr>
      <t>认购价格
（元）</t>
    </r>
  </si>
  <si>
    <r>
      <rPr>
        <b/>
        <sz val="12"/>
        <color theme="0" tint="-4.9989318521683403E-2"/>
        <rFont val="Microsoft YaHei"/>
        <family val="2"/>
      </rPr>
      <t>投资者的姓名</t>
    </r>
    <r>
      <rPr>
        <b/>
        <sz val="12"/>
        <color theme="0" tint="-4.9989318521683403E-2"/>
        <rFont val="Times New Roman"/>
        <family val="1"/>
      </rPr>
      <t>/</t>
    </r>
    <r>
      <rPr>
        <b/>
        <sz val="12"/>
        <color theme="0" tint="-4.9989318521683403E-2"/>
        <rFont val="Microsoft YaHei"/>
        <family val="2"/>
      </rPr>
      <t>名称</t>
    </r>
  </si>
  <si>
    <r>
      <rPr>
        <b/>
        <sz val="12"/>
        <color theme="0" tint="-4.9989318521683403E-2"/>
        <rFont val="Microsoft YaHei"/>
        <family val="2"/>
      </rPr>
      <t>序号</t>
    </r>
  </si>
  <si>
    <r>
      <rPr>
        <sz val="10.5"/>
        <color theme="0" tint="-4.9989318521683403E-2"/>
        <rFont val="SimSun"/>
        <family val="3"/>
        <charset val="134"/>
      </rPr>
      <t>申购价格
（元</t>
    </r>
    <r>
      <rPr>
        <sz val="10.5"/>
        <color theme="0" tint="-4.9989318521683403E-2"/>
        <rFont val="Times New Roman"/>
        <family val="2"/>
      </rPr>
      <t>/</t>
    </r>
    <r>
      <rPr>
        <sz val="10.5"/>
        <color theme="0" tint="-4.9989318521683403E-2"/>
        <rFont val="SimSun"/>
        <family val="3"/>
        <charset val="134"/>
      </rPr>
      <t>股）</t>
    </r>
  </si>
  <si>
    <r>
      <rPr>
        <sz val="10.5"/>
        <color theme="0" tint="-4.9989318521683403E-2"/>
        <rFont val="SimSun"/>
        <family val="3"/>
        <charset val="134"/>
      </rPr>
      <t>华夏人寿保险股份
有限公司</t>
    </r>
  </si>
  <si>
    <r>
      <rPr>
        <sz val="10.5"/>
        <color theme="0" tint="-4.9989318521683403E-2"/>
        <rFont val="SimSun"/>
        <family val="3"/>
        <charset val="134"/>
      </rPr>
      <t>华安基金管理有限
公司</t>
    </r>
  </si>
  <si>
    <r>
      <rPr>
        <sz val="10.5"/>
        <color theme="0" tint="-4.9989318521683403E-2"/>
        <rFont val="SimSun"/>
        <family val="3"/>
        <charset val="134"/>
      </rPr>
      <t>诺安基金管理有限
公司</t>
    </r>
  </si>
  <si>
    <t>公司</t>
  </si>
  <si>
    <t>长城证券股份有限</t>
  </si>
  <si>
    <r>
      <rPr>
        <sz val="10.5"/>
        <color theme="0" tint="-4.9989318521683403E-2"/>
        <rFont val="SimSun"/>
        <family val="3"/>
        <charset val="134"/>
      </rPr>
      <t>北京众和成长投资
中心（有限合伙）</t>
    </r>
  </si>
  <si>
    <r>
      <rPr>
        <sz val="10.5"/>
        <color theme="0" tint="-4.9989318521683403E-2"/>
        <rFont val="SimSun"/>
        <family val="3"/>
        <charset val="134"/>
      </rPr>
      <t>泰康资产管理有限
责任公司</t>
    </r>
  </si>
  <si>
    <r>
      <rPr>
        <sz val="10.5"/>
        <color theme="0" tint="-4.9989318521683403E-2"/>
        <rFont val="SimSun"/>
        <family val="3"/>
        <charset val="134"/>
      </rPr>
      <t>第一创业证券股份
有限公司</t>
    </r>
  </si>
  <si>
    <r>
      <rPr>
        <b/>
        <sz val="10.5"/>
        <color theme="0" tint="-4.9989318521683403E-2"/>
        <rFont val="Microsoft JhengHei"/>
        <family val="2"/>
        <charset val="136"/>
      </rPr>
      <t>申购价格
（元</t>
    </r>
    <r>
      <rPr>
        <b/>
        <sz val="10.5"/>
        <color theme="0" tint="-4.9989318521683403E-2"/>
        <rFont val="Times New Roman"/>
        <family val="1"/>
      </rPr>
      <t>/</t>
    </r>
    <r>
      <rPr>
        <b/>
        <sz val="10.5"/>
        <color theme="0" tint="-4.9989318521683403E-2"/>
        <rFont val="Microsoft JhengHei"/>
        <family val="2"/>
        <charset val="136"/>
      </rPr>
      <t>股</t>
    </r>
    <r>
      <rPr>
        <b/>
        <sz val="10.5"/>
        <color theme="0" tint="-4.9989318521683403E-2"/>
        <rFont val="Times New Roman"/>
        <family val="1"/>
      </rPr>
      <t>)</t>
    </r>
  </si>
  <si>
    <t>余佳伟</t>
  </si>
  <si>
    <r>
      <rPr>
        <sz val="12"/>
        <color theme="0" tint="-4.9989318521683403E-2"/>
        <rFont val="SimSun"/>
        <family val="3"/>
        <charset val="134"/>
      </rPr>
      <t>深圳中植产投科技投资合伙企
业（有限合伙）</t>
    </r>
  </si>
  <si>
    <t>巨杉（上海）资产管理有限公司</t>
  </si>
  <si>
    <r>
      <rPr>
        <b/>
        <sz val="12"/>
        <color theme="0" tint="-4.9989318521683403E-2"/>
        <rFont val="Microsoft JhengHei"/>
        <family val="2"/>
        <charset val="136"/>
      </rPr>
      <t>申购金额</t>
    </r>
  </si>
  <si>
    <r>
      <rPr>
        <b/>
        <sz val="12"/>
        <color theme="0" tint="-4.9989318521683403E-2"/>
        <rFont val="Microsoft JhengHei"/>
        <family val="2"/>
        <charset val="136"/>
      </rPr>
      <t>每档报
价</t>
    </r>
  </si>
  <si>
    <r>
      <rPr>
        <b/>
        <sz val="12"/>
        <color theme="0" tint="-4.9989318521683403E-2"/>
        <rFont val="Microsoft JhengHei"/>
        <family val="2"/>
        <charset val="136"/>
      </rPr>
      <t>投资者名称</t>
    </r>
  </si>
  <si>
    <t>上海积誉投资中心（有限合伙）</t>
  </si>
  <si>
    <t>仲黎</t>
  </si>
  <si>
    <t>广州越秀诺成六号实业投资合伙
企业（有限合伙）</t>
  </si>
  <si>
    <r>
      <rPr>
        <b/>
        <sz val="11"/>
        <color theme="0" tint="-4.9989318521683403E-2"/>
        <rFont val="Microsoft JhengHei"/>
        <family val="2"/>
        <charset val="136"/>
      </rPr>
      <t>分配股数(股)</t>
    </r>
  </si>
  <si>
    <t>申购金额（万
元）</t>
  </si>
  <si>
    <r>
      <rPr>
        <sz val="10"/>
        <color theme="0" tint="-4.9989318521683403E-2"/>
        <rFont val="SimSun"/>
        <family val="3"/>
        <charset val="134"/>
      </rPr>
      <t>珠海中兵广发投资基金合伙企业
（有限合伙）</t>
    </r>
  </si>
  <si>
    <t>深圳市创新投资集团有限公司</t>
  </si>
  <si>
    <r>
      <rPr>
        <sz val="11"/>
        <color theme="0" tint="-4.9989318521683403E-2"/>
        <rFont val="SimSun"/>
        <family val="3"/>
        <charset val="134"/>
      </rPr>
      <t>珠海中兵广发投资基金合伙企业
（有限合伙）</t>
    </r>
  </si>
  <si>
    <t>九泰基金管理有限公司</t>
  </si>
  <si>
    <r>
      <rPr>
        <b/>
        <sz val="10"/>
        <color theme="0" tint="-4.9989318521683403E-2"/>
        <rFont val="Microsoft JhengHei"/>
        <family val="2"/>
        <charset val="136"/>
      </rPr>
      <t>认购股份
（万股）</t>
    </r>
  </si>
  <si>
    <r>
      <rPr>
        <b/>
        <sz val="10"/>
        <color theme="0" tint="-4.9989318521683403E-2"/>
        <rFont val="Microsoft JhengHei"/>
        <family val="2"/>
        <charset val="136"/>
      </rPr>
      <t>认购价格
（元/股）</t>
    </r>
  </si>
  <si>
    <t>祥源控股集团有限责任公司</t>
  </si>
  <si>
    <t>罗牛山集团有限公司</t>
  </si>
  <si>
    <r>
      <rPr>
        <b/>
        <sz val="10.5"/>
        <color theme="0" tint="-4.9989318521683403E-2"/>
        <rFont val="Microsoft JhengHei"/>
        <family val="2"/>
        <charset val="136"/>
      </rPr>
      <t>序
号</t>
    </r>
  </si>
  <si>
    <r>
      <rPr>
        <b/>
        <sz val="10.5"/>
        <color theme="0" tint="-4.9989318521683403E-2"/>
        <rFont val="Microsoft JhengHei"/>
        <family val="2"/>
        <charset val="136"/>
      </rPr>
      <t>认购价格
（元</t>
    </r>
    <r>
      <rPr>
        <b/>
        <sz val="10.5"/>
        <color theme="0" tint="-4.9989318521683403E-2"/>
        <rFont val="Calibri"/>
        <family val="2"/>
      </rPr>
      <t>/</t>
    </r>
    <r>
      <rPr>
        <b/>
        <sz val="10.5"/>
        <color theme="0" tint="-4.9989318521683403E-2"/>
        <rFont val="Microsoft JhengHei"/>
        <family val="2"/>
        <charset val="136"/>
      </rPr>
      <t>股）</t>
    </r>
  </si>
  <si>
    <r>
      <rPr>
        <b/>
        <sz val="10.5"/>
        <color theme="0" tint="-4.9989318521683403E-2"/>
        <rFont val="Microsoft JhengHei"/>
        <family val="2"/>
        <charset val="136"/>
      </rPr>
      <t>配售股数</t>
    </r>
  </si>
  <si>
    <r>
      <rPr>
        <b/>
        <sz val="10.5"/>
        <color theme="0" tint="-4.9989318521683403E-2"/>
        <rFont val="Microsoft JhengHei"/>
        <family val="2"/>
        <charset val="136"/>
      </rPr>
      <t>申购价格（元）</t>
    </r>
  </si>
  <si>
    <r>
      <rPr>
        <b/>
        <sz val="10.5"/>
        <color theme="0" tint="-4.9989318521683403E-2"/>
        <rFont val="Microsoft JhengHei"/>
        <family val="2"/>
        <charset val="136"/>
      </rPr>
      <t>特定投资者名称</t>
    </r>
  </si>
  <si>
    <r>
      <rPr>
        <sz val="10"/>
        <rFont val="SimSun"/>
        <family val="3"/>
        <charset val="134"/>
      </rPr>
      <t>唐球</t>
    </r>
  </si>
  <si>
    <t>深圳新华富时资产管理有限公司</t>
  </si>
  <si>
    <t>唐球</t>
  </si>
  <si>
    <r>
      <rPr>
        <b/>
        <sz val="11"/>
        <color theme="0" tint="-4.9989318521683403E-2"/>
        <rFont val="Microsoft JhengHei"/>
        <family val="2"/>
        <charset val="136"/>
      </rPr>
      <t>拟申购资金
（万元）</t>
    </r>
  </si>
  <si>
    <r>
      <rPr>
        <b/>
        <sz val="11"/>
        <color theme="0" tint="-4.9989318521683403E-2"/>
        <rFont val="Microsoft JhengHei"/>
        <family val="2"/>
        <charset val="136"/>
      </rPr>
      <t>每档申报价格
（元</t>
    </r>
    <r>
      <rPr>
        <b/>
        <sz val="11"/>
        <color theme="0" tint="-4.9989318521683403E-2"/>
        <rFont val="Times New Roman"/>
        <family val="1"/>
      </rPr>
      <t>/</t>
    </r>
    <r>
      <rPr>
        <b/>
        <sz val="11"/>
        <color theme="0" tint="-4.9989318521683403E-2"/>
        <rFont val="Microsoft JhengHei"/>
        <family val="2"/>
        <charset val="136"/>
      </rPr>
      <t>股）</t>
    </r>
  </si>
  <si>
    <r>
      <rPr>
        <b/>
        <sz val="11"/>
        <color theme="0" tint="-4.9989318521683403E-2"/>
        <rFont val="Microsoft JhengHei"/>
        <family val="2"/>
        <charset val="136"/>
      </rPr>
      <t>询价对象</t>
    </r>
  </si>
  <si>
    <r>
      <rPr>
        <sz val="10.5"/>
        <rFont val="SimSun"/>
        <family val="3"/>
        <charset val="134"/>
      </rPr>
      <t>卢生江</t>
    </r>
  </si>
  <si>
    <r>
      <rPr>
        <sz val="10.5"/>
        <rFont val="SimSun"/>
        <family val="3"/>
        <charset val="134"/>
      </rPr>
      <t>任思龙</t>
    </r>
  </si>
  <si>
    <t>徐海英</t>
  </si>
  <si>
    <t>江苏虎甲投资有限公司</t>
  </si>
  <si>
    <t>常州市新发展实业公司</t>
  </si>
  <si>
    <t>叶本瑜</t>
  </si>
  <si>
    <t>卢生江</t>
  </si>
  <si>
    <t>任思龙</t>
  </si>
  <si>
    <r>
      <rPr>
        <b/>
        <sz val="10.5"/>
        <color theme="0" tint="-4.9989318521683403E-2"/>
        <rFont val="Microsoft JhengHei"/>
        <family val="2"/>
        <charset val="136"/>
      </rPr>
      <t>申购金额（万元）</t>
    </r>
  </si>
  <si>
    <r>
      <rPr>
        <b/>
        <sz val="10.5"/>
        <color theme="0" tint="-4.9989318521683403E-2"/>
        <rFont val="Microsoft JhengHei"/>
        <family val="2"/>
        <charset val="136"/>
      </rPr>
      <t>申报价格（元</t>
    </r>
    <r>
      <rPr>
        <b/>
        <sz val="10.5"/>
        <color theme="0" tint="-4.9989318521683403E-2"/>
        <rFont val="Times New Roman"/>
        <family val="1"/>
      </rPr>
      <t>/</t>
    </r>
    <r>
      <rPr>
        <b/>
        <sz val="10.5"/>
        <color theme="0" tint="-4.9989318521683403E-2"/>
        <rFont val="Microsoft JhengHei"/>
        <family val="2"/>
        <charset val="136"/>
      </rPr>
      <t>股）</t>
    </r>
  </si>
  <si>
    <r>
      <rPr>
        <b/>
        <sz val="10.5"/>
        <color theme="0" tint="-4.9989318521683403E-2"/>
        <rFont val="Microsoft JhengHei"/>
        <family val="2"/>
        <charset val="136"/>
      </rPr>
      <t>询价对象</t>
    </r>
  </si>
  <si>
    <t>洪爱金</t>
  </si>
  <si>
    <r>
      <rPr>
        <b/>
        <sz val="12"/>
        <color theme="0" tint="-4.9989318521683403E-2"/>
        <rFont val="Microsoft JhengHei"/>
        <family val="2"/>
        <charset val="136"/>
      </rPr>
      <t>申购金额
（万元）</t>
    </r>
  </si>
  <si>
    <r>
      <rPr>
        <b/>
        <sz val="12"/>
        <color theme="0" tint="-4.9989318521683403E-2"/>
        <rFont val="Microsoft JhengHei"/>
        <family val="2"/>
        <charset val="136"/>
      </rPr>
      <t>申购价格
（元</t>
    </r>
    <r>
      <rPr>
        <b/>
        <sz val="12"/>
        <color theme="0" tint="-4.9989318521683403E-2"/>
        <rFont val="Times New Roman"/>
        <family val="1"/>
      </rPr>
      <t>/</t>
    </r>
    <r>
      <rPr>
        <b/>
        <sz val="12"/>
        <color theme="0" tint="-4.9989318521683403E-2"/>
        <rFont val="Microsoft JhengHei"/>
        <family val="2"/>
        <charset val="136"/>
      </rPr>
      <t>股）</t>
    </r>
  </si>
  <si>
    <t>中节能资本控股有限公司</t>
  </si>
  <si>
    <r>
      <rPr>
        <b/>
        <sz val="10.5"/>
        <color theme="0" tint="-4.9989318521683403E-2"/>
        <rFont val="Microsoft JhengHei"/>
        <family val="2"/>
        <charset val="136"/>
      </rPr>
      <t>申购金额</t>
    </r>
  </si>
  <si>
    <r>
      <rPr>
        <b/>
        <sz val="10.5"/>
        <color theme="0" tint="-4.9989318521683403E-2"/>
        <rFont val="Microsoft JhengHei"/>
        <family val="2"/>
        <charset val="136"/>
      </rPr>
      <t>申购价格</t>
    </r>
  </si>
  <si>
    <r>
      <rPr>
        <b/>
        <sz val="10.5"/>
        <color theme="0" tint="-4.9989318521683403E-2"/>
        <rFont val="Microsoft JhengHei"/>
        <family val="2"/>
        <charset val="136"/>
      </rPr>
      <t>报价先
后序号</t>
    </r>
  </si>
  <si>
    <t>华鑫证券有限公司</t>
  </si>
  <si>
    <t>安信基金管理有限公司</t>
  </si>
  <si>
    <t>、</t>
  </si>
  <si>
    <r>
      <rPr>
        <b/>
        <sz val="10.5"/>
        <color theme="0" tint="-4.9989318521683403E-2"/>
        <rFont val="Microsoft JhengHei"/>
        <family val="2"/>
        <charset val="136"/>
      </rPr>
      <t>认购人全称</t>
    </r>
  </si>
  <si>
    <r>
      <rPr>
        <b/>
        <sz val="10.5"/>
        <color theme="0" tint="-4.9989318521683403E-2"/>
        <rFont val="Microsoft JhengHei"/>
        <family val="2"/>
        <charset val="136"/>
      </rPr>
      <t>每档金额 (万元)</t>
    </r>
  </si>
  <si>
    <r>
      <rPr>
        <b/>
        <sz val="10.5"/>
        <color theme="0" tint="-4.9989318521683403E-2"/>
        <rFont val="Microsoft JhengHei"/>
        <family val="2"/>
        <charset val="136"/>
      </rPr>
      <t>每档报价
（由高到低）(元/股)</t>
    </r>
  </si>
  <si>
    <t>方正富邦基金管理有限公司</t>
  </si>
  <si>
    <t>李龙萍</t>
  </si>
  <si>
    <r>
      <rPr>
        <b/>
        <sz val="10.5"/>
        <color theme="0" tint="-4.9989318521683403E-2"/>
        <rFont val="Microsoft JhengHei"/>
        <family val="2"/>
        <charset val="136"/>
      </rPr>
      <t>认购股数
（股）</t>
    </r>
  </si>
  <si>
    <t>北京富邦恒业科技发展有限公司</t>
  </si>
  <si>
    <t>深圳市综彩绿色投资管理合伙企业（有限合伙）</t>
  </si>
  <si>
    <r>
      <rPr>
        <sz val="10.5"/>
        <color theme="0" tint="-4.9989318521683403E-2"/>
        <rFont val="SimSun"/>
        <family val="3"/>
        <charset val="134"/>
      </rPr>
      <t>深圳市综彩绿色投资管理合伙企
业（有限合伙）</t>
    </r>
  </si>
  <si>
    <t>广东宝丽华集团有限公司</t>
  </si>
  <si>
    <r>
      <t>申购价格
（元</t>
    </r>
    <r>
      <rPr>
        <b/>
        <sz val="10.5"/>
        <color theme="0" tint="-4.9989318521683403E-2"/>
        <rFont val="Times New Roman"/>
        <family val="1"/>
      </rPr>
      <t>/</t>
    </r>
    <r>
      <rPr>
        <b/>
        <sz val="10.5"/>
        <color theme="0" tint="-4.9989318521683403E-2"/>
        <rFont val="Microsoft JhengHei"/>
        <family val="2"/>
        <charset val="136"/>
      </rPr>
      <t>股）</t>
    </r>
  </si>
  <si>
    <t>机构名称</t>
  </si>
  <si>
    <r>
      <rPr>
        <b/>
        <sz val="10.5"/>
        <color theme="0" tint="-4.9989318521683403E-2"/>
        <rFont val="Microsoft YaHei"/>
        <family val="2"/>
      </rPr>
      <t>获配股数（股）</t>
    </r>
  </si>
  <si>
    <r>
      <rPr>
        <b/>
        <sz val="10.5"/>
        <color theme="0" tint="-4.9989318521683403E-2"/>
        <rFont val="Microsoft YaHei"/>
        <family val="2"/>
      </rPr>
      <t>机构名称</t>
    </r>
  </si>
  <si>
    <r>
      <rPr>
        <b/>
        <sz val="10.5"/>
        <color theme="0" tint="-4.9989318521683403E-2"/>
        <rFont val="Microsoft YaHei"/>
        <family val="2"/>
      </rPr>
      <t>申购金额（元）</t>
    </r>
  </si>
  <si>
    <r>
      <rPr>
        <b/>
        <sz val="10.5"/>
        <color theme="0" tint="-4.9989318521683403E-2"/>
        <rFont val="Microsoft YaHei"/>
        <family val="2"/>
      </rPr>
      <t>申购价格
（元</t>
    </r>
    <r>
      <rPr>
        <b/>
        <sz val="10.5"/>
        <color theme="0" tint="-4.9989318521683403E-2"/>
        <rFont val="Times New Roman"/>
        <family val="1"/>
      </rPr>
      <t>/</t>
    </r>
    <r>
      <rPr>
        <b/>
        <sz val="10.5"/>
        <color theme="0" tint="-4.9989318521683403E-2"/>
        <rFont val="Microsoft YaHei"/>
        <family val="2"/>
      </rPr>
      <t>股）</t>
    </r>
  </si>
  <si>
    <r>
      <rPr>
        <b/>
        <sz val="10.5"/>
        <color theme="0" tint="-4.9989318521683403E-2"/>
        <rFont val="Microsoft YaHei"/>
        <family val="2"/>
      </rPr>
      <t>序
号</t>
    </r>
  </si>
  <si>
    <r>
      <rPr>
        <sz val="10.5"/>
        <color theme="0" tint="-4.9989318521683403E-2"/>
        <rFont val="SimSun"/>
        <family val="3"/>
        <charset val="134"/>
      </rPr>
      <t>申万菱信（上海）资
产管理有限公司</t>
    </r>
  </si>
  <si>
    <r>
      <rPr>
        <sz val="10.5"/>
        <color theme="0" tint="-4.9989318521683403E-2"/>
        <rFont val="SimSun"/>
        <family val="3"/>
        <charset val="134"/>
      </rPr>
      <t>东海基金管理有限责
任公司</t>
    </r>
  </si>
  <si>
    <r>
      <rPr>
        <sz val="10.5"/>
        <color theme="0" tint="-4.9989318521683403E-2"/>
        <rFont val="SimSun"/>
        <family val="3"/>
        <charset val="134"/>
      </rPr>
      <t>诺安基金管理有限公
司</t>
    </r>
  </si>
  <si>
    <r>
      <rPr>
        <sz val="10.5"/>
        <color theme="0" tint="-4.9989318521683403E-2"/>
        <rFont val="SimSun"/>
        <family val="3"/>
        <charset val="134"/>
      </rPr>
      <t>兴业全球基金管理有
限公司</t>
    </r>
  </si>
  <si>
    <t>中广核财务有限责任公司</t>
  </si>
  <si>
    <t>襄垣县永利科技有限公司</t>
  </si>
  <si>
    <r>
      <rPr>
        <sz val="10.5"/>
        <color theme="0" tint="-4.9989318521683403E-2"/>
        <rFont val="SimSun"/>
        <family val="3"/>
        <charset val="134"/>
      </rPr>
      <t>新华基金管理股份有
限公司</t>
    </r>
  </si>
  <si>
    <r>
      <rPr>
        <b/>
        <sz val="10.5"/>
        <color theme="0" tint="-4.9989318521683403E-2"/>
        <rFont val="Microsoft JhengHei"/>
        <family val="2"/>
        <charset val="136"/>
      </rPr>
      <t xml:space="preserve">申购金额
</t>
    </r>
    <r>
      <rPr>
        <b/>
        <sz val="10.5"/>
        <color theme="0" tint="-4.9989318521683403E-2"/>
        <rFont val="Times New Roman"/>
        <family val="1"/>
      </rPr>
      <t>(</t>
    </r>
    <r>
      <rPr>
        <b/>
        <sz val="10.5"/>
        <color theme="0" tint="-4.9989318521683403E-2"/>
        <rFont val="Microsoft JhengHei"/>
        <family val="2"/>
        <charset val="136"/>
      </rPr>
      <t>万元）</t>
    </r>
  </si>
  <si>
    <r>
      <rPr>
        <b/>
        <sz val="10.5"/>
        <color theme="0" tint="-4.9989318521683403E-2"/>
        <rFont val="Microsoft JhengHei"/>
        <family val="2"/>
        <charset val="136"/>
      </rPr>
      <t xml:space="preserve">申购价格
</t>
    </r>
    <r>
      <rPr>
        <b/>
        <sz val="10.5"/>
        <color theme="0" tint="-4.9989318521683403E-2"/>
        <rFont val="Times New Roman"/>
        <family val="1"/>
      </rPr>
      <t>(</t>
    </r>
    <r>
      <rPr>
        <b/>
        <sz val="10.5"/>
        <color theme="0" tint="-4.9989318521683403E-2"/>
        <rFont val="Microsoft JhengHei"/>
        <family val="2"/>
        <charset val="136"/>
      </rPr>
      <t>元</t>
    </r>
    <r>
      <rPr>
        <b/>
        <sz val="10.5"/>
        <color theme="0" tint="-4.9989318521683403E-2"/>
        <rFont val="Times New Roman"/>
        <family val="1"/>
      </rPr>
      <t>/</t>
    </r>
    <r>
      <rPr>
        <b/>
        <sz val="10.5"/>
        <color theme="0" tint="-4.9989318521683403E-2"/>
        <rFont val="Microsoft JhengHei"/>
        <family val="2"/>
        <charset val="136"/>
      </rPr>
      <t>股</t>
    </r>
    <r>
      <rPr>
        <b/>
        <sz val="10.5"/>
        <color theme="0" tint="-4.9989318521683403E-2"/>
        <rFont val="Times New Roman"/>
        <family val="1"/>
      </rPr>
      <t>)</t>
    </r>
  </si>
  <si>
    <r>
      <rPr>
        <b/>
        <sz val="10.5"/>
        <color theme="0" tint="-4.9989318521683403E-2"/>
        <rFont val="Microsoft JhengHei"/>
        <family val="2"/>
        <charset val="136"/>
      </rPr>
      <t>获配股数(股)</t>
    </r>
  </si>
  <si>
    <r>
      <rPr>
        <b/>
        <sz val="10.5"/>
        <color theme="0" tint="-4.9989318521683403E-2"/>
        <rFont val="Microsoft JhengHei"/>
        <family val="2"/>
        <charset val="136"/>
      </rPr>
      <t>每档数量 (万元)</t>
    </r>
  </si>
  <si>
    <r>
      <rPr>
        <b/>
        <sz val="10.5"/>
        <color theme="0" tint="-4.9989318521683403E-2"/>
        <rFont val="Microsoft JhengHei"/>
        <family val="2"/>
        <charset val="136"/>
      </rPr>
      <t>每档报价
（由高到
低）(元/股)</t>
    </r>
  </si>
  <si>
    <r>
      <rPr>
        <sz val="10.5"/>
        <color theme="0" tint="-4.9989318521683403E-2"/>
        <rFont val="SimSun"/>
        <family val="3"/>
        <charset val="134"/>
      </rPr>
      <t>华安未来资产管理（上海）有限
公司</t>
    </r>
  </si>
  <si>
    <r>
      <rPr>
        <b/>
        <sz val="11"/>
        <color theme="0" tint="-4.9989318521683403E-2"/>
        <rFont val="Microsoft JhengHei"/>
        <family val="2"/>
        <charset val="136"/>
      </rPr>
      <t>配售股数（股）</t>
    </r>
  </si>
  <si>
    <r>
      <rPr>
        <b/>
        <sz val="11"/>
        <color theme="0" tint="-4.9989318521683403E-2"/>
        <rFont val="Microsoft JhengHei"/>
        <family val="2"/>
        <charset val="136"/>
      </rPr>
      <t>发行对象</t>
    </r>
  </si>
  <si>
    <r>
      <rPr>
        <b/>
        <sz val="10.5"/>
        <color theme="0" tint="-4.9989318521683403E-2"/>
        <rFont val="Microsoft JhengHei"/>
        <family val="2"/>
        <charset val="136"/>
      </rPr>
      <t>申购价
格（元）</t>
    </r>
  </si>
  <si>
    <r>
      <rPr>
        <sz val="11"/>
        <color theme="0" tint="-4.9989318521683403E-2"/>
        <rFont val="SimSun"/>
        <family val="3"/>
        <charset val="134"/>
      </rPr>
      <t>银河金汇证券资产管理有限公司（银
河嘉汇 7 号集合资产管理计划）</t>
    </r>
  </si>
  <si>
    <r>
      <rPr>
        <sz val="11"/>
        <color theme="0" tint="-4.9989318521683403E-2"/>
        <rFont val="SimSun"/>
        <family val="3"/>
        <charset val="134"/>
      </rPr>
      <t>银河金汇证券资产管理有限公司（银
河嘉汇 9 号集合资产管理计划）</t>
    </r>
  </si>
  <si>
    <r>
      <rPr>
        <sz val="11"/>
        <color theme="0" tint="-4.9989318521683403E-2"/>
        <rFont val="SimSun"/>
        <family val="3"/>
        <charset val="134"/>
      </rPr>
      <t>银河金汇证券资产管理有限公司（银
河嘉汇 8 号集合资产管理计划）</t>
    </r>
  </si>
  <si>
    <t>露笑集团有限公司</t>
  </si>
  <si>
    <r>
      <rPr>
        <sz val="11"/>
        <color theme="0" tint="-4.9989318521683403E-2"/>
        <rFont val="SimSun"/>
        <family val="3"/>
        <charset val="134"/>
      </rPr>
      <t xml:space="preserve">银河金汇证券资产管理有限公司（银
河嘉汇 </t>
    </r>
    <r>
      <rPr>
        <sz val="11"/>
        <color theme="0" tint="-4.9989318521683403E-2"/>
        <rFont val="Times New Roman"/>
        <family val="2"/>
      </rPr>
      <t xml:space="preserve">9 </t>
    </r>
    <r>
      <rPr>
        <sz val="11"/>
        <color theme="0" tint="-4.9989318521683403E-2"/>
        <rFont val="SimSun"/>
        <family val="3"/>
        <charset val="134"/>
      </rPr>
      <t>号集合资产管理计划）</t>
    </r>
  </si>
  <si>
    <r>
      <rPr>
        <sz val="11"/>
        <color theme="0" tint="-4.9989318521683403E-2"/>
        <rFont val="SimSun"/>
        <family val="3"/>
        <charset val="134"/>
      </rPr>
      <t xml:space="preserve">银河金汇证券资产管理有限公司（银
河嘉汇 </t>
    </r>
    <r>
      <rPr>
        <sz val="11"/>
        <color theme="0" tint="-4.9989318521683403E-2"/>
        <rFont val="Times New Roman"/>
        <family val="2"/>
      </rPr>
      <t xml:space="preserve">7 </t>
    </r>
    <r>
      <rPr>
        <sz val="11"/>
        <color theme="0" tint="-4.9989318521683403E-2"/>
        <rFont val="SimSun"/>
        <family val="3"/>
        <charset val="134"/>
      </rPr>
      <t>号集合资产管理计划）</t>
    </r>
  </si>
  <si>
    <r>
      <rPr>
        <b/>
        <sz val="11"/>
        <color theme="0" tint="-4.9989318521683403E-2"/>
        <rFont val="Microsoft JhengHei"/>
        <family val="2"/>
        <charset val="136"/>
      </rPr>
      <t>保证金是否及
时足额到账</t>
    </r>
  </si>
  <si>
    <r>
      <rPr>
        <b/>
        <sz val="11"/>
        <color theme="0" tint="-4.9989318521683403E-2"/>
        <rFont val="Microsoft JhengHei"/>
        <family val="2"/>
        <charset val="136"/>
      </rPr>
      <t>认购金额
（万元）</t>
    </r>
  </si>
  <si>
    <r>
      <rPr>
        <b/>
        <sz val="11"/>
        <color theme="0" tint="-4.9989318521683403E-2"/>
        <rFont val="Microsoft JhengHei"/>
        <family val="2"/>
        <charset val="136"/>
      </rPr>
      <t>认购价格
（元/股）</t>
    </r>
  </si>
  <si>
    <r>
      <rPr>
        <b/>
        <sz val="11"/>
        <color theme="0" tint="-4.9989318521683403E-2"/>
        <rFont val="Microsoft JhengHei"/>
        <family val="2"/>
        <charset val="136"/>
      </rPr>
      <t>报价机构名称</t>
    </r>
  </si>
  <si>
    <r>
      <rPr>
        <b/>
        <sz val="11"/>
        <color theme="0" tint="-4.9989318521683403E-2"/>
        <rFont val="Microsoft JhengHei"/>
        <family val="2"/>
        <charset val="136"/>
      </rPr>
      <t>序
号</t>
    </r>
  </si>
  <si>
    <t>解禁公告链接</t>
  </si>
  <si>
    <t>行业</t>
  </si>
  <si>
    <t>10转</t>
  </si>
  <si>
    <t>10派</t>
  </si>
  <si>
    <t>配售比</t>
  </si>
  <si>
    <t>http://pdf.dfcfw.com/pdf/H2_AN201609130017615853_1.pdf</t>
  </si>
  <si>
    <t>清水源</t>
  </si>
  <si>
    <t>10派0.80元</t>
  </si>
  <si>
    <t>仙坛股份</t>
  </si>
  <si>
    <t>002746</t>
  </si>
  <si>
    <t>http://pdf.dfcfw.com/pdf/H2_AN201609270017755075_1.pdf</t>
  </si>
  <si>
    <t>合锻智能</t>
  </si>
  <si>
    <t>603011</t>
  </si>
  <si>
    <t>大名城</t>
  </si>
  <si>
    <t>600094</t>
  </si>
  <si>
    <t>http://pdf.dfcfw.com/pdf/H2_AN201609200017681744_1.pdf</t>
  </si>
  <si>
    <t>省广集团</t>
  </si>
  <si>
    <t>002400</t>
  </si>
  <si>
    <t>10转3股派0.38元</t>
  </si>
  <si>
    <t>http://pdf.dfcfw.com/pdf/H2_AN201609060017512520_1.pdf</t>
  </si>
  <si>
    <t>中原环保</t>
  </si>
  <si>
    <t>000544</t>
  </si>
  <si>
    <t>腾达建设</t>
  </si>
  <si>
    <t>600512</t>
  </si>
  <si>
    <t>https://notice.eastmoney.com/pdffile/web/H2_AN201609270017755081_1.pdf</t>
  </si>
  <si>
    <t>龙宇燃油</t>
  </si>
  <si>
    <t>603003</t>
  </si>
  <si>
    <t>10派0.12元</t>
  </si>
  <si>
    <t>http://pdf.dfcfw.com/pdf/H2_AN201609250017732097_1.pdf</t>
  </si>
  <si>
    <t>*ST高升</t>
  </si>
  <si>
    <t>000971</t>
  </si>
  <si>
    <t>文化长城</t>
  </si>
  <si>
    <t>300089</t>
  </si>
  <si>
    <t>2016.8.26收盘价</t>
  </si>
  <si>
    <t>迦南科技</t>
  </si>
  <si>
    <t>300412</t>
  </si>
  <si>
    <t>10转10股派2.50元</t>
  </si>
  <si>
    <t>2016.8.30收盘</t>
  </si>
  <si>
    <t>藏格控股</t>
  </si>
  <si>
    <t>000408</t>
  </si>
  <si>
    <t>远兴能源</t>
  </si>
  <si>
    <t>000683</t>
  </si>
  <si>
    <t>三钢闽光</t>
  </si>
  <si>
    <t>002110</t>
  </si>
  <si>
    <t>20117.11.27</t>
  </si>
  <si>
    <t>哈投股份</t>
  </si>
  <si>
    <t>600864</t>
  </si>
  <si>
    <t>斯莱克</t>
  </si>
  <si>
    <t>300382</t>
  </si>
  <si>
    <t>2016.08.25收盘</t>
  </si>
  <si>
    <t>高德红外</t>
  </si>
  <si>
    <t>002414</t>
  </si>
  <si>
    <t>华映科技</t>
  </si>
  <si>
    <t>000536</t>
  </si>
  <si>
    <t>10转6股派1元</t>
  </si>
  <si>
    <t>巴安水务</t>
  </si>
  <si>
    <t>300262</t>
  </si>
  <si>
    <t>10转5股派0.10元</t>
  </si>
  <si>
    <t>武汉凡谷</t>
  </si>
  <si>
    <t>002194</t>
  </si>
  <si>
    <t>2017-10-31收盘</t>
  </si>
  <si>
    <t>华胜天成</t>
  </si>
  <si>
    <t>600410</t>
  </si>
  <si>
    <t>http://data.eastmoney.com/notices/detail/603077/AN201610130021838673,JUU1JTkyJThDJUU5JTgyJUE2JUU3JTk0JTlGJUU3JTg5JUE5.html</t>
  </si>
  <si>
    <t>和邦生物</t>
  </si>
  <si>
    <t>603077</t>
  </si>
  <si>
    <t>10送2股转10股派0.1元</t>
  </si>
  <si>
    <t>http://data.eastmoney.com/notices/detail/601198/AN201610170021887326,JUU0JUI4JTlDJUU1JTg1JUI0JUU4JUFGJTgxJUU1JTg4JUI4.html</t>
  </si>
  <si>
    <t>东兴证券</t>
  </si>
  <si>
    <t>601198</t>
  </si>
  <si>
    <t>中电兴发</t>
  </si>
  <si>
    <t>002298</t>
  </si>
  <si>
    <t>10派0.40元</t>
  </si>
  <si>
    <t>恒星科技</t>
  </si>
  <si>
    <t>002132</t>
  </si>
  <si>
    <t>10派0.500083元</t>
  </si>
  <si>
    <t>新乡化纤</t>
  </si>
  <si>
    <t>000949</t>
  </si>
  <si>
    <t>智光电气</t>
  </si>
  <si>
    <t>002169</t>
  </si>
  <si>
    <t>10转10股派1.80元</t>
  </si>
  <si>
    <t>江苏吴中</t>
  </si>
  <si>
    <t>600200</t>
  </si>
  <si>
    <t>沃森生物</t>
  </si>
  <si>
    <t>300142</t>
  </si>
  <si>
    <t>2016-02-22收盘</t>
  </si>
  <si>
    <t>长虹美菱</t>
  </si>
  <si>
    <t>000521</t>
  </si>
  <si>
    <t>金达威</t>
  </si>
  <si>
    <t>002626</t>
  </si>
  <si>
    <t>新天科技</t>
  </si>
  <si>
    <t>300259</t>
  </si>
  <si>
    <t>2016-09-08收盘</t>
  </si>
  <si>
    <t>湖南黄金</t>
  </si>
  <si>
    <t>002155</t>
  </si>
  <si>
    <t>http://pdf.dfcfw.com/pdf/H2_AN201610210021960284_1.pdf</t>
  </si>
  <si>
    <t>圣济堂</t>
  </si>
  <si>
    <t>600227</t>
  </si>
  <si>
    <t>恒逸石化</t>
  </si>
  <si>
    <t>000703</t>
  </si>
  <si>
    <t>力星股份</t>
  </si>
  <si>
    <t>300421</t>
  </si>
  <si>
    <t>10派4.00元</t>
  </si>
  <si>
    <t>2016-09-21收盘</t>
  </si>
  <si>
    <t>江南化工</t>
  </si>
  <si>
    <t>002226</t>
  </si>
  <si>
    <t>2017-10-23收盘</t>
  </si>
  <si>
    <t>东华能源</t>
  </si>
  <si>
    <t>002221</t>
  </si>
  <si>
    <t>全志科技</t>
  </si>
  <si>
    <t>300458</t>
  </si>
  <si>
    <t>10转10.034965股派3.010489元</t>
  </si>
  <si>
    <t>海航基础</t>
  </si>
  <si>
    <t>600515</t>
  </si>
  <si>
    <t>http://pdf.dfcfw.com/pdf/H2_AN201610200021946764_1.pdf</t>
  </si>
  <si>
    <t>立讯精密</t>
  </si>
  <si>
    <t>002475</t>
  </si>
  <si>
    <t>10转5股派0.80元</t>
  </si>
  <si>
    <t>http://pdf.dfcfw.com/pdf/H2_AN201610200021943640_1.pdf</t>
  </si>
  <si>
    <t>美盛文化</t>
  </si>
  <si>
    <t>002699</t>
  </si>
  <si>
    <t>10转8股派2.5元</t>
  </si>
  <si>
    <t>力源信息</t>
  </si>
  <si>
    <t>300184</t>
  </si>
  <si>
    <t>华测检测</t>
  </si>
  <si>
    <t>300012</t>
  </si>
  <si>
    <t>2016-09-20收盘</t>
  </si>
  <si>
    <t>捷顺科技</t>
  </si>
  <si>
    <t>002609</t>
  </si>
  <si>
    <t>10派1.20元</t>
  </si>
  <si>
    <t>芭田股份</t>
  </si>
  <si>
    <t>002170</t>
  </si>
  <si>
    <t>大富科技</t>
  </si>
  <si>
    <t>300134</t>
  </si>
  <si>
    <t>2016-09-12收盘</t>
  </si>
  <si>
    <t>沃尔核材</t>
  </si>
  <si>
    <t>002130</t>
  </si>
  <si>
    <t>10转10股派0.30元</t>
  </si>
  <si>
    <t>金信诺</t>
  </si>
  <si>
    <t>300252</t>
  </si>
  <si>
    <t>丽鹏股份</t>
  </si>
  <si>
    <t>002374</t>
  </si>
  <si>
    <t>佳讯飞鸿</t>
  </si>
  <si>
    <t>300213</t>
  </si>
  <si>
    <t>10转10股派1元</t>
  </si>
  <si>
    <t>2016-10-11收盘</t>
  </si>
  <si>
    <t>博世科</t>
  </si>
  <si>
    <t>300422</t>
  </si>
  <si>
    <t>10转15.013382股派0.600535元</t>
  </si>
  <si>
    <t>2016-09-13收盘</t>
  </si>
  <si>
    <t>恺英网络</t>
  </si>
  <si>
    <t>002517</t>
  </si>
  <si>
    <t>10派1元，10转10股派1.00元</t>
  </si>
  <si>
    <t>金科股份</t>
  </si>
  <si>
    <t>000656</t>
  </si>
  <si>
    <t>平高电气</t>
  </si>
  <si>
    <t>600312</t>
  </si>
  <si>
    <t>10派6元</t>
  </si>
  <si>
    <t>软控股份</t>
  </si>
  <si>
    <t>002073</t>
  </si>
  <si>
    <t>交运股份</t>
  </si>
  <si>
    <t>600676</t>
  </si>
  <si>
    <t>http://pdf.dfcfw.com/pdf/H2_AN201611080074305104_1.pdf</t>
  </si>
  <si>
    <t>旷达科技</t>
  </si>
  <si>
    <t>002516</t>
  </si>
  <si>
    <t>晶盛机电</t>
  </si>
  <si>
    <t>300316</t>
  </si>
  <si>
    <t>2016-09-30收盘</t>
  </si>
  <si>
    <t>东方园林</t>
  </si>
  <si>
    <t>002310</t>
  </si>
  <si>
    <t>10派0.299575元</t>
  </si>
  <si>
    <t>华斯股份</t>
  </si>
  <si>
    <t>002494</t>
  </si>
  <si>
    <t>10派0.10元</t>
  </si>
  <si>
    <t>http://pdf.dfcfw.com/pdf/H2_AN201611090077205902_1.pdf</t>
  </si>
  <si>
    <t>欧菲光</t>
  </si>
  <si>
    <t>002456</t>
  </si>
  <si>
    <t>10转15股派1.1元</t>
  </si>
  <si>
    <t>http://pdf.dfcfw.com/pdf/H2_AN201611100080908890_1.pdf</t>
  </si>
  <si>
    <t>天顺风能</t>
  </si>
  <si>
    <t>002531</t>
  </si>
  <si>
    <t>http://pdf.dfcfw.com/pdf/H2_AN201611100081434864_1.pdf</t>
  </si>
  <si>
    <t>搜于特</t>
  </si>
  <si>
    <t>002503</t>
  </si>
  <si>
    <t>10转10股派0.25元</t>
  </si>
  <si>
    <t>美盈森</t>
  </si>
  <si>
    <t>002303</t>
  </si>
  <si>
    <t>广东德沁资产管理有限公司</t>
  </si>
  <si>
    <t>江苏叁加壹资产管理有限公司</t>
  </si>
  <si>
    <t>张安东</t>
  </si>
  <si>
    <t>深圳市拉芳投资管理有限公司</t>
  </si>
  <si>
    <t>北京风雪投资管理有限公司</t>
  </si>
  <si>
    <t>http://pdf.dfcfw.com/pdf/H2_AN201609220017709945_1.pdf</t>
  </si>
  <si>
    <t>陈湧彬</t>
  </si>
  <si>
    <t>合计金额（亿）</t>
  </si>
  <si>
    <t>获配股数（万）</t>
  </si>
  <si>
    <t>申购金额（亿元）</t>
  </si>
  <si>
    <t>2016年8月31日 9:00-12:00</t>
  </si>
  <si>
    <t>其他备注</t>
  </si>
  <si>
    <t>派息</t>
  </si>
  <si>
    <t>送转股</t>
  </si>
  <si>
    <t>解禁收盘价</t>
  </si>
  <si>
    <t>解禁时间</t>
  </si>
  <si>
    <t>申购日股价</t>
  </si>
  <si>
    <t>北京和聚投资管理有限公司</t>
  </si>
  <si>
    <t>华泰证券（上海）资产管理有限公司</t>
  </si>
  <si>
    <t>德邦基金管理有限公司</t>
  </si>
  <si>
    <t>西藏泓涵股权投资管理有限公司</t>
  </si>
  <si>
    <t>国投瑞银基金管理有限公司</t>
  </si>
  <si>
    <t>2017.10.14-2018.1.8停牌</t>
  </si>
  <si>
    <t>何建东</t>
  </si>
  <si>
    <t>2016年9月12日 9:00-12:00</t>
  </si>
  <si>
    <t>叶林富 (实际控制人认购）</t>
  </si>
  <si>
    <t>金元顺安基金管理有限公司</t>
  </si>
  <si>
    <t>北京碧水源科技股份有限公司</t>
  </si>
  <si>
    <t>郑州投资控股有限公司</t>
  </si>
  <si>
    <t>2016年8月10日 9:00-12:00</t>
  </si>
  <si>
    <t>交银康联人寿保险有限公司</t>
  </si>
  <si>
    <t>海富通基金管理有限公司</t>
  </si>
  <si>
    <t>融通基金管理有限公司</t>
  </si>
  <si>
    <t>深圳前海君盛紫石创业投资企业（有限合伙）</t>
  </si>
  <si>
    <t>2016年8月26日 8:30-11:30</t>
  </si>
  <si>
    <t>http://pdf.dfcfw.com/pdf/H2_AN201609230017721989_1.pdf</t>
  </si>
  <si>
    <t>2016年9月8日 9:00-12:00</t>
  </si>
  <si>
    <t>安徽省铁路发展基金股份有限公司</t>
  </si>
  <si>
    <t>2016年9月9日 9:00-12:00</t>
  </si>
  <si>
    <t>孙晓光</t>
  </si>
  <si>
    <t>东吴基金管理有限公司</t>
  </si>
  <si>
    <t>农银汇理（上海）资产管理有限公司</t>
  </si>
  <si>
    <t>吕燕玲</t>
  </si>
  <si>
    <t>银华基金管理有限公司</t>
  </si>
  <si>
    <t>37,53</t>
  </si>
  <si>
    <t>http://data.eastmoney.com/notices/detail/002746/AN201609200017683146,JUU0JUJCJTk5JUU1JTlEJTlCJUU4JTgyJUExJUU0JUJCJUJE.html</t>
  </si>
  <si>
    <t>2016年8月26日 9:00-12:00</t>
  </si>
  <si>
    <t>李永平</t>
  </si>
  <si>
    <t>银华基金管理股份有限公司</t>
  </si>
  <si>
    <t>http://pdf.dfcfw.com/pdf/H2_AN201609270017756122_1.pdf</t>
  </si>
  <si>
    <t>深圳市架桥富凯九号股权投资企业（有限合伙）</t>
  </si>
  <si>
    <t>2016年9月5日 9:00-12:00</t>
  </si>
  <si>
    <t>http://pdf.dfcfw.com/pdf/H2_AN201609260017740644_1.pdf</t>
  </si>
  <si>
    <t>广东联塑科技实业有限公司</t>
  </si>
  <si>
    <t>2016年9月2日 9:00-12:00</t>
  </si>
  <si>
    <t>不参与</t>
  </si>
  <si>
    <t>莆田市国有资产投资有限公司</t>
  </si>
  <si>
    <t>福建省电子信息产业创业投资合伙企业（有限合伙）</t>
  </si>
  <si>
    <t>福能六期（平潭）创业投资合伙企业（有限合伙）</t>
  </si>
  <si>
    <t>中民国际通用航空有限责任公司</t>
  </si>
  <si>
    <t>http://pdf.dfcfw.com/pdf/H2_AN201609290019986639_1.pdf</t>
  </si>
  <si>
    <t>不参与竞价</t>
  </si>
  <si>
    <t>广发原驰•高德红外投资1号定向资产管理计划</t>
  </si>
  <si>
    <t>北京诚明汇投资管理中心（有限合伙）</t>
  </si>
  <si>
    <t>西安航天新能源产业基金投资有限公司</t>
  </si>
  <si>
    <t>http://pdf.dfcfw.com/pdf/H2_AN201609260017741688_1.pdf</t>
  </si>
  <si>
    <t>中国电力财务有限公司</t>
  </si>
  <si>
    <t>上海原龙投资有限公司</t>
  </si>
  <si>
    <t>梅棻</t>
  </si>
  <si>
    <t>深圳市恒泰华盛资产管理有限公司（盛世37号私募基金）</t>
  </si>
  <si>
    <t>http://pdf.dfcfw.com/pdf/H2_AN201609090017573211_1.pdf</t>
  </si>
  <si>
    <t>苏州市投资有限公司</t>
  </si>
  <si>
    <t>2016年8月30日 9:00-12:00</t>
  </si>
  <si>
    <t>追加认购报价对象</t>
  </si>
  <si>
    <t>北京东富华盈投资管理中心（有限合伙）</t>
  </si>
  <si>
    <t>http://pdf.dfcfw.com/pdf/H2_AN201610100021789365_1.pdf</t>
  </si>
  <si>
    <t>银河金汇证券资产管理有限公司</t>
  </si>
  <si>
    <t>2016年9月21日 9:00-15:00</t>
  </si>
  <si>
    <t>2016年9月20日 9:00-17:00</t>
  </si>
  <si>
    <t>2016年9月14日 9:00-12:00</t>
  </si>
  <si>
    <t>福建省高速公路养护工程有限公司</t>
  </si>
  <si>
    <t>福建省投资开发集团有限责任公司</t>
  </si>
  <si>
    <t>http://pdf.dfcfw.com/pdf/H2_AN201609280017953830_1.pdf</t>
  </si>
  <si>
    <t>国金证券股份有限公司</t>
  </si>
  <si>
    <t>2016年8月24日 9:00-12:00</t>
  </si>
  <si>
    <t>内蒙古博源控股集团有限公司</t>
  </si>
  <si>
    <t>控股股东认购</t>
  </si>
  <si>
    <t>追加认购参与报价对象</t>
  </si>
  <si>
    <t>汇安基金管理有限公司</t>
  </si>
  <si>
    <t>http://pdf.dfcfw.com/pdf/H2_AN201609270017755387_1.pdf</t>
  </si>
  <si>
    <t>首轮参与报价对象</t>
  </si>
  <si>
    <t>2016年9月8日 14:00-17:00</t>
  </si>
  <si>
    <t>2016年9月2日 8:30-11:30</t>
  </si>
  <si>
    <t>南京瑞森投资管理合伙企业(有限合伙)</t>
  </si>
  <si>
    <t>南京瑞达信沨股权投资合伙企业(有限合伙)</t>
  </si>
  <si>
    <t>西部利得基金管理有限公司</t>
  </si>
  <si>
    <t>成都汇金向北企业管理中心（有限合伙）</t>
  </si>
  <si>
    <t>翁仁源</t>
  </si>
  <si>
    <t>吴德华</t>
  </si>
  <si>
    <t>西证创新投资有限公司</t>
  </si>
  <si>
    <t>http://pdf.dfcfw.com/pdf/H2_AN201609270017755605_1.pdf</t>
  </si>
  <si>
    <t>方正东亚信托有限责任公司</t>
  </si>
  <si>
    <t>2016年8月15日 9:00-12:00</t>
  </si>
  <si>
    <t>天风证券股份有限公司</t>
  </si>
  <si>
    <t>http://pdf.dfcfw.com/pdf/H2_AN201609130017615023_1.pdf</t>
  </si>
  <si>
    <t>四川长虹电器股份有限公司</t>
  </si>
  <si>
    <t>合肥市产业投资控股（集团）有限公</t>
  </si>
  <si>
    <t>华福基金管理有限责任公司</t>
  </si>
  <si>
    <t>平安养老保险股份有限公司</t>
  </si>
  <si>
    <t>http://pdf.dfcfw.com/pdf/H2_AN201610120021829005_1.pdf</t>
  </si>
  <si>
    <t>前海开源基金管理有限公司</t>
  </si>
  <si>
    <t>渤海证券股份有限公司</t>
  </si>
  <si>
    <t>http://pdf.dfcfw.com/pdf/H2_AN201610120021827689_1.pdf</t>
  </si>
  <si>
    <t>财通基金管理有限责任公司</t>
  </si>
  <si>
    <t>2016年2月25日13:00-16:00</t>
  </si>
  <si>
    <t>陈莲</t>
  </si>
  <si>
    <t>徐荣良</t>
  </si>
  <si>
    <t>2016年9月19日-22日12:00</t>
  </si>
  <si>
    <t>诺德基金管理有限公司</t>
  </si>
  <si>
    <t>广州国资发展控股有限公司</t>
  </si>
  <si>
    <t>上海光大证券资产管理有限公司</t>
  </si>
  <si>
    <t>东方证券股份有限公司</t>
  </si>
  <si>
    <t>银河基金管理有限公司</t>
  </si>
  <si>
    <t>中船财务有限责任公司</t>
  </si>
  <si>
    <t>http://pdf.dfcfw.com/pdf/H2_AN201610100021793220_1.pdf</t>
  </si>
  <si>
    <t>广州金控资产管理有限公司</t>
  </si>
  <si>
    <t>2016年9月7日 9:00-12:00</t>
  </si>
  <si>
    <t>新乡白鹭投资集团有限公司</t>
  </si>
  <si>
    <t>新乡平原发展投资有限公司</t>
  </si>
  <si>
    <t>中原资产管理有限公司</t>
  </si>
  <si>
    <t>中原股权投资管理有限公司</t>
  </si>
  <si>
    <t>红土创新基金管理有限公司</t>
  </si>
  <si>
    <t>http://pdf.dfcfw.com/pdf/H2_AN201610110021804883_1.pdf</t>
  </si>
  <si>
    <t>郝昌兰</t>
  </si>
  <si>
    <t>首创证券有限责任公司</t>
  </si>
  <si>
    <t>长城嘉信资产管理有限公司</t>
  </si>
  <si>
    <t>新沃基金管理有限公司</t>
  </si>
  <si>
    <t>贾跃彩</t>
  </si>
  <si>
    <t>深圳市融通资本管理股份有限公司</t>
  </si>
  <si>
    <t>中原期货股份有限公司</t>
  </si>
  <si>
    <t>http://pdf.dfcfw.com/pdf/H2_AN201610110021804309_1.pdf</t>
  </si>
  <si>
    <t>2016年9月12日 8:30-11:30</t>
  </si>
  <si>
    <t>国投瑞银基金管理有限公司（有限合伙）</t>
  </si>
  <si>
    <t>上海中兵国泰君安投资中心（有限合伙）</t>
  </si>
  <si>
    <t>张革会</t>
  </si>
  <si>
    <t>广西铁路发展投资基金（有限合伙）</t>
  </si>
  <si>
    <t>中新建招商股权投资有限公司</t>
  </si>
  <si>
    <t>安泰创业投资（深圳）有限公司</t>
  </si>
  <si>
    <t>http://pdf.dfcfw.com/pdf/H2_AN201610100021790351_1.pdf</t>
  </si>
  <si>
    <t>福建新联合投资有限责任公司</t>
  </si>
  <si>
    <t>福建天宝矿业集团股份有限公司</t>
  </si>
  <si>
    <t>山东高速股份有限公司</t>
  </si>
  <si>
    <t>2016年9月27日 8:30-11:30</t>
  </si>
  <si>
    <t>红塔红土基金管理有限公司</t>
  </si>
  <si>
    <t>2016年9月26日13:00-16:00</t>
  </si>
  <si>
    <t>西藏山南硅谷天堂昌吉投资管理有限公司</t>
  </si>
  <si>
    <t>http://pdf.dfcfw.com/pdf/H2_AN201610130021842615_1.pdf</t>
  </si>
  <si>
    <t>2016年9月23日 9:00-12:00</t>
  </si>
  <si>
    <t>国泓资产管理有限公司</t>
  </si>
  <si>
    <t>http://pdf.dfcfw.com/pdf/H2_AN201610250024633930_1.pdf</t>
  </si>
  <si>
    <t>2016年10月14日 9:00-12:00</t>
  </si>
  <si>
    <t>追加认购 2016年9月23日 9:00-12:00</t>
  </si>
  <si>
    <t>http://pdf.dfcfw.com/pdf/H2_AN201610180021906981_1.pdf</t>
  </si>
  <si>
    <t>北京芯动能投资基金（有限合伙）</t>
  </si>
  <si>
    <t>2016年9月13日 9:00-12:00</t>
  </si>
  <si>
    <t>广州市玄元投资管理有限公司</t>
  </si>
  <si>
    <t>http://pdf.dfcfw.com/pdf/H2_AN201610190021926690_1.pdf</t>
  </si>
  <si>
    <t>2016年9月21日 9:00-12:00</t>
  </si>
  <si>
    <t>第三轮追加认购 （截止2016年9月21日15:00）</t>
  </si>
  <si>
    <t>第二轮追加认购 （截止2016年9月9日16:00）</t>
  </si>
  <si>
    <t>首轮追加认购 （截止2016年9月7日12:30）</t>
  </si>
  <si>
    <t>陈炎表</t>
  </si>
  <si>
    <t>http://pdf.dfcfw.com/pdf/H2_AN201610180021906800_1.pdf</t>
  </si>
  <si>
    <t>截止2016年9月21日 15:00</t>
  </si>
  <si>
    <t>截止2016年9月9日 16:00</t>
  </si>
  <si>
    <t>截止2016年9月7日 12:30</t>
  </si>
  <si>
    <t>2016年9月5日 9:30-12:30</t>
  </si>
  <si>
    <t>广西铁路发展二期投资基金合伙企业（有限合伙）</t>
  </si>
  <si>
    <t>http://pdf.dfcfw.com/pdf/H2_AN201610120021826883_1.pdf</t>
  </si>
  <si>
    <t>2016年9月26日 8:30-11:30</t>
  </si>
  <si>
    <t>南京誉信投资中心（有限合伙）</t>
  </si>
  <si>
    <t>杭州中大君悦投资有限公司</t>
  </si>
  <si>
    <t>天津信祥企业管理合伙企业（有限合伙）</t>
  </si>
  <si>
    <t>浙江浙银资本管理有限公司</t>
  </si>
  <si>
    <t>http://pdf.dfcfw.com/pdf/H2_AN201610170021883073_1.pdf</t>
  </si>
  <si>
    <t>贵州渔阳贸易有限公司</t>
  </si>
  <si>
    <t>陈燕云</t>
  </si>
  <si>
    <t>南京誉信投资中心(限合伙)</t>
  </si>
  <si>
    <t>南京瑞达信讽股权投资合伙企业（有限合伙)</t>
  </si>
  <si>
    <t>2016年9月30日 9:00-12:00</t>
  </si>
  <si>
    <t>株洲市国有资产投资控股集团有限公司</t>
  </si>
  <si>
    <t>金东资本投资有限公司</t>
  </si>
  <si>
    <t>曹明慧</t>
  </si>
  <si>
    <t>大成基金管理有限公司</t>
  </si>
  <si>
    <t>湖南神斧投资管理有限公司</t>
  </si>
  <si>
    <t>北京城天九投资有限公司</t>
  </si>
  <si>
    <t>湖南银太集团有限公司</t>
  </si>
  <si>
    <t>http://pdf.dfcfw.com/pdf/H2_AN201610130021842518_1.pdf</t>
  </si>
  <si>
    <t>2016年9月19日 9:00-12:00</t>
  </si>
  <si>
    <t>瑞元资本管理有限公司</t>
  </si>
  <si>
    <t>http://pdf.dfcfw.com/pdf/H2_AN201609260017740522_1.pdf</t>
  </si>
  <si>
    <t>2016年9月13日 8:30-11:30</t>
  </si>
  <si>
    <t>厦门金达威投资有限公司</t>
  </si>
  <si>
    <t>上海斐君投资管理中心（有限合伙）</t>
  </si>
  <si>
    <t>津杉华融（天津）产业投资基金合伙企业（有限合伙）</t>
  </si>
  <si>
    <t>王颖雯</t>
  </si>
  <si>
    <t>厦门信诚通创业投资有限公司</t>
  </si>
  <si>
    <t>http://pdf.dfcfw.com/pdf/H2_AN201610130021841505_1.pdf</t>
  </si>
  <si>
    <t>国信证券股份有限公司</t>
  </si>
  <si>
    <t>http://pdf.dfcfw.com/pdf/H2_AN201610310042233218_1.pdf</t>
  </si>
  <si>
    <t>2016年10月18日 9:00-12:00</t>
  </si>
  <si>
    <t>前海欣诺</t>
  </si>
  <si>
    <t>中国电子科技财务有限公司</t>
  </si>
  <si>
    <t>中船重工财务有限责任公司</t>
  </si>
  <si>
    <t>易方达资产管理有限公司</t>
  </si>
  <si>
    <t>兵工财务有限责任公司</t>
  </si>
  <si>
    <t>http://pdf.dfcfw.com/pdf/H2_AN201610160021869938_1.pdf</t>
  </si>
  <si>
    <t>2016年9月26日 9:00-12:00</t>
  </si>
  <si>
    <t>宁波梅山保税港区利安投资合伙企业（有限合伙）</t>
  </si>
  <si>
    <t>杭州慧乾投资管理合伙企业（有限合伙）</t>
  </si>
  <si>
    <t>广州立根小额再贷款股份有限公司</t>
  </si>
  <si>
    <t>http://pdf.dfcfw.com/pdf/H2_AN201610270031027129_1.pdf</t>
  </si>
  <si>
    <t>2016年10月13日 9:00-12:00</t>
  </si>
  <si>
    <t>追加认购 （2016年9月26日13:00-15:00）</t>
  </si>
  <si>
    <t>http://pdf.dfcfw.com/pdf/H2_AN201610100021791228_1.pdf</t>
  </si>
  <si>
    <t>蚌埠市城市投资控股有限公司</t>
  </si>
  <si>
    <t>无</t>
  </si>
  <si>
    <t>2016年9月26日13:00-15:00</t>
  </si>
  <si>
    <t>2016年9月20日13:00-16:00</t>
  </si>
  <si>
    <t>http://pdf.dfcfw.com/pdf/H2_AN201610260027378690_1.pdf</t>
  </si>
  <si>
    <t>上银瑞金资本管理有限公司</t>
  </si>
  <si>
    <t>合众人寿保险股份有限公司</t>
  </si>
  <si>
    <t>http://pdf.dfcfw.com/pdf/H2_AN201610240022322095_1.pdf</t>
  </si>
  <si>
    <t>陈俊海</t>
  </si>
  <si>
    <t>2016年9月29日 9:00-12:00</t>
  </si>
  <si>
    <t>中信证券股份有限公司（资管）</t>
  </si>
  <si>
    <t>九泰基金管理公司有限公司</t>
  </si>
  <si>
    <t>安徽建投嘉华投资有限公司</t>
  </si>
  <si>
    <t>http://pdf.dfcfw.com/pdf/H2_AN201610120021826888_1.pdf</t>
  </si>
  <si>
    <t>http://pdf.dfcfw.com/pdf/H2_AN201610240022291003_1.pdf</t>
  </si>
  <si>
    <t>新余天游</t>
  </si>
  <si>
    <t>新余乐活</t>
  </si>
  <si>
    <t>赵小强</t>
  </si>
  <si>
    <t>浙江开元股权投资有限公司</t>
  </si>
  <si>
    <t>截至2016年9月23日中午12:00</t>
  </si>
  <si>
    <t>华泰柏瑞基金管理有
限公司</t>
  </si>
  <si>
    <t>中船重工财务有限责
任公司</t>
  </si>
  <si>
    <t>南京誉信投资中心
（有限合伙）</t>
  </si>
  <si>
    <t>平安大华基金管理有
限公司</t>
  </si>
  <si>
    <t>华福证券有限责任公
司</t>
  </si>
  <si>
    <t>东吴证券股份有限公
司</t>
  </si>
  <si>
    <t>第一创业证券股份有
限公司</t>
  </si>
  <si>
    <t>信诚基金管理有限公
司</t>
  </si>
  <si>
    <t>民生通惠资产管理有
限公司</t>
  </si>
  <si>
    <t>兴业全球基金管理有
限公司</t>
  </si>
  <si>
    <t>东吴基金管理有限公
司</t>
  </si>
  <si>
    <t>华鑫证券有限责任公
司</t>
  </si>
  <si>
    <t>申万宏源证券有限公
司</t>
  </si>
  <si>
    <t>东方证券股份有限公
司</t>
  </si>
  <si>
    <t>海通证券股份有限公
司</t>
  </si>
  <si>
    <t>江苏苏豪投资集团有
限公司</t>
  </si>
  <si>
    <t>http://pdf.dfcfw.com/pdf/H2_AN201611090077040486_1.pdf</t>
  </si>
  <si>
    <t>中泰创展（珠海横琴）
控股有限公司</t>
  </si>
  <si>
    <t>孙复娣</t>
  </si>
  <si>
    <t>绍兴万林股权投资基金合伙企业（有限合伙）</t>
  </si>
  <si>
    <t>http://pdf.dfcfw.com/pdf/H2_AN201610280034178207_1.pdf</t>
  </si>
  <si>
    <t>中国北方工业公司</t>
  </si>
  <si>
    <t>2016年10月17日 9:00-12:00</t>
  </si>
  <si>
    <t>江苏旷达创业投资有限公司</t>
  </si>
  <si>
    <t>首誉光控资产管理有限公司</t>
  </si>
  <si>
    <t>上海纺织投资管理有限公司</t>
  </si>
  <si>
    <t>东证融汇证券资产管理有限公司</t>
  </si>
  <si>
    <t>常州产业投资集团有限公司</t>
  </si>
  <si>
    <t>2016年10月20日 9:00-12:00</t>
  </si>
  <si>
    <t>http://pdf.dfcfw.com/pdf/H2_AN201611110086069003_1.pdf</t>
  </si>
  <si>
    <t>上海交运（集团）公司</t>
  </si>
  <si>
    <t>2016年10月27日 8:30-11:30</t>
  </si>
  <si>
    <t>http://pdf.dfcfw.com/pdf/H2_AN201611020049571784_1.pdf</t>
  </si>
  <si>
    <t>江海证券有限公司</t>
  </si>
  <si>
    <t>2016年9月27日 9:00-12:00</t>
  </si>
  <si>
    <t>山东高速投资控股有限公司</t>
  </si>
  <si>
    <t>中国长城资产管理有限公司</t>
  </si>
  <si>
    <t>http://pdf.dfcfw.com/pdf/H2_AN201611070072303440_1.pdf</t>
  </si>
  <si>
    <t>2016年10月21日 9:00-12:00</t>
  </si>
  <si>
    <t>天津聚金物业管理有限公司</t>
  </si>
  <si>
    <t>天津金镒泰股权投资基金合伙企业（有限合伙）</t>
  </si>
  <si>
    <t>重庆国际信托股份有限公司</t>
  </si>
  <si>
    <t>天津盈资汇金物业管理有限公司</t>
  </si>
  <si>
    <t>http://pdf.dfcfw.com/pdf/H2_AN201611010045108251_1.pdf</t>
  </si>
  <si>
    <t>天津启威汇金不动产投资管理有限公司</t>
  </si>
  <si>
    <t>2016年9月20日 9:00-12:00</t>
  </si>
  <si>
    <t>http://pdf.dfcfw.com/pdf/H2_AN201611010045037778_1.pdf</t>
  </si>
  <si>
    <t>广博投资</t>
  </si>
  <si>
    <t>http://pdf.dfcfw.com/pdf/H2_AN201609290019911886_1.pdf</t>
  </si>
  <si>
    <t>成都力鼎银科股权投资基金中心（有限合伙）</t>
  </si>
  <si>
    <t xml:space="preserve">林菁 </t>
  </si>
  <si>
    <t>http://pdf.dfcfw.com/pdf/H2_AN201610310042211572_1.pdf</t>
  </si>
  <si>
    <t>追加认购 （2016年10月17日-21日 9:00-17:00）</t>
  </si>
  <si>
    <t>http://pdf.dfcfw.com/pdf/H2_AN201611100081072868_1.pdf</t>
  </si>
  <si>
    <t>2016年10月17日-21日 9:00-17:00</t>
  </si>
  <si>
    <t>秦川</t>
  </si>
  <si>
    <t>昌都市高腾企业
管理股份有限公司</t>
  </si>
  <si>
    <t>广东粤科资本投资有限公司</t>
  </si>
  <si>
    <t>前海开源基金管理管理有限公司</t>
  </si>
  <si>
    <t>2016年10月25日13:00-16:00</t>
  </si>
  <si>
    <t>青岛金石灏汭投资有限公司</t>
  </si>
  <si>
    <t>南方工业资产管理有限责任公司</t>
  </si>
  <si>
    <t>君禾股权投资基金管理（上海）有限公司</t>
  </si>
  <si>
    <t>瀚博汇鑫（天津）投资有限公司</t>
  </si>
  <si>
    <t>冯建庆</t>
  </si>
  <si>
    <t>南京誉信投资中心（有限
合伙）</t>
  </si>
  <si>
    <t>民生通惠资产管理有限公
司</t>
  </si>
  <si>
    <t>何慧清</t>
  </si>
  <si>
    <t>申万菱信基金管理有限公
司</t>
  </si>
  <si>
    <t>北京和聚投资管理有限公
司</t>
  </si>
  <si>
    <t>华泰柏瑞基金管理有限公
司</t>
  </si>
  <si>
    <t>汇添富基金管理股份有限
公司</t>
  </si>
  <si>
    <t>西藏融星创业投资合伙企
业（有限合伙）</t>
  </si>
  <si>
    <t>第一创业证券股份有限公
司</t>
  </si>
  <si>
    <t>平安大华基金管理有限公
司</t>
  </si>
  <si>
    <t>江西铜业集团财务有限公
司</t>
  </si>
  <si>
    <t>广西铁路发展投资基金
（有限合伙）</t>
  </si>
  <si>
    <t>方正富邦基金管理有限公
司</t>
  </si>
  <si>
    <t>兴证证券资产管理有限公
司</t>
  </si>
  <si>
    <t>国投瑞银基金管理有限公
司</t>
  </si>
  <si>
    <t>安徽中安资本投资基金有
限公司</t>
  </si>
  <si>
    <t>安信基金管理有限责任公
司</t>
  </si>
  <si>
    <t>兴业全球基金管理有限公
司</t>
  </si>
  <si>
    <t>申万菱信（上海）资产管
理有限公司</t>
  </si>
  <si>
    <t>鹏华资产管理（深圳）有
限公司</t>
  </si>
  <si>
    <t>胡逸舟</t>
  </si>
  <si>
    <t>农银汇理（上海）资产管
理有限公司</t>
  </si>
  <si>
    <t>红土创新基金管理有限公
司</t>
  </si>
  <si>
    <t>泰达宏利基金管理有限公
司</t>
  </si>
  <si>
    <t>贺国英</t>
  </si>
  <si>
    <t>富国基金管理有
限公司</t>
  </si>
  <si>
    <t>北京海燕投资管
理有限公司</t>
  </si>
  <si>
    <t>建信基金管理有
限责任公司</t>
  </si>
  <si>
    <t>中新融创资本管
理有限公司</t>
  </si>
  <si>
    <t>华安基金管理有
限公司</t>
  </si>
  <si>
    <t>国信证券股份有
限公司</t>
  </si>
  <si>
    <t>国投瑞银基金管
理有限公司</t>
  </si>
  <si>
    <t>东海基金管理有
限责任公司</t>
  </si>
  <si>
    <t>国泰基金管理有
限公司</t>
  </si>
  <si>
    <t>泰康资产管理有
限公司</t>
  </si>
  <si>
    <t>西部证券股份有
限公司</t>
  </si>
  <si>
    <t>http://pdf.dfcfw.com/pdf/H2_AN201611080074075476_1.pdf</t>
  </si>
  <si>
    <t>此页由erika整理</t>
  </si>
  <si>
    <t>华清恒泰前海（深圳）投资中心（有限合伙）</t>
  </si>
  <si>
    <t>深圳福星资本管理有限公司</t>
  </si>
  <si>
    <t>伙企业（有限合伙）</t>
  </si>
  <si>
    <t>长城国泰（舟山）产业并购重组基金合</t>
  </si>
  <si>
    <t>景顺长城基金管理有限公司</t>
  </si>
  <si>
    <t>徐双喜</t>
  </si>
  <si>
    <t>天津力天融金投资有限公司</t>
  </si>
  <si>
    <t>上海国鑫投资发展有限公司</t>
  </si>
  <si>
    <t>金满汇（北京）投资管理有限公司</t>
  </si>
  <si>
    <t>富国资产管理（上海）有限公司</t>
  </si>
  <si>
    <t>嘉实惠泽定增灵活配置混合型证券投资基金</t>
  </si>
  <si>
    <t>合计</t>
  </si>
  <si>
    <t>郝玉辉</t>
  </si>
  <si>
    <t>效申购</t>
  </si>
  <si>
    <r>
      <t>（元</t>
    </r>
    <r>
      <rPr>
        <b/>
        <sz val="9"/>
        <color theme="0" tint="-4.9989318521683403E-2"/>
        <rFont val="Times New Roman"/>
        <family val="1"/>
      </rPr>
      <t>/</t>
    </r>
    <r>
      <rPr>
        <b/>
        <sz val="9"/>
        <color theme="0" tint="-4.9989318521683403E-2"/>
        <rFont val="Microsoft JhengHei"/>
        <family val="2"/>
        <charset val="136"/>
      </rPr>
      <t>股）</t>
    </r>
  </si>
  <si>
    <t>配售数量（股）</t>
  </si>
  <si>
    <t>配售金额（元）</t>
  </si>
  <si>
    <t>是否有</t>
  </si>
  <si>
    <t>认购金额（元）</t>
  </si>
  <si>
    <t>认购价格</t>
  </si>
  <si>
    <t>认购人</t>
  </si>
  <si>
    <t>获配金额（亿）</t>
    <phoneticPr fontId="4" type="noConversion"/>
  </si>
  <si>
    <t>获配股数（万）</t>
    <phoneticPr fontId="4" type="noConversion"/>
  </si>
  <si>
    <t>申购金额（亿）</t>
    <phoneticPr fontId="4" type="noConversion"/>
  </si>
  <si>
    <t>9:00—12:00</t>
  </si>
  <si>
    <t>002108.SZ</t>
  </si>
  <si>
    <t>沧州明珠</t>
  </si>
  <si>
    <t>http://data.eastmoney.com/notices/detail/002108/AN201611170106698762,JUU2JUIyJUE3JUU1JUI3JTlFJUU2JTk4JThFJUU3JThGJUEw.html</t>
  </si>
  <si>
    <t>折扣</t>
  </si>
  <si>
    <t>发行价格</t>
  </si>
  <si>
    <t>二级市场价格</t>
  </si>
  <si>
    <t>报价时间</t>
    <phoneticPr fontId="4" type="noConversion"/>
  </si>
  <si>
    <t>报价日期</t>
    <phoneticPr fontId="4" type="noConversion"/>
  </si>
  <si>
    <t>序号</t>
    <phoneticPr fontId="5" type="noConversion"/>
  </si>
  <si>
    <t>（元）</t>
  </si>
  <si>
    <t>（股）</t>
  </si>
  <si>
    <t>获配金额</t>
  </si>
  <si>
    <t>最终获配股数</t>
  </si>
  <si>
    <t>获配对象名称</t>
  </si>
  <si>
    <t>申购价格（元/股）</t>
  </si>
  <si>
    <t>002776.SZ</t>
  </si>
  <si>
    <t>柏堡龙</t>
  </si>
  <si>
    <t>http://data.eastmoney.com/notices/detail/002776/AN201611170106970772,JUU2JTlGJThGJUU1JUEwJUExJUU5JUJFJTk5.html</t>
  </si>
  <si>
    <t>基金</t>
  </si>
  <si>
    <t>证券</t>
  </si>
  <si>
    <t>其他</t>
  </si>
  <si>
    <t>北京牛栏山北京醇集团</t>
  </si>
  <si>
    <t>信托</t>
  </si>
  <si>
    <t>合 计</t>
  </si>
  <si>
    <t>保险</t>
  </si>
  <si>
    <t>云南冶金集团股份有限公司</t>
  </si>
  <si>
    <t>（万元）</t>
  </si>
  <si>
    <t>（元/股）</t>
  </si>
  <si>
    <t>锁定期（月）</t>
  </si>
  <si>
    <t>锁定期(月)</t>
  </si>
  <si>
    <t>关联关系</t>
  </si>
  <si>
    <t>发行对象类别</t>
  </si>
  <si>
    <t>投资者</t>
  </si>
  <si>
    <t>000807.SZ</t>
  </si>
  <si>
    <t>云铝股份</t>
  </si>
  <si>
    <t>http://data.eastmoney.com/notices/detail/000807/AN201611170106761478,JUU0JUJBJTkxJUU5JTkzJTlEJUU4JTgyJUExJUU0JUJCJUJE.html</t>
  </si>
  <si>
    <t>中国航空发动机集团有限公司</t>
  </si>
  <si>
    <t>银河资本资产管理有限公司</t>
  </si>
  <si>
    <t>渤海汇金证券资产管理有限公司</t>
  </si>
  <si>
    <t>获配金额（元）</t>
  </si>
  <si>
    <t>渤海汇金证券资产管理有限公司</t>
    <phoneticPr fontId="4" type="noConversion"/>
  </si>
  <si>
    <t>认购金额（万元）</t>
  </si>
  <si>
    <t>认购股数（万股）</t>
  </si>
  <si>
    <t>认购价格（元）</t>
  </si>
  <si>
    <t>单</t>
  </si>
  <si>
    <t>300367.SZ</t>
  </si>
  <si>
    <t>东方网力</t>
  </si>
  <si>
    <t>http://data.eastmoney.com/notices/detail/300367/AN201611170106709559,JUU0JUI4JTlDJUU2JTk2JUI5JUU3JUJEJTkxJUU1JThBJTlC.html</t>
  </si>
  <si>
    <t>单号</t>
    <phoneticPr fontId="4" type="noConversion"/>
  </si>
  <si>
    <t>000901.SZ</t>
  </si>
  <si>
    <t>航天科技</t>
  </si>
  <si>
    <t>http://pdf.dfcfw.com/pdf/H2_AN201610260027558319_1.pdf</t>
  </si>
  <si>
    <t>23.05（无效申购）</t>
    <phoneticPr fontId="4" type="noConversion"/>
  </si>
  <si>
    <t>山东高速投资基金管理有限公司</t>
  </si>
  <si>
    <t>兴业全球基金管理有限公司</t>
    <phoneticPr fontId="4" type="noConversion"/>
  </si>
  <si>
    <t>南京誉信投资中心（有限合伙）</t>
    <phoneticPr fontId="4" type="noConversion"/>
  </si>
  <si>
    <t>南京瑞达信沨股权投资合伙企业（有限合伙）</t>
    <phoneticPr fontId="4" type="noConversion"/>
  </si>
  <si>
    <t>民生通惠资产管理有限公司</t>
    <phoneticPr fontId="4" type="noConversion"/>
  </si>
  <si>
    <t>华泰柏瑞基金管理有限公司</t>
    <phoneticPr fontId="4" type="noConversion"/>
  </si>
  <si>
    <t>申万菱信基金管理有限公司</t>
    <phoneticPr fontId="4" type="noConversion"/>
  </si>
  <si>
    <t>华鑫证券有限责任公司</t>
    <phoneticPr fontId="4" type="noConversion"/>
  </si>
  <si>
    <t>中国银河证券股份有限公司</t>
    <phoneticPr fontId="4" type="noConversion"/>
  </si>
  <si>
    <t>信诚基金管理有限公司</t>
    <phoneticPr fontId="4" type="noConversion"/>
  </si>
  <si>
    <t>第一创业证券股份有限公司</t>
    <phoneticPr fontId="4" type="noConversion"/>
  </si>
  <si>
    <t>平安大华基金管理有限公司</t>
    <phoneticPr fontId="4" type="noConversion"/>
  </si>
  <si>
    <t>嘉实基金管理有限公司</t>
    <phoneticPr fontId="4" type="noConversion"/>
  </si>
  <si>
    <t>大成基金管理有限公司</t>
    <phoneticPr fontId="4" type="noConversion"/>
  </si>
  <si>
    <t>博时基金管理有限公司</t>
    <phoneticPr fontId="4" type="noConversion"/>
  </si>
  <si>
    <t>中信建投基金管理有限公司</t>
    <phoneticPr fontId="4" type="noConversion"/>
  </si>
  <si>
    <t>西部利得基金管理有限公司</t>
    <phoneticPr fontId="4" type="noConversion"/>
  </si>
  <si>
    <t>华融天泽投资有限公司</t>
  </si>
  <si>
    <t>北京东富新投投资管理中心（有限合伙）</t>
    <phoneticPr fontId="4" type="noConversion"/>
  </si>
  <si>
    <t>天治基金管理有限公司</t>
    <phoneticPr fontId="4" type="noConversion"/>
  </si>
  <si>
    <t>股）</t>
  </si>
  <si>
    <t>(元/股)</t>
  </si>
  <si>
    <t>锁定期限（月）</t>
  </si>
  <si>
    <t>有效申购金额（万元）</t>
  </si>
  <si>
    <t>有效申购价格（元/</t>
  </si>
  <si>
    <t>002537.SZ</t>
  </si>
  <si>
    <t>海联金汇</t>
  </si>
  <si>
    <t>http://pdf.dfcfw.com/pdf/H2_AN201611160102707184_1.pdf</t>
  </si>
  <si>
    <t>深圳市融通资本管理股份有限公司</t>
    <phoneticPr fontId="4" type="noConversion"/>
  </si>
  <si>
    <r>
      <t>（元</t>
    </r>
    <r>
      <rPr>
        <b/>
        <sz val="10.5"/>
        <color theme="0" tint="-4.9989318521683403E-2"/>
        <rFont val="Times New Roman"/>
        <family val="1"/>
      </rPr>
      <t>/</t>
    </r>
    <r>
      <rPr>
        <b/>
        <sz val="10.5"/>
        <color theme="0" tint="-4.9989318521683403E-2"/>
        <rFont val="Microsoft JhengHei"/>
        <family val="2"/>
        <charset val="136"/>
      </rPr>
      <t>股）</t>
    </r>
  </si>
  <si>
    <r>
      <t>认购价格（元</t>
    </r>
    <r>
      <rPr>
        <b/>
        <sz val="10.5"/>
        <color theme="0" tint="-4.9989318521683403E-2"/>
        <rFont val="Times New Roman"/>
        <family val="1"/>
      </rPr>
      <t>/</t>
    </r>
    <r>
      <rPr>
        <b/>
        <sz val="10.5"/>
        <color theme="0" tint="-4.9989318521683403E-2"/>
        <rFont val="Microsoft JhengHei"/>
        <family val="2"/>
        <charset val="136"/>
      </rPr>
      <t>股）</t>
    </r>
  </si>
  <si>
    <t>002235.SZ</t>
  </si>
  <si>
    <t>安妮股份</t>
  </si>
  <si>
    <t>http://data.eastmoney.com/notices/detail/002235/AN201611150099253049,JUU1JUFFJTg5JUU1JUE2JUFFJUU4JTgyJUExJUU0JUJCJUJE.html</t>
  </si>
  <si>
    <t>李洪国</t>
  </si>
  <si>
    <t>申购股数（万股）</t>
  </si>
  <si>
    <t>申报价格</t>
  </si>
  <si>
    <t>002150.SZ</t>
  </si>
  <si>
    <t>通润装备</t>
  </si>
  <si>
    <t>http://pdf.dfcfw.com/pdf/H2_AN201611140096756718_1.pdf</t>
  </si>
  <si>
    <t>田红军</t>
  </si>
  <si>
    <t>有限公司</t>
  </si>
  <si>
    <t>歌斐诺宝（上海）资产管理</t>
  </si>
  <si>
    <t>002239.SZ</t>
  </si>
  <si>
    <t>奥特佳</t>
  </si>
  <si>
    <t>http://data.eastmoney.com/notices/detail/002239/AN201611140096560826,JUU1JUE1JUE1JUU3JTg5JUI5JUU0JUJEJUIz.html</t>
  </si>
  <si>
    <t>9:00 至 12:00</t>
  </si>
  <si>
    <t>300352.SZ</t>
  </si>
  <si>
    <t>北信源</t>
  </si>
  <si>
    <t>http://data.eastmoney.com/notices/detail/300352/AN201611020049200720,JUU1JThDJTk3JUU0JUJGJUExJUU2JUJBJTkw.html</t>
  </si>
  <si>
    <t>配售金额 （元）</t>
  </si>
  <si>
    <t>配售价格</t>
  </si>
  <si>
    <t>配售对象</t>
  </si>
  <si>
    <t>序</t>
  </si>
  <si>
    <t>申购金额（元）</t>
    <phoneticPr fontId="4" type="noConversion"/>
  </si>
  <si>
    <t>申购价格（元）</t>
    <phoneticPr fontId="4" type="noConversion"/>
  </si>
  <si>
    <t>300053.SZ</t>
  </si>
  <si>
    <t>欧比特</t>
  </si>
  <si>
    <t>http://data.eastmoney.com/notices/detail/300053/AN201612060162823875,JUU2JUFDJUE3JUU2JUFGJTk0JUU3JTg5JUI5.html</t>
  </si>
  <si>
    <t>西部证券股份有限公司</t>
    <phoneticPr fontId="4" type="noConversion"/>
  </si>
  <si>
    <t>建信基金管理有限责任公司</t>
    <phoneticPr fontId="4" type="noConversion"/>
  </si>
  <si>
    <t>北信瑞丰基金管理有限公司</t>
    <phoneticPr fontId="4" type="noConversion"/>
  </si>
  <si>
    <t>宝盈基金管理有限公司</t>
    <phoneticPr fontId="4" type="noConversion"/>
  </si>
  <si>
    <t>603555.SH</t>
  </si>
  <si>
    <t>贵人鸟</t>
  </si>
  <si>
    <t>http://data.eastmoney.com/notices/detail/603555/AN201612080170646733,JUU4JUI0JUI1JUU0JUJBJUJBJUU5JUI4JTlG.html</t>
  </si>
  <si>
    <t xml:space="preserve">无效 </t>
  </si>
  <si>
    <t xml:space="preserve">浩熙股权投资管理（上海） 有限公司 </t>
    <phoneticPr fontId="4" type="noConversion"/>
  </si>
  <si>
    <t xml:space="preserve">管理有限公司 </t>
  </si>
  <si>
    <t>民生通惠资产</t>
  </si>
  <si>
    <t xml:space="preserve">申万菱信基金管理有限公司 </t>
    <phoneticPr fontId="4" type="noConversion"/>
  </si>
  <si>
    <t xml:space="preserve">东莞证券股份有限公司 </t>
    <phoneticPr fontId="4" type="noConversion"/>
  </si>
  <si>
    <t xml:space="preserve">诺安基金管理有限公司 </t>
    <phoneticPr fontId="4" type="noConversion"/>
  </si>
  <si>
    <t xml:space="preserve">广州证券领袖定增 1 号集合资产管理计划 </t>
    <phoneticPr fontId="4" type="noConversion"/>
  </si>
  <si>
    <t xml:space="preserve">安徽建投嘉华投资有限公司 </t>
    <phoneticPr fontId="4" type="noConversion"/>
  </si>
  <si>
    <t xml:space="preserve">南京瑞达信沨股权投资合伙企业（有限合伙） </t>
    <phoneticPr fontId="4" type="noConversion"/>
  </si>
  <si>
    <t xml:space="preserve">金元顺安基金管理有限公司 </t>
    <phoneticPr fontId="4" type="noConversion"/>
  </si>
  <si>
    <t xml:space="preserve">兴业全球基金管理有限公司 </t>
    <phoneticPr fontId="4" type="noConversion"/>
  </si>
  <si>
    <t xml:space="preserve">新活力资本投资有限公司 </t>
    <phoneticPr fontId="4" type="noConversion"/>
  </si>
  <si>
    <t xml:space="preserve">平安养老保险股份有限公司 </t>
    <phoneticPr fontId="4" type="noConversion"/>
  </si>
  <si>
    <t xml:space="preserve">华泰柏瑞基金管理有限公司 </t>
    <phoneticPr fontId="4" type="noConversion"/>
  </si>
  <si>
    <t xml:space="preserve">鞍山钢铁集团公司 </t>
    <phoneticPr fontId="4" type="noConversion"/>
  </si>
  <si>
    <t xml:space="preserve">国华人寿保险股份有限公司 </t>
    <phoneticPr fontId="4" type="noConversion"/>
  </si>
  <si>
    <t xml:space="preserve">平安大华基金管理有限公司 </t>
    <phoneticPr fontId="4" type="noConversion"/>
  </si>
  <si>
    <t xml:space="preserve">上海国鑫投资发展有限公司 </t>
    <phoneticPr fontId="4" type="noConversion"/>
  </si>
  <si>
    <t xml:space="preserve">宁波博翎股权投资合伙企业 </t>
    <phoneticPr fontId="4" type="noConversion"/>
  </si>
  <si>
    <t xml:space="preserve">第一创业证券股份有限公司 </t>
    <phoneticPr fontId="4" type="noConversion"/>
  </si>
  <si>
    <t>国信证券股份有限公司</t>
    <phoneticPr fontId="4" type="noConversion"/>
  </si>
  <si>
    <t xml:space="preserve">融通基金管理有限公司 </t>
    <phoneticPr fontId="4" type="noConversion"/>
  </si>
  <si>
    <t xml:space="preserve">合众人寿保险股份有限公司 </t>
    <phoneticPr fontId="4" type="noConversion"/>
  </si>
  <si>
    <t xml:space="preserve">东海基金管理有限责任公司 </t>
    <phoneticPr fontId="4" type="noConversion"/>
  </si>
  <si>
    <t xml:space="preserve">汇安基金管理有限责任公司 </t>
    <phoneticPr fontId="4" type="noConversion"/>
  </si>
  <si>
    <t xml:space="preserve">信诚基金管理有限公司 </t>
    <phoneticPr fontId="4" type="noConversion"/>
  </si>
  <si>
    <t xml:space="preserve">东吴基金管理有限公司 </t>
    <phoneticPr fontId="4" type="noConversion"/>
  </si>
  <si>
    <t xml:space="preserve">兴证证券资产管理有限公司 </t>
  </si>
  <si>
    <t xml:space="preserve">博时基金管理有限公司 </t>
    <phoneticPr fontId="4" type="noConversion"/>
  </si>
  <si>
    <t xml:space="preserve">天弘基金管理有限公司 </t>
  </si>
  <si>
    <t xml:space="preserve">汇添富基金管股份有限公司 </t>
    <phoneticPr fontId="4" type="noConversion"/>
  </si>
  <si>
    <t xml:space="preserve">安信基金管理有限责任公司 </t>
  </si>
  <si>
    <t xml:space="preserve">兴业财富资产管理有限公司 </t>
  </si>
  <si>
    <t xml:space="preserve">广西铁路发展二期投资基金合伙企业（有限合伙） </t>
    <phoneticPr fontId="4" type="noConversion"/>
  </si>
  <si>
    <t xml:space="preserve">华融证券股份有限公司 </t>
  </si>
  <si>
    <t xml:space="preserve">平安资产鑫享7 号资产管理产品 </t>
    <phoneticPr fontId="4" type="noConversion"/>
  </si>
  <si>
    <t xml:space="preserve">嘉实基金管理有限公司 </t>
  </si>
  <si>
    <t>五矿资本控股有限公司</t>
    <phoneticPr fontId="4" type="noConversion"/>
  </si>
  <si>
    <t xml:space="preserve">九泰基金管理有限公司 </t>
  </si>
  <si>
    <t xml:space="preserve">中信证券股份有限公司（资管） </t>
    <phoneticPr fontId="4" type="noConversion"/>
  </si>
  <si>
    <t xml:space="preserve">财通基金管理有限公司 </t>
    <phoneticPr fontId="4" type="noConversion"/>
  </si>
  <si>
    <t xml:space="preserve">北京阳光嘉瑞科技开发有限公司 </t>
    <phoneticPr fontId="4" type="noConversion"/>
  </si>
  <si>
    <t xml:space="preserve">中国华融资产管理股份有限公司 </t>
    <phoneticPr fontId="4" type="noConversion"/>
  </si>
  <si>
    <t xml:space="preserve">成都天赐红鹰科技有限公司 </t>
    <phoneticPr fontId="4" type="noConversion"/>
  </si>
  <si>
    <t xml:space="preserve">华安基金管理有限公司 </t>
  </si>
  <si>
    <t xml:space="preserve">北信瑞丰基金管理有限公司 </t>
  </si>
  <si>
    <t xml:space="preserve">泰达宏利基金管理有限公司 </t>
    <phoneticPr fontId="4" type="noConversion"/>
  </si>
  <si>
    <t xml:space="preserve">鹏华基金管理有限公司 </t>
    <phoneticPr fontId="4" type="noConversion"/>
  </si>
  <si>
    <t xml:space="preserve">重庆农信合作投资有限公司 </t>
  </si>
  <si>
    <t xml:space="preserve">深圳市前海梧桐广证定增投资基金企业（有限合伙） </t>
    <phoneticPr fontId="4" type="noConversion"/>
  </si>
  <si>
    <t xml:space="preserve">西藏泓涵股权投资管理有限公司 </t>
    <phoneticPr fontId="4" type="noConversion"/>
  </si>
  <si>
    <t xml:space="preserve">西部证券股份有限公司 </t>
    <phoneticPr fontId="4" type="noConversion"/>
  </si>
  <si>
    <t xml:space="preserve">安泰创业投资（深圳）有限公司 </t>
    <phoneticPr fontId="4" type="noConversion"/>
  </si>
  <si>
    <t xml:space="preserve">大成基金管理有限公司 </t>
    <phoneticPr fontId="4" type="noConversion"/>
  </si>
  <si>
    <t xml:space="preserve">武汉工业国有投资有限公司 </t>
    <phoneticPr fontId="4" type="noConversion"/>
  </si>
  <si>
    <t xml:space="preserve">红土创新基金管理有限公司 </t>
  </si>
  <si>
    <t xml:space="preserve">建信基金管理有限责任公司 </t>
    <phoneticPr fontId="4" type="noConversion"/>
  </si>
  <si>
    <t xml:space="preserve">合计 </t>
  </si>
  <si>
    <t xml:space="preserve">银河汇达 70号定向资产管理计划 </t>
    <phoneticPr fontId="4" type="noConversion"/>
  </si>
  <si>
    <t>武汉工业国有投资有限公司</t>
    <phoneticPr fontId="4" type="noConversion"/>
  </si>
  <si>
    <t xml:space="preserve">鹏华资产管理(深圳)有限公司 </t>
    <phoneticPr fontId="4" type="noConversion"/>
  </si>
  <si>
    <r>
      <t>鹏华资产管理(深圳</t>
    </r>
    <r>
      <rPr>
        <sz val="10.5"/>
        <color theme="0" tint="-4.9989318521683403E-2"/>
        <rFont val="Times New Roman"/>
        <family val="2"/>
      </rPr>
      <t>)</t>
    </r>
    <r>
      <rPr>
        <sz val="10.5"/>
        <color theme="0" tint="-4.9989318521683403E-2"/>
        <rFont val="宋体"/>
        <family val="3"/>
        <charset val="134"/>
      </rPr>
      <t>有限公司</t>
    </r>
  </si>
  <si>
    <t>红土创新基金管理有限公司</t>
    <phoneticPr fontId="4" type="noConversion"/>
  </si>
  <si>
    <t>上海中汇金锐投资管理有限公司</t>
    <phoneticPr fontId="4" type="noConversion"/>
  </si>
  <si>
    <t xml:space="preserve">上海中汇金锐投资管理有限公司 </t>
    <phoneticPr fontId="4" type="noConversion"/>
  </si>
  <si>
    <t>银河金汇证券资产管理有限公司</t>
    <phoneticPr fontId="4" type="noConversion"/>
  </si>
  <si>
    <t>创金合信基金管理有限公司</t>
    <phoneticPr fontId="4" type="noConversion"/>
  </si>
  <si>
    <t xml:space="preserve">创金合信基金管理有限公司 </t>
  </si>
  <si>
    <t xml:space="preserve">获配数量 （股） </t>
    <phoneticPr fontId="4" type="noConversion"/>
  </si>
  <si>
    <t xml:space="preserve">申购金额（万元） </t>
    <phoneticPr fontId="4" type="noConversion"/>
  </si>
  <si>
    <t xml:space="preserve">申购价格 （元） </t>
    <phoneticPr fontId="4" type="noConversion"/>
  </si>
  <si>
    <t xml:space="preserve">认购对象名称 </t>
  </si>
  <si>
    <t xml:space="preserve">序号 </t>
  </si>
  <si>
    <t xml:space="preserve">认购金额（元） </t>
  </si>
  <si>
    <t xml:space="preserve">申购价格（元） </t>
    <phoneticPr fontId="4" type="noConversion"/>
  </si>
  <si>
    <t xml:space="preserve">发行对象 </t>
  </si>
  <si>
    <t>600114.SH</t>
  </si>
  <si>
    <t>东睦股份</t>
  </si>
  <si>
    <t>http://data.eastmoney.com/notices/detail/600114/AN201612080170727649,JUU0JUI4JTlDJUU3JTlEJUE2JUU4JTgyJUExJUU0JUJCJUJE.html</t>
  </si>
  <si>
    <t>其他机构</t>
  </si>
  <si>
    <t>汇添富基金管理股份有限公司</t>
    <phoneticPr fontId="4" type="noConversion"/>
  </si>
  <si>
    <t>国信国投基金管理（北京） 有限公司</t>
  </si>
  <si>
    <t>汇安基金管理有限责任公司</t>
  </si>
  <si>
    <t>重庆信三威投资咨询中心（有限合伙）</t>
    <phoneticPr fontId="4" type="noConversion"/>
  </si>
  <si>
    <t>鹏华资产管理（深圳）有限公司</t>
    <phoneticPr fontId="4" type="noConversion"/>
  </si>
  <si>
    <t>匠星实业有限公司</t>
  </si>
  <si>
    <t>个人</t>
  </si>
  <si>
    <t>乔文东</t>
  </si>
  <si>
    <r>
      <t xml:space="preserve">12 </t>
    </r>
    <r>
      <rPr>
        <sz val="10"/>
        <color theme="0" tint="-4.9989318521683403E-2"/>
        <rFont val="宋体"/>
        <family val="3"/>
        <charset val="134"/>
      </rPr>
      <t>个月</t>
    </r>
  </si>
  <si>
    <t>国泰君安创新投资有限公司</t>
  </si>
  <si>
    <t>认购数量（股）</t>
  </si>
  <si>
    <t>申购金额(元)</t>
    <phoneticPr fontId="4" type="noConversion"/>
  </si>
  <si>
    <t>申购价格（元/股）</t>
    <phoneticPr fontId="4" type="noConversion"/>
  </si>
  <si>
    <t>锁定期</t>
  </si>
  <si>
    <t>关联</t>
  </si>
  <si>
    <t>序号</t>
    <phoneticPr fontId="4" type="noConversion"/>
  </si>
  <si>
    <t>002669.SZ</t>
  </si>
  <si>
    <t>康达新材</t>
  </si>
  <si>
    <t>http://data.eastmoney.com/notices/detail/002669/AN201612040158525214,JUU1JUJBJUI3JUU4JUJFJUJFJUU2JTk2JUIwJUU2JTlEJTkw.html</t>
  </si>
  <si>
    <t>安徽高新毅达皖江产业发展创业投资基金（有限合伙）</t>
    <phoneticPr fontId="4" type="noConversion"/>
  </si>
  <si>
    <t>安徽皖投工业投资有限公司</t>
  </si>
  <si>
    <t>--</t>
  </si>
  <si>
    <t>合  计</t>
  </si>
  <si>
    <r>
      <t>(</t>
    </r>
    <r>
      <rPr>
        <b/>
        <sz val="10.5"/>
        <color theme="0" tint="-4.9989318521683403E-2"/>
        <rFont val="Microsoft JhengHei"/>
        <family val="2"/>
        <charset val="136"/>
      </rPr>
      <t>万元</t>
    </r>
    <r>
      <rPr>
        <b/>
        <sz val="10.5"/>
        <color theme="0" tint="-4.9989318521683403E-2"/>
        <rFont val="微软雅黑"/>
        <family val="2"/>
        <charset val="134"/>
      </rPr>
      <t>)</t>
    </r>
  </si>
  <si>
    <r>
      <t>获配金额</t>
    </r>
    <r>
      <rPr>
        <b/>
        <sz val="10.5"/>
        <color theme="0" tint="-4.9989318521683403E-2"/>
        <rFont val="Times New Roman"/>
        <family val="1"/>
      </rPr>
      <t>(</t>
    </r>
    <r>
      <rPr>
        <b/>
        <sz val="10.5"/>
        <color theme="0" tint="-4.9989318521683403E-2"/>
        <rFont val="Microsoft JhengHei"/>
        <family val="2"/>
        <charset val="136"/>
      </rPr>
      <t>万元</t>
    </r>
    <r>
      <rPr>
        <b/>
        <sz val="10.5"/>
        <color theme="0" tint="-4.9989318521683403E-2"/>
        <rFont val="Times New Roman"/>
        <family val="1"/>
      </rPr>
      <t>)</t>
    </r>
  </si>
  <si>
    <r>
      <t>获配股数</t>
    </r>
    <r>
      <rPr>
        <b/>
        <sz val="10.5"/>
        <color theme="0" tint="-4.9989318521683403E-2"/>
        <rFont val="Times New Roman"/>
        <family val="1"/>
      </rPr>
      <t>(</t>
    </r>
    <r>
      <rPr>
        <b/>
        <sz val="10.5"/>
        <color theme="0" tint="-4.9989318521683403E-2"/>
        <rFont val="Microsoft JhengHei"/>
        <family val="2"/>
        <charset val="136"/>
      </rPr>
      <t>万股</t>
    </r>
    <r>
      <rPr>
        <b/>
        <sz val="10.5"/>
        <color theme="0" tint="-4.9989318521683403E-2"/>
        <rFont val="Times New Roman"/>
        <family val="1"/>
      </rPr>
      <t>)</t>
    </r>
  </si>
  <si>
    <r>
      <t>获配价格</t>
    </r>
    <r>
      <rPr>
        <b/>
        <sz val="10.5"/>
        <color theme="0" tint="-4.9989318521683403E-2"/>
        <rFont val="微软雅黑"/>
        <family val="2"/>
        <charset val="134"/>
      </rPr>
      <t>(</t>
    </r>
    <r>
      <rPr>
        <b/>
        <sz val="10.5"/>
        <color theme="0" tint="-4.9989318521683403E-2"/>
        <rFont val="Microsoft JhengHei"/>
        <family val="2"/>
        <charset val="136"/>
      </rPr>
      <t>元</t>
    </r>
    <r>
      <rPr>
        <b/>
        <sz val="10.5"/>
        <color theme="0" tint="-4.9989318521683403E-2"/>
        <rFont val="微软雅黑"/>
        <family val="2"/>
        <charset val="134"/>
      </rPr>
      <t>/</t>
    </r>
    <r>
      <rPr>
        <b/>
        <sz val="10.5"/>
        <color theme="0" tint="-4.9989318521683403E-2"/>
        <rFont val="Microsoft JhengHei"/>
        <family val="2"/>
        <charset val="136"/>
      </rPr>
      <t>股</t>
    </r>
    <r>
      <rPr>
        <b/>
        <sz val="10.5"/>
        <color theme="0" tint="-4.9989318521683403E-2"/>
        <rFont val="微软雅黑"/>
        <family val="2"/>
        <charset val="134"/>
      </rPr>
      <t>)</t>
    </r>
  </si>
  <si>
    <t>认购人全称</t>
  </si>
  <si>
    <t>每档金额</t>
  </si>
  <si>
    <r>
      <t>每档报价（由高到低）</t>
    </r>
    <r>
      <rPr>
        <b/>
        <sz val="10.5"/>
        <color theme="0" tint="-4.9989318521683403E-2"/>
        <rFont val="微软雅黑"/>
        <family val="2"/>
        <charset val="134"/>
      </rPr>
      <t>(</t>
    </r>
    <r>
      <rPr>
        <b/>
        <sz val="10.5"/>
        <color theme="0" tint="-4.9989318521683403E-2"/>
        <rFont val="Microsoft JhengHei"/>
        <family val="2"/>
        <charset val="136"/>
      </rPr>
      <t>元</t>
    </r>
    <r>
      <rPr>
        <b/>
        <sz val="10.5"/>
        <color theme="0" tint="-4.9989318521683403E-2"/>
        <rFont val="微软雅黑"/>
        <family val="2"/>
        <charset val="134"/>
      </rPr>
      <t xml:space="preserve">/ </t>
    </r>
    <r>
      <rPr>
        <b/>
        <sz val="10.5"/>
        <color theme="0" tint="-4.9989318521683403E-2"/>
        <rFont val="Microsoft JhengHei"/>
        <family val="2"/>
        <charset val="136"/>
      </rPr>
      <t>股</t>
    </r>
    <r>
      <rPr>
        <b/>
        <sz val="10.5"/>
        <color theme="0" tint="-4.9989318521683403E-2"/>
        <rFont val="微软雅黑"/>
        <family val="2"/>
        <charset val="134"/>
      </rPr>
      <t>)</t>
    </r>
  </si>
  <si>
    <t>300247.SZ</t>
  </si>
  <si>
    <t>融捷健康</t>
  </si>
  <si>
    <t>http://data.eastmoney.com/notices/detail/300247/AN201612020148414678,JUU4JTlFJThEJUU2JThEJUI3JUU1JTgxJUE1JUU1JUJBJUI3.html</t>
  </si>
  <si>
    <r>
      <t>浙江浙商</t>
    </r>
    <r>
      <rPr>
        <sz val="9"/>
        <color theme="0" tint="-4.9989318521683403E-2"/>
        <rFont val="Microsoft JhengHei"/>
        <family val="2"/>
        <charset val="136"/>
      </rPr>
      <t>证券资产管理有限公司</t>
    </r>
  </si>
  <si>
    <r>
      <t>新</t>
    </r>
    <r>
      <rPr>
        <sz val="9"/>
        <color theme="0" tint="-4.9989318521683403E-2"/>
        <rFont val="Microsoft JhengHei"/>
        <family val="2"/>
        <charset val="136"/>
      </rPr>
      <t>华基金管理股份有限公司</t>
    </r>
  </si>
  <si>
    <t>认购股数</t>
  </si>
  <si>
    <t>申购金额(万元)</t>
    <phoneticPr fontId="4" type="noConversion"/>
  </si>
  <si>
    <t>申购价格(元/股)</t>
    <phoneticPr fontId="4" type="noConversion"/>
  </si>
  <si>
    <t>发行对象类别</t>
    <phoneticPr fontId="4" type="noConversion"/>
  </si>
  <si>
    <t>08:30-11:30</t>
  </si>
  <si>
    <t>300324.SZ</t>
  </si>
  <si>
    <t>旋极信息</t>
  </si>
  <si>
    <t>http://data.eastmoney.com/notices/detail/300324/AN201611230123509052,JUU2JTk3JThCJUU2JTlFJTgxJUU0JUJGJUExJUU2JTgxJUFG.html</t>
  </si>
  <si>
    <t>中国华电集团资本控股有限公司</t>
  </si>
  <si>
    <t>追加认购</t>
    <phoneticPr fontId="4" type="noConversion"/>
  </si>
  <si>
    <t>中山证券有限责任公司</t>
  </si>
  <si>
    <t>000939.SZ</t>
  </si>
  <si>
    <t>*ST凯迪</t>
  </si>
  <si>
    <t>http://data.eastmoney.com/notices/detail/000939/AN201611300139862445,KlNUJUU1JTg3JUFGJUU4JUJGJUFB.html</t>
  </si>
  <si>
    <t>基金公司</t>
  </si>
  <si>
    <t>国投瑞银基金管理有限公司</t>
    <phoneticPr fontId="4" type="noConversion"/>
  </si>
  <si>
    <t>自然人</t>
  </si>
  <si>
    <t>资产管理</t>
  </si>
  <si>
    <t>平安养老保险股份有限公司</t>
    <phoneticPr fontId="4" type="noConversion"/>
  </si>
  <si>
    <t>长城国融投资管理有限公司</t>
    <phoneticPr fontId="4" type="noConversion"/>
  </si>
  <si>
    <t>资产管理公司</t>
  </si>
  <si>
    <t>南京紫金资产管理有限公司</t>
  </si>
  <si>
    <r>
      <t>申万菱信</t>
    </r>
    <r>
      <rPr>
        <sz val="10.5"/>
        <color theme="0" tint="-4.9989318521683403E-2"/>
        <rFont val="Times New Roman"/>
        <family val="2"/>
      </rPr>
      <t>(</t>
    </r>
    <r>
      <rPr>
        <sz val="10.5"/>
        <color theme="0" tint="-4.9989318521683403E-2"/>
        <rFont val="宋体"/>
        <family val="3"/>
        <charset val="134"/>
      </rPr>
      <t>上海</t>
    </r>
    <r>
      <rPr>
        <sz val="10.5"/>
        <color theme="0" tint="-4.9989318521683403E-2"/>
        <rFont val="Times New Roman"/>
        <family val="2"/>
      </rPr>
      <t>)</t>
    </r>
    <r>
      <rPr>
        <sz val="10.5"/>
        <color theme="0" tint="-4.9989318521683403E-2"/>
        <rFont val="宋体"/>
        <family val="3"/>
        <charset val="134"/>
      </rPr>
      <t>资产管理有限公司</t>
    </r>
  </si>
  <si>
    <t>获配投资者名称</t>
  </si>
  <si>
    <t>一、参与申购的发行对象申购报价及获配情况</t>
  </si>
  <si>
    <t>获配股数（股）</t>
    <phoneticPr fontId="4" type="noConversion"/>
  </si>
  <si>
    <t>申购数量（万股）</t>
    <phoneticPr fontId="4" type="noConversion"/>
  </si>
  <si>
    <t>002675.SZ</t>
  </si>
  <si>
    <t>东诚药业</t>
  </si>
  <si>
    <t>http://data.eastmoney.com/notices/detail/002675/AN201611280134901557,JUU0JUI4JTlDJUU4JUFGJTlBJUU4JThEJUFGJUU0JUI4JTlB.html</t>
  </si>
  <si>
    <t>东海基金管理有限责任公司</t>
    <phoneticPr fontId="4" type="noConversion"/>
  </si>
  <si>
    <t>东吴基金管理有限公司</t>
    <phoneticPr fontId="4" type="noConversion"/>
  </si>
  <si>
    <t>诺安基金管理有限公司</t>
    <phoneticPr fontId="4" type="noConversion"/>
  </si>
  <si>
    <t>华安基金管理有限公司</t>
    <phoneticPr fontId="4" type="noConversion"/>
  </si>
  <si>
    <t>国贸期货有限公司</t>
    <phoneticPr fontId="4" type="noConversion"/>
  </si>
  <si>
    <t>平安大华基金</t>
  </si>
  <si>
    <t>财通基金管理有限公司</t>
    <phoneticPr fontId="4" type="noConversion"/>
  </si>
  <si>
    <t>上海韬韫投资管理有限公司</t>
  </si>
  <si>
    <t>华宝信托有限责任公司</t>
    <phoneticPr fontId="4" type="noConversion"/>
  </si>
  <si>
    <t>证金（元）</t>
  </si>
  <si>
    <t>占发行后总股本比例</t>
  </si>
  <si>
    <t>名称</t>
  </si>
  <si>
    <t>实缴履约保</t>
  </si>
  <si>
    <t>应缴履约保证金</t>
  </si>
  <si>
    <r>
      <t>申购价格（元</t>
    </r>
    <r>
      <rPr>
        <b/>
        <sz val="10.5"/>
        <color theme="0" tint="-4.9989318521683403E-2"/>
        <rFont val="Times New Roman"/>
        <family val="1"/>
      </rPr>
      <t>/</t>
    </r>
    <r>
      <rPr>
        <b/>
        <sz val="10.5"/>
        <color theme="0" tint="-4.9989318521683403E-2"/>
        <rFont val="Microsoft JhengHei"/>
        <family val="2"/>
        <charset val="136"/>
      </rPr>
      <t>股）</t>
    </r>
  </si>
  <si>
    <t>9:00-11:30</t>
  </si>
  <si>
    <t>002605.SZ</t>
  </si>
  <si>
    <t>姚记科技</t>
  </si>
  <si>
    <t>http://data.eastmoney.com/notices/detail/002605/AN201611220120854698,JUU1JUE3JTlBJUU4JUFFJUIwJUU3JUE3JTkxJUU2JThBJTgw.html</t>
  </si>
  <si>
    <t>深圳前海恒兆亿基金管理有限公司</t>
    <phoneticPr fontId="4" type="noConversion"/>
  </si>
  <si>
    <r>
      <t>汉富</t>
    </r>
    <r>
      <rPr>
        <sz val="10.5"/>
        <color theme="0" tint="-4.9989318521683403E-2"/>
        <rFont val="Times New Roman"/>
        <family val="2"/>
      </rPr>
      <t>(</t>
    </r>
    <r>
      <rPr>
        <sz val="10.5"/>
        <color theme="0" tint="-4.9989318521683403E-2"/>
        <rFont val="宋体"/>
        <family val="3"/>
        <charset val="134"/>
      </rPr>
      <t>北京）资本管理有限公司</t>
    </r>
  </si>
  <si>
    <t>云南通达资本管理有限公司</t>
  </si>
  <si>
    <t>五矿证券有限公司</t>
  </si>
  <si>
    <t>安徽中安资本投资基金有限公司</t>
    <phoneticPr fontId="4" type="noConversion"/>
  </si>
  <si>
    <t>获配数量</t>
  </si>
  <si>
    <t>询价机构名称</t>
  </si>
  <si>
    <t>000903.SZ</t>
  </si>
  <si>
    <t>云内动力</t>
  </si>
  <si>
    <t>http://data.eastmoney.com/notices/detail/000903/AN201612190200519679,JUU0JUJBJTkxJUU1JTg2JTg1JUU1JThBJUE4JUU1JThBJTlC.html</t>
  </si>
  <si>
    <t>山西国君创投股权投资合伙企业（有限合伙）</t>
    <phoneticPr fontId="4" type="noConversion"/>
  </si>
  <si>
    <t>周昆仑</t>
  </si>
  <si>
    <t>广西铁路发展投资基金（有限合伙）</t>
    <phoneticPr fontId="4" type="noConversion"/>
  </si>
  <si>
    <t>北京恒宇天泽投资管理有限公司</t>
  </si>
  <si>
    <t>北京东富新投投资管理中心（有限合伙）</t>
  </si>
  <si>
    <t>国元证券股份有限公司</t>
  </si>
  <si>
    <t>上海逸合投资管理有限公司</t>
  </si>
  <si>
    <t>国泰君安创新投资有限公司</t>
    <phoneticPr fontId="4" type="noConversion"/>
  </si>
  <si>
    <t>北京众和成长投资中心（有限合伙）</t>
    <phoneticPr fontId="4" type="noConversion"/>
  </si>
  <si>
    <t>弘道天华（天津）资产管理合伙企业（有限合伙）</t>
  </si>
  <si>
    <t>600771.SH</t>
  </si>
  <si>
    <t>广誉远</t>
  </si>
  <si>
    <t>http://data.eastmoney.com/notices/detail/600771/AN201612220209211677,JUU1JUI5JUJGJUU4JUFBJTg5JUU4JUJGJTlD.html</t>
  </si>
  <si>
    <t>长石投资有限公司</t>
  </si>
  <si>
    <t>周荣良</t>
  </si>
  <si>
    <t>中晟（深圳）金融服务集团有限公司</t>
  </si>
  <si>
    <t>认购股份数量（股）</t>
  </si>
  <si>
    <t>认购方</t>
  </si>
  <si>
    <t>申购金额（万元）</t>
    <phoneticPr fontId="4" type="noConversion"/>
  </si>
  <si>
    <t>601000.SH</t>
  </si>
  <si>
    <t>唐山港</t>
  </si>
  <si>
    <t>http://data.eastmoney.com/notices/detail/601000/AN201612190200334268,JUU1JTk0JTkwJUU1JUIxJUIxJUU2JUI4JUFG.html</t>
  </si>
  <si>
    <t>俞洪泉</t>
  </si>
  <si>
    <t>广西铁路发展二期投资基金合伙企业（有限合伙）</t>
    <phoneticPr fontId="4" type="noConversion"/>
  </si>
  <si>
    <t>福建融盛伟业投资管理有限公司</t>
  </si>
  <si>
    <t>池州市东方辰天贸易有限公司</t>
  </si>
  <si>
    <t>济源投资集团有限公司</t>
  </si>
  <si>
    <t>李锋</t>
  </si>
  <si>
    <t>募集金额（元）</t>
    <phoneticPr fontId="4" type="noConversion"/>
  </si>
  <si>
    <t>发行价格（元/股）</t>
    <phoneticPr fontId="4" type="noConversion"/>
  </si>
  <si>
    <t>获配数量（股）</t>
    <phoneticPr fontId="4" type="noConversion"/>
  </si>
  <si>
    <t>600531.SH</t>
  </si>
  <si>
    <t>豫光金铅</t>
  </si>
  <si>
    <t>http://data.eastmoney.com/notices/detail/600531/AN201612190200398041,JUU4JUIxJUFCJUU1JTg1JTg5JUU5JTg3JTkxJUU5JTkzJTg1.html</t>
  </si>
  <si>
    <t>杨洪</t>
  </si>
  <si>
    <t>寇光智</t>
  </si>
  <si>
    <t>刘晓东</t>
  </si>
  <si>
    <t>申购数量（股）</t>
  </si>
  <si>
    <t>锁定期（月）</t>
    <phoneticPr fontId="4" type="noConversion"/>
  </si>
  <si>
    <t>002568.SZ</t>
  </si>
  <si>
    <t>百润股份</t>
  </si>
  <si>
    <t>http://data.eastmoney.com/notices/detail/002568/AN201612140186310498,JUU3JTk5JUJFJUU2JUI2JUE2JUU4JTgyJUExJUU0JUJCJUJE.html</t>
  </si>
  <si>
    <t>公司控股股东</t>
    <phoneticPr fontId="4" type="noConversion"/>
  </si>
  <si>
    <t>贵诚汇鑫股权投资有限公司</t>
  </si>
  <si>
    <t>上海市北高新股份有限公司</t>
  </si>
  <si>
    <t>芜湖市晨优商贸有限公司</t>
  </si>
  <si>
    <t>宁波博翎股权投资合伙企业（有限合伙）</t>
  </si>
  <si>
    <t>浙江农资集团投资发展有限公司</t>
  </si>
  <si>
    <t>杭州海源国际商贸有限公司</t>
  </si>
  <si>
    <t>鹏华资产管理有限公司</t>
  </si>
  <si>
    <t>广东省铁路发展基金有限责任公司</t>
  </si>
  <si>
    <t>湖北省国有资本运营有限公司</t>
  </si>
  <si>
    <t>中船投资发展有限公司</t>
  </si>
  <si>
    <t>广东省铁路发展基金有限责任公司</t>
    <phoneticPr fontId="4" type="noConversion"/>
  </si>
  <si>
    <t>深圳天风天成资产管理有限公司</t>
    <phoneticPr fontId="4" type="noConversion"/>
  </si>
  <si>
    <t>浙报传媒控股集团有限公司</t>
  </si>
  <si>
    <t>（月）</t>
  </si>
  <si>
    <t>浙江省发展资产经营有限公司</t>
  </si>
  <si>
    <t>申购金额（万</t>
  </si>
  <si>
    <t>申 购 价 格</t>
  </si>
  <si>
    <t>报价档位</t>
    <phoneticPr fontId="4" type="noConversion"/>
  </si>
  <si>
    <t>600633.SH</t>
  </si>
  <si>
    <t>浙数文化</t>
  </si>
  <si>
    <t>http://data.eastmoney.com/notices/detail/600633/AN201612200202558405,JUU2JUI1JTk5JUU2JTk1JUIwJUU2JTk2JTg3JUU1JThDJTk2.html</t>
  </si>
  <si>
    <t>贵州铁路发展基金管理有限公司</t>
    <phoneticPr fontId="4" type="noConversion"/>
  </si>
  <si>
    <t>广东宝丽华新能源股份有限公司</t>
    <phoneticPr fontId="4" type="noConversion"/>
  </si>
  <si>
    <t>广东宝丽华新能源股份有限公司</t>
  </si>
  <si>
    <t>贵州铁路发展基金管理有限公司</t>
  </si>
  <si>
    <t>四川省集成电路和信息安全产业投资基金有限公司</t>
  </si>
  <si>
    <t>四川省集成电路和信息安全产业投资基金有限公司</t>
    <phoneticPr fontId="4" type="noConversion"/>
  </si>
  <si>
    <r>
      <t>认购价格（元</t>
    </r>
    <r>
      <rPr>
        <b/>
        <sz val="10.5"/>
        <color theme="0" tint="-4.9989318521683403E-2"/>
        <rFont val="微软雅黑"/>
        <family val="2"/>
        <charset val="134"/>
      </rPr>
      <t>/</t>
    </r>
    <r>
      <rPr>
        <b/>
        <sz val="10.5"/>
        <color theme="0" tint="-4.9989318521683403E-2"/>
        <rFont val="Microsoft JhengHei"/>
        <family val="2"/>
        <charset val="136"/>
      </rPr>
      <t>股）</t>
    </r>
  </si>
  <si>
    <t>300366.SZ</t>
  </si>
  <si>
    <t>创意信息</t>
  </si>
  <si>
    <t>http://data.eastmoney.com/notices/detail/300366/AN201612080171009373,JUU1JTg4JTlCJUU2JTg0JThGJUU0JUJGJUExJUU2JTgxJUFG.html</t>
  </si>
  <si>
    <t>张举</t>
  </si>
  <si>
    <t>江西和信融智资产管理有限公司</t>
  </si>
  <si>
    <t>中国华电集团财务有限公司</t>
  </si>
  <si>
    <t>300248.SZ</t>
  </si>
  <si>
    <t>新开普</t>
  </si>
  <si>
    <t>http://data.eastmoney.com/notices/detail/300248/AN201611290136669273,JUU2JTk2JUIwJUU1JUJDJTgwJUU2JTk5JUFF.html</t>
  </si>
  <si>
    <t>步步高投资集团股份有限公司</t>
  </si>
  <si>
    <t>认购金额（万元）</t>
    <phoneticPr fontId="4" type="noConversion"/>
  </si>
  <si>
    <t>认购价格（元/股）</t>
    <phoneticPr fontId="4" type="noConversion"/>
  </si>
  <si>
    <t>002251.SZ</t>
  </si>
  <si>
    <t>步步高</t>
  </si>
  <si>
    <t>http://data.eastmoney.com/notices/detail/002251/AN201612060162790047,JUU2JUFEJUE1JTIwJUU2JUFEJUE1JTIwJUU5JUFCJTk4.html</t>
  </si>
  <si>
    <t>上海国际集团资产管理有限公司</t>
  </si>
  <si>
    <t>江苏盛和投资有限公司</t>
  </si>
  <si>
    <t>认购股数（万股）</t>
    <phoneticPr fontId="4" type="noConversion"/>
  </si>
  <si>
    <t>认购价格（元）</t>
    <phoneticPr fontId="4" type="noConversion"/>
  </si>
  <si>
    <t>600072.SH</t>
  </si>
  <si>
    <t>中船科技</t>
  </si>
  <si>
    <t>http://data.eastmoney.com/notices/detail/600072/AN201612080171150312,JUU0JUI4JUFEJUU4JTg4JUI5JUU3JUE3JTkxJUU2JThBJTgw.html</t>
  </si>
  <si>
    <t>华西证券股份有限公司</t>
  </si>
  <si>
    <r>
      <t>(</t>
    </r>
    <r>
      <rPr>
        <sz val="10.5"/>
        <color theme="0" tint="-4.9989318521683403E-2"/>
        <rFont val="宋体"/>
        <family val="3"/>
        <charset val="134"/>
      </rPr>
      <t>万元</t>
    </r>
    <r>
      <rPr>
        <sz val="10.5"/>
        <color theme="0" tint="-4.9989318521683403E-2"/>
        <rFont val="Times New Roman"/>
        <family val="2"/>
      </rPr>
      <t>)</t>
    </r>
  </si>
  <si>
    <r>
      <t>(</t>
    </r>
    <r>
      <rPr>
        <sz val="10.5"/>
        <color theme="0" tint="-4.9989318521683403E-2"/>
        <rFont val="宋体"/>
        <family val="3"/>
        <charset val="134"/>
      </rPr>
      <t>元</t>
    </r>
    <r>
      <rPr>
        <sz val="10.5"/>
        <color theme="0" tint="-4.9989318521683403E-2"/>
        <rFont val="Times New Roman"/>
        <family val="2"/>
      </rPr>
      <t>/</t>
    </r>
    <r>
      <rPr>
        <sz val="10.5"/>
        <color theme="0" tint="-4.9989318521683403E-2"/>
        <rFont val="宋体"/>
        <family val="3"/>
        <charset val="134"/>
      </rPr>
      <t>股</t>
    </r>
    <r>
      <rPr>
        <sz val="10.5"/>
        <color theme="0" tint="-4.9989318521683403E-2"/>
        <rFont val="Times New Roman"/>
        <family val="2"/>
      </rPr>
      <t>)</t>
    </r>
  </si>
  <si>
    <t>关系</t>
  </si>
  <si>
    <t>象类别</t>
  </si>
  <si>
    <t>发行对</t>
  </si>
  <si>
    <t>600438.SH</t>
  </si>
  <si>
    <t>通威股份</t>
  </si>
  <si>
    <t>http://data.eastmoney.com/notices/detail/600438/AN201612290220403677,JUU5JTgwJTlBJUU1JUE4JTgxJUU4JTgyJUExJUU0JUJCJUJE.html</t>
  </si>
  <si>
    <t>微弘基金管理（北京）有限公司</t>
  </si>
  <si>
    <t>北京黑岩财富投资管理有限公司</t>
  </si>
  <si>
    <t>太阳雨控股集团有限公司</t>
  </si>
  <si>
    <t>北京财智联合理财顾问有限公司</t>
  </si>
  <si>
    <t>上海小村资产管理有限公司</t>
  </si>
  <si>
    <t>最终获配金额（元）</t>
  </si>
  <si>
    <r>
      <t>（元</t>
    </r>
    <r>
      <rPr>
        <sz val="10.5"/>
        <color theme="0" tint="-4.9989318521683403E-2"/>
        <rFont val="Times New Roman"/>
        <family val="2"/>
      </rPr>
      <t>/</t>
    </r>
    <r>
      <rPr>
        <sz val="10.5"/>
        <color theme="0" tint="-4.9989318521683403E-2"/>
        <rFont val="Microsoft JhengHei"/>
        <family val="2"/>
      </rPr>
      <t>股）</t>
    </r>
  </si>
  <si>
    <r>
      <t>发行价格（元</t>
    </r>
    <r>
      <rPr>
        <b/>
        <sz val="10.5"/>
        <color theme="0" tint="-4.9989318521683403E-2"/>
        <rFont val="Times New Roman"/>
        <family val="1"/>
      </rPr>
      <t>/</t>
    </r>
  </si>
  <si>
    <t>002770.SZ</t>
  </si>
  <si>
    <t>科迪乳业</t>
  </si>
  <si>
    <t>http://data.eastmoney.com/notices/detail/002770/AN201612260219282605,JUU3JUE3JTkxJUU4JUJGJUFBJUU0JUI5JUIzJUU0JUI4JTlB.html</t>
  </si>
  <si>
    <t>获配小计</t>
  </si>
  <si>
    <t>小</t>
  </si>
  <si>
    <t>南京瑞达信沨股权投资合伙企业</t>
  </si>
  <si>
    <t>中广核财务有限公司</t>
  </si>
  <si>
    <t>西藏泓涵股权投资管理有限公司</t>
    <phoneticPr fontId="4" type="noConversion"/>
  </si>
  <si>
    <t>邱伟民</t>
  </si>
  <si>
    <t>泰康资产管理有限责任公司</t>
    <phoneticPr fontId="4" type="noConversion"/>
  </si>
  <si>
    <t>广西铁投创新资本投资有限公司</t>
    <phoneticPr fontId="4" type="noConversion"/>
  </si>
  <si>
    <r>
      <t>（元</t>
    </r>
    <r>
      <rPr>
        <sz val="12"/>
        <color theme="0" tint="-4.9989318521683403E-2"/>
        <rFont val="Times New Roman"/>
        <family val="2"/>
      </rPr>
      <t>/</t>
    </r>
    <r>
      <rPr>
        <sz val="12"/>
        <color theme="0" tint="-4.9989318521683403E-2"/>
        <rFont val="宋体"/>
        <family val="3"/>
        <charset val="134"/>
      </rPr>
      <t>股）</t>
    </r>
  </si>
  <si>
    <t>000065.SZ</t>
  </si>
  <si>
    <t>北方国际</t>
  </si>
  <si>
    <t>http://data.eastmoney.com/notices/detail/000065/AN201612260219283883,JUU1JThDJTk3JUU2JTk2JUI5JUU1JTlCJUJEJUU5JTk5JTg1.html</t>
  </si>
  <si>
    <t>皓熙股权投资管理（上海）有限公司</t>
    <phoneticPr fontId="4" type="noConversion"/>
  </si>
  <si>
    <r>
      <t>（元</t>
    </r>
    <r>
      <rPr>
        <b/>
        <sz val="10"/>
        <color theme="0" tint="-4.9989318521683403E-2"/>
        <rFont val="Times New Roman"/>
        <family val="1"/>
      </rPr>
      <t>/</t>
    </r>
    <r>
      <rPr>
        <b/>
        <sz val="10"/>
        <color theme="0" tint="-4.9989318521683403E-2"/>
        <rFont val="Microsoft JhengHei"/>
        <family val="2"/>
        <charset val="136"/>
      </rPr>
      <t>股）</t>
    </r>
  </si>
  <si>
    <t>300319.SZ</t>
  </si>
  <si>
    <t>麦捷科技</t>
  </si>
  <si>
    <t>http://data.eastmoney.com/notices/detail/300319/AN201612190200345334,JUU5JUJBJUE2JUU2JThEJUI3JUU3JUE3JTkxJUU2JThBJTgw.html</t>
  </si>
  <si>
    <t>不参与竞价，接受竞价确定的价格，拟认购金额 14,160 万元</t>
    <phoneticPr fontId="4" type="noConversion"/>
  </si>
  <si>
    <t>王迎燕</t>
  </si>
  <si>
    <t>农银（苏州）投资管理有限公司</t>
  </si>
  <si>
    <t>确定的价格，拟认购金额 14,160 万元</t>
  </si>
  <si>
    <t>不参与竞价，接受竞价</t>
  </si>
  <si>
    <t>何晓玲</t>
  </si>
  <si>
    <t>俞国平</t>
  </si>
  <si>
    <t>赣州和泰投资中心（有限合伙）</t>
    <phoneticPr fontId="4" type="noConversion"/>
  </si>
  <si>
    <t>安信基金管理有限责任公司</t>
    <phoneticPr fontId="4" type="noConversion"/>
  </si>
  <si>
    <t>赣州和泰投资中心（有限合伙）</t>
  </si>
  <si>
    <t>期限</t>
  </si>
  <si>
    <t>价格</t>
  </si>
  <si>
    <t>锁定</t>
  </si>
  <si>
    <t>有效申购</t>
  </si>
  <si>
    <t>申购金额(万元）</t>
  </si>
  <si>
    <t>申购价格(元/股)</t>
  </si>
  <si>
    <t>锁定期</t>
    <phoneticPr fontId="4" type="noConversion"/>
  </si>
  <si>
    <t>300495.SZ</t>
  </si>
  <si>
    <t>美尚生态</t>
  </si>
  <si>
    <t>http://data.eastmoney.com/notices/detail/300495/AN201612230212978647,JUU3JUJFJThFJUU1JUIwJTlBJUU3JTk0JTlGJUU2JTgwJTgx.html</t>
  </si>
  <si>
    <t xml:space="preserve">- </t>
  </si>
  <si>
    <t xml:space="preserve">深圳前海世嘉方盛基金管理合伙企业（有限合伙） </t>
    <phoneticPr fontId="4" type="noConversion"/>
  </si>
  <si>
    <t xml:space="preserve">（元） </t>
  </si>
  <si>
    <t xml:space="preserve">（万元） </t>
  </si>
  <si>
    <t xml:space="preserve">时间 </t>
  </si>
  <si>
    <t xml:space="preserve">(万元） </t>
  </si>
  <si>
    <t xml:space="preserve">(元/股) </t>
  </si>
  <si>
    <t xml:space="preserve">号 </t>
  </si>
  <si>
    <t xml:space="preserve">获配金额 </t>
  </si>
  <si>
    <t xml:space="preserve">有效申购金额 </t>
  </si>
  <si>
    <t>申购</t>
  </si>
  <si>
    <t xml:space="preserve">申购金额 </t>
  </si>
  <si>
    <t xml:space="preserve">申购价格 </t>
  </si>
  <si>
    <t xml:space="preserve">发行对象名称 </t>
  </si>
  <si>
    <t>002717.SZ</t>
  </si>
  <si>
    <t>岭南股份</t>
  </si>
  <si>
    <t>http://data.eastmoney.com/notices/detail/002717/AN201612220209034343,JUU1JUIyJUFEJUU1JThEJTk3JUU4JTgyJUExJUU0JUJCJUJE.html</t>
  </si>
  <si>
    <t>北京东海中矿投资管理有限公司</t>
  </si>
  <si>
    <t>002344.SZ</t>
  </si>
  <si>
    <t>海宁皮城</t>
  </si>
  <si>
    <t>http://data.eastmoney.com/notices/detail/002344/AN201612210205983381,JUU2JUI1JUI3JUU1JUFFJTgxJUU3JTlBJUFFJUU1JTlGJThF.html</t>
  </si>
  <si>
    <t>配售金额</t>
  </si>
  <si>
    <t>配售数量</t>
  </si>
  <si>
    <t>申购数量（万元）</t>
  </si>
  <si>
    <r>
      <t>申购价格（元</t>
    </r>
    <r>
      <rPr>
        <sz val="10.5"/>
        <color theme="0" tint="-4.9989318521683403E-2"/>
        <rFont val="Times New Roman"/>
        <family val="2"/>
      </rPr>
      <t>/</t>
    </r>
    <r>
      <rPr>
        <sz val="10.5"/>
        <color theme="0" tint="-4.9989318521683403E-2"/>
        <rFont val="Microsoft JhengHei"/>
        <family val="2"/>
      </rPr>
      <t>股）</t>
    </r>
  </si>
  <si>
    <t>300349.SZ</t>
  </si>
  <si>
    <t>金卡智能</t>
  </si>
  <si>
    <t>http://data.eastmoney.com/notices/detail/300349/AN201612190200343470,JUU5JTg3JTkxJUU1JThEJUExJUU2JTk5JUJBJUU4JTgzJUJE.html</t>
  </si>
  <si>
    <t>上海六禾投资有限公司</t>
  </si>
  <si>
    <t>600169.SH</t>
  </si>
  <si>
    <t>太原重工</t>
  </si>
  <si>
    <t>http://data.eastmoney.com/notices/detail/600169/AN201612210205557493,JUU1JUE0JUFBJUU1JThFJTlGJUU5JTg3JThEJUU1JUI3JUE1.html</t>
  </si>
  <si>
    <t>李继红</t>
  </si>
  <si>
    <t>华友投资</t>
  </si>
  <si>
    <t>中国华融资产管理股份有限公司</t>
  </si>
  <si>
    <t>认购金额</t>
  </si>
  <si>
    <t>603799.SH</t>
  </si>
  <si>
    <t>华友钴业</t>
  </si>
  <si>
    <t>http://pdf.dfcfw.com/pdf/H2_AN201612220209308937_1.pdf</t>
  </si>
  <si>
    <t>安徽省铁路发展基金股份有限公司</t>
    <phoneticPr fontId="4" type="noConversion"/>
  </si>
  <si>
    <t>青岛城投金融控股集团有限公司</t>
    <phoneticPr fontId="4" type="noConversion"/>
  </si>
  <si>
    <t>兴证证券资产管理有限公司</t>
    <phoneticPr fontId="4" type="noConversion"/>
  </si>
  <si>
    <t>华夏人寿保险股份有限公司</t>
    <phoneticPr fontId="4" type="noConversion"/>
  </si>
  <si>
    <t>光大保德信基金管理有限公司</t>
    <phoneticPr fontId="4" type="noConversion"/>
  </si>
  <si>
    <t>京报长安资产投资管理有限公司</t>
    <phoneticPr fontId="4" type="noConversion"/>
  </si>
  <si>
    <r>
      <t>/</t>
    </r>
    <r>
      <rPr>
        <b/>
        <sz val="11"/>
        <color theme="0" tint="-4.9989318521683403E-2"/>
        <rFont val="Microsoft JhengHei"/>
        <family val="2"/>
        <charset val="136"/>
      </rPr>
      <t>股）</t>
    </r>
  </si>
  <si>
    <r>
      <t>获配价格（元</t>
    </r>
    <r>
      <rPr>
        <b/>
        <sz val="11"/>
        <color theme="0" tint="-4.9989318521683403E-2"/>
        <rFont val="Times New Roman"/>
        <family val="1"/>
      </rPr>
      <t>/</t>
    </r>
  </si>
  <si>
    <t>报价（元</t>
  </si>
  <si>
    <t>600258.SH</t>
  </si>
  <si>
    <t>首旅酒店</t>
  </si>
  <si>
    <t>http://data.eastmoney.com/notices/detail/600258/AN201701090254831449,JUU5JUE2JTk2JUU2JTk3JTg1JUU5JTg1JTkyJUU1JUJBJTk3.html</t>
  </si>
  <si>
    <t>张贵斌</t>
  </si>
  <si>
    <t>现代种业发展基金有限公司</t>
  </si>
  <si>
    <t>002157.SZ</t>
  </si>
  <si>
    <t>正邦科技</t>
  </si>
  <si>
    <t>http://data.eastmoney.com/notices/detail/002157/AN201701080253951358,JUU2JUFEJUEzJUU5JTgyJUE2JUU3JUE3JTkxJUU2JThBJTgw.html</t>
  </si>
  <si>
    <t>福建国脉集团有限公司</t>
  </si>
  <si>
    <t>武汉众邦资产管理有限公司</t>
  </si>
  <si>
    <t>北京中财裕富投资管理有限公司</t>
  </si>
  <si>
    <t>嘉兴陇甄投资合伙企业（有限合伙）</t>
  </si>
  <si>
    <r>
      <t>（元</t>
    </r>
    <r>
      <rPr>
        <b/>
        <i/>
        <sz val="10.5"/>
        <color theme="0" tint="-4.9989318521683403E-2"/>
        <rFont val="Calibri"/>
        <family val="2"/>
      </rPr>
      <t>/</t>
    </r>
    <r>
      <rPr>
        <b/>
        <sz val="10.5"/>
        <color theme="0" tint="-4.9989318521683403E-2"/>
        <rFont val="Microsoft JhengHei"/>
        <family val="2"/>
        <charset val="136"/>
      </rPr>
      <t>股）</t>
    </r>
  </si>
  <si>
    <t>（万股）</t>
  </si>
  <si>
    <t>认购总金额</t>
  </si>
  <si>
    <t>申购数量</t>
  </si>
  <si>
    <t>002093.SZ</t>
  </si>
  <si>
    <t>国脉科技</t>
  </si>
  <si>
    <t>http://data.eastmoney.com/notices/detail/002093/AN201701030233236914,JUU1JTlCJUJEJUU4JTg0JTg5JUU3JUE3JTkxJUU2JThBJTgw.html</t>
  </si>
  <si>
    <t>宁波梅山保税港区东芷投资合伙企业（有限合伙）</t>
    <phoneticPr fontId="4" type="noConversion"/>
  </si>
  <si>
    <t>万家基金管理有限公司</t>
  </si>
  <si>
    <t>联储证券有限责任公司</t>
  </si>
  <si>
    <t>华宝信托有限公司</t>
  </si>
  <si>
    <t>余艳平</t>
  </si>
  <si>
    <t>深圳市复利基金管理有限公司</t>
  </si>
  <si>
    <t>上海中汇金锐投资管理有限公司</t>
  </si>
  <si>
    <t>认购数量</t>
  </si>
  <si>
    <t>报价机构名称</t>
  </si>
  <si>
    <t>000426.SZ</t>
  </si>
  <si>
    <t>兴业矿业</t>
  </si>
  <si>
    <t>http://data.eastmoney.com/notices/detail/000426/AN201701040236901657,JUU1JTg1JUI0JUU0JUI4JTlBJUU3JTlGJUJGJUU0JUI4JTlB.html</t>
  </si>
  <si>
    <t>中国国有企业结构调整基金股份有限公司</t>
  </si>
  <si>
    <t>深圳市平安置业投资有限公司</t>
  </si>
  <si>
    <t>中国诚通控股集团有限公司</t>
  </si>
  <si>
    <t>中国国有企业结构调整基金股份有限公司</t>
    <phoneticPr fontId="4" type="noConversion"/>
  </si>
  <si>
    <t>华泰资产管理有限公司</t>
    <phoneticPr fontId="4" type="noConversion"/>
  </si>
  <si>
    <t>宏信证券有限责任公司</t>
    <phoneticPr fontId="4" type="noConversion"/>
  </si>
  <si>
    <t>鹏华资产管理有限公司</t>
    <phoneticPr fontId="4" type="noConversion"/>
  </si>
  <si>
    <t>深圳市平安置业投资有限公司</t>
    <phoneticPr fontId="4" type="noConversion"/>
  </si>
  <si>
    <t>芜湖信石信冶投资管理合伙企业（有限合伙）</t>
    <phoneticPr fontId="4" type="noConversion"/>
  </si>
  <si>
    <r>
      <t>(</t>
    </r>
    <r>
      <rPr>
        <b/>
        <sz val="12"/>
        <color theme="0" tint="-4.9989318521683403E-2"/>
        <rFont val="宋体"/>
        <family val="3"/>
        <charset val="134"/>
      </rPr>
      <t>万股）</t>
    </r>
  </si>
  <si>
    <r>
      <t>（元</t>
    </r>
    <r>
      <rPr>
        <b/>
        <sz val="12"/>
        <color theme="0" tint="-4.9989318521683403E-2"/>
        <rFont val="Times New Roman"/>
        <family val="1"/>
      </rPr>
      <t>/</t>
    </r>
    <r>
      <rPr>
        <b/>
        <sz val="12"/>
        <color theme="0" tint="-4.9989318521683403E-2"/>
        <rFont val="宋体"/>
        <family val="3"/>
        <charset val="134"/>
      </rPr>
      <t>股）</t>
    </r>
  </si>
  <si>
    <t>申报金额</t>
  </si>
  <si>
    <t>申报数量</t>
  </si>
  <si>
    <t>601618.SH</t>
  </si>
  <si>
    <t>中国中冶</t>
  </si>
  <si>
    <t>http://data.eastmoney.com/notices/detail/601618/AN201701100256474708,JUU0JUI4JUFEJUU1JTlCJUJEJUU0JUI4JUFEJUU1JTg2JUI2.html</t>
  </si>
  <si>
    <t>国联安基金管理有限公司</t>
  </si>
  <si>
    <t>申购金额（万元</t>
  </si>
  <si>
    <t>600699.SH</t>
  </si>
  <si>
    <t>均胜电子</t>
  </si>
  <si>
    <t>http://data.eastmoney.com/notices/detail/600699/AN201701050242383504,JUU1JTlEJTg3JUU4JTgzJTlDJUU3JTk0JUI1JUU1JUFEJTkw.html</t>
  </si>
  <si>
    <r>
      <t>申万菱信基金管理有限公司</t>
    </r>
    <r>
      <rPr>
        <sz val="11"/>
        <color theme="0" tint="-4.9989318521683403E-2"/>
        <rFont val="宋体"/>
        <family val="3"/>
        <charset val="134"/>
      </rPr>
      <t xml:space="preserve"> </t>
    </r>
  </si>
  <si>
    <t>西南证券股份有限公司</t>
  </si>
  <si>
    <r>
      <t>中船投资发展有限公司</t>
    </r>
    <r>
      <rPr>
        <sz val="11"/>
        <color theme="0" tint="-4.9989318521683403E-2"/>
        <rFont val="宋体"/>
        <family val="3"/>
        <charset val="134"/>
      </rPr>
      <t xml:space="preserve"> </t>
    </r>
  </si>
  <si>
    <r>
      <t>西南证券股份有限公司</t>
    </r>
    <r>
      <rPr>
        <sz val="11"/>
        <color theme="0" tint="-4.9989318521683403E-2"/>
        <rFont val="宋体"/>
        <family val="3"/>
        <charset val="134"/>
      </rPr>
      <t xml:space="preserve"> </t>
    </r>
  </si>
  <si>
    <r>
      <t>第一创业证券股份有限公司</t>
    </r>
    <r>
      <rPr>
        <sz val="11"/>
        <color theme="0" tint="-4.9989318521683403E-2"/>
        <rFont val="宋体"/>
        <family val="3"/>
        <charset val="134"/>
      </rPr>
      <t xml:space="preserve"> </t>
    </r>
  </si>
  <si>
    <r>
      <t>平安大华基金管理有限公司</t>
    </r>
    <r>
      <rPr>
        <sz val="11"/>
        <color theme="0" tint="-4.9989318521683403E-2"/>
        <rFont val="宋体"/>
        <family val="3"/>
        <charset val="134"/>
      </rPr>
      <t xml:space="preserve"> </t>
    </r>
  </si>
  <si>
    <r>
      <t>工银瑞信基金管理有限公司</t>
    </r>
    <r>
      <rPr>
        <sz val="11"/>
        <color theme="0" tint="-4.9989318521683403E-2"/>
        <rFont val="宋体"/>
        <family val="3"/>
        <charset val="134"/>
      </rPr>
      <t xml:space="preserve"> </t>
    </r>
  </si>
  <si>
    <r>
      <t>华安基金管理有限公司</t>
    </r>
    <r>
      <rPr>
        <sz val="11"/>
        <color theme="0" tint="-4.9989318521683403E-2"/>
        <rFont val="宋体"/>
        <family val="3"/>
        <charset val="134"/>
      </rPr>
      <t xml:space="preserve"> </t>
    </r>
  </si>
  <si>
    <t>中国电能成套设备有限公司</t>
  </si>
  <si>
    <t>国家电投集团吉林省能源交通总公司</t>
  </si>
  <si>
    <t xml:space="preserve">财通基金管理有限公司 </t>
  </si>
  <si>
    <t xml:space="preserve">申购金额（万元） </t>
  </si>
  <si>
    <t xml:space="preserve">申购价格（元/股） </t>
  </si>
  <si>
    <t xml:space="preserve">询价对象名称 </t>
  </si>
  <si>
    <t>000875.SZ</t>
  </si>
  <si>
    <t>吉电股份</t>
  </si>
  <si>
    <t>http://data.eastmoney.com/notices/detail/000875/AN201612300223477895,JUU1JTkwJTg5JUU3JTk0JUI1JUU4JTgyJUExJUU0JUJCJUJE.html</t>
  </si>
  <si>
    <t>000555.SZ</t>
  </si>
  <si>
    <t>神州信息</t>
  </si>
  <si>
    <t>http://data.eastmoney.com/notices/detail/000555/AN201612270219310225,JUU3JUE1JTlFJUU1JUI3JTlFJUU0JUJGJUExJUU2JTgxJUFG.html</t>
  </si>
  <si>
    <t>上海绿联君和产业并购股权投资基金合伙企业（有限合伙）</t>
    <phoneticPr fontId="4" type="noConversion"/>
  </si>
  <si>
    <t>李科学</t>
  </si>
  <si>
    <t>前海开源兴国保盈六号资产管理计划</t>
  </si>
  <si>
    <r>
      <t xml:space="preserve">前海开源顺鑫 </t>
    </r>
    <r>
      <rPr>
        <sz val="10.5"/>
        <color theme="0" tint="-4.9989318521683403E-2"/>
        <rFont val="Times New Roman"/>
        <family val="2"/>
      </rPr>
      <t xml:space="preserve">1 </t>
    </r>
    <r>
      <rPr>
        <sz val="10.5"/>
        <color theme="0" tint="-4.9989318521683403E-2"/>
        <rFont val="宋体"/>
        <family val="3"/>
        <charset val="134"/>
      </rPr>
      <t>号定增资产管理计划</t>
    </r>
  </si>
  <si>
    <t>前海开源中汇润生定增三期资产管理计划</t>
    <phoneticPr fontId="4" type="noConversion"/>
  </si>
  <si>
    <t>青岛市企业发展投资有限公司</t>
  </si>
  <si>
    <t>广西铁投创新资本投资有限公司</t>
  </si>
  <si>
    <t>600336.SH</t>
  </si>
  <si>
    <t>澳柯玛</t>
  </si>
  <si>
    <t>http://data.eastmoney.com/notices/detail/600336/AN201612300223567981,JUU2JUJFJUIzJUU2JTlGJUFGJUU3JThFJTlC.html</t>
  </si>
  <si>
    <t>滨州润滨产业投资基金合伙企业（有限合伙）</t>
  </si>
  <si>
    <t>安信证券股份有限公司</t>
    <phoneticPr fontId="4" type="noConversion"/>
  </si>
  <si>
    <t>上海同安投资管理有限公司</t>
    <phoneticPr fontId="4" type="noConversion"/>
  </si>
  <si>
    <t>诺德基金管理有限公司</t>
    <phoneticPr fontId="4" type="noConversion"/>
  </si>
  <si>
    <t>北京忠诚志业资本管理有限公司</t>
    <phoneticPr fontId="4" type="noConversion"/>
  </si>
  <si>
    <t>天弘基金管理有限公司</t>
    <phoneticPr fontId="4" type="noConversion"/>
  </si>
  <si>
    <t>安信基金管理有限公司</t>
    <phoneticPr fontId="4" type="noConversion"/>
  </si>
  <si>
    <t>北京忠诚志业资本管理有限公司</t>
  </si>
  <si>
    <t>陈广玉</t>
  </si>
  <si>
    <t>广东粤科资本投资有限公司</t>
    <phoneticPr fontId="4" type="noConversion"/>
  </si>
  <si>
    <t>北京汽车集团有限公司</t>
  </si>
  <si>
    <r>
      <t>股</t>
    </r>
    <r>
      <rPr>
        <sz val="10.5"/>
        <color theme="0" tint="-4.9989318521683403E-2"/>
        <rFont val="Times New Roman"/>
        <family val="2"/>
      </rPr>
      <t>)</t>
    </r>
  </si>
  <si>
    <r>
      <t>申购价格</t>
    </r>
    <r>
      <rPr>
        <sz val="10.5"/>
        <color theme="0" tint="-4.9989318521683403E-2"/>
        <rFont val="Times New Roman"/>
        <family val="2"/>
      </rPr>
      <t>(</t>
    </r>
    <r>
      <rPr>
        <sz val="10.5"/>
        <color theme="0" tint="-4.9989318521683403E-2"/>
        <rFont val="宋体"/>
        <family val="3"/>
        <charset val="134"/>
      </rPr>
      <t>元</t>
    </r>
    <r>
      <rPr>
        <sz val="10.5"/>
        <color theme="0" tint="-4.9989318521683403E-2"/>
        <rFont val="Times New Roman"/>
        <family val="2"/>
      </rPr>
      <t>/</t>
    </r>
  </si>
  <si>
    <t>600960.SH</t>
  </si>
  <si>
    <t>渤海汽车</t>
  </si>
  <si>
    <t>http://pdf.dfcfw.com/pdf/H2_AN201701030233247340_1.pdf</t>
  </si>
  <si>
    <t>长江证券股份有限公司</t>
  </si>
  <si>
    <t>深圳第一创业创新资本管理有限公司</t>
    <phoneticPr fontId="4" type="noConversion"/>
  </si>
  <si>
    <t>高伟</t>
  </si>
  <si>
    <t>深圳第一创业创新资本管理有限公司</t>
  </si>
  <si>
    <r>
      <t>(</t>
    </r>
    <r>
      <rPr>
        <b/>
        <sz val="9"/>
        <color theme="0" tint="-4.9989318521683403E-2"/>
        <rFont val="Microsoft JhengHei"/>
        <family val="2"/>
        <charset val="136"/>
      </rPr>
      <t>元</t>
    </r>
    <r>
      <rPr>
        <b/>
        <sz val="9"/>
        <color theme="0" tint="-4.9989318521683403E-2"/>
        <rFont val="Times New Roman"/>
        <family val="1"/>
      </rPr>
      <t>)</t>
    </r>
  </si>
  <si>
    <r>
      <t>(</t>
    </r>
    <r>
      <rPr>
        <b/>
        <sz val="9"/>
        <color theme="0" tint="-4.9989318521683403E-2"/>
        <rFont val="Microsoft JhengHei"/>
        <family val="2"/>
        <charset val="136"/>
      </rPr>
      <t>元</t>
    </r>
    <r>
      <rPr>
        <b/>
        <sz val="9"/>
        <color theme="0" tint="-4.9989318521683403E-2"/>
        <rFont val="Times New Roman"/>
        <family val="1"/>
      </rPr>
      <t>/</t>
    </r>
    <r>
      <rPr>
        <b/>
        <sz val="9"/>
        <color theme="0" tint="-4.9989318521683403E-2"/>
        <rFont val="Microsoft JhengHei"/>
        <family val="2"/>
        <charset val="136"/>
      </rPr>
      <t>股</t>
    </r>
    <r>
      <rPr>
        <b/>
        <sz val="9"/>
        <color theme="0" tint="-4.9989318521683403E-2"/>
        <rFont val="Times New Roman"/>
        <family val="1"/>
      </rPr>
      <t>)</t>
    </r>
  </si>
  <si>
    <t>配售股数</t>
  </si>
  <si>
    <t>9:30-11:30</t>
  </si>
  <si>
    <t>300099.SZ</t>
  </si>
  <si>
    <t>精准信息</t>
  </si>
  <si>
    <t>http://data.eastmoney.com/notices/detail/300099/AN201612270219305795,JUU3JUIyJUJFJUU1JTg3JTg2JUU0JUJGJUExJUU2JTgxJUFG.html</t>
  </si>
  <si>
    <t>南京国立资产管理有限责任公司</t>
  </si>
  <si>
    <t>冯鹏飞</t>
  </si>
  <si>
    <t>南京音飞储存设备（集团）股份有限公司</t>
  </si>
  <si>
    <t>申购股数</t>
  </si>
  <si>
    <r>
      <t>申购价格（元</t>
    </r>
    <r>
      <rPr>
        <b/>
        <sz val="10.5"/>
        <color theme="0" tint="-4.9989318521683403E-2"/>
        <rFont val="Times New Roman"/>
        <family val="1"/>
      </rPr>
      <t>/</t>
    </r>
  </si>
  <si>
    <t>002040.SZ</t>
  </si>
  <si>
    <t>南京港</t>
  </si>
  <si>
    <t>http://data.eastmoney.com/notices/detail/002040/AN201612300223637246,JUU1JThEJTk3JTIwJUU0JUJBJUFDJTIwJUU2JUI4JUFG.html</t>
  </si>
  <si>
    <t>员工持股计划</t>
    <phoneticPr fontId="4" type="noConversion"/>
  </si>
  <si>
    <t>私募及其他</t>
  </si>
  <si>
    <t>西安投资控股有限公司</t>
  </si>
  <si>
    <t>长城（天津）股权投资基金管理有限责任公司</t>
    <phoneticPr fontId="4" type="noConversion"/>
  </si>
  <si>
    <t>中意资产管理有限责任公司</t>
  </si>
  <si>
    <t>太平洋资产管理有限责任公司</t>
  </si>
  <si>
    <t>北京首钢基金有限公司</t>
  </si>
  <si>
    <t>兴全基金管理有限公司</t>
  </si>
  <si>
    <t>前海股权投资基金（有限合伙）</t>
  </si>
  <si>
    <t>华宝证券有限责任公司</t>
  </si>
  <si>
    <t>中国人寿保险股份有限公司</t>
  </si>
  <si>
    <t>普星聚能股份公司</t>
  </si>
  <si>
    <t>平安资产管理有限责任公司</t>
    <phoneticPr fontId="4" type="noConversion"/>
  </si>
  <si>
    <t>河北港口集团有限公司</t>
    <phoneticPr fontId="4" type="noConversion"/>
  </si>
  <si>
    <t>河北港口集团有限公司</t>
  </si>
  <si>
    <t>华融汇通资产管理有限公司</t>
    <phoneticPr fontId="4" type="noConversion"/>
  </si>
  <si>
    <t>广东恒健投资控股有限公司</t>
    <phoneticPr fontId="4" type="noConversion"/>
  </si>
  <si>
    <t>华融汇通资产管理有限公司</t>
  </si>
  <si>
    <t>中原股权投资管理有限公司</t>
    <phoneticPr fontId="4" type="noConversion"/>
  </si>
  <si>
    <t>广东恒健投资控股有限公司</t>
  </si>
  <si>
    <t>员工持股计划（保险产品）</t>
    <phoneticPr fontId="4" type="noConversion"/>
  </si>
  <si>
    <t>上汽集团核心员工持股计划（由受托管理该计划的长江养老保险股份有限公司设立专项产品予以认购）</t>
    <phoneticPr fontId="4" type="noConversion"/>
  </si>
  <si>
    <t>控股股东及其关联方</t>
    <phoneticPr fontId="4" type="noConversion"/>
  </si>
  <si>
    <t>上海汽车工业（集团）总公司</t>
    <phoneticPr fontId="4" type="noConversion"/>
  </si>
  <si>
    <t>发行对象类型</t>
  </si>
  <si>
    <t>申购对象类型</t>
  </si>
  <si>
    <t>申购对象全称</t>
  </si>
  <si>
    <t>600104.SH</t>
  </si>
  <si>
    <t>上汽集团</t>
  </si>
  <si>
    <t>http://data.eastmoney.com/notices/detail/600104/AN201701200282570940,JUU0JUI4JThBJUU2JUIxJUJEJUU5JTlCJTg2JUU1JTlCJUEy.html</t>
  </si>
  <si>
    <t>深圳市瑞丰林投资管理中心（有限合伙）</t>
  </si>
  <si>
    <t>杨相如</t>
  </si>
  <si>
    <r>
      <t>（元</t>
    </r>
    <r>
      <rPr>
        <sz val="10.5"/>
        <color theme="0" tint="-4.9989318521683403E-2"/>
        <rFont val="Times New Roman"/>
        <family val="2"/>
      </rPr>
      <t>/</t>
    </r>
    <r>
      <rPr>
        <sz val="10.5"/>
        <color theme="0" tint="-4.9989318521683403E-2"/>
        <rFont val="宋体"/>
        <family val="3"/>
        <charset val="134"/>
      </rPr>
      <t>股）</t>
    </r>
  </si>
  <si>
    <t>000862.SZ</t>
  </si>
  <si>
    <t>银星能源</t>
  </si>
  <si>
    <t>http://data.eastmoney.com/notices/detail/000862/AN201701160272025633,JUU5JTkzJUI2JUU2JTk4JTlGJUU4JTgzJUJEJUU2JUJBJTkw.html</t>
  </si>
  <si>
    <t>台州泓石汇泉投资管理合伙企业（有限合伙）</t>
    <phoneticPr fontId="4" type="noConversion"/>
  </si>
  <si>
    <t>总计</t>
  </si>
  <si>
    <t>银华基金管理股份有限公司</t>
    <phoneticPr fontId="4" type="noConversion"/>
  </si>
  <si>
    <t>申万菱信（上海）资产管理有限公司</t>
    <phoneticPr fontId="4" type="noConversion"/>
  </si>
  <si>
    <t>圆信永丰基金管理有限公司</t>
  </si>
  <si>
    <r>
      <t>(</t>
    </r>
    <r>
      <rPr>
        <b/>
        <sz val="10.5"/>
        <color theme="0" tint="-4.9989318521683403E-2"/>
        <rFont val="Microsoft JhengHei"/>
        <family val="2"/>
        <charset val="136"/>
      </rPr>
      <t>万元</t>
    </r>
    <r>
      <rPr>
        <b/>
        <sz val="10.5"/>
        <color theme="0" tint="-4.9989318521683403E-2"/>
        <rFont val="Times New Roman"/>
        <family val="1"/>
      </rPr>
      <t>)</t>
    </r>
  </si>
  <si>
    <r>
      <t>(</t>
    </r>
    <r>
      <rPr>
        <b/>
        <sz val="10.5"/>
        <color theme="0" tint="-4.9989318521683403E-2"/>
        <rFont val="Microsoft JhengHei"/>
        <family val="2"/>
        <charset val="136"/>
      </rPr>
      <t>元</t>
    </r>
    <r>
      <rPr>
        <b/>
        <sz val="10.5"/>
        <color theme="0" tint="-4.9989318521683403E-2"/>
        <rFont val="Times New Roman"/>
        <family val="1"/>
      </rPr>
      <t>)</t>
    </r>
  </si>
  <si>
    <t>002250.SZ</t>
  </si>
  <si>
    <t>联化科技</t>
  </si>
  <si>
    <t>http://data.eastmoney.com/notices/detail/002250/AN201701160272035028,JUU4JTgxJTk0JUU1JThDJTk2JUU3JUE3JTkxJUU2JThBJTgw.html</t>
  </si>
  <si>
    <t>上海达渡资产管理合伙企业（有限合伙）</t>
    <phoneticPr fontId="4" type="noConversion"/>
  </si>
  <si>
    <t>上海达渡资产管理合伙企业（有限合伙）</t>
  </si>
  <si>
    <t>成都力鼎银科股权投资基金中心（有限合伙）</t>
    <phoneticPr fontId="4" type="noConversion"/>
  </si>
  <si>
    <r>
      <t>（元</t>
    </r>
    <r>
      <rPr>
        <b/>
        <sz val="11"/>
        <color theme="0" tint="-4.9989318521683403E-2"/>
        <rFont val="Times New Roman"/>
        <family val="1"/>
      </rPr>
      <t>/</t>
    </r>
    <r>
      <rPr>
        <b/>
        <sz val="11"/>
        <color theme="0" tint="-4.9989318521683403E-2"/>
        <rFont val="Microsoft JhengHei"/>
        <family val="2"/>
        <charset val="136"/>
      </rPr>
      <t>股）</t>
    </r>
  </si>
  <si>
    <t>300425.SZ</t>
  </si>
  <si>
    <t>中建环能</t>
  </si>
  <si>
    <t>http://data.eastmoney.com/notices/detail/300425/AN201612300223544483,JUU0JUI4JUFEJUU1JUJCJUJBJUU3JThFJUFGJUU4JTgzJUJE.html</t>
  </si>
  <si>
    <t>刘伟</t>
  </si>
  <si>
    <t>上海国储能源集团有限公司</t>
  </si>
  <si>
    <t>上海通晟资产管理有限公司</t>
  </si>
  <si>
    <t>王大冲</t>
  </si>
  <si>
    <t>和瑾（上海）资产管理有限公司</t>
  </si>
  <si>
    <t>深圳前海新富资本管理集团有限公司</t>
  </si>
  <si>
    <t>宋都基业投资股份有限公司</t>
  </si>
  <si>
    <t>西湖电子集团有限公司</t>
  </si>
  <si>
    <t>上海琛晟资产管理有限公司</t>
  </si>
  <si>
    <t>000909.SZ</t>
  </si>
  <si>
    <t>数源科技</t>
  </si>
  <si>
    <t>http://data.eastmoney.com/notices/detail/000909/AN201701120262561904,JUU2JTk1JUIwJUU2JUJBJTkwJUU3JUE3JTkxJUU2JThBJTgw.html</t>
  </si>
  <si>
    <t>长城国泰（舟山）产业并购重组基金合伙企业（有限公司）</t>
    <phoneticPr fontId="4" type="noConversion"/>
  </si>
  <si>
    <t>威海中泰齐东蓝色并购投资中心（有限合伙）</t>
    <phoneticPr fontId="4" type="noConversion"/>
  </si>
  <si>
    <t>金石期货有限公司</t>
  </si>
  <si>
    <t>厦门国贸资产管理有限公司</t>
  </si>
  <si>
    <t>深圳市创新投资集团有限公司</t>
    <phoneticPr fontId="4" type="noConversion"/>
  </si>
  <si>
    <t>华安未来资产管理（上海）有限公司</t>
    <phoneticPr fontId="4" type="noConversion"/>
  </si>
  <si>
    <t>烟台冰轮股份有限公司</t>
  </si>
  <si>
    <r>
      <t>发行价格（元</t>
    </r>
    <r>
      <rPr>
        <b/>
        <sz val="10.5"/>
        <color theme="0" tint="-4.9989318521683403E-2"/>
        <rFont val="Arial"/>
        <family val="2"/>
      </rPr>
      <t>/</t>
    </r>
  </si>
  <si>
    <t>有效申购金额</t>
  </si>
  <si>
    <r>
      <t>申购价格（元</t>
    </r>
    <r>
      <rPr>
        <b/>
        <sz val="10.5"/>
        <color theme="0" tint="-4.9989318521683403E-2"/>
        <rFont val="Arial"/>
        <family val="2"/>
      </rPr>
      <t>/</t>
    </r>
  </si>
  <si>
    <r>
      <t>申购价格（元</t>
    </r>
    <r>
      <rPr>
        <b/>
        <sz val="10.5"/>
        <color theme="0" tint="-4.9989318521683403E-2"/>
        <rFont val="Arial"/>
        <family val="2"/>
      </rPr>
      <t>/</t>
    </r>
    <r>
      <rPr>
        <b/>
        <sz val="10.5"/>
        <color theme="0" tint="-4.9989318521683403E-2"/>
        <rFont val="Microsoft JhengHei"/>
        <family val="2"/>
        <charset val="136"/>
      </rPr>
      <t>股）</t>
    </r>
  </si>
  <si>
    <t>600309.SH</t>
  </si>
  <si>
    <t>万华化学</t>
  </si>
  <si>
    <t>http://data.eastmoney.com/notices/detail/600309/AN201701170273850641,JUU0JUI4JTg3JUU1JThEJThFJUU1JThDJTk2JUU1JUFEJUE2.html</t>
  </si>
  <si>
    <t>韦光宗</t>
  </si>
  <si>
    <t>特定投资者名称</t>
  </si>
  <si>
    <t>000851.SZ</t>
  </si>
  <si>
    <t>高鸿股份</t>
  </si>
  <si>
    <t>http://data.eastmoney.com/notices/detail/000851/AN201701090254850625,JUU5JUFCJTk4JUU5JUI4JUJGJUU4JTgyJUExJUU0JUJCJUJE.html</t>
  </si>
  <si>
    <t>杨秀静</t>
  </si>
  <si>
    <r>
      <t>长城国泰</t>
    </r>
    <r>
      <rPr>
        <sz val="10.5"/>
        <color theme="0" tint="-4.9989318521683403E-2"/>
        <rFont val="Times New Roman"/>
        <family val="2"/>
      </rPr>
      <t>(</t>
    </r>
    <r>
      <rPr>
        <sz val="10.5"/>
        <color theme="0" tint="-4.9989318521683403E-2"/>
        <rFont val="宋体"/>
        <family val="3"/>
        <charset val="134"/>
      </rPr>
      <t>舟山</t>
    </r>
    <r>
      <rPr>
        <sz val="10.5"/>
        <color theme="0" tint="-4.9989318521683403E-2"/>
        <rFont val="Times New Roman"/>
        <family val="2"/>
      </rPr>
      <t>)</t>
    </r>
    <r>
      <rPr>
        <sz val="10.5"/>
        <color theme="0" tint="-4.9989318521683403E-2"/>
        <rFont val="宋体"/>
        <family val="3"/>
        <charset val="134"/>
      </rPr>
      <t>产业并购重组基金合伙企业(有限合伙)</t>
    </r>
  </si>
  <si>
    <t>上海丰煜投资有限公司</t>
  </si>
  <si>
    <t>山东省金融资产管理股份有限公司</t>
    <phoneticPr fontId="4" type="noConversion"/>
  </si>
  <si>
    <t>私募及</t>
  </si>
  <si>
    <t>海富通基金管理有限公司</t>
    <phoneticPr fontId="4" type="noConversion"/>
  </si>
  <si>
    <t>深圳市红塔资产管理有限公司</t>
    <phoneticPr fontId="4" type="noConversion"/>
  </si>
  <si>
    <t>青岛国信资本投资有限公司</t>
  </si>
  <si>
    <t>青岛国信资本投资有限公司</t>
    <phoneticPr fontId="4" type="noConversion"/>
  </si>
  <si>
    <t>浙江浙银资本管理有限公司</t>
    <phoneticPr fontId="4" type="noConversion"/>
  </si>
  <si>
    <t>002217.SZ</t>
  </si>
  <si>
    <t>合力泰</t>
  </si>
  <si>
    <t>http://data.eastmoney.com/notices/detail/002217/AN201701090254868812,JUU1JTkwJTg4JUU1JThBJTlCJUU2JUIzJUIw.html</t>
  </si>
  <si>
    <t>公司关联方</t>
    <phoneticPr fontId="4" type="noConversion"/>
  </si>
  <si>
    <t>深圳红土创新基金管理有限公司</t>
    <phoneticPr fontId="4" type="noConversion"/>
  </si>
  <si>
    <t>东鼎云投资管理有限公司</t>
  </si>
  <si>
    <t>中航期货有限公司</t>
  </si>
  <si>
    <t>上海梦元投资管理中心（有限合伙）</t>
    <phoneticPr fontId="4" type="noConversion"/>
  </si>
  <si>
    <t>北方置业集团有限公司</t>
  </si>
  <si>
    <t>中兵投资管理有限责任公司</t>
  </si>
  <si>
    <t>单号</t>
  </si>
  <si>
    <t>600967.SH</t>
  </si>
  <si>
    <t>内蒙一机</t>
  </si>
  <si>
    <t>http://data.eastmoney.com/notices/detail/600967/AN201702090331666594,JUU1JTg2JTg1JUU4JTkyJTk5JUU0JUI4JTgwJUU2JTlDJUJB.html</t>
  </si>
  <si>
    <t>嘉实基金</t>
  </si>
  <si>
    <t>上海大策创业投资合伙企业（有限合伙）</t>
    <phoneticPr fontId="4" type="noConversion"/>
  </si>
  <si>
    <t>豫西工业集团有限公司</t>
  </si>
  <si>
    <t>000519.SZ</t>
  </si>
  <si>
    <t>中兵红箭</t>
  </si>
  <si>
    <t>http://data.eastmoney.com/notices/detail/000519/AN201701240290159762,JUU0JUI4JUFEJUU1JTg1JUI1JUU3JUJBJUEyJUU3JUFFJUFE.html</t>
  </si>
  <si>
    <t>上海云毅衷投资管理中心（有限合伙）</t>
  </si>
  <si>
    <t>上海云毅衷投资管理中心（有限合伙）</t>
    <phoneticPr fontId="4" type="noConversion"/>
  </si>
  <si>
    <t>首誉光控资产管理有限公司</t>
    <phoneticPr fontId="4" type="noConversion"/>
  </si>
  <si>
    <t>型</t>
  </si>
  <si>
    <t>发行对象类</t>
  </si>
  <si>
    <t>是否有效</t>
  </si>
  <si>
    <t>编号</t>
  </si>
  <si>
    <t>300161.SZ</t>
  </si>
  <si>
    <t>华中数控</t>
  </si>
  <si>
    <t>http://data.eastmoney.com/notices/detail/300161/AN201701200282675286,JUU1JThEJThFJUU0JUI4JUFEJUU2JTk1JUIwJUU2JThFJUE3.html</t>
  </si>
  <si>
    <t>汇添富基金管理有限公司</t>
  </si>
  <si>
    <t>苏州市历史文化名城发展集团创业投资有限公司</t>
  </si>
  <si>
    <t>苏州市历史文化名城发展集团创业投资有限公司</t>
    <phoneticPr fontId="4" type="noConversion"/>
  </si>
  <si>
    <t>新华基金管理股份有限公司</t>
    <phoneticPr fontId="4" type="noConversion"/>
  </si>
  <si>
    <t>兴业财富资产管理有限公司</t>
    <phoneticPr fontId="4" type="noConversion"/>
  </si>
  <si>
    <r>
      <t>（元</t>
    </r>
    <r>
      <rPr>
        <b/>
        <sz val="10.5"/>
        <color theme="0" tint="-4.9989318521683403E-2"/>
        <rFont val="Arial"/>
        <family val="2"/>
      </rPr>
      <t>/</t>
    </r>
    <r>
      <rPr>
        <b/>
        <sz val="10.5"/>
        <color theme="0" tint="-4.9989318521683403E-2"/>
        <rFont val="Microsoft JhengHei"/>
        <family val="2"/>
        <charset val="136"/>
      </rPr>
      <t>股）</t>
    </r>
  </si>
  <si>
    <t>300003.SZ</t>
  </si>
  <si>
    <t>乐普医疗</t>
  </si>
  <si>
    <t>http://data.eastmoney.com/notices/detail/300003/AN201612280219680813,JUU0JUI5JTkwJUU2JTk5JUFFJUU1JThDJUJCJUU3JTk2JTk3.html</t>
  </si>
  <si>
    <t>阿拉山口市弘通股权投资有限合伙企业</t>
    <phoneticPr fontId="4" type="noConversion"/>
  </si>
  <si>
    <t>吉林敖东药业集团股份有限公司</t>
    <phoneticPr fontId="4" type="noConversion"/>
  </si>
  <si>
    <t>长城国泰（舟山）产业并购重组基金合伙企业（有限合伙）</t>
    <phoneticPr fontId="4" type="noConversion"/>
  </si>
  <si>
    <t>阿拉山口市弘通股权投资有限合伙企业</t>
  </si>
  <si>
    <t>002501.SZ</t>
  </si>
  <si>
    <t>*ST利源</t>
  </si>
  <si>
    <t>http://data.eastmoney.com/notices/detail/002501/AN201701190279680834,KlNUJUU1JTg4JUE5JUU2JUJBJTkw.html</t>
  </si>
  <si>
    <r>
      <t xml:space="preserve">12 </t>
    </r>
    <r>
      <rPr>
        <sz val="9"/>
        <color theme="0" tint="-4.9989318521683403E-2"/>
        <rFont val="宋体"/>
        <family val="3"/>
        <charset val="134"/>
      </rPr>
      <t>个月</t>
    </r>
  </si>
  <si>
    <t>无关联关系</t>
  </si>
  <si>
    <t>中投知本汇（北京）资产管理有限公司</t>
    <phoneticPr fontId="4" type="noConversion"/>
  </si>
  <si>
    <t>国开泰富基金管理有限责任公司</t>
    <phoneticPr fontId="4" type="noConversion"/>
  </si>
  <si>
    <t>泰达宏利基金管理有限公司</t>
    <phoneticPr fontId="4" type="noConversion"/>
  </si>
  <si>
    <r>
      <t xml:space="preserve">36 </t>
    </r>
    <r>
      <rPr>
        <sz val="9"/>
        <color theme="0" tint="-4.9989318521683403E-2"/>
        <rFont val="宋体"/>
        <family val="3"/>
        <charset val="134"/>
      </rPr>
      <t>个月</t>
    </r>
  </si>
  <si>
    <t>大同煤矿集团有限责任公司</t>
    <phoneticPr fontId="4" type="noConversion"/>
  </si>
  <si>
    <r>
      <t>(</t>
    </r>
    <r>
      <rPr>
        <sz val="9"/>
        <color theme="0" tint="-4.9989318521683403E-2"/>
        <rFont val="Microsoft JhengHei"/>
        <family val="2"/>
        <charset val="136"/>
      </rPr>
      <t>元</t>
    </r>
    <r>
      <rPr>
        <sz val="9"/>
        <color theme="0" tint="-4.9989318521683403E-2"/>
        <rFont val="Tahoma"/>
        <family val="2"/>
      </rPr>
      <t>)</t>
    </r>
  </si>
  <si>
    <t>000767.SZ</t>
  </si>
  <si>
    <t>漳泽电力</t>
  </si>
  <si>
    <t>http://data.eastmoney.com/notices/detail/000767/AN201701190279656871,JUU2JUJDJUIzJUU2JUIzJUJEJUU3JTk0JUI1JUU1JThBJTlC.html</t>
  </si>
  <si>
    <t>张慕中</t>
  </si>
  <si>
    <t>002171.SZ</t>
  </si>
  <si>
    <t>楚江新材</t>
  </si>
  <si>
    <t>http://data.eastmoney.com/notices/detail/002171/AN201701180276278201,JUU2JUE1JTlBJUU2JUIxJTlGJUU2JTk2JUIwJUU2JTlEJTkw.html</t>
  </si>
  <si>
    <t>此页由beidi整理</t>
  </si>
  <si>
    <t>专用设备制造业</t>
  </si>
  <si>
    <t>http://static.cninfo.com.cn/finalpage/2017-09-15/1203976127.PDF</t>
  </si>
  <si>
    <t xml:space="preserve">9:00至12:00 </t>
  </si>
  <si>
    <t>603085.SH</t>
  </si>
  <si>
    <t>天成自控</t>
  </si>
  <si>
    <t>http://static.cninfo.com.cn/finalpage/2016-09-23/1202720009.PDF</t>
  </si>
  <si>
    <t>Jonathan</t>
  </si>
  <si>
    <t>建筑装饰和其他建筑业</t>
  </si>
  <si>
    <t>10转20股派0.6元</t>
  </si>
  <si>
    <t>http://static.cninfo.com.cn/finalpage/2017-09-16/1203980120.PDF</t>
  </si>
  <si>
    <t xml:space="preserve"> 9:00 -12:00 </t>
  </si>
  <si>
    <t>603030.SH</t>
  </si>
  <si>
    <t>全筑股份</t>
  </si>
  <si>
    <t>http://static.cninfo.com.cn/finalpage/2016-09-23/1202719753.PDF</t>
  </si>
  <si>
    <t>医药制造业</t>
  </si>
  <si>
    <t>10转0股派1.8元</t>
  </si>
  <si>
    <t>http://static.cninfo.com.cn/finalpage/2017-09-18/1203979396.PDF</t>
  </si>
  <si>
    <t xml:space="preserve">9:00-12:00 </t>
  </si>
  <si>
    <t>002317.SZ</t>
  </si>
  <si>
    <t>众生药业</t>
  </si>
  <si>
    <t>http://static.cninfo.com.cn/finalpage/2016-09-19/1202704721.PDF</t>
  </si>
  <si>
    <t>零售业</t>
  </si>
  <si>
    <t>10转0股派0.56元</t>
  </si>
  <si>
    <t>http://static.cninfo.com.cn/finalpage/2017-09-18/1203978861.PDF</t>
  </si>
  <si>
    <t>002640.SZ</t>
  </si>
  <si>
    <t>跨境通</t>
  </si>
  <si>
    <t>http://static.cninfo.com.cn/finalpage/2016-09-14/1202699977.PDF</t>
  </si>
  <si>
    <t>10转0股派5元</t>
  </si>
  <si>
    <t>http://static.cninfo.com.cn/finalpage/2017-09-14/1203972462.PDF</t>
  </si>
  <si>
    <t>600201.SH</t>
  </si>
  <si>
    <t>生物股份</t>
  </si>
  <si>
    <t>http://static.cninfo.com.cn/finalpage/2016-09-22/1202716698.PDF</t>
  </si>
  <si>
    <t>通用设备制造业</t>
  </si>
  <si>
    <t>10转0股派0.5元</t>
  </si>
  <si>
    <t>http://static.cninfo.com.cn/finalpage/2017-09-16/1203978875.PDF</t>
  </si>
  <si>
    <t xml:space="preserve">9:00—12:00 </t>
  </si>
  <si>
    <t>600416.SH</t>
  </si>
  <si>
    <t>湘电股份</t>
  </si>
  <si>
    <t>http://static.cninfo.com.cn/finalpage/2016-09-22/1202717345.PDF</t>
  </si>
  <si>
    <t>10转0股派0.3元</t>
  </si>
  <si>
    <t>http://static.cninfo.com.cn/finalpage/2017-09-15/1203975296.PDF</t>
  </si>
  <si>
    <t>002099.SZ</t>
  </si>
  <si>
    <t>海翔药业</t>
  </si>
  <si>
    <t>http://static.cninfo.com.cn/finalpage/2016-09-19/1202704367.PDF</t>
  </si>
  <si>
    <t>化学原料和化学制品制造业</t>
  </si>
  <si>
    <t>10转0股派1.5元</t>
  </si>
  <si>
    <t>http://static.cninfo.com.cn/finalpage/2017-09-14/1203972458.PDF</t>
  </si>
  <si>
    <t>600160.SH</t>
  </si>
  <si>
    <t>巨化股份</t>
  </si>
  <si>
    <t>http://static.cninfo.com.cn/finalpage/2016-09-22/1202716932.PDF</t>
  </si>
  <si>
    <t>电气机械和器材制造业</t>
  </si>
  <si>
    <t>10转0股派1元</t>
  </si>
  <si>
    <t>http://static.cninfo.com.cn/finalpage/2017-09-15/1203975656.PDF</t>
  </si>
  <si>
    <t xml:space="preserve"> 9:00-12:00 </t>
  </si>
  <si>
    <t>002364.SZ</t>
  </si>
  <si>
    <t>中恒电气</t>
  </si>
  <si>
    <t>http://static.cninfo.com.cn/finalpage/2016-09-14/1202699296.PDF</t>
  </si>
  <si>
    <t>10转3股派5元</t>
  </si>
  <si>
    <t>http://static.cninfo.com.cn/finalpage/2017-09-19/1203981195.PDF</t>
  </si>
  <si>
    <t xml:space="preserve">13:00 - 17:00 </t>
  </si>
  <si>
    <t>000513.SZ</t>
  </si>
  <si>
    <t>丽珠集团</t>
  </si>
  <si>
    <t>http://static.cninfo.com.cn/finalpage/2016-09-19/1202704306.PDF</t>
  </si>
  <si>
    <t>新闻和出版业</t>
  </si>
  <si>
    <t>http://static.cninfo.com.cn/finalpage/2016-09-14/1202699263.PDF</t>
  </si>
  <si>
    <t>300148.SZ</t>
  </si>
  <si>
    <t>天舟文化</t>
  </si>
  <si>
    <t>http://static.cninfo.com.cn/finalpage/2016-09-14/1202699264.PDF</t>
  </si>
  <si>
    <t>http://static.cninfo.com.cn/finalpage/2017-09-11/1203959760.PDF</t>
  </si>
  <si>
    <t>002197.SZ</t>
  </si>
  <si>
    <t>证通电子</t>
  </si>
  <si>
    <t>http://static.cninfo.com.cn/finalpage/2016-09-12/1202689867.PDF</t>
  </si>
  <si>
    <t>仪器仪表制造业</t>
  </si>
  <si>
    <t>10转6股派0.3元</t>
  </si>
  <si>
    <t>http://static.cninfo.com.cn/finalpage/2017-09-11/1203964393.PDF</t>
  </si>
  <si>
    <t xml:space="preserve"> 9:00-12:00</t>
  </si>
  <si>
    <t>300370.SZ</t>
  </si>
  <si>
    <t>安控科技</t>
  </si>
  <si>
    <t>http://static.cninfo.com.cn/finalpage/2016-09-07/1202684211.PDF</t>
  </si>
  <si>
    <t>http://static.cninfo.com.cn/finalpage/2017-09-11/1203960065.PDF</t>
  </si>
  <si>
    <t>8:30 - 11:30</t>
  </si>
  <si>
    <t>002111.SZ</t>
  </si>
  <si>
    <t>威海广泰</t>
  </si>
  <si>
    <t>http://static.cninfo.com.cn/finalpage/2016-09-12/1202691052.PDF</t>
  </si>
  <si>
    <t>http://static.cninfo.com.cn/finalpage/2017-09-12/1203964222.PDF</t>
  </si>
  <si>
    <t>000566.SZ</t>
  </si>
  <si>
    <t>海南海药</t>
  </si>
  <si>
    <t>http://static.cninfo.com.cn/finalpage/2016-09-08/1202683957.PDF</t>
  </si>
  <si>
    <t>计算机、通信和其他电子设备制造业</t>
  </si>
  <si>
    <t>10转3股派1元</t>
  </si>
  <si>
    <t>http://static.cninfo.com.cn/finalpage/2017-09-07/1203943622.PDF</t>
  </si>
  <si>
    <t>002484.SZ</t>
  </si>
  <si>
    <t>江海股份</t>
  </si>
  <si>
    <t>http://static.cninfo.com.cn/finalpage/2016-09-08/1202685403.PDF</t>
  </si>
  <si>
    <t>互联网和相关服务</t>
  </si>
  <si>
    <t>10转25股派0.37元</t>
  </si>
  <si>
    <t>http://static.cninfo.com.cn/finalpage/2017-09-06/1203938593.PDF</t>
  </si>
  <si>
    <t>002131.SZ</t>
  </si>
  <si>
    <t>利欧股份</t>
  </si>
  <si>
    <t>http://static.cninfo.com.cn/finalpage/2016-09-08/1202684054.PDF</t>
  </si>
  <si>
    <t>非金属矿物制品业</t>
  </si>
  <si>
    <t>http://static.cninfo.com.cn/finalpage/2017-09-02/1203925286.PDF</t>
  </si>
  <si>
    <t xml:space="preserve">9:00 - 12:00 </t>
  </si>
  <si>
    <t>601012.SH</t>
  </si>
  <si>
    <t>隆基股份</t>
  </si>
  <si>
    <t>http://static.cninfo.com.cn/finalpage/2016-09-10/1202689970.PDF</t>
  </si>
  <si>
    <t>10转20股派2元</t>
  </si>
  <si>
    <t>http://static.cninfo.com.cn/finalpage/2017-09-05/1203931867.PDF</t>
  </si>
  <si>
    <t>002747.SZ</t>
  </si>
  <si>
    <t>埃斯顿</t>
  </si>
  <si>
    <t>http://static.cninfo.com.cn/finalpage/2016-09-07/1202679863.PDF</t>
  </si>
  <si>
    <t>10转10股派1.3元</t>
  </si>
  <si>
    <t>http://static.cninfo.com.cn/finalpage/2017-09-06/1203937898.PDF</t>
  </si>
  <si>
    <t>300296.SZ</t>
  </si>
  <si>
    <t>利亚德</t>
  </si>
  <si>
    <t>http://static.cninfo.com.cn/finalpage/2016-08-29/1202649659.PDF</t>
  </si>
  <si>
    <t>http://static.cninfo.com.cn/finalpage/2017-09-06/1203938603.PDF</t>
  </si>
  <si>
    <t>600579.SH</t>
  </si>
  <si>
    <t>克劳斯</t>
  </si>
  <si>
    <t>http://static.cninfo.com.cn/finalpage/2016-09-10/1202692136.PDF</t>
  </si>
  <si>
    <t>商务服务业</t>
  </si>
  <si>
    <t>10派1元</t>
  </si>
  <si>
    <t>http://static.cninfo.com.cn/finalpage/2017-08-31/1203910233.PDF</t>
  </si>
  <si>
    <t>603117.SH</t>
  </si>
  <si>
    <t>万林物流</t>
  </si>
  <si>
    <t>http://static.cninfo.com.cn/finalpage/2016-09-08/1202683877.PDF</t>
  </si>
  <si>
    <t>印刷和记录媒介复制业</t>
  </si>
  <si>
    <t>10转5股派0.15元</t>
  </si>
  <si>
    <t>http://static.cninfo.com.cn/finalpage/2017-09-04/1203925077.PDF</t>
  </si>
  <si>
    <t>002229.SZ</t>
  </si>
  <si>
    <t>鸿博股份</t>
  </si>
  <si>
    <t>http://static.cninfo.com.cn/finalpage/2016-09-02/1202670264.PDF</t>
  </si>
  <si>
    <t>航空运输业</t>
  </si>
  <si>
    <t>10转0股派0.514元</t>
  </si>
  <si>
    <t>http://static.cninfo.com.cn/finalpage/2017-09-01/1203921512.PDF</t>
  </si>
  <si>
    <t xml:space="preserve">8:30-11:30 </t>
  </si>
  <si>
    <t>600221.SH</t>
  </si>
  <si>
    <t>海航控股</t>
  </si>
  <si>
    <t>http://static.cninfo.com.cn/finalpage/2016-09-07/1202679997.PDF</t>
  </si>
  <si>
    <t>专业技术服务业</t>
  </si>
  <si>
    <t>http://static.cninfo.com.cn/finalpage/2016-08-31/1202656163.PDF</t>
  </si>
  <si>
    <t>300215.SZ</t>
  </si>
  <si>
    <t>电科院</t>
  </si>
  <si>
    <t>http://static.cninfo.com.cn/finalpage/2016-08-23/1202599822.PDF</t>
  </si>
  <si>
    <t>开采辅助活动</t>
  </si>
  <si>
    <t>10转0股派0.1元</t>
  </si>
  <si>
    <t>http://static.cninfo.com.cn/finalpage/2017-08-30/1203895115.PDF</t>
  </si>
  <si>
    <t>13:00 - 16:00</t>
  </si>
  <si>
    <t>300084.SZ</t>
  </si>
  <si>
    <t>海默科技</t>
  </si>
  <si>
    <t>http://static.cninfo.com.cn/finalpage/2016-08-26/1202619578.PDF</t>
  </si>
  <si>
    <t>金属制品业</t>
  </si>
  <si>
    <t>http://static.cninfo.com.cn/finalpage/2017-09-01/1203920739.PDF</t>
  </si>
  <si>
    <t>002541.SZ</t>
  </si>
  <si>
    <t>鸿路钢构</t>
  </si>
  <si>
    <t>http://static.cninfo.com.cn/finalpage/2016-08-31/1202656911.PDF</t>
  </si>
  <si>
    <t>10转0股派1.6元</t>
  </si>
  <si>
    <t>http://static.cninfo.com.cn/finalpage/2017-08-26/1203873190.PDF</t>
  </si>
  <si>
    <t>601801.SH</t>
  </si>
  <si>
    <t>皖新传媒</t>
  </si>
  <si>
    <t>http://static.cninfo.com.cn/finalpage/2016-09-06/1202675895.PDF</t>
  </si>
  <si>
    <t>房地产业</t>
  </si>
  <si>
    <t>10转0股派1.87元</t>
  </si>
  <si>
    <t>http://static.cninfo.com.cn/finalpage/2017-08-26/1203872306.PDF</t>
  </si>
  <si>
    <t>600658.SH</t>
  </si>
  <si>
    <t>电子城</t>
  </si>
  <si>
    <t>http://static.cninfo.com.cn/finalpage/2016-09-03/1202673417.PDF</t>
  </si>
  <si>
    <t>http://static.cninfo.com.cn/finalpage/2017-08-26/1203874052.PDF</t>
  </si>
  <si>
    <t>9:00 - 12:00</t>
  </si>
  <si>
    <t>603618.SH</t>
  </si>
  <si>
    <t>杭电股份</t>
  </si>
  <si>
    <t>http://static.cninfo.com.cn/finalpage/2016-09-07/1202679542.PDF</t>
  </si>
  <si>
    <t>10转30股派0.9元</t>
  </si>
  <si>
    <t>http://static.cninfo.com.cn/finalpage/2017-08-29/1203887926.PDF</t>
  </si>
  <si>
    <t xml:space="preserve"> 8:30-11:30 </t>
  </si>
  <si>
    <t>300376.SZ</t>
  </si>
  <si>
    <t>易事特</t>
  </si>
  <si>
    <t>http://static.cninfo.com.cn/finalpage/2016-08-23/1202599568.PDF</t>
  </si>
  <si>
    <t>http://static.cninfo.com.cn/finalpage/2017-08-26/1203873867.PDF</t>
  </si>
  <si>
    <t>600844.SH</t>
  </si>
  <si>
    <t>丹化科技</t>
  </si>
  <si>
    <t>http://static.cninfo.com.cn/finalpage/2016-09-03/1202672480.PDF</t>
  </si>
  <si>
    <t>http://static.cninfo.com.cn/finalpage/2017-08-25/1203864318.PDF</t>
  </si>
  <si>
    <t xml:space="preserve">9:00~12:00 </t>
  </si>
  <si>
    <t>002528.SZ</t>
  </si>
  <si>
    <t>英飞拓</t>
  </si>
  <si>
    <t>http://static.cninfo.com.cn/finalpage/2016-08-29/1202629947.PDF</t>
  </si>
  <si>
    <t>纺织服装、服饰业</t>
  </si>
  <si>
    <t>10转1股派1元</t>
  </si>
  <si>
    <t>http://static.cninfo.com.cn/finalpage/2017-08-25/1203866617.PDF</t>
  </si>
  <si>
    <t>600400.SH</t>
  </si>
  <si>
    <t>红豆股份</t>
  </si>
  <si>
    <t>http://static.cninfo.com.cn/finalpage/2016-09-02/1202668724.PDF</t>
  </si>
  <si>
    <t>10转0股派1.2元</t>
  </si>
  <si>
    <t>http://static.cninfo.com.cn/finalpage/2017-08-25/1203864214.PDF</t>
  </si>
  <si>
    <t>300373.SZ</t>
  </si>
  <si>
    <t>扬杰科技</t>
  </si>
  <si>
    <t>http://static.cninfo.com.cn/finalpage/2016-08-26/1202618686.PDF</t>
  </si>
  <si>
    <t>10转0股派1.35元</t>
  </si>
  <si>
    <t>http://static.cninfo.com.cn/finalpage/2017-08-24/1203857581.PDF</t>
  </si>
  <si>
    <t>603017.SH</t>
  </si>
  <si>
    <t>中衡设计</t>
  </si>
  <si>
    <t>http://static.cninfo.com.cn/finalpage/2016-09-01/1202666245.PDF</t>
  </si>
  <si>
    <t>10转10股派0.2元</t>
  </si>
  <si>
    <t>http://static.cninfo.com.cn/finalpage/2017-08-24/1203857397.PDF</t>
  </si>
  <si>
    <t xml:space="preserve">9:30-12:30 </t>
  </si>
  <si>
    <t>600604.SH</t>
  </si>
  <si>
    <t>市北高新</t>
  </si>
  <si>
    <t>http://static.cninfo.com.cn/finalpage/2016-08-31/1202658238.PDF</t>
  </si>
  <si>
    <t>批发业</t>
  </si>
  <si>
    <t>http://static.cninfo.com.cn/finalpage/2017-08-24/1203857365.PDF</t>
  </si>
  <si>
    <t>600335.SH</t>
  </si>
  <si>
    <t>国机汽车</t>
  </si>
  <si>
    <t>http://static.cninfo.com.cn/finalpage/2016-09-01/1202666103.PDF</t>
  </si>
  <si>
    <t>http://static.cninfo.com.cn/finalpage/2017-08-29/1203886970.PDF</t>
  </si>
  <si>
    <t>002733.SZ</t>
  </si>
  <si>
    <t>雄韬股份</t>
  </si>
  <si>
    <t>http://static.cninfo.com.cn/finalpage/2016-08-25/1202613768.PDF</t>
  </si>
  <si>
    <t>10转15股派2.3元</t>
  </si>
  <si>
    <t>http://static.cninfo.com.cn/finalpage/2017-08-22/1203836629.PDF</t>
  </si>
  <si>
    <t>603678.SH</t>
  </si>
  <si>
    <t>火炬电子</t>
  </si>
  <si>
    <t>http://static.cninfo.com.cn/finalpage/2016-08-31/1202656707.PDF</t>
  </si>
  <si>
    <t>10转0股派0.7元</t>
  </si>
  <si>
    <t>http://static.cninfo.com.cn/finalpage/2017-08-23/1203847615.PDF</t>
  </si>
  <si>
    <t>000413.SZ</t>
  </si>
  <si>
    <t>东旭光电</t>
  </si>
  <si>
    <t>http://static.cninfo.com.cn/finalpage/2016-08-25/1202613668.PDF</t>
  </si>
  <si>
    <t>10转10股派3.6元</t>
  </si>
  <si>
    <t>http://static.cninfo.com.cn/finalpage/2017-08-21/1203835620.PDF</t>
  </si>
  <si>
    <t xml:space="preserve"> 9:00—12: 00 </t>
  </si>
  <si>
    <t>300443.SZ</t>
  </si>
  <si>
    <t>金雷股份</t>
  </si>
  <si>
    <t>http://static.cninfo.com.cn/finalpage/2016-07-22/1202500180.PDF</t>
  </si>
  <si>
    <t>10转13股派0.91元</t>
  </si>
  <si>
    <t>http://static.cninfo.com.cn/finalpage/2017-08-30/1203894685.PDF</t>
  </si>
  <si>
    <t>002589.SZ</t>
  </si>
  <si>
    <t>瑞康医药</t>
  </si>
  <si>
    <t>http://static.cninfo.com.cn/finalpage/2016-08-23/1202599586.PDF</t>
  </si>
  <si>
    <t>10转0股派0.35元</t>
  </si>
  <si>
    <t>http://static.cninfo.com.cn/finalpage/2017-08-21/1203811662.PDF</t>
  </si>
  <si>
    <t>002583.SZ</t>
  </si>
  <si>
    <t>海能达</t>
  </si>
  <si>
    <t>http://static.cninfo.com.cn/finalpage/2016-08-19/1202581595.PDF</t>
  </si>
  <si>
    <t>橡胶和塑料制品业</t>
  </si>
  <si>
    <t>10转8股派2元</t>
  </si>
  <si>
    <t>http://static.cninfo.com.cn/finalpage/2017-08-21/1203835410.PDF</t>
  </si>
  <si>
    <t>300230.SZ</t>
  </si>
  <si>
    <t>永利股份</t>
  </si>
  <si>
    <t>http://static.cninfo.com.cn/finalpage/2016-08-03/1202534727.PDF</t>
  </si>
  <si>
    <t>10转0股派3元</t>
  </si>
  <si>
    <t>http://static.cninfo.com.cn/finalpage/2017-08-17/1203806148.PDF</t>
  </si>
  <si>
    <t>300196.SZ</t>
  </si>
  <si>
    <t>长海股份</t>
  </si>
  <si>
    <t>http://static.cninfo.com.cn/finalpage/2016-08-15/1202565681.PDF</t>
  </si>
  <si>
    <t>10转0股派1.7元</t>
  </si>
  <si>
    <t>http://static.cninfo.com.cn/finalpage/2017-08-22/1203835873.PDF</t>
  </si>
  <si>
    <t>002358.SZ</t>
  </si>
  <si>
    <t>森源电气</t>
  </si>
  <si>
    <t>http://static.cninfo.com.cn/finalpage/2016-08-19/1202581839.PDF</t>
  </si>
  <si>
    <t>农业</t>
  </si>
  <si>
    <t>http://static.cninfo.com.cn/finalpage/2017-08-18/1203808392.PDF</t>
  </si>
  <si>
    <t>002772.SZ</t>
  </si>
  <si>
    <t>众兴菌业</t>
  </si>
  <si>
    <t>http://static.cninfo.com.cn/finalpage/2016-08-19/1202581854.PDF</t>
  </si>
  <si>
    <t>广播、电视、电影和影视录音制作业</t>
  </si>
  <si>
    <t>10转0股派0.3511元</t>
  </si>
  <si>
    <t>http://static.cninfo.com.cn/finalpage/2017-09-01/1203920335.PDF</t>
  </si>
  <si>
    <t>002445.SZ</t>
  </si>
  <si>
    <t>ST中南</t>
  </si>
  <si>
    <t>http://static.cninfo.com.cn/finalpage/2016-08-19/1202582012.PDF</t>
  </si>
  <si>
    <t>10转4股派1元</t>
  </si>
  <si>
    <t>http://static.cninfo.com.cn/finalpage/2017-08-14/1203792015.PDF</t>
  </si>
  <si>
    <t>600075.SH</t>
  </si>
  <si>
    <t>新疆天业</t>
  </si>
  <si>
    <t>http://static.cninfo.com.cn/finalpage/2016-08-23/1202601086.PDF</t>
  </si>
  <si>
    <t>10转0股派2元</t>
  </si>
  <si>
    <t>http://static.cninfo.com.cn/finalpage/2017-08-16/1203800829.PDF</t>
  </si>
  <si>
    <t>002367.SZ</t>
  </si>
  <si>
    <t>康力电梯</t>
  </si>
  <si>
    <t>http://static.cninfo.com.cn/finalpage/2016-08-18/1202577399.PDF</t>
  </si>
  <si>
    <t>10转0股派0.303元</t>
  </si>
  <si>
    <t>http://static.cninfo.com.cn/finalpage/2017-08-17/1203806138.PDF</t>
  </si>
  <si>
    <t>002743.SZ</t>
  </si>
  <si>
    <t>富煌钢构</t>
  </si>
  <si>
    <t>http://static.cninfo.com.cn/finalpage/2016-08-18/1202577277.PDF</t>
  </si>
  <si>
    <t>http://static.cninfo.com.cn/finalpage/2017-08-15/1203797041.PDF</t>
  </si>
  <si>
    <t>600327.SH</t>
  </si>
  <si>
    <t>大东方</t>
  </si>
  <si>
    <t>http://static.cninfo.com.cn/finalpage/2016-08-23/1202599338.PDF</t>
  </si>
  <si>
    <t>有色金属冶炼和压延加工业</t>
  </si>
  <si>
    <t>10转0股派0.9元</t>
  </si>
  <si>
    <t>http://static.cninfo.com.cn/finalpage/2017-08-15/1203797286.PDF</t>
  </si>
  <si>
    <t>601137.SH</t>
  </si>
  <si>
    <t>博威合金</t>
  </si>
  <si>
    <t>http://static.cninfo.com.cn/finalpage/2016-08-18/1202576523.PDF</t>
  </si>
  <si>
    <t>10转15股派3.5元</t>
  </si>
  <si>
    <t>http://static.cninfo.com.cn/finalpage/2017-08-15/1203795883.PDF</t>
  </si>
  <si>
    <t xml:space="preserve">9:00-11:30 </t>
  </si>
  <si>
    <t>002643.SZ</t>
  </si>
  <si>
    <t>万润股份</t>
  </si>
  <si>
    <t>http://static.cninfo.com.cn/finalpage/2016-08-17/1202571100.PDF / http://static.cninfo.com.cn/finalpage/2016-08-17/1202571102.PDF</t>
  </si>
  <si>
    <t>汽车制造业</t>
  </si>
  <si>
    <t>10转0股派7.2元</t>
  </si>
  <si>
    <t>http://static.cninfo.com.cn/finalpage/2017-08-11/1203785480.PDF</t>
  </si>
  <si>
    <t>601799.SH</t>
  </si>
  <si>
    <t>星宇股份</t>
  </si>
  <si>
    <t>http://static.cninfo.com.cn/finalpage/2016-08-18/1202576115.PDF</t>
  </si>
  <si>
    <t>纺织业</t>
  </si>
  <si>
    <t>10转0股派0.2元</t>
  </si>
  <si>
    <t>http://static.cninfo.com.cn/finalpage/2017-08-11/1203785165.PDF</t>
  </si>
  <si>
    <t>002193.SZ</t>
  </si>
  <si>
    <t>如意集团</t>
  </si>
  <si>
    <t>http://static.cninfo.com.cn/finalpage/2016-08-12/1202559861.PDF</t>
  </si>
  <si>
    <t>铁路、船舶、航空航天和其他运输设备制造业</t>
  </si>
  <si>
    <t>http://static.cninfo.com.cn/finalpage/2017-08-15/1203795886.PDF</t>
  </si>
  <si>
    <t>300123.SZ</t>
  </si>
  <si>
    <t>亚光科技</t>
  </si>
  <si>
    <t>http://static.cninfo.com.cn/finalpage/2016-08-12/1202559312.PDF</t>
  </si>
  <si>
    <t>10转0股派1.9元</t>
  </si>
  <si>
    <t>http://static.cninfo.com.cn/finalpage/2017-08-09/1203773742.PDF</t>
  </si>
  <si>
    <t>600418.SH</t>
  </si>
  <si>
    <t>江淮汽车</t>
  </si>
  <si>
    <t>http://static.cninfo.com.cn/finalpage/2016-08-17/1202571812.PDF</t>
  </si>
  <si>
    <t>http://static.cninfo.com.cn/finalpage/2017-08-14/1203790399.PDF</t>
  </si>
  <si>
    <t xml:space="preserve">9:00 - 11:30 </t>
  </si>
  <si>
    <t>002092.SZ</t>
  </si>
  <si>
    <t>中泰化学</t>
  </si>
  <si>
    <t>http://static.cninfo.com.cn/finalpage/2016-08-12/1202559288.PDF</t>
  </si>
  <si>
    <t>10转15.012股派0.4元</t>
  </si>
  <si>
    <t>http://static.cninfo.com.cn/finalpage/2017-09-11/1203964460.PDF</t>
  </si>
  <si>
    <t>300364.SZ</t>
  </si>
  <si>
    <t>中文在线</t>
  </si>
  <si>
    <t>http://static.cninfo.com.cn/finalpage/2016-08-08/1202548004.PDF</t>
  </si>
  <si>
    <t>10转10股派0元</t>
  </si>
  <si>
    <t>http://static.cninfo.com.cn/finalpage/2017-08-10/1203778604.PDF</t>
  </si>
  <si>
    <t>002149.SZ</t>
  </si>
  <si>
    <t>西部材料</t>
  </si>
  <si>
    <t>http://static.cninfo.com.cn/finalpage/2016-08-10/1202551248.PDF</t>
  </si>
  <si>
    <t>软件和信息技术服务业</t>
  </si>
  <si>
    <t>http://static.cninfo.com.cn/finalpage/2016-08-09/1202546247.PDF</t>
  </si>
  <si>
    <t>300047.SZ</t>
  </si>
  <si>
    <t>天源迪科</t>
  </si>
  <si>
    <t>http://static.cninfo.com.cn/finalpage/2016-08-09/1202546231.PDF</t>
  </si>
  <si>
    <t>http://static.cninfo.com.cn/finalpage/2018-02-06/1204399151.PDF</t>
  </si>
  <si>
    <t>300104.SZ</t>
  </si>
  <si>
    <t>乐视网</t>
  </si>
  <si>
    <t>http://static.cninfo.com.cn/finalpage/2016-07-27/1202507211.PDF</t>
  </si>
  <si>
    <t>http://static.cninfo.com.cn/finalpage/2017-08-01/1203744735.PDF</t>
  </si>
  <si>
    <t xml:space="preserve">13:00 - 16:00 </t>
  </si>
  <si>
    <t>002413.SZ</t>
  </si>
  <si>
    <t>雷科防务</t>
  </si>
  <si>
    <t>http://static.cninfo.com.cn/finalpage/2016-08-03/1202532215.PDF</t>
  </si>
  <si>
    <t>http://static.cninfo.com.cn/finalpage/2017-07-31/1203743082.PDF</t>
  </si>
  <si>
    <t xml:space="preserve">8:30 -11:30 </t>
  </si>
  <si>
    <t>600185.SH</t>
  </si>
  <si>
    <t>格力地产</t>
  </si>
  <si>
    <t>http://static.cninfo.com.cn/finalpage/2016-08-05/1202539847.PDF</t>
  </si>
  <si>
    <t xml:space="preserve"> 9:00-17:00</t>
  </si>
  <si>
    <t>资本市场服务</t>
  </si>
  <si>
    <t>http://static.cninfo.com.cn/finalpage/2017-07-27/1203736232.PDF</t>
  </si>
  <si>
    <t>000783.SZ</t>
  </si>
  <si>
    <t>长江证券</t>
  </si>
  <si>
    <t>http://static.cninfo.com.cn/finalpage/2016-07-29/1202513827.PDF</t>
  </si>
  <si>
    <t>生态保护和环境治理业</t>
  </si>
  <si>
    <t>10转6股派0.6元</t>
  </si>
  <si>
    <t>http://static.cninfo.com.cn/finalpage/2017-07-28/1203739636.PDF</t>
  </si>
  <si>
    <t>300355.SZ</t>
  </si>
  <si>
    <t>蒙草生态</t>
  </si>
  <si>
    <t>http://static.cninfo.com.cn/finalpage/2016-07-28/1202511319.PDF</t>
  </si>
  <si>
    <t>家具制造业</t>
  </si>
  <si>
    <t>10转10股派7元</t>
  </si>
  <si>
    <t>http://static.cninfo.com.cn/finalpage/2017-07-27/1203736324.PDF</t>
  </si>
  <si>
    <t xml:space="preserve">13:00-17:00 </t>
  </si>
  <si>
    <t>002572.SZ</t>
  </si>
  <si>
    <t>索菲亚</t>
  </si>
  <si>
    <t>http://static.cninfo.com.cn/finalpage/2016-07-28/1202511268.PDF</t>
  </si>
  <si>
    <t>10转5股派3.5元</t>
  </si>
  <si>
    <t>http://static.cninfo.com.cn/finalpage/2017-08-04/1203759292.PDF</t>
  </si>
  <si>
    <t>000055.SZ</t>
  </si>
  <si>
    <t>方大集团</t>
  </si>
  <si>
    <t>http://static.cninfo.com.cn/finalpage/2016-07-29/1202513836.PDF</t>
  </si>
  <si>
    <t>农副食品加工业</t>
  </si>
  <si>
    <t>http://static.cninfo.com.cn/finalpage/2017-07-28/1203739177.PDF</t>
  </si>
  <si>
    <t>002604.SZ</t>
  </si>
  <si>
    <t>*ST龙力</t>
  </si>
  <si>
    <t>http://static.cninfo.com.cn/finalpage/2016-07-29/1202514038.PDF</t>
  </si>
  <si>
    <t>http://static.cninfo.com.cn/finalpage/2017-07-26/1203735956.PDF</t>
  </si>
  <si>
    <t>300297.SZ</t>
  </si>
  <si>
    <t>蓝盾股份</t>
  </si>
  <si>
    <t>http://static.cninfo.com.cn/finalpage/2016-07-27/1202507156.PDF</t>
  </si>
  <si>
    <t>10转18股派0.5元</t>
  </si>
  <si>
    <t>http://static.cninfo.com.cn/finalpage/2017-08-04/1203759820.PDF</t>
  </si>
  <si>
    <t>600568.SH</t>
  </si>
  <si>
    <t>中珠医疗</t>
  </si>
  <si>
    <t>http://static.cninfo.com.cn/finalpage/2016-08-02/1202525637.PDF</t>
  </si>
  <si>
    <t>电力、热力生产和供应业</t>
  </si>
  <si>
    <t>10转0股派0.14元</t>
  </si>
  <si>
    <t>http://static.cninfo.com.cn/finalpage/2017-08-04/1203759759.PDF</t>
  </si>
  <si>
    <t>000040.SZ</t>
  </si>
  <si>
    <t>东旭蓝天</t>
  </si>
  <si>
    <t>http://static.cninfo.com.cn/finalpage/2016-07-28/1202511390.PDF</t>
  </si>
  <si>
    <t>10转0股派0.65元</t>
  </si>
  <si>
    <t>http://static.cninfo.com.cn/finalpage/2017-07-21/1203726395.PDF</t>
  </si>
  <si>
    <t>300351.SZ</t>
  </si>
  <si>
    <t>永贵电器</t>
  </si>
  <si>
    <t>http://static.cninfo.com.cn/finalpage/2016-07-20/1202489590.PDF</t>
  </si>
  <si>
    <t>http://static.cninfo.com.cn/finalpage/2017-07-21/1203722750.PDF</t>
  </si>
  <si>
    <t>600074.SH</t>
  </si>
  <si>
    <t>*ST保千</t>
  </si>
  <si>
    <t>http://static.cninfo.com.cn/finalpage/2016-07-29/1202514379.PDF</t>
  </si>
  <si>
    <t>10转0股派1.0135元</t>
  </si>
  <si>
    <t>http://static.cninfo.com.cn/finalpage/2017-07-22/1203726197.PDF</t>
  </si>
  <si>
    <t>300032.SZ</t>
  </si>
  <si>
    <t>金龙机电</t>
  </si>
  <si>
    <t>http://static.cninfo.com.cn/finalpage/2016-07-15/1202475208.PDF</t>
  </si>
  <si>
    <t>公告24.76亿可能是连同H股的股本，同花顺A股股本是15.61亿</t>
  </si>
  <si>
    <t>10转0股派3.67元</t>
  </si>
  <si>
    <t>http://static.cninfo.com.cn/finalpage/2017-07-21/1203722496.PDF</t>
  </si>
  <si>
    <t>002594.SZ</t>
  </si>
  <si>
    <t>比亚迪</t>
  </si>
  <si>
    <t>http://static.cninfo.com.cn/finalpage/2016-07-22/1202496983.PDF</t>
  </si>
  <si>
    <t>其他制造业</t>
  </si>
  <si>
    <t>http://static.cninfo.com.cn/finalpage/2017-07-20/1203716179.PDF</t>
  </si>
  <si>
    <t>002718.SZ</t>
  </si>
  <si>
    <t>友邦吊顶</t>
  </si>
  <si>
    <t>http://static.cninfo.com.cn/finalpage/2016-07-21/1202492741.PDF</t>
  </si>
  <si>
    <t>10派3.00元</t>
  </si>
  <si>
    <t>http://static.cninfo.com.cn/finalpage/2017-07-20/1203716597.PDF</t>
  </si>
  <si>
    <t xml:space="preserve"> 9:00 - 12:00 </t>
  </si>
  <si>
    <t>603939.SH</t>
  </si>
  <si>
    <t>益丰药房</t>
  </si>
  <si>
    <t>http://static.cninfo.com.cn/finalpage/2016-07-23/1202501617.PDF</t>
  </si>
  <si>
    <t>http://static.cninfo.com.cn/finalpage/2017-07-17/1203708969.PDF</t>
  </si>
  <si>
    <t>600151.SH</t>
  </si>
  <si>
    <t>航天机电</t>
  </si>
  <si>
    <t>http://static.cninfo.com.cn/finalpage/2016-07-23/1202499761.PDF</t>
  </si>
  <si>
    <t>10转15股派2.5元</t>
  </si>
  <si>
    <t>http://static.cninfo.com.cn/finalpage/2017-07-17/1203707698.PDF</t>
  </si>
  <si>
    <t>002620.SZ</t>
  </si>
  <si>
    <t>瑞和股份</t>
  </si>
  <si>
    <t>http://static.cninfo.com.cn/finalpage/2016-07-15/1202474310.PDF</t>
  </si>
  <si>
    <t>10转8.063股派1.008元</t>
  </si>
  <si>
    <t>http://static.cninfo.com.cn/finalpage/2017-07-17/1203707496.PDF</t>
  </si>
  <si>
    <t>300317.SZ</t>
  </si>
  <si>
    <t>珈伟新能</t>
  </si>
  <si>
    <t>http://static.cninfo.com.cn/finalpage/2016-07-15/1202476782.PDF</t>
  </si>
  <si>
    <t>化学纤维制造业</t>
  </si>
  <si>
    <t>10转15股派5元</t>
  </si>
  <si>
    <t>http://static.cninfo.com.cn/finalpage/2017-07-13/1203699836.PDF</t>
  </si>
  <si>
    <t>002206.SZ</t>
  </si>
  <si>
    <t>海利得</t>
  </si>
  <si>
    <t>http://static.cninfo.com.cn/finalpage/2016-07-15/1202475286.PDF</t>
  </si>
  <si>
    <t>10转0股派0.148元</t>
  </si>
  <si>
    <t>http://static.cninfo.com.cn/finalpage/2017-07-13/1203700300.PDF</t>
  </si>
  <si>
    <t>10:00 - 15:00</t>
  </si>
  <si>
    <t>002639.SZ</t>
  </si>
  <si>
    <t>雪人股份</t>
  </si>
  <si>
    <t>http://static.cninfo.com.cn/finalpage/2016-07-14/1202470000.PDF</t>
  </si>
  <si>
    <t>装卸搬运和运输代理业</t>
  </si>
  <si>
    <t>http://static.cninfo.com.cn/finalpage/2017-07-12/1203694806.PDF</t>
  </si>
  <si>
    <t>603128.SH</t>
  </si>
  <si>
    <t>华贸物流</t>
  </si>
  <si>
    <t>http://static.cninfo.com.cn/finalpage/2016-07-19/1202480345.PDF</t>
  </si>
  <si>
    <t>http://static.cninfo.com.cn/finalpage/2017-07-13/1203699901.PDF</t>
  </si>
  <si>
    <t>002147.SZ</t>
  </si>
  <si>
    <t>ST新光</t>
  </si>
  <si>
    <t>http://static.cninfo.com.cn/finalpage/2016-07-14/1202469772.PDF</t>
  </si>
  <si>
    <t>10转8股派1元， 10派0.488107元</t>
  </si>
  <si>
    <t>http://static.cninfo.com.cn/finalpage/2017-07-14/1203707225.PDF</t>
  </si>
  <si>
    <t>300274.SZ</t>
  </si>
  <si>
    <t>阳光电源</t>
  </si>
  <si>
    <t>http://static.cninfo.com.cn/finalpage/2016-07-04/1202448891.PDF</t>
  </si>
  <si>
    <t>http://img2.gtimg.com/finance/hs/pdf/2017/07/13/1203700063.PDF</t>
  </si>
  <si>
    <t xml:space="preserve"> 9:30-11:30 </t>
  </si>
  <si>
    <t>300269.SZ</t>
  </si>
  <si>
    <t>联建光电</t>
  </si>
  <si>
    <t>http://static.cninfo.com.cn/finalpage/2016-07-09/1202460862.PDF</t>
  </si>
  <si>
    <t>10转0股派2.2元</t>
  </si>
  <si>
    <t>http://static.cninfo.com.cn/finalpage/2016-07-09/1202462673.PDF</t>
  </si>
  <si>
    <t xml:space="preserve">9:30-11:30 </t>
  </si>
  <si>
    <t>300429.SZ</t>
  </si>
  <si>
    <t>强力新材</t>
  </si>
  <si>
    <t>http://static.cninfo.com.cn/finalpage/2016-05-10/1202313415.PDF / http://static.cninfo.com.cn/finalpage/2016-05-10/1202313414.PDF</t>
  </si>
  <si>
    <t>畜牧业</t>
  </si>
  <si>
    <t>http://static.cninfo.com.cn/finalpage/2016-07-08/1202458721.PDF</t>
  </si>
  <si>
    <t>300313.SZ</t>
  </si>
  <si>
    <t>天山生物</t>
  </si>
  <si>
    <t>http://static.cninfo.com.cn/finalpage/2016-07-08/1202458723.PDF</t>
  </si>
  <si>
    <t>10转0股派0.48元</t>
  </si>
  <si>
    <t>http://static.cninfo.com.cn/finalpage/2017-07-07/1203686470.PDF</t>
  </si>
  <si>
    <t>8:00 - 11:30</t>
  </si>
  <si>
    <t>300353.SZ</t>
  </si>
  <si>
    <t>东土科技</t>
  </si>
  <si>
    <t>http://static.cninfo.com.cn/finalpage/2016-07-07/1202455782.PDF</t>
  </si>
  <si>
    <t>http://static.cninfo.com.cn/finalpage/2017-07-07/1203685654.PDF</t>
  </si>
  <si>
    <t>300010.SZ</t>
  </si>
  <si>
    <t>立思辰</t>
  </si>
  <si>
    <t>http://static.cninfo.com.cn/finalpage/2016-07-07/1202455564.PDF</t>
  </si>
  <si>
    <t>http://static.cninfo.com.cn/finalpage/2017-07-04/1203678075.PDF</t>
  </si>
  <si>
    <t>600869.SH</t>
  </si>
  <si>
    <t>智慧能源</t>
  </si>
  <si>
    <t>http://static.cninfo.com.cn/finalpage/2016-07-12/1202466460.PDF</t>
  </si>
  <si>
    <t>造纸和纸制品业</t>
  </si>
  <si>
    <t>10转0股派0.25元</t>
  </si>
  <si>
    <t>http://static.cninfo.com.cn/finalpage/2017-07-04/1203677847.PDF</t>
  </si>
  <si>
    <t>600567.SH</t>
  </si>
  <si>
    <t>山鹰纸业</t>
  </si>
  <si>
    <t>http://static.cninfo.com.cn/finalpage/2016-07-11/1202463409.PDF</t>
  </si>
  <si>
    <t>10派2.20元</t>
  </si>
  <si>
    <t>http://static.cninfo.com.cn/finalpage/2017-07-05/1203682585.PDF</t>
  </si>
  <si>
    <t>600482.SH</t>
  </si>
  <si>
    <t>中国动力</t>
  </si>
  <si>
    <t>http://static.cninfo.com.cn/finalpage/2016-07-07/1202456286.PDF</t>
  </si>
  <si>
    <t>10转3股派0元</t>
  </si>
  <si>
    <t>http://static.cninfo.com.cn/finalpage/2017-07-04/1203677355.PDF</t>
  </si>
  <si>
    <t>002087.SZ</t>
  </si>
  <si>
    <t>新野纺织</t>
  </si>
  <si>
    <t>http://static.cninfo.com.cn/finalpage/2016-07-04/1202445442.PDF</t>
  </si>
  <si>
    <t>http://static.cninfo.com.cn/finalpage/2017-06-30/1203664200.PDF</t>
  </si>
  <si>
    <t>002305.SZ</t>
  </si>
  <si>
    <t>南国置业</t>
  </si>
  <si>
    <t>http://static.cninfo.com.cn/finalpage/2016-07-04/1202445080.PDF</t>
  </si>
  <si>
    <t>水上运输业</t>
  </si>
  <si>
    <t>http://static.cninfo.com.cn/finalpage/2017-06-30/1203664327.PDF</t>
  </si>
  <si>
    <t>600575.SH</t>
  </si>
  <si>
    <t>淮河能源</t>
  </si>
  <si>
    <t>http://static.cninfo.com.cn/finalpage/2016-07-02/1202445031.PDF</t>
  </si>
  <si>
    <t>10转16股派2元</t>
  </si>
  <si>
    <t>http://static.cninfo.com.cn/finalpage/2017-06-24/1203644172.PDF</t>
  </si>
  <si>
    <t>603021.SH</t>
  </si>
  <si>
    <t>山东华鹏</t>
  </si>
  <si>
    <t>http://static.cninfo.com.cn/finalpage/2016-07-02/1202445057.PDF</t>
  </si>
  <si>
    <t>东航总股本只算A股总股本，不计境外（H股）股本</t>
  </si>
  <si>
    <t>9:00 - 17:00</t>
  </si>
  <si>
    <t>10转0股派0.51元</t>
  </si>
  <si>
    <t>http://static.cninfo.com.cn/finalpage/2017-06-27/1203649718.PDF</t>
  </si>
  <si>
    <t>600115.SH</t>
  </si>
  <si>
    <t>东方航空</t>
  </si>
  <si>
    <t>http://static.cninfo.com.cn/finalpage/2016-07-05/1202448960.PDF</t>
  </si>
  <si>
    <t>10转0股派2.3元</t>
  </si>
  <si>
    <t>http://static.cninfo.com.cn/finalpage/2017-06-27/1203649232.PDF</t>
  </si>
  <si>
    <t xml:space="preserve">8:30 - 11:30 </t>
  </si>
  <si>
    <t>603009.SH</t>
  </si>
  <si>
    <t>北特科技</t>
  </si>
  <si>
    <t>http://static.cninfo.com.cn/finalpage/2016-07-01/1202442072.PDF</t>
  </si>
  <si>
    <t>10转0股派6元</t>
  </si>
  <si>
    <t>http://static.cninfo.com.cn/finalpage/2017-06-23/1203641305.PDF</t>
  </si>
  <si>
    <t xml:space="preserve"> 13:00~16:00 </t>
  </si>
  <si>
    <t>600376.SH</t>
  </si>
  <si>
    <t>首开股份</t>
  </si>
  <si>
    <t>http://static.cninfo.com.cn/finalpage/2016-06-30/1202438341.PDF</t>
  </si>
  <si>
    <t>10送2股转10股派0.52元</t>
  </si>
  <si>
    <t>http://static.cninfo.com.cn/finalpage/2017-06-27/1203649047.PDF</t>
  </si>
  <si>
    <t xml:space="preserve"> 9:00~12:00 </t>
  </si>
  <si>
    <t>000591.SZ</t>
  </si>
  <si>
    <t>太阳能</t>
  </si>
  <si>
    <t>http://static.cninfo.com.cn/finalpage/2016-06-24/1202394305.PDF / http://static.cninfo.com.cn/finalpage/2016-06-24/1202394307.PDF</t>
  </si>
  <si>
    <t>10转0股派0.8元</t>
  </si>
  <si>
    <t>http://static.cninfo.com.cn/finalpage/2017-06-21/1203634137.PDF</t>
  </si>
  <si>
    <t>603019.SH</t>
  </si>
  <si>
    <t>中科曙光</t>
  </si>
  <si>
    <t>http://static.cninfo.com.cn/finalpage/2016-06-30/1202438139.PDF</t>
  </si>
  <si>
    <t>http://static.cninfo.com.cn/finalpage/2017-06-22/1203638122.PDF</t>
  </si>
  <si>
    <t>http://static.cninfo.com.cn/finalpage/2016-06-29/1202431726.PDF</t>
  </si>
  <si>
    <t>http://static.cninfo.com.cn/finalpage/2017-06-26/1203643391.PDF</t>
  </si>
  <si>
    <t xml:space="preserve">9:00 -12:00 </t>
  </si>
  <si>
    <t>002432.SZ</t>
  </si>
  <si>
    <t>九安医疗</t>
  </si>
  <si>
    <t>http://static.cninfo.com.cn/finalpage/2016-06-24/1202394283.PDF</t>
  </si>
  <si>
    <t>10转5股派4元</t>
  </si>
  <si>
    <t>http://static.cninfo.com.cn/finalpage/2017-06-22/1203638276.PDF</t>
  </si>
  <si>
    <t>002223.SZ</t>
  </si>
  <si>
    <t>鱼跃医疗</t>
  </si>
  <si>
    <t>http://static.cninfo.com.cn/finalpage/2016-06-22/1202380830.PDF</t>
  </si>
  <si>
    <t>10转15股派1元</t>
  </si>
  <si>
    <t>http://static.cninfo.com.cn/finalpage/2017-06-22/1203638177.PDF</t>
  </si>
  <si>
    <t>300021.SZ</t>
  </si>
  <si>
    <t>大禹节水</t>
  </si>
  <si>
    <t>http://static.cninfo.com.cn/finalpage/2016-06-01/1202351500.PDF</t>
  </si>
  <si>
    <t>http://static.cninfo.com.cn/finalpage/2017-06-23/1203641601.PDF</t>
  </si>
  <si>
    <t>002077.SZ</t>
  </si>
  <si>
    <t>大港股份</t>
  </si>
  <si>
    <t>http://static.cninfo.com.cn/finalpage/2016-06-21/1202376145.PDF</t>
  </si>
  <si>
    <t>http://static.cninfo.com.cn/finalpage/2017-06-21/1203634079.PDF</t>
  </si>
  <si>
    <t xml:space="preserve">9:00- 12:00 </t>
  </si>
  <si>
    <t>002600.SZ</t>
  </si>
  <si>
    <t>领益智造</t>
  </si>
  <si>
    <t>http://static.cninfo.com.cn/finalpage/2016-06-22/1202381119.PDF</t>
  </si>
  <si>
    <t>发行公告有解禁日期 http://static.cninfo.com.cn/finalpage/2016-06-15/1202368081.PDF</t>
  </si>
  <si>
    <t>300219.SZ</t>
  </si>
  <si>
    <t>鸿利智汇</t>
  </si>
  <si>
    <t>http://static.cninfo.com.cn/finalpage/2016-06-15/1202368081.PDF</t>
  </si>
  <si>
    <t>http://static.cninfo.com.cn/finalpage/2017-06-16/1203618321.PDF</t>
  </si>
  <si>
    <t>300031.SZ</t>
  </si>
  <si>
    <t>宝通科技</t>
  </si>
  <si>
    <t>http://static.cninfo.com.cn/finalpage/2016-06-07/1202360870.PDF</t>
  </si>
  <si>
    <t>http://static.cninfo.com.cn/finalpage/2017-06-17/1203624683.PDF</t>
  </si>
  <si>
    <t>000530.SZ</t>
  </si>
  <si>
    <t>大冷股份</t>
  </si>
  <si>
    <t>http://static.cninfo.com.cn/finalpage/2016-06-17/1202372654.PDF</t>
  </si>
  <si>
    <t>http://static.cninfo.com.cn/finalpage/2017-06-20/1203630675.PDF</t>
  </si>
  <si>
    <t>002277.SZ</t>
  </si>
  <si>
    <t>友阿股份</t>
  </si>
  <si>
    <t>http://static.cninfo.com.cn/finalpage/2016-06-17/1202372304.PDF</t>
  </si>
  <si>
    <t>10转0股派3.15元</t>
  </si>
  <si>
    <t>http://static.cninfo.com.cn/finalpage/2017-06-15/1203616329.PDF</t>
  </si>
  <si>
    <t xml:space="preserve"> 9:00 ~12:00 </t>
  </si>
  <si>
    <t>600048.SH</t>
  </si>
  <si>
    <t>保利地产</t>
  </si>
  <si>
    <t>http://static.cninfo.com.cn/finalpage/2016-06-24/1202393477.PDF</t>
  </si>
  <si>
    <t>10转12股派3元</t>
  </si>
  <si>
    <t>http://static.cninfo.com.cn/finalpage/2017-06-13/1203611832.PDF</t>
  </si>
  <si>
    <t>603118.SH</t>
  </si>
  <si>
    <t>共进股份</t>
  </si>
  <si>
    <t>http://static.cninfo.com.cn/finalpage/2016-06-22/1202380310.PDF</t>
  </si>
  <si>
    <t>http://static.cninfo.com.cn/finalpage/2017-05-19/1203544557.PDF</t>
  </si>
  <si>
    <t>300383.SZ</t>
  </si>
  <si>
    <t>光环新网</t>
  </si>
  <si>
    <t>http://static.cninfo.com.cn/finalpage/2016-06-15/1202370169.PDF</t>
  </si>
  <si>
    <t>http://static.cninfo.com.cn/finalpage/2017-06-14/1203613515.PDF</t>
  </si>
  <si>
    <t xml:space="preserve"> 13:00-16:00 </t>
  </si>
  <si>
    <t>002094.SZ</t>
  </si>
  <si>
    <t>青岛金王</t>
  </si>
  <si>
    <t>http://static.cninfo.com.cn/finalpage/2016-06-14/1202367053.PDF</t>
  </si>
  <si>
    <t>http://static.cninfo.com.cn/finalpage/2017-06-13/1203610955.PDF</t>
  </si>
  <si>
    <t>300419.SZ</t>
  </si>
  <si>
    <t>浩丰科技</t>
  </si>
  <si>
    <t>http://static.cninfo.com.cn/finalpage/2016-06-13/1202363392.PDF</t>
  </si>
  <si>
    <t xml:space="preserve">10:00-12:00 </t>
  </si>
  <si>
    <t xml:space="preserve">13:00-14:00 </t>
  </si>
  <si>
    <t>http://static.cninfo.com.cn/finalpage/2016-06-06/1202357342.PDF</t>
  </si>
  <si>
    <t xml:space="preserve">  09:00-12:00</t>
  </si>
  <si>
    <t>300185.SZ</t>
  </si>
  <si>
    <t>通裕重工</t>
  </si>
  <si>
    <t>http://static.cninfo.com.cn/finalpage/2016-05-27/1202341002.PDF</t>
  </si>
  <si>
    <t>http://static.cninfo.com.cn/finalpage/2017-06-01/1203577432.PDF</t>
  </si>
  <si>
    <t xml:space="preserve"> 14:00-17:00 </t>
  </si>
  <si>
    <t>601233.SH</t>
  </si>
  <si>
    <t>桐昆股份</t>
  </si>
  <si>
    <t>http://static.cninfo.com.cn/finalpage/2016-06-14/1202366026.PDF</t>
  </si>
  <si>
    <t>燃气生产和供应业</t>
  </si>
  <si>
    <t>http://static.cninfo.com.cn/finalpage/2017-06-06/1203590172.PDF</t>
  </si>
  <si>
    <t>002259.SZ</t>
  </si>
  <si>
    <t>*ST升达</t>
  </si>
  <si>
    <t>http://static.cninfo.com.cn/finalpage/2016-06-07/1202358086.PDF</t>
  </si>
  <si>
    <t>http://static.cninfo.com.cn/finalpage/2017-06-02/1203579730.PDF</t>
  </si>
  <si>
    <t>13:00 - 17:00</t>
  </si>
  <si>
    <t>601567.SH</t>
  </si>
  <si>
    <t>三星医疗</t>
  </si>
  <si>
    <t>http://static.cninfo.com.cn/finalpage/2016-06-09/1202364359.PDF</t>
  </si>
  <si>
    <t>http://static.cninfo.com.cn/finalpage/2017-06-02/1203579071.PDF</t>
  </si>
  <si>
    <t>000631.SZ</t>
  </si>
  <si>
    <t>顺发恒业</t>
  </si>
  <si>
    <t>http://static.cninfo.com.cn/finalpage/2016-06-03/1202353519.PDF</t>
  </si>
  <si>
    <t>http://static.cninfo.com.cn/finalpage/2017-06-08/1203602763.PDF</t>
  </si>
  <si>
    <t>300005.SZ</t>
  </si>
  <si>
    <t>探路者</t>
  </si>
  <si>
    <t>http://static.cninfo.com.cn/finalpage/2016-06-02/1202350572.PDF</t>
  </si>
  <si>
    <t>煤炭开采和洗选业</t>
  </si>
  <si>
    <t>10转0股派0.4元</t>
  </si>
  <si>
    <t>http://static.cninfo.com.cn/finalpage/2017-05-24/1203560354.PDF</t>
  </si>
  <si>
    <t>600157.SH</t>
  </si>
  <si>
    <t>永泰能源</t>
  </si>
  <si>
    <t>http://static.cninfo.com.cn/finalpage/2016-06-01/1202349350.PDF</t>
  </si>
  <si>
    <t>http://static.cninfo.com.cn/finalpage/2017-06-01/1203577003.PDF</t>
  </si>
  <si>
    <t xml:space="preserve"> 14:00-17:00</t>
  </si>
  <si>
    <t>300190.SZ</t>
  </si>
  <si>
    <t>维尔利</t>
  </si>
  <si>
    <t>http://static.cninfo.com.cn/finalpage/2016-05-24/1202337110.PDF</t>
  </si>
  <si>
    <t>http://static.cninfo.com.cn/finalpage/2017-05-26/1203568202.PDF</t>
  </si>
  <si>
    <t>002745.SZ</t>
  </si>
  <si>
    <t>木林森</t>
  </si>
  <si>
    <t>http://static.cninfo.com.cn/finalpage/2016-05-26/1202339137.PDF</t>
  </si>
  <si>
    <t>http://static.cninfo.com.cn/finalpage/2017-05-31/1203577012.PDF</t>
  </si>
  <si>
    <t xml:space="preserve"> 09:00-12:00 </t>
  </si>
  <si>
    <t>300279.SZ</t>
  </si>
  <si>
    <t>和晶科技</t>
  </si>
  <si>
    <t>http://static.cninfo.com.cn/finalpage/2016-05-25/1202338585.PDF</t>
  </si>
  <si>
    <t>http://static.cninfo.com.cn/finalpage/2017-05-23/1203556567.PDF</t>
  </si>
  <si>
    <t>600811.SH</t>
  </si>
  <si>
    <t>东方集团</t>
  </si>
  <si>
    <t>http://static.cninfo.com.cn/finalpage/2016-05-27/1202341630.PDF</t>
  </si>
  <si>
    <t>10转20股派0元</t>
  </si>
  <si>
    <t>http://static.cninfo.com.cn/finalpage/2017-05-25/1203566149.PDF</t>
  </si>
  <si>
    <t xml:space="preserve">9:00-11:00 </t>
  </si>
  <si>
    <t>002558.SZ</t>
  </si>
  <si>
    <t>巨人网络</t>
  </si>
  <si>
    <t>http://static.cninfo.com.cn/finalpage/2017-05-19/1203536881.PDF</t>
  </si>
  <si>
    <t>300301.SZ</t>
  </si>
  <si>
    <t>长方集团</t>
  </si>
  <si>
    <t>http://static.cninfo.com.cn/finalpage/2016-05-04/1202287780.PDF</t>
  </si>
  <si>
    <t>http://static.cninfo.com.cn/finalpage/2017-05-17/1203525878.PDF</t>
  </si>
  <si>
    <t xml:space="preserve">8:00-11:00 </t>
  </si>
  <si>
    <t>300410.SZ</t>
  </si>
  <si>
    <t>正业科技</t>
  </si>
  <si>
    <t>http://static.cninfo.com.cn/finalpage/2016-05-17/1202326043.PDF</t>
  </si>
  <si>
    <t>http://static.cninfo.com.cn/finalpage/2017-05-11/1203492464.PDF</t>
  </si>
  <si>
    <t xml:space="preserve">13:00-16:00 </t>
  </si>
  <si>
    <t>300166.SZ</t>
  </si>
  <si>
    <t>东方国信</t>
  </si>
  <si>
    <t>http://static.cninfo.com.cn/finalpage/2016-05-14/1202321606.PDF</t>
  </si>
  <si>
    <t xml:space="preserve"> 13:00-17:00 </t>
  </si>
  <si>
    <t>300157.SZ</t>
  </si>
  <si>
    <t>恒泰艾普</t>
  </si>
  <si>
    <t>http://static.cninfo.com.cn/finalpage/2016-05-13/1202321406.PDF</t>
  </si>
  <si>
    <t>10转2股派0.4元</t>
  </si>
  <si>
    <t>http://static.cninfo.com.cn/finalpage/2017-05-15/1203519953.PDF</t>
  </si>
  <si>
    <t>300059.SZ</t>
  </si>
  <si>
    <t>东方财富</t>
  </si>
  <si>
    <t>http://static.cninfo.com.cn/finalpage/2016-05-13/1202320634.PDF</t>
  </si>
  <si>
    <t>http://static.cninfo.com.cn/finalpage/2017-05-19/1203536321.PDF</t>
  </si>
  <si>
    <t>000420.SZ</t>
  </si>
  <si>
    <t>吉林化纤</t>
  </si>
  <si>
    <t>http://static.cninfo.com.cn/finalpage/2016-05-13/1202319315.PDF</t>
  </si>
  <si>
    <t>http://img2.gtimg.com/finance/hs/pdf/2016/05/13/1202318484.PDF</t>
  </si>
  <si>
    <t>9:00-11:30，13:00 -15:30</t>
  </si>
  <si>
    <t>300420.SZ</t>
  </si>
  <si>
    <t>五洋停车</t>
  </si>
  <si>
    <t>http://static.cninfo.com.cn/finalpage/2016-05-13/1202318482.PDF</t>
  </si>
  <si>
    <t>10转0股派7.3元</t>
  </si>
  <si>
    <t>http://static.cninfo.com.cn/finalpage/2017-05-06/1203482784.PDF</t>
  </si>
  <si>
    <t>600566.SH</t>
  </si>
  <si>
    <t>济川药业</t>
  </si>
  <si>
    <t>http://static.cninfo.com.cn/finalpage/2016-05-14/1202322181.PDF</t>
  </si>
  <si>
    <t>http://static.cninfo.com.cn/finalpage/2017-05-10/1203488178.PDF</t>
  </si>
  <si>
    <t>600346.SH</t>
  </si>
  <si>
    <t>恒力石化</t>
  </si>
  <si>
    <t>http://static.cninfo.com.cn/finalpage/2016-05-14/1202322013.PDF</t>
  </si>
  <si>
    <t>10转12股派5元</t>
  </si>
  <si>
    <t>http://static.cninfo.com.cn/finalpage/2017-05-09/1203486132.PDF</t>
  </si>
  <si>
    <t>603601.SH</t>
  </si>
  <si>
    <t>再升科技</t>
  </si>
  <si>
    <t>http://static.cninfo.com.cn/finalpage/2016-05-14/1202322240.PDF</t>
  </si>
  <si>
    <t>10送2股转18股派10元</t>
  </si>
  <si>
    <t>http://static.cninfo.com.cn/finalpage/2017-05-06/1203482072.PDF</t>
  </si>
  <si>
    <t>300433.SZ</t>
  </si>
  <si>
    <t>蓝思科技</t>
  </si>
  <si>
    <t>http://static.cninfo.com.cn/finalpage/2016-04-20/1202203812.PDF</t>
  </si>
  <si>
    <t xml:space="preserve">9:00-17:00 </t>
  </si>
  <si>
    <t>10转0股派2.5元</t>
  </si>
  <si>
    <t>http://static.cninfo.com.cn/finalpage/2017-05-05/1203476050.PDF</t>
  </si>
  <si>
    <t>603885.SH</t>
  </si>
  <si>
    <t>吉祥航空</t>
  </si>
  <si>
    <t>http://static.cninfo.com.cn/finalpage/2016-05-12/1202316904.PDF</t>
  </si>
  <si>
    <t>16:00-17:00</t>
  </si>
  <si>
    <t>15:00-15;30</t>
  </si>
  <si>
    <t>10转25股派2元</t>
  </si>
  <si>
    <t>http://static.cninfo.com.cn/finalpage/2017-05-04/1203474410.PDF</t>
  </si>
  <si>
    <t>601222.SH</t>
  </si>
  <si>
    <t>林洋能源</t>
  </si>
  <si>
    <t>http://static.cninfo.com.cn/finalpage/2016-05-12/1202316816.PDF</t>
  </si>
  <si>
    <t>http://static.cninfo.com.cn/finalpage/2017-05-16/1203520151.PDF</t>
  </si>
  <si>
    <t>002425.SZ</t>
  </si>
  <si>
    <t>凯撒文化</t>
  </si>
  <si>
    <t>http://static.cninfo.com.cn/finalpage/2016-05-06/1202299915.PDF</t>
  </si>
  <si>
    <t>10转1股派0.2元</t>
  </si>
  <si>
    <t>http://static.cninfo.com.cn/finalpage/2017-06-05/1203586838.PDF</t>
  </si>
  <si>
    <t>300266.SZ</t>
  </si>
  <si>
    <t>兴源环境</t>
  </si>
  <si>
    <t>http://static.cninfo.com.cn/finalpage/2016-05-07/1202303193.PDF</t>
  </si>
  <si>
    <t>http://static.cninfo.com.cn/finalpage/2017-05-05/1203475821.PDF</t>
  </si>
  <si>
    <t>002654.SZ</t>
  </si>
  <si>
    <t>万润科技</t>
  </si>
  <si>
    <t>http://static.cninfo.com.cn/finalpage/2016-05-05/1202294813.PDF</t>
  </si>
  <si>
    <t>http://static.cninfo.com.cn/finalpage/2017-05-04/1203474001.PDF</t>
  </si>
  <si>
    <t>002335.SZ</t>
  </si>
  <si>
    <t>科华恒盛</t>
  </si>
  <si>
    <t>http://static.cninfo.com.cn/finalpage/2016-05-04/1202287819.PDF</t>
  </si>
  <si>
    <t>10转3股派2.00元， 10转5股派3.000630元</t>
  </si>
  <si>
    <t>http://static.cninfo.com.cn/finalpage/2017-05-08/1203485456.PDF</t>
  </si>
  <si>
    <t>300342.SZ</t>
  </si>
  <si>
    <t>天银机电</t>
  </si>
  <si>
    <t>http://static.cninfo.com.cn/finalpage/2016-05-03/1202287432.PDF</t>
  </si>
  <si>
    <t>教育</t>
  </si>
  <si>
    <t>http://static.cninfo.com.cn/finalpage/2017-05-03/1203470042.PDF</t>
  </si>
  <si>
    <t>09:00-12:00</t>
  </si>
  <si>
    <t>002607.SZ</t>
  </si>
  <si>
    <t>中公教育</t>
  </si>
  <si>
    <t>http://static.cninfo.com.cn/finalpage/2016-05-04/1202287976.PDF</t>
  </si>
  <si>
    <t>有色金属矿采选业</t>
  </si>
  <si>
    <t>http://static.cninfo.com.cn/finalpage/2017-04-26/1203387626.PDF</t>
  </si>
  <si>
    <t>600497.SH</t>
  </si>
  <si>
    <t>驰宏锌锗</t>
  </si>
  <si>
    <t>http://static.cninfo.com.cn/finalpage/2016-05-06/1202299509.PDF</t>
  </si>
  <si>
    <t>总股本 (亿）</t>
  </si>
  <si>
    <t>市值</t>
  </si>
  <si>
    <t>实际募资总额(亿元)</t>
  </si>
  <si>
    <t>预计募集资金总额(亿元)</t>
  </si>
  <si>
    <t>整理</t>
  </si>
  <si>
    <t>唐映权</t>
  </si>
  <si>
    <t>浙江东港投资有限公司</t>
  </si>
  <si>
    <t>信诚基金有限公司</t>
  </si>
  <si>
    <t>杭州中财生生资本有限公司</t>
  </si>
  <si>
    <t>许利银</t>
  </si>
  <si>
    <t>2016年9月6日</t>
  </si>
  <si>
    <t>2016 年 9 月 1 日</t>
  </si>
  <si>
    <t>2016年8月25日</t>
  </si>
  <si>
    <t>韦慧陆</t>
  </si>
  <si>
    <t>吴斌</t>
  </si>
  <si>
    <t>深圳市前海梧桐广证定增投资基金企业
（有限合伙）</t>
  </si>
  <si>
    <t xml:space="preserve">2016 年 8 月 18 日 </t>
  </si>
  <si>
    <t>东海证券股份有限
公司</t>
  </si>
  <si>
    <t>南京瑞达信沨股权
投资合伙企业（有限合伙）</t>
  </si>
  <si>
    <t>泰达宏利基金管理
有限公司</t>
  </si>
  <si>
    <t>信诚基金管理有限
公司</t>
  </si>
  <si>
    <t>湖北德润投资发展有限公司</t>
  </si>
  <si>
    <t>北京和聚投资管理
有限公司</t>
  </si>
  <si>
    <t>诺安基金管理有限
公司</t>
  </si>
  <si>
    <t>平安大华基金管理
有限公司</t>
  </si>
  <si>
    <t>北京建信股权投资
基金（有限合伙）</t>
  </si>
  <si>
    <t>财富证券有限责任公司</t>
  </si>
  <si>
    <t>2016年9月1日</t>
  </si>
  <si>
    <t>2016 年 8 月 26 日</t>
  </si>
  <si>
    <t>2016 年 8 月 25 日</t>
  </si>
  <si>
    <t xml:space="preserve">诺安基金管理有限公司 </t>
  </si>
  <si>
    <t xml:space="preserve">信诚基金管理有限公司 </t>
  </si>
  <si>
    <t xml:space="preserve">德邦基金管理有限公司 </t>
  </si>
  <si>
    <t xml:space="preserve">金鹰基金管理有限公司 </t>
  </si>
  <si>
    <t xml:space="preserve">南京瑞达信沨股权投资合伙企业(有限合伙 </t>
  </si>
  <si>
    <t xml:space="preserve">长城人寿保险股份有限公司 </t>
  </si>
  <si>
    <t>2016年8月29日</t>
  </si>
  <si>
    <t>2016 年8月29日</t>
  </si>
  <si>
    <t>深圳市和星信息投资管理中心
限合伙）</t>
  </si>
  <si>
    <t xml:space="preserve">2016 年 8 月 12 日 </t>
  </si>
  <si>
    <t>2016 年 8 月 18 日</t>
  </si>
  <si>
    <t xml:space="preserve">2016 年 8 月 17 日 </t>
  </si>
  <si>
    <t xml:space="preserve">2016 年 8 月 19 日 </t>
  </si>
  <si>
    <t xml:space="preserve">2016 年 7 月 28 日 </t>
  </si>
  <si>
    <t>2016 年 8 月 23 日</t>
  </si>
  <si>
    <t>2016 年 8 月 15 日</t>
  </si>
  <si>
    <t xml:space="preserve">2016 年 8 月 10 日 </t>
  </si>
  <si>
    <t>2016 年 8 月 5 日</t>
  </si>
  <si>
    <t>申万菱信（上海）资产管理有
限公司</t>
  </si>
  <si>
    <t>深圳泰安尔信息技术有限公司</t>
  </si>
  <si>
    <t>安徽安元投资基金有限公司</t>
  </si>
  <si>
    <t>浙江浙旅投资有限责任公司</t>
  </si>
  <si>
    <t>安徽产业并购基金合伙企业（有限合伙）</t>
  </si>
  <si>
    <t>2016 年 8 月 19 日</t>
  </si>
  <si>
    <t>2016年8月16日</t>
  </si>
  <si>
    <t xml:space="preserve">2016 年 8 月 22 日 </t>
  </si>
  <si>
    <t>杜宣</t>
  </si>
  <si>
    <t>中铁宝盈资产管理有限公司</t>
  </si>
  <si>
    <t xml:space="preserve">2016 年 8 月 9 日 </t>
  </si>
  <si>
    <t>2016年8月22日</t>
  </si>
  <si>
    <t>2016年8月15日</t>
  </si>
  <si>
    <t>2016年8月19日</t>
  </si>
  <si>
    <t xml:space="preserve">2016年8月3日 </t>
  </si>
  <si>
    <t>申万菱信（上海）资产管理
有限公司</t>
  </si>
  <si>
    <t>南京瑞达信沨股权投资合
伙企业（有限合伙）</t>
  </si>
  <si>
    <t>东海基金管理有限责任公
司</t>
  </si>
  <si>
    <t>银河金汇证券资产管理有
限公司</t>
  </si>
  <si>
    <t>苏州汇方同达信息科技有
限公司</t>
  </si>
  <si>
    <t>陆尔穗</t>
  </si>
  <si>
    <t>泓德基金管理有效公司</t>
  </si>
  <si>
    <t>苏州广电传媒集团有限公司</t>
  </si>
  <si>
    <t>司</t>
  </si>
  <si>
    <t>江苏文投资本管理有限公</t>
  </si>
  <si>
    <t>赵炜</t>
  </si>
  <si>
    <t>沃九华</t>
  </si>
  <si>
    <t>苏州聚能中小科技创业投
资企业（有限合伙）</t>
  </si>
  <si>
    <t>王友林</t>
  </si>
  <si>
    <t>圆信永丰基金管理有限公
司</t>
  </si>
  <si>
    <t xml:space="preserve">2016 年 8 月 15 日 </t>
  </si>
  <si>
    <t xml:space="preserve">2016 年 8 月 16 日 </t>
  </si>
  <si>
    <t>申万菱信资产管理有限公司</t>
  </si>
  <si>
    <t>彭斌</t>
  </si>
  <si>
    <t>上海博责投资合伙企业（有限合伙）</t>
  </si>
  <si>
    <t>林汉顺</t>
  </si>
  <si>
    <t>2016 年 8 月 2 日</t>
  </si>
  <si>
    <t xml:space="preserve">2016年8月4日 </t>
  </si>
  <si>
    <t>2016 年 7 月 14 日</t>
  </si>
  <si>
    <t>2016 年 7 月 29 日</t>
  </si>
  <si>
    <t xml:space="preserve">2016 年 7 月 25 日 </t>
  </si>
  <si>
    <t>华夏基金管理有限公司</t>
  </si>
  <si>
    <t>第一创业证券有限公司</t>
  </si>
  <si>
    <t xml:space="preserve">2016 年 7 月 22 日 </t>
  </si>
  <si>
    <t>2016年7月27日</t>
  </si>
  <si>
    <t xml:space="preserve">2016 年 8 月 3 日 </t>
  </si>
  <si>
    <t xml:space="preserve">陶安祥 </t>
  </si>
  <si>
    <t>22.9/22.85/22.8</t>
  </si>
  <si>
    <t xml:space="preserve">芒果传媒有限公司 </t>
  </si>
  <si>
    <t>2016年6月24日</t>
  </si>
  <si>
    <t>2016年6月23日</t>
  </si>
  <si>
    <t>2016年7月29日</t>
  </si>
  <si>
    <t>林婵贞</t>
  </si>
  <si>
    <t>上海爱康富罗纳资产管理有限公司</t>
  </si>
  <si>
    <t>五矿资本控股有限公司</t>
  </si>
  <si>
    <t>上海汽车集团股权投资有限公司</t>
  </si>
  <si>
    <t>上海隆源资产经营有限公司</t>
  </si>
  <si>
    <t>2016 年 7 月 25 日</t>
  </si>
  <si>
    <t>安徽省铁路建设投资基金有限公
司</t>
  </si>
  <si>
    <t>国投瑞银资本管理有限公司</t>
  </si>
  <si>
    <t>袁健</t>
  </si>
  <si>
    <t>上海国际集团资产管理
有限公司</t>
  </si>
  <si>
    <t xml:space="preserve">2016 年 8 月 8 日 </t>
  </si>
  <si>
    <t>2016 年 7 月 28 日</t>
  </si>
  <si>
    <t>上海证大投资管理有限公司</t>
  </si>
  <si>
    <t>2016年7月26日</t>
  </si>
  <si>
    <t>2016年7月22日</t>
  </si>
  <si>
    <t>2016年8月2日</t>
  </si>
  <si>
    <t xml:space="preserve">新疆中泰(集团)有限责任公司 </t>
  </si>
  <si>
    <t>西藏中晟信投资管理有限公司</t>
  </si>
  <si>
    <t>第一创业证券股份有限公司（共盈大岩
量化定增集合资产管理计划）</t>
  </si>
  <si>
    <t>上海瑞桓投资有限公司</t>
  </si>
  <si>
    <t>西藏华博实业有限公司</t>
  </si>
  <si>
    <t>成都力鼎银科股权投资基金中心（有限
合伙）</t>
  </si>
  <si>
    <t>苏州君子兰启航一号股权投资基金合伙
企业（有限合伙）</t>
  </si>
  <si>
    <t>上海证大投资管理有限公司-证大金马
新常态私募投资基金</t>
  </si>
  <si>
    <t>颐和银丰实业有限公司</t>
  </si>
  <si>
    <t>颐和银丰（天津）投资管理有限公司</t>
  </si>
  <si>
    <t>2016 年 7 月 21 日</t>
  </si>
  <si>
    <t xml:space="preserve">2016 年 7 月 27 日  </t>
  </si>
  <si>
    <t>2016年7月8日</t>
  </si>
  <si>
    <t>2.7000
2.7500
3.6400</t>
  </si>
  <si>
    <t>16.15
14.58
12.60</t>
  </si>
  <si>
    <t>3.0000
3.0000
3.0000</t>
  </si>
  <si>
    <t>15.55
14.93
14.62</t>
  </si>
  <si>
    <t>1.5750
1.6750</t>
  </si>
  <si>
    <t>12.71
12.69</t>
  </si>
  <si>
    <t>1.8080
5.8970
0.8900</t>
  </si>
  <si>
    <t>14.50
13.57
12.95</t>
  </si>
  <si>
    <t>1.0500
1.9500
2.0500</t>
  </si>
  <si>
    <t>15.42
14.13
13.08</t>
  </si>
  <si>
    <t xml:space="preserve">13.22
</t>
  </si>
  <si>
    <t>江苏新扬子造船有限公司</t>
  </si>
  <si>
    <t>12.00
11.97</t>
  </si>
  <si>
    <t>陕西华天九州商贸有限公司</t>
  </si>
  <si>
    <t xml:space="preserve">2016 年 7 月 8 日 </t>
  </si>
  <si>
    <t>西藏康盛投资管理有限
公司</t>
  </si>
  <si>
    <t>杭州滨创股权投资有限
公司</t>
  </si>
  <si>
    <t>铜陵发展投资集团有限
公司</t>
  </si>
  <si>
    <t>广州金融控股集团有限
公司</t>
  </si>
  <si>
    <t>泰达宏利基金管理有限
公司</t>
  </si>
  <si>
    <t>广州市玄元投资管理有
限公司</t>
  </si>
  <si>
    <t>建信基金管理有限责任
公司</t>
  </si>
  <si>
    <t xml:space="preserve">2016 年 7 月 27 日 </t>
  </si>
  <si>
    <t xml:space="preserve">富国基金管理有限公司 </t>
  </si>
  <si>
    <t>追加</t>
  </si>
  <si>
    <t xml:space="preserve">东方证券股份有限公司 </t>
  </si>
  <si>
    <t xml:space="preserve">中信证券股份有限公司 </t>
  </si>
  <si>
    <t xml:space="preserve">2016 年 7 月 15 日 </t>
  </si>
  <si>
    <t>诺安基金管理
有限公司</t>
  </si>
  <si>
    <t>国投瑞银资本
管理有限公司</t>
  </si>
  <si>
    <t>平安大华基金
管理有限公司</t>
  </si>
  <si>
    <t>华安基金管理
有限公司</t>
  </si>
  <si>
    <t>博时基金管理
有限公司</t>
  </si>
  <si>
    <t>第一创业证券
股份有限公司</t>
  </si>
  <si>
    <t>深圳天风天成资产管理有限
公司</t>
  </si>
  <si>
    <t>张勇</t>
  </si>
  <si>
    <t>2016 年 7 月 4 日</t>
  </si>
  <si>
    <t>2016年7月6日</t>
  </si>
  <si>
    <t>歌斐诺宝（上海）资产管理有限公司</t>
  </si>
  <si>
    <t>常州投资集团有限公司</t>
  </si>
  <si>
    <t>2016 年 7 月 12 日</t>
  </si>
  <si>
    <t xml:space="preserve">2016 年 6 月 21 日  </t>
  </si>
  <si>
    <t>2016 年 7 月 18 日</t>
  </si>
  <si>
    <t xml:space="preserve">2016 年 7 月 1 日 </t>
  </si>
  <si>
    <t>2016 年 6 月 30 日</t>
  </si>
  <si>
    <t xml:space="preserve">2016 年 7 月 12 </t>
  </si>
  <si>
    <t xml:space="preserve">2016 年 7 月 4 日 </t>
  </si>
  <si>
    <t xml:space="preserve">2016 年 6 月 30 日 </t>
  </si>
  <si>
    <t>华融期货有限责任公司</t>
  </si>
  <si>
    <t>2016年7月 12日</t>
  </si>
  <si>
    <t>方凯燕</t>
  </si>
  <si>
    <t>戴勇宣</t>
  </si>
  <si>
    <t>李琦</t>
  </si>
  <si>
    <t xml:space="preserve">2016年6月21日 </t>
  </si>
  <si>
    <t>宁波星通名轩投资有限公司</t>
  </si>
  <si>
    <t>吴歌军</t>
  </si>
  <si>
    <t>浙江天堂硅谷资产管理集团有限公司</t>
  </si>
  <si>
    <t>上海宁玺国际贸易有限公司</t>
  </si>
  <si>
    <t>中欧基金管理有限公司</t>
  </si>
  <si>
    <t>华宝兴业基金管理有限公司</t>
  </si>
  <si>
    <t>2016 年 6 月 24 日</t>
  </si>
  <si>
    <t xml:space="preserve">2016 年 6 月 22 日 </t>
  </si>
  <si>
    <t>2016年7月6 日</t>
  </si>
  <si>
    <t>长城国融投资管理
有限公司</t>
  </si>
  <si>
    <t>安徽安元投资基金
有限公司</t>
  </si>
  <si>
    <t>上海海通证券资产管理有限公司</t>
  </si>
  <si>
    <t>华鑫证券有限责任
公司</t>
  </si>
  <si>
    <t>博时基金管理有限
公司</t>
  </si>
  <si>
    <t>安徽省铁路建设投
资基金有限公司</t>
  </si>
  <si>
    <t>2016 年 6 月 22 日</t>
  </si>
  <si>
    <t>华安未来资产管理（上
海）有限公司</t>
  </si>
  <si>
    <t>2016 年 6 月 14 日</t>
  </si>
  <si>
    <t xml:space="preserve">2016 年 4 月 20 日 </t>
  </si>
  <si>
    <t>广发证券资产管理(广东)有限公司</t>
  </si>
  <si>
    <t xml:space="preserve">2016 年 6 月 15 日 </t>
  </si>
  <si>
    <t xml:space="preserve">2016年6月14日 </t>
  </si>
  <si>
    <t>深圳前海金鹰资产管理有限公司</t>
  </si>
  <si>
    <t xml:space="preserve">2016 年 6 月 6 日 </t>
  </si>
  <si>
    <t>2016年6月27日</t>
  </si>
  <si>
    <t xml:space="preserve">上海富诚海富通资产管理有限公司 </t>
  </si>
  <si>
    <t>中船重工集团</t>
  </si>
  <si>
    <t>2016 年6月17日</t>
  </si>
  <si>
    <t>2016 年 6 月 13 日</t>
  </si>
  <si>
    <t>中国电建地产集团有限公司</t>
  </si>
  <si>
    <t xml:space="preserve">2016 年 6 月 14 日 </t>
  </si>
  <si>
    <t>诺安基金</t>
  </si>
  <si>
    <t>2016年6月17日</t>
  </si>
  <si>
    <t xml:space="preserve">2016 年 6 月 16 日 </t>
  </si>
  <si>
    <t>中国远洋海运集团有限公司</t>
  </si>
  <si>
    <t>中国航空油料集团公司</t>
  </si>
  <si>
    <t>上海励程信息技术咨询有限公司</t>
  </si>
  <si>
    <t>2016年6月17日至23日</t>
  </si>
  <si>
    <t>2016年6月16日</t>
  </si>
  <si>
    <t>2016 年 6 月 17 日</t>
  </si>
  <si>
    <t xml:space="preserve">2016 年 6 月 21 日 </t>
  </si>
  <si>
    <t xml:space="preserve">2016 年 4 月 8 日 </t>
  </si>
  <si>
    <t>衡逸舟</t>
  </si>
  <si>
    <t>北京城建投资发展股份有限公司</t>
  </si>
  <si>
    <t>2016年6月3日</t>
  </si>
  <si>
    <t>江阴同盛企业管理中心（有限合伙）</t>
  </si>
  <si>
    <t xml:space="preserve">2016 年 5 月 24 日 </t>
  </si>
  <si>
    <t>2016 年 5 月 23 日</t>
  </si>
  <si>
    <t>2016年5月20日</t>
  </si>
  <si>
    <t>2016年5月24 日</t>
  </si>
  <si>
    <t>2016 年 5 月 19 日</t>
  </si>
  <si>
    <t>2016 年 5 月 24 日</t>
  </si>
  <si>
    <t xml:space="preserve">2016 年 5 月 17 日 </t>
  </si>
  <si>
    <t>2016 年 6 月 7 日</t>
  </si>
  <si>
    <t>2016 年 6 月 2 日</t>
  </si>
  <si>
    <t>2016年5月23日</t>
  </si>
  <si>
    <t xml:space="preserve">2016 年 4 月 28 日 </t>
  </si>
  <si>
    <t xml:space="preserve">2016 年 5 月 19 日 </t>
  </si>
  <si>
    <t xml:space="preserve">2016 年 5 月 18 日 </t>
  </si>
  <si>
    <t xml:space="preserve">2016 年 5 月 9 日 </t>
  </si>
  <si>
    <t xml:space="preserve">2016 年 5 月 25 日 </t>
  </si>
  <si>
    <t xml:space="preserve">2016 年 5 月 10 日 </t>
  </si>
  <si>
    <t>2016 年 5 月 25 日</t>
  </si>
  <si>
    <t>浙江航民实业集团有限公司</t>
  </si>
  <si>
    <t>2016年5月19日</t>
  </si>
  <si>
    <t>2016 年 5 月 9 日</t>
  </si>
  <si>
    <t xml:space="preserve">2016 年 5 月 20 日 </t>
  </si>
  <si>
    <t xml:space="preserve">2016 年 5 月 3 日 </t>
  </si>
  <si>
    <t xml:space="preserve">2016 年 5 月 6 日 </t>
  </si>
  <si>
    <t>2016 年 4 月 22 日</t>
  </si>
  <si>
    <t>东方集团投资控股有限公司</t>
  </si>
  <si>
    <t>上海兴瀚资产管理有限公司</t>
  </si>
  <si>
    <t>2016 年 5 月 16 日</t>
  </si>
  <si>
    <t>中国民生信托有限公司</t>
  </si>
  <si>
    <t>国泰君安金融控股有限公司</t>
  </si>
  <si>
    <t>民生资本投资管理有限公司</t>
  </si>
  <si>
    <t>2016年4月20日</t>
  </si>
  <si>
    <t>http://static.cninfo.com.cn/finalpage/2016-05-23/1202332832.PDF</t>
  </si>
  <si>
    <t>2016 年 4 月 27 日</t>
  </si>
  <si>
    <t xml:space="preserve">2016 年 4 月 15 日 </t>
  </si>
  <si>
    <t>2016 年 4 月 18 日</t>
  </si>
  <si>
    <t xml:space="preserve">2016 年 4 月 27 日 </t>
  </si>
  <si>
    <t xml:space="preserve">2016 年 4 月 22 日 </t>
  </si>
  <si>
    <t>富国天合稳健优选混合型证券投资基
金</t>
  </si>
  <si>
    <t>富国天成红利灵活配置混合型证券投
资基金</t>
  </si>
  <si>
    <t>富国-富信定增 2 号</t>
  </si>
  <si>
    <t>其中：全国社保基金一一四组合</t>
  </si>
  <si>
    <t>富国基金管理有限责任公司</t>
  </si>
  <si>
    <t>2016 年4月27日</t>
  </si>
  <si>
    <t>2016 年 4 月 26 日</t>
  </si>
  <si>
    <t>重庆慧林股权投资基金合伙企业</t>
  </si>
  <si>
    <t>中新建招商股权有限公司</t>
  </si>
  <si>
    <t>华鑫证劵有限公司</t>
  </si>
  <si>
    <t>芜湖华融渝稳投资中心</t>
  </si>
  <si>
    <t>海通证劵有限公司</t>
  </si>
  <si>
    <t>中国银河证劵有限公司</t>
  </si>
  <si>
    <t>2016 年 4 月 25日</t>
  </si>
  <si>
    <t xml:space="preserve">2016 年 4 月 7 日 </t>
  </si>
  <si>
    <t>2016 年 3 月 23 日</t>
  </si>
  <si>
    <t xml:space="preserve">2016 年 4 月 28日 </t>
  </si>
  <si>
    <t>2016 年 4 月 21 日</t>
  </si>
  <si>
    <t>2016 年 4 月 20 日</t>
  </si>
  <si>
    <t xml:space="preserve">2016 年 4 月 19 日 </t>
  </si>
  <si>
    <t xml:space="preserve">2016 年 4 月 12 日 </t>
  </si>
  <si>
    <t xml:space="preserve">长安基金管理有限公司 </t>
  </si>
  <si>
    <t xml:space="preserve">华安未来资产管理(上海)有限公司 </t>
  </si>
  <si>
    <t xml:space="preserve">2016 年 4 月 14 日 </t>
  </si>
  <si>
    <t xml:space="preserve">北京永安财富投资基金 管理有限公司 </t>
  </si>
  <si>
    <t xml:space="preserve">泰达宏利基金管理有限 公司 </t>
  </si>
  <si>
    <t xml:space="preserve">深圳市诚隆投资股份有 限公司 </t>
  </si>
  <si>
    <t xml:space="preserve">华宝信托有限责任公司 </t>
  </si>
  <si>
    <t xml:space="preserve">华鑫证券有限责任公司 </t>
  </si>
  <si>
    <t xml:space="preserve">泰达宏利基金管理有限公司 </t>
  </si>
  <si>
    <t xml:space="preserve">第一创业证券股份有限公司 </t>
  </si>
  <si>
    <t>厦门象屿金象控股集团有限公司</t>
  </si>
  <si>
    <t xml:space="preserve">陈成辉 </t>
  </si>
  <si>
    <t>2016 年 4 月 13 日</t>
  </si>
  <si>
    <t>2016 年 4 月 15 日</t>
  </si>
  <si>
    <t xml:space="preserve">招商财富资产管理有限公司 </t>
  </si>
  <si>
    <t xml:space="preserve">南京瑞森投资管理合伙企业(有限合伙) </t>
  </si>
  <si>
    <t xml:space="preserve">博时基金管理有限公司 </t>
  </si>
  <si>
    <t xml:space="preserve">华夏人寿保险股份有限公司 </t>
  </si>
  <si>
    <t xml:space="preserve">张怀斌 </t>
  </si>
  <si>
    <t xml:space="preserve"> 国泰基金管理有限公司 </t>
  </si>
  <si>
    <t xml:space="preserve">国华人寿保险股份有限公 司 </t>
  </si>
  <si>
    <t>2016 年 4 月 11 日</t>
  </si>
  <si>
    <t>深圳平安大华汇通财富管理有限公司限公司</t>
    <phoneticPr fontId="4" type="noConversion"/>
  </si>
  <si>
    <t>其它</t>
  </si>
  <si>
    <t>计</t>
  </si>
  <si>
    <t>云禧（北京）投资基金管理有限公司</t>
  </si>
  <si>
    <t>上海常春藤资产管理有限公司</t>
  </si>
  <si>
    <r>
      <t>（元</t>
    </r>
    <r>
      <rPr>
        <sz val="10.5"/>
        <color theme="0" tint="-4.9989318521683403E-2"/>
        <rFont val="Times New Roman"/>
        <family val="2"/>
      </rPr>
      <t>/</t>
    </r>
    <r>
      <rPr>
        <sz val="10.5"/>
        <color theme="0" tint="-4.9989318521683403E-2"/>
        <rFont val="Arial"/>
        <family val="2"/>
      </rPr>
      <t>股）</t>
    </r>
  </si>
  <si>
    <r>
      <rPr>
        <sz val="11"/>
        <color theme="0" tint="-4.9989318521683403E-2"/>
        <rFont val="微软雅黑"/>
        <family val="2"/>
        <charset val="134"/>
      </rPr>
      <t>云禧（北京）投资基金管理</t>
    </r>
    <r>
      <rPr>
        <sz val="11"/>
        <color theme="0" tint="-4.9989318521683403E-2"/>
        <rFont val="等线"/>
        <family val="2"/>
        <charset val="134"/>
      </rPr>
      <t>有限公司</t>
    </r>
    <phoneticPr fontId="139" type="noConversion"/>
  </si>
  <si>
    <r>
      <rPr>
        <sz val="11"/>
        <color theme="0" tint="-4.9989318521683403E-2"/>
        <rFont val="微软雅黑"/>
        <family val="2"/>
        <charset val="134"/>
      </rPr>
      <t>北京泰生鸿乐投资中心（有</t>
    </r>
    <r>
      <rPr>
        <sz val="11"/>
        <color theme="0" tint="-4.9989318521683403E-2"/>
        <rFont val="等线"/>
        <family val="2"/>
        <charset val="134"/>
      </rPr>
      <t>限合伙）</t>
    </r>
    <phoneticPr fontId="139" type="noConversion"/>
  </si>
  <si>
    <r>
      <rPr>
        <sz val="11"/>
        <color theme="0" tint="-4.9989318521683403E-2"/>
        <rFont val="微软雅黑"/>
        <family val="2"/>
        <charset val="134"/>
      </rPr>
      <t>上海常春藤资产管理有限公</t>
    </r>
    <r>
      <rPr>
        <sz val="11"/>
        <color theme="0" tint="-4.9989318521683403E-2"/>
        <rFont val="等线"/>
        <family val="2"/>
        <charset val="134"/>
      </rPr>
      <t>司</t>
    </r>
    <phoneticPr fontId="139" type="noConversion"/>
  </si>
  <si>
    <t>http://pdf.dfcfw.com/pdf/H2_AN201610140021860995_1.pdf</t>
    <phoneticPr fontId="139" type="noConversion"/>
  </si>
  <si>
    <t>2016年9月12日 9:00-12:00</t>
    <phoneticPr fontId="139" type="noConversion"/>
  </si>
  <si>
    <t>陈邦锐</t>
  </si>
  <si>
    <t>嘉兴嘉丹投资合伙企业(有限合伙)</t>
  </si>
  <si>
    <r>
      <rPr>
        <sz val="12"/>
        <rFont val="SimSun"/>
        <family val="3"/>
        <charset val="134"/>
      </rPr>
      <t>顾桂兴</t>
    </r>
  </si>
  <si>
    <r>
      <rPr>
        <sz val="12"/>
        <rFont val="SimSun"/>
        <family val="3"/>
        <charset val="134"/>
      </rPr>
      <t>孙益功</t>
    </r>
  </si>
  <si>
    <r>
      <rPr>
        <sz val="12"/>
        <rFont val="SimSun"/>
        <family val="3"/>
        <charset val="134"/>
      </rPr>
      <t>德邦基金管理有限公司</t>
    </r>
  </si>
  <si>
    <r>
      <rPr>
        <sz val="12"/>
        <rFont val="SimSun"/>
        <family val="3"/>
        <charset val="134"/>
      </rPr>
      <t>康永房地产开发（北京）有限公司</t>
    </r>
  </si>
  <si>
    <r>
      <rPr>
        <sz val="12"/>
        <rFont val="SimSun"/>
        <family val="3"/>
        <charset val="134"/>
      </rPr>
      <t>平安大华基金管理有限公司</t>
    </r>
  </si>
  <si>
    <r>
      <rPr>
        <sz val="12"/>
        <rFont val="SimSun"/>
        <family val="3"/>
        <charset val="134"/>
      </rPr>
      <t>泰达宏利基金管理有限公司</t>
    </r>
  </si>
  <si>
    <r>
      <rPr>
        <sz val="12"/>
        <rFont val="SimSun"/>
        <family val="3"/>
        <charset val="134"/>
      </rPr>
      <t>信诚基金管理有限公司</t>
    </r>
  </si>
  <si>
    <r>
      <rPr>
        <sz val="12"/>
        <rFont val="SimSun"/>
        <family val="3"/>
        <charset val="134"/>
      </rPr>
      <t>财通基金管理有限公司</t>
    </r>
  </si>
  <si>
    <r>
      <rPr>
        <sz val="12"/>
        <rFont val="SimSun"/>
        <family val="3"/>
        <charset val="134"/>
      </rPr>
      <t>申万菱信基金管理有限公司</t>
    </r>
  </si>
  <si>
    <r>
      <rPr>
        <sz val="12"/>
        <rFont val="SimSun"/>
        <family val="3"/>
        <charset val="134"/>
      </rPr>
      <t>北信瑞丰基金管理有限公司</t>
    </r>
  </si>
  <si>
    <r>
      <rPr>
        <sz val="12"/>
        <rFont val="SimSun"/>
        <family val="3"/>
        <charset val="134"/>
      </rPr>
      <t>华安基金管理有限公司</t>
    </r>
  </si>
  <si>
    <r>
      <rPr>
        <sz val="12"/>
        <rFont val="SimSun"/>
        <family val="3"/>
        <charset val="134"/>
      </rPr>
      <t>诺安基金管理有限公司</t>
    </r>
  </si>
  <si>
    <r>
      <rPr>
        <sz val="12"/>
        <rFont val="SimSun"/>
        <family val="3"/>
        <charset val="134"/>
      </rPr>
      <t>鹏华资产管理（深圳）有限公司</t>
    </r>
  </si>
  <si>
    <r>
      <rPr>
        <sz val="12"/>
        <rFont val="SimSun"/>
        <family val="3"/>
        <charset val="134"/>
      </rPr>
      <t>东海基金管理有限责任公司</t>
    </r>
  </si>
  <si>
    <r>
      <rPr>
        <sz val="12"/>
        <rFont val="SimSun"/>
        <family val="3"/>
        <charset val="134"/>
      </rPr>
      <t>海通证券股份有限公司</t>
    </r>
  </si>
  <si>
    <r>
      <rPr>
        <sz val="12"/>
        <rFont val="SimSun"/>
        <family val="3"/>
        <charset val="134"/>
      </rPr>
      <t>嘉实基金管理有限公司</t>
    </r>
  </si>
  <si>
    <t>君禾股权投资基金管理（上海）有限公司
司</t>
  </si>
  <si>
    <r>
      <rPr>
        <sz val="11"/>
        <rFont val="DengXian"/>
        <family val="2"/>
        <scheme val="minor"/>
      </rPr>
      <t>珠海中植产投融汇投资合伙企业（有
限合伙）</t>
    </r>
  </si>
  <si>
    <t>刘美宝</t>
  </si>
  <si>
    <t>百瑞信托有限责任公司</t>
  </si>
  <si>
    <t>东鼎国际财富投资管理有限公司</t>
  </si>
  <si>
    <t>厦门国贸投资有限公司</t>
  </si>
  <si>
    <t>国融证券股份有限公司</t>
  </si>
  <si>
    <t>梁佳玉</t>
  </si>
  <si>
    <t>北京大北农科技集团股份有限公司</t>
  </si>
  <si>
    <t>广州证券股份有限公司</t>
  </si>
  <si>
    <t>中滇金控投资有限公司</t>
  </si>
  <si>
    <t>新活力资本投资有限公司</t>
  </si>
  <si>
    <r>
      <rPr>
        <sz val="11"/>
        <rFont val="DengXian"/>
        <family val="2"/>
        <scheme val="minor"/>
      </rPr>
      <t>南京瑞达信沨股权投资合伙企业（有限
合伙）</t>
    </r>
  </si>
  <si>
    <t>付小铜</t>
  </si>
  <si>
    <t>上海胡桐投资中心（有限合伙）</t>
  </si>
  <si>
    <t>石庭波</t>
  </si>
  <si>
    <t>鞍山钢铁集团公司</t>
  </si>
  <si>
    <t>厦门象屿股份有限公司</t>
  </si>
  <si>
    <t>上海合一供应链管理有限公司</t>
  </si>
  <si>
    <t>富荣基金管理有限公司</t>
  </si>
  <si>
    <t>深圳菁英时代资本管理有限公司</t>
  </si>
  <si>
    <t>湘电集团</t>
  </si>
  <si>
    <t>叶小青</t>
  </si>
  <si>
    <t>巨化集团公司</t>
  </si>
  <si>
    <t>浙江浙盐控股有限公司</t>
  </si>
  <si>
    <t>袁志敏</t>
  </si>
  <si>
    <t>追加申购</t>
  </si>
  <si>
    <t>朱国锭</t>
  </si>
  <si>
    <r>
      <rPr>
        <sz val="11"/>
        <rFont val="DengXian"/>
        <family val="2"/>
        <scheme val="minor"/>
      </rPr>
      <t>金鹰基金管理有限公
司</t>
    </r>
  </si>
  <si>
    <r>
      <rPr>
        <u/>
        <sz val="11"/>
        <rFont val="DengXian"/>
        <family val="2"/>
        <scheme val="minor"/>
      </rPr>
      <t>安信基金管理有限责任公司</t>
    </r>
  </si>
  <si>
    <r>
      <rPr>
        <u/>
        <sz val="11"/>
        <rFont val="DengXian"/>
        <family val="2"/>
        <scheme val="minor"/>
      </rPr>
      <t>北信瑞丰基金管理有限公司</t>
    </r>
  </si>
  <si>
    <r>
      <rPr>
        <u/>
        <sz val="11"/>
        <rFont val="DengXian"/>
        <family val="2"/>
        <scheme val="minor"/>
      </rPr>
      <t>浙商汇融投资管理有
限公司</t>
    </r>
  </si>
  <si>
    <r>
      <rPr>
        <u/>
        <sz val="11"/>
        <rFont val="DengXian"/>
        <family val="2"/>
        <scheme val="minor"/>
      </rPr>
      <t>深圳福星资本管理有
限公司</t>
    </r>
  </si>
  <si>
    <r>
      <rPr>
        <sz val="11"/>
        <rFont val="DengXian"/>
        <family val="2"/>
        <scheme val="minor"/>
      </rPr>
      <t>申万菱信基金管理有
限公司</t>
    </r>
  </si>
  <si>
    <r>
      <rPr>
        <u/>
        <sz val="11"/>
        <rFont val="DengXian"/>
        <family val="2"/>
        <scheme val="minor"/>
      </rPr>
      <t>申万菱信（上海）资产管理有限公司</t>
    </r>
  </si>
  <si>
    <r>
      <rPr>
        <sz val="11"/>
        <rFont val="DengXian"/>
        <family val="2"/>
        <scheme val="minor"/>
      </rPr>
      <t>国华人寿保险股份有
限公司</t>
    </r>
  </si>
  <si>
    <r>
      <rPr>
        <u/>
        <sz val="11"/>
        <rFont val="DengXian"/>
        <family val="2"/>
        <scheme val="minor"/>
      </rPr>
      <t>天弘基金管          理有限公司</t>
    </r>
  </si>
  <si>
    <r>
      <rPr>
        <sz val="11"/>
        <rFont val="DengXian"/>
        <family val="2"/>
        <scheme val="minor"/>
      </rPr>
      <t>东海基金管理有限责
任公司</t>
    </r>
  </si>
  <si>
    <r>
      <rPr>
        <sz val="11"/>
        <rFont val="DengXian"/>
        <family val="2"/>
        <scheme val="minor"/>
      </rPr>
      <t>华福证券有限责任公
司</t>
    </r>
  </si>
  <si>
    <r>
      <rPr>
        <sz val="11"/>
        <rFont val="DengXian"/>
        <family val="2"/>
        <scheme val="minor"/>
      </rPr>
      <t>武汉睿德福投资管理
中心（有限合伙）</t>
    </r>
  </si>
  <si>
    <r>
      <rPr>
        <sz val="11"/>
        <rFont val="DengXian"/>
        <family val="2"/>
        <scheme val="minor"/>
      </rPr>
      <t>国投瑞银基金管理有
限公司</t>
    </r>
  </si>
  <si>
    <r>
      <rPr>
        <sz val="11"/>
        <rFont val="DengXian"/>
        <family val="2"/>
        <scheme val="minor"/>
      </rPr>
      <t>长城国融投资管理有
限公司</t>
    </r>
  </si>
  <si>
    <r>
      <rPr>
        <sz val="11"/>
        <rFont val="DengXian"/>
        <family val="2"/>
        <scheme val="minor"/>
      </rPr>
      <t>海通证券股份有限公
司</t>
    </r>
  </si>
  <si>
    <r>
      <rPr>
        <sz val="11"/>
        <rFont val="DengXian"/>
        <family val="2"/>
        <scheme val="minor"/>
      </rPr>
      <t>浙江浙商证券资产管
理有限公司</t>
    </r>
  </si>
  <si>
    <t xml:space="preserve">平安大华基金管理有限公司 </t>
  </si>
  <si>
    <t xml:space="preserve">融通基金管理有限公司 </t>
  </si>
  <si>
    <t>上海业铭资产管理有限公司</t>
  </si>
  <si>
    <t xml:space="preserve"> 天弘基金管理有限公司</t>
  </si>
  <si>
    <t>上海并购股权投资基金合伙企业（有限合伙）</t>
  </si>
  <si>
    <t>杭州缘贝科技有限公司</t>
  </si>
  <si>
    <t xml:space="preserve">  兴业全球基金管理有限公司</t>
  </si>
  <si>
    <r>
      <rPr>
        <sz val="11"/>
        <rFont val="DengXian"/>
        <family val="2"/>
        <scheme val="minor"/>
      </rPr>
      <t>24   长城基金管理有限公司</t>
    </r>
  </si>
  <si>
    <r>
      <rPr>
        <sz val="11"/>
        <rFont val="DengXian"/>
        <family val="2"/>
        <scheme val="minor"/>
      </rPr>
      <t>23   江海证券有限公司</t>
    </r>
  </si>
  <si>
    <t xml:space="preserve"> 中信证券股份有限公司</t>
  </si>
  <si>
    <t xml:space="preserve"> 华泰柏瑞基金管理有限公司</t>
  </si>
  <si>
    <t xml:space="preserve"> 平安养老保险股份有限公司</t>
  </si>
  <si>
    <t xml:space="preserve"> 中国长城资产管理公司</t>
  </si>
  <si>
    <t xml:space="preserve"> 申万宏源证券有限公司</t>
  </si>
  <si>
    <t xml:space="preserve"> 厦门航空开发股份有限公司</t>
  </si>
  <si>
    <t xml:space="preserve"> 上海光大证券资产管理有限公司</t>
  </si>
  <si>
    <t xml:space="preserve"> 北京新华富时资产管理有限公司</t>
  </si>
  <si>
    <t xml:space="preserve"> 申万菱信基金管理有限公司</t>
  </si>
  <si>
    <t xml:space="preserve"> 兴证证券资产管理有限公司</t>
  </si>
  <si>
    <t>东吴证券股份有限公司</t>
  </si>
  <si>
    <t xml:space="preserve"> 财通基金管理有限公司</t>
  </si>
  <si>
    <t xml:space="preserve"> 鹏华资产管理（深圳）有限公司</t>
  </si>
  <si>
    <r>
      <rPr>
        <sz val="11"/>
        <rFont val="DengXian"/>
        <family val="2"/>
        <scheme val="minor"/>
      </rPr>
      <t>广西铁路发展投资基金（有限合
伙）</t>
    </r>
  </si>
  <si>
    <r>
      <rPr>
        <sz val="11"/>
        <rFont val="DengXian"/>
        <family val="2"/>
        <scheme val="minor"/>
      </rPr>
      <t>西藏泓涵股权投
资管理有限公司</t>
    </r>
  </si>
  <si>
    <r>
      <rPr>
        <sz val="11"/>
        <rFont val="DengXian"/>
        <family val="2"/>
        <scheme val="minor"/>
      </rPr>
      <t>申万菱信（上海）资产管理有限公
司</t>
    </r>
  </si>
  <si>
    <r>
      <rPr>
        <sz val="11"/>
        <rFont val="DengXian"/>
        <family val="2"/>
        <scheme val="minor"/>
      </rPr>
      <t>申万菱信基金管
理有限公司</t>
    </r>
  </si>
  <si>
    <r>
      <rPr>
        <sz val="11"/>
        <rFont val="DengXian"/>
        <family val="2"/>
        <scheme val="minor"/>
      </rPr>
      <t>民生通惠资产管
理有限公司</t>
    </r>
  </si>
  <si>
    <r>
      <rPr>
        <sz val="11"/>
        <rFont val="DengXian"/>
        <family val="2"/>
        <scheme val="minor"/>
      </rPr>
      <t>兴业全球基金管
理有限公司</t>
    </r>
  </si>
  <si>
    <r>
      <rPr>
        <sz val="11"/>
        <rFont val="DengXian"/>
        <family val="2"/>
        <scheme val="minor"/>
      </rPr>
      <t>中国银河证券股
份有限公司</t>
    </r>
  </si>
  <si>
    <t>中信证券</t>
  </si>
  <si>
    <t>中植产投</t>
  </si>
  <si>
    <t>上汽投资</t>
  </si>
  <si>
    <t>天弘基金</t>
  </si>
  <si>
    <t>X</t>
  </si>
  <si>
    <t>深圳市南方同正投资有限公司
司</t>
  </si>
  <si>
    <t>上海永望资产管理有限公司</t>
  </si>
  <si>
    <t>安徽中安资本投资基金有限公司</t>
  </si>
  <si>
    <t>时代胜恒科技有限公司</t>
  </si>
  <si>
    <t>申万菱信资管</t>
  </si>
  <si>
    <t>中融基金</t>
  </si>
  <si>
    <t>财通基金</t>
  </si>
  <si>
    <t>国投瑞银基金</t>
  </si>
  <si>
    <t>上海朴易资管</t>
  </si>
  <si>
    <t>兴业全球基金</t>
  </si>
  <si>
    <t>博时基金</t>
  </si>
  <si>
    <t>富国资管</t>
  </si>
  <si>
    <t>九泰基金</t>
  </si>
  <si>
    <t>前海人寿</t>
  </si>
  <si>
    <t>长城基金管理有限公司</t>
  </si>
  <si>
    <r>
      <rPr>
        <sz val="11"/>
        <rFont val="DengXian"/>
        <family val="2"/>
        <scheme val="minor"/>
      </rPr>
      <t>齐鲁证券（上海）资产管理
有限公司</t>
    </r>
  </si>
  <si>
    <t>上海东方证券资产管理有限公司</t>
  </si>
  <si>
    <r>
      <rPr>
        <sz val="11"/>
        <rFont val="DengXian"/>
        <family val="2"/>
        <scheme val="minor"/>
      </rPr>
      <t>青岛城投金融控股集团有限
公司</t>
    </r>
  </si>
  <si>
    <r>
      <rPr>
        <u/>
        <sz val="11"/>
        <rFont val="DengXian"/>
        <family val="2"/>
        <scheme val="minor"/>
      </rPr>
      <t> 平安大华基金管理有限公司</t>
    </r>
  </si>
  <si>
    <t>武兵</t>
  </si>
  <si>
    <t>董湘琳</t>
  </si>
  <si>
    <r>
      <rPr>
        <sz val="11"/>
        <rFont val="DengXian"/>
        <family val="2"/>
        <scheme val="minor"/>
      </rPr>
      <t>申万菱信（上海）资产管理
有限公司</t>
    </r>
  </si>
  <si>
    <t>李海莲</t>
  </si>
  <si>
    <t>周稷松</t>
  </si>
  <si>
    <t>长江财富资产管理有限公司</t>
  </si>
  <si>
    <t>宁波梅山保税港区领慧投资合伙企业（有限合伙）</t>
  </si>
  <si>
    <r>
      <rPr>
        <sz val="11"/>
        <rFont val="DengXian"/>
        <family val="2"/>
        <scheme val="minor"/>
      </rPr>
      <t>北京东方瀚博投资管理有限
公司</t>
    </r>
  </si>
  <si>
    <t>孙鼎青</t>
  </si>
  <si>
    <t>新疆华安盈富股权投资管理有限公司</t>
  </si>
  <si>
    <t>上海沪瑞实业有限公司</t>
  </si>
  <si>
    <t>尤友岳</t>
  </si>
  <si>
    <t>开源证券股份有限公司</t>
  </si>
  <si>
    <t>招商证券资产管理有限公司</t>
  </si>
  <si>
    <t xml:space="preserve">工银瑞信基金管理有限公司 </t>
  </si>
  <si>
    <t xml:space="preserve">庞秋芳 </t>
  </si>
  <si>
    <t xml:space="preserve">俞银其 </t>
  </si>
  <si>
    <t>闫鹏舟</t>
  </si>
  <si>
    <t>钱炎君</t>
  </si>
  <si>
    <r>
      <rPr>
        <sz val="11"/>
        <rFont val="DengXian"/>
        <family val="2"/>
        <scheme val="minor"/>
      </rPr>
      <t>泰达宏利基金管理有
限公司</t>
    </r>
  </si>
  <si>
    <t>成都力鼎银科股权投资基金中心
(有限合伙)</t>
  </si>
  <si>
    <r>
      <rPr>
        <sz val="11"/>
        <rFont val="DengXian"/>
        <family val="2"/>
        <scheme val="minor"/>
      </rPr>
      <t>东海基金管理有
限责任公司</t>
    </r>
  </si>
  <si>
    <r>
      <rPr>
        <sz val="11"/>
        <rFont val="DengXian"/>
        <family val="2"/>
        <scheme val="minor"/>
      </rPr>
      <t>第一创业证券股
份有限公司</t>
    </r>
  </si>
  <si>
    <r>
      <rPr>
        <sz val="11"/>
        <color rgb="FF202020"/>
        <rFont val="DengXian"/>
        <family val="2"/>
        <scheme val="minor"/>
      </rPr>
      <t>博时基金管理有限公司</t>
    </r>
  </si>
  <si>
    <r>
      <rPr>
        <sz val="11"/>
        <rFont val="DengXian"/>
        <family val="2"/>
        <scheme val="minor"/>
      </rPr>
      <t>信达澳银基金管
理有限公司</t>
    </r>
  </si>
  <si>
    <r>
      <rPr>
        <sz val="11"/>
        <rFont val="DengXian"/>
        <family val="2"/>
        <scheme val="minor"/>
      </rPr>
      <t>诺德基金管理有
限公司</t>
    </r>
  </si>
  <si>
    <t>东久（上海）投资管理咨询有限公司</t>
  </si>
  <si>
    <t>弘创（深圳）投资中心（有限合伙）</t>
  </si>
  <si>
    <r>
      <rPr>
        <sz val="11"/>
        <rFont val="DengXian"/>
        <family val="2"/>
        <scheme val="minor"/>
      </rPr>
      <t>歌斐诺宝(上海)资产管理有限公司</t>
    </r>
  </si>
  <si>
    <t>华龙证券股份有限公司*</t>
  </si>
  <si>
    <t>高仕军</t>
  </si>
  <si>
    <t>李利伟</t>
  </si>
  <si>
    <t>吉林丰成顺农业有限公司</t>
  </si>
  <si>
    <t>北京顶尖私行资本管理有限公司</t>
  </si>
  <si>
    <r>
      <rPr>
        <sz val="11"/>
        <rFont val="DengXian"/>
        <family val="2"/>
        <scheme val="minor"/>
      </rPr>
      <t>中建明茂（北京）投资发展有限公
司</t>
    </r>
  </si>
  <si>
    <t>苏建青</t>
  </si>
  <si>
    <r>
      <rPr>
        <sz val="11"/>
        <rFont val="DengXian"/>
        <family val="2"/>
        <scheme val="minor"/>
      </rPr>
      <t>申万菱信(上海)资产管理有限公司</t>
    </r>
  </si>
  <si>
    <r>
      <rPr>
        <sz val="11"/>
        <rFont val="DengXian"/>
        <family val="2"/>
        <scheme val="minor"/>
      </rPr>
      <t>民生通惠资产管理
有限公司</t>
    </r>
  </si>
  <si>
    <r>
      <rPr>
        <sz val="11"/>
        <rFont val="DengXian"/>
        <family val="2"/>
        <scheme val="minor"/>
      </rPr>
      <t>国投瑞银基金管理
有限公司</t>
    </r>
  </si>
  <si>
    <t>富安达基金管理有限公司</t>
  </si>
  <si>
    <t>中山证券有限公司</t>
  </si>
  <si>
    <r>
      <rPr>
        <sz val="11"/>
        <rFont val="DengXian"/>
        <family val="2"/>
        <scheme val="minor"/>
      </rPr>
      <t>安徽高新毅达皖江产业发展创业
投资基金（有限合伙）</t>
    </r>
  </si>
  <si>
    <t>石家庄鑫汇金投资有限公司</t>
  </si>
  <si>
    <t xml:space="preserve">2016 年 8 月 17日 </t>
  </si>
  <si>
    <r>
      <rPr>
        <sz val="11"/>
        <rFont val="DengXian"/>
        <family val="2"/>
        <scheme val="minor"/>
      </rPr>
      <t>上海市北高新（集团）
有限公司</t>
    </r>
  </si>
  <si>
    <r>
      <rPr>
        <sz val="11"/>
        <rFont val="DengXian"/>
        <family val="2"/>
        <scheme val="minor"/>
      </rPr>
      <t>易方达基金管理
有限公司</t>
    </r>
  </si>
  <si>
    <r>
      <rPr>
        <sz val="11"/>
        <rFont val="DengXian"/>
        <family val="2"/>
        <scheme val="minor"/>
      </rPr>
      <t>国泰基金管理有
限公司</t>
    </r>
  </si>
  <si>
    <r>
      <rPr>
        <sz val="11"/>
        <rFont val="DengXian"/>
        <family val="2"/>
        <scheme val="minor"/>
      </rPr>
      <t>安信基金管理有
限公司</t>
    </r>
  </si>
  <si>
    <r>
      <rPr>
        <sz val="11"/>
        <rFont val="DengXian"/>
        <family val="2"/>
        <scheme val="minor"/>
      </rPr>
      <t>诺安基金管理有
限公司</t>
    </r>
  </si>
  <si>
    <r>
      <rPr>
        <sz val="11"/>
        <rFont val="DengXian"/>
        <family val="2"/>
        <scheme val="minor"/>
      </rPr>
      <t>财通基金管理有
限公司</t>
    </r>
  </si>
  <si>
    <r>
      <rPr>
        <sz val="11"/>
        <rFont val="DengXian"/>
        <family val="2"/>
        <scheme val="minor"/>
      </rPr>
      <t>博时基金管理有
限公司</t>
    </r>
  </si>
  <si>
    <r>
      <rPr>
        <sz val="11"/>
        <rFont val="DengXian"/>
        <family val="2"/>
        <scheme val="minor"/>
      </rPr>
      <t>鹏华基金管理有
限公司</t>
    </r>
  </si>
  <si>
    <r>
      <rPr>
        <sz val="11"/>
        <rFont val="DengXian"/>
        <family val="2"/>
        <scheme val="minor"/>
      </rPr>
      <t>太平洋证券股份
有限公司</t>
    </r>
  </si>
  <si>
    <r>
      <rPr>
        <sz val="11"/>
        <rFont val="DengXian"/>
        <family val="2"/>
        <scheme val="minor"/>
      </rPr>
      <t>中新建招商股权
投资有限公司</t>
    </r>
  </si>
  <si>
    <t>中国电子财务有限责任公司</t>
  </si>
  <si>
    <r>
      <rPr>
        <sz val="11"/>
        <rFont val="DengXian"/>
        <family val="2"/>
        <scheme val="minor"/>
      </rPr>
      <t>西南证券股份有
限公司</t>
    </r>
  </si>
  <si>
    <r>
      <rPr>
        <sz val="11"/>
        <rFont val="DengXian"/>
        <family val="2"/>
        <scheme val="minor"/>
      </rPr>
      <t>福建省新兴产业股权投资
有限合伙企业</t>
    </r>
  </si>
  <si>
    <t>武汉人和鼎钧投资管理有限公司</t>
  </si>
  <si>
    <t>没有资料</t>
  </si>
  <si>
    <r>
      <rPr>
        <sz val="11"/>
        <rFont val="DengXian"/>
        <family val="2"/>
        <scheme val="minor"/>
      </rPr>
      <t>申万菱信（上海）资产管
理有限公司</t>
    </r>
  </si>
  <si>
    <r>
      <rPr>
        <sz val="11"/>
        <rFont val="DengXian"/>
        <family val="2"/>
        <scheme val="minor"/>
      </rPr>
      <t>中欧盛世资产管理（上
海）有限公司</t>
    </r>
  </si>
  <si>
    <r>
      <rPr>
        <sz val="11"/>
        <rFont val="DengXian"/>
        <family val="2"/>
        <scheme val="minor"/>
      </rPr>
      <t>国寿安保基金管理有限
公司</t>
    </r>
  </si>
  <si>
    <r>
      <rPr>
        <sz val="11"/>
        <rFont val="DengXian"/>
        <family val="2"/>
        <scheme val="minor"/>
      </rPr>
      <t>中信建投基金管理有限
公司</t>
    </r>
  </si>
  <si>
    <r>
      <rPr>
        <sz val="11"/>
        <rFont val="DengXian"/>
        <family val="2"/>
        <scheme val="minor"/>
      </rPr>
      <t>深圳泰安尔信息技术有
限公司</t>
    </r>
  </si>
  <si>
    <t>联讯证券股份有限公司</t>
  </si>
  <si>
    <r>
      <rPr>
        <sz val="11"/>
        <rFont val="DengXian"/>
        <family val="2"/>
        <scheme val="minor"/>
      </rPr>
      <t>兴业全球基金管理有限
公司</t>
    </r>
  </si>
  <si>
    <r>
      <rPr>
        <sz val="11"/>
        <rFont val="DengXian"/>
        <family val="2"/>
        <scheme val="minor"/>
      </rPr>
      <t>第一创业证券
股份有限公司</t>
    </r>
  </si>
  <si>
    <r>
      <rPr>
        <sz val="11"/>
        <rFont val="DengXian"/>
        <family val="2"/>
        <scheme val="minor"/>
      </rPr>
      <t>财通基金管理
有限公司</t>
    </r>
  </si>
  <si>
    <t>张仁华</t>
  </si>
  <si>
    <r>
      <rPr>
        <sz val="11"/>
        <rFont val="DengXian"/>
        <family val="2"/>
        <scheme val="minor"/>
      </rPr>
      <t>长城国融投资管理有限
公司</t>
    </r>
  </si>
  <si>
    <r>
      <rPr>
        <sz val="11"/>
        <rFont val="DengXian"/>
        <family val="2"/>
        <scheme val="minor"/>
      </rPr>
      <t>合众人寿保险股份有限
公司</t>
    </r>
  </si>
  <si>
    <r>
      <rPr>
        <sz val="11"/>
        <rFont val="DengXian"/>
        <family val="2"/>
        <scheme val="minor"/>
      </rPr>
      <t>汇添富基金管理股份有
限公司</t>
    </r>
  </si>
  <si>
    <r>
      <rPr>
        <sz val="11"/>
        <rFont val="DengXian"/>
        <family val="2"/>
        <scheme val="minor"/>
      </rPr>
      <t>深圳市创新投资集团有
限公司</t>
    </r>
  </si>
  <si>
    <t>史佩浩</t>
  </si>
  <si>
    <t>杨鹏威</t>
  </si>
  <si>
    <r>
      <rPr>
        <sz val="11"/>
        <rFont val="DengXian"/>
        <family val="2"/>
        <scheme val="minor"/>
      </rPr>
      <t>申万菱信（上海）资产管理有
限公司</t>
    </r>
  </si>
  <si>
    <r>
      <rPr>
        <sz val="11"/>
        <rFont val="DengXian"/>
        <family val="2"/>
        <scheme val="minor"/>
      </rPr>
      <t>汇添富基金管理股份有限公
司</t>
    </r>
  </si>
  <si>
    <r>
      <rPr>
        <sz val="11"/>
        <rFont val="DengXian"/>
        <family val="2"/>
        <scheme val="minor"/>
      </rPr>
      <t>广发证券资产管理（广东）有
限公司</t>
    </r>
  </si>
  <si>
    <r>
      <rPr>
        <sz val="11"/>
        <rFont val="DengXian"/>
        <family val="2"/>
        <scheme val="minor"/>
      </rPr>
      <t>南京瑞达信沨股权投资合伙
企业（有限合伙）</t>
    </r>
  </si>
  <si>
    <t>华泰证券(上海)资产管理有限公司</t>
  </si>
  <si>
    <r>
      <rPr>
        <sz val="11"/>
        <rFont val="DengXian"/>
        <family val="2"/>
        <scheme val="minor"/>
      </rPr>
      <t>深圳天风天成资产管理有限
公司</t>
    </r>
  </si>
  <si>
    <t>宋瑾珂</t>
  </si>
  <si>
    <t>甘肃资产管理有限公司</t>
  </si>
  <si>
    <t xml:space="preserve">2016 年 7 月 6 日 </t>
  </si>
  <si>
    <t>2016年8月9号</t>
  </si>
  <si>
    <t>石河子国资资本运营有限公司</t>
  </si>
  <si>
    <t>石河子城市建设投资经营有限公司</t>
  </si>
  <si>
    <t>郑建平</t>
  </si>
  <si>
    <r>
      <rPr>
        <sz val="12"/>
        <rFont val="SimSun"/>
        <family val="3"/>
        <charset val="134"/>
      </rPr>
      <t xml:space="preserve">申万菱信（上海）资产管理
</t>
    </r>
    <r>
      <rPr>
        <sz val="12"/>
        <rFont val="SimSun"/>
        <family val="3"/>
        <charset val="134"/>
      </rPr>
      <t>有限公司</t>
    </r>
  </si>
  <si>
    <r>
      <rPr>
        <sz val="12"/>
        <rFont val="SimSun"/>
        <family val="3"/>
        <charset val="134"/>
      </rPr>
      <t>北京瑞丰基金管理有限公司</t>
    </r>
  </si>
  <si>
    <r>
      <rPr>
        <sz val="12"/>
        <rFont val="SimSun"/>
        <family val="3"/>
        <charset val="134"/>
      </rPr>
      <t xml:space="preserve">南京瑞达信沨股权投资合伙
</t>
    </r>
    <r>
      <rPr>
        <sz val="12"/>
        <rFont val="SimSun"/>
        <family val="3"/>
        <charset val="134"/>
      </rPr>
      <t>企业（有限合伙）</t>
    </r>
  </si>
  <si>
    <r>
      <rPr>
        <sz val="12"/>
        <rFont val="SimSun"/>
        <family val="3"/>
        <charset val="134"/>
      </rPr>
      <t>杭华</t>
    </r>
  </si>
  <si>
    <r>
      <rPr>
        <sz val="12"/>
        <rFont val="SimSun"/>
        <family val="3"/>
        <charset val="134"/>
      </rPr>
      <t>北京和聚投资管理有限公司</t>
    </r>
  </si>
  <si>
    <r>
      <rPr>
        <sz val="12"/>
        <rFont val="SimSun"/>
        <family val="3"/>
        <charset val="134"/>
      </rPr>
      <t>何慧清</t>
    </r>
  </si>
  <si>
    <r>
      <rPr>
        <sz val="12"/>
        <rFont val="SimSun"/>
        <family val="3"/>
        <charset val="134"/>
      </rPr>
      <t>易方达基金管理有限公司</t>
    </r>
  </si>
  <si>
    <r>
      <rPr>
        <sz val="12"/>
        <rFont val="SimSun"/>
        <family val="3"/>
        <charset val="134"/>
      </rPr>
      <t>深圳福星资本管理有限公司</t>
    </r>
  </si>
  <si>
    <r>
      <rPr>
        <sz val="12"/>
        <rFont val="SimSun"/>
        <family val="3"/>
        <charset val="134"/>
      </rPr>
      <t xml:space="preserve">安徽中安资本投资基金有限
</t>
    </r>
    <r>
      <rPr>
        <sz val="12"/>
        <rFont val="SimSun"/>
        <family val="3"/>
        <charset val="134"/>
      </rPr>
      <t>公司</t>
    </r>
  </si>
  <si>
    <r>
      <rPr>
        <sz val="12"/>
        <rFont val="SimSun"/>
        <family val="3"/>
        <charset val="134"/>
      </rPr>
      <t>金鹰基金管理有限公司</t>
    </r>
  </si>
  <si>
    <r>
      <rPr>
        <sz val="12"/>
        <rFont val="SimSun"/>
        <family val="3"/>
        <charset val="134"/>
      </rPr>
      <t xml:space="preserve">宁波博翎股权投资合伙企业
</t>
    </r>
    <r>
      <rPr>
        <sz val="12"/>
        <rFont val="SimSun"/>
        <family val="3"/>
        <charset val="134"/>
      </rPr>
      <t>（有限合伙）</t>
    </r>
  </si>
  <si>
    <r>
      <rPr>
        <sz val="12"/>
        <rFont val="SimSun"/>
        <family val="3"/>
        <charset val="134"/>
      </rPr>
      <t>长城国融投资管理有限公司</t>
    </r>
  </si>
  <si>
    <r>
      <rPr>
        <sz val="12"/>
        <rFont val="SimSun"/>
        <family val="3"/>
        <charset val="134"/>
      </rPr>
      <t>兴业全球基金管理有限公司</t>
    </r>
  </si>
  <si>
    <r>
      <rPr>
        <sz val="12"/>
        <rFont val="SimSun"/>
        <family val="3"/>
        <charset val="134"/>
      </rPr>
      <t>民生通惠资产管理有限公司</t>
    </r>
  </si>
  <si>
    <r>
      <rPr>
        <sz val="12"/>
        <rFont val="SimSun"/>
        <family val="3"/>
        <charset val="134"/>
      </rPr>
      <t>泰康资产管理有限责任公司</t>
    </r>
  </si>
  <si>
    <r>
      <rPr>
        <sz val="12"/>
        <rFont val="SimSun"/>
        <family val="3"/>
        <charset val="134"/>
      </rPr>
      <t>中信证券股份有限公司</t>
    </r>
  </si>
  <si>
    <r>
      <rPr>
        <sz val="12"/>
        <rFont val="SimSun"/>
        <family val="3"/>
        <charset val="134"/>
      </rPr>
      <t>华融国际信托有限责任公司</t>
    </r>
  </si>
  <si>
    <r>
      <rPr>
        <sz val="12"/>
        <rFont val="SimSun"/>
        <family val="3"/>
        <charset val="134"/>
      </rPr>
      <t>第一创业证券股份有限公司</t>
    </r>
  </si>
  <si>
    <r>
      <rPr>
        <sz val="12"/>
        <rFont val="SimSun"/>
        <family val="3"/>
        <charset val="134"/>
      </rPr>
      <t>南方基金管理有限公司</t>
    </r>
  </si>
  <si>
    <r>
      <rPr>
        <sz val="12"/>
        <rFont val="SimSun"/>
        <family val="3"/>
        <charset val="134"/>
      </rPr>
      <t>陈巧玲</t>
    </r>
  </si>
  <si>
    <r>
      <rPr>
        <sz val="12"/>
        <rFont val="SimSun"/>
        <family val="3"/>
        <charset val="134"/>
      </rPr>
      <t>杭州优迈科技有限公司</t>
    </r>
  </si>
  <si>
    <r>
      <rPr>
        <sz val="12"/>
        <rFont val="SimSun"/>
        <family val="3"/>
        <charset val="134"/>
      </rPr>
      <t>天津力天融金投资有限公司</t>
    </r>
  </si>
  <si>
    <r>
      <rPr>
        <sz val="12"/>
        <rFont val="SimSun"/>
        <family val="3"/>
        <charset val="134"/>
      </rPr>
      <t>九泰基金管理有限公司</t>
    </r>
  </si>
  <si>
    <r>
      <rPr>
        <sz val="12"/>
        <rFont val="SimSun"/>
        <family val="3"/>
        <charset val="134"/>
      </rPr>
      <t>华泰柏瑞基金管理有限公司</t>
    </r>
  </si>
  <si>
    <r>
      <rPr>
        <sz val="12"/>
        <rFont val="SimSun"/>
        <family val="3"/>
        <charset val="134"/>
      </rPr>
      <t>新华资产管理股份有限公司</t>
    </r>
  </si>
  <si>
    <r>
      <rPr>
        <sz val="12"/>
        <rFont val="SimSun"/>
        <family val="3"/>
        <charset val="134"/>
      </rPr>
      <t>池州市东方辰天贸易有限公司</t>
    </r>
  </si>
  <si>
    <t>华美高远（北京）投资有限公司</t>
  </si>
  <si>
    <t>山东如意科技集团有限公司</t>
  </si>
  <si>
    <t>中航证券有限公司</t>
  </si>
  <si>
    <t>邹瀚枢</t>
  </si>
  <si>
    <t>银川智慧城市服务有限公司</t>
  </si>
  <si>
    <t>银川创景投资有限公司</t>
  </si>
  <si>
    <r>
      <rPr>
        <sz val="11"/>
        <rFont val="DengXian"/>
        <family val="2"/>
        <scheme val="minor"/>
      </rPr>
      <t>申万菱信（上海）资产管理有限
公司</t>
    </r>
  </si>
  <si>
    <r>
      <rPr>
        <sz val="11"/>
        <rFont val="DengXian"/>
        <family val="2"/>
        <scheme val="minor"/>
      </rPr>
      <t>上海航翠投资管理合伙企业（有
限合伙）</t>
    </r>
  </si>
  <si>
    <t>余小泉</t>
  </si>
  <si>
    <r>
      <rPr>
        <sz val="11"/>
        <rFont val="DengXian"/>
        <family val="2"/>
        <scheme val="minor"/>
      </rPr>
      <t>第一创业证券股份有
限公司</t>
    </r>
  </si>
  <si>
    <r>
      <rPr>
        <sz val="11"/>
        <rFont val="DengXian"/>
        <family val="2"/>
        <scheme val="minor"/>
      </rPr>
      <t>国联证券股份有限公
司</t>
    </r>
  </si>
  <si>
    <r>
      <rPr>
        <sz val="11"/>
        <rFont val="DengXian"/>
        <family val="2"/>
        <scheme val="minor"/>
      </rPr>
      <t>天弘基金管理有限公
司</t>
    </r>
  </si>
  <si>
    <t>合肥市国有资产控股有限公司</t>
  </si>
  <si>
    <t>上海银邦置业有限公司</t>
  </si>
  <si>
    <r>
      <rPr>
        <sz val="11"/>
        <rFont val="DengXian"/>
        <family val="2"/>
        <scheme val="minor"/>
      </rPr>
      <t>池州市东方辰天
贸易有限公司</t>
    </r>
  </si>
  <si>
    <r>
      <rPr>
        <sz val="11"/>
        <rFont val="DengXian"/>
        <family val="2"/>
        <scheme val="minor"/>
      </rPr>
      <t>申万菱信( 上海)
资产管理有限公司</t>
    </r>
  </si>
  <si>
    <r>
      <rPr>
        <sz val="11"/>
        <rFont val="DengXian"/>
        <family val="2"/>
        <scheme val="minor"/>
      </rPr>
      <t>北京京泰阳光投
资有限公司</t>
    </r>
  </si>
  <si>
    <t>陈友</t>
  </si>
  <si>
    <t>北京和聚投资管理有限公</t>
  </si>
  <si>
    <r>
      <rPr>
        <sz val="11"/>
        <rFont val="DengXian"/>
        <family val="2"/>
        <scheme val="minor"/>
      </rPr>
      <t>中国银河证券股份有限公
司</t>
    </r>
  </si>
  <si>
    <r>
      <rPr>
        <sz val="11"/>
        <rFont val="DengXian"/>
        <family val="2"/>
        <scheme val="minor"/>
      </rPr>
      <t>湖北省鄂西生态文化旅游圈投资有
限公司</t>
    </r>
  </si>
  <si>
    <t>湖北省长江产业投资集团有限公司</t>
  </si>
  <si>
    <t>武汉地产开发投资集团有限公司</t>
  </si>
  <si>
    <r>
      <rPr>
        <sz val="11"/>
        <rFont val="DengXian"/>
        <family val="2"/>
        <scheme val="minor"/>
      </rPr>
      <t>湖北省中小企业金融服务中心有限
公司</t>
    </r>
  </si>
  <si>
    <t>2016 年7 月 14 日</t>
  </si>
  <si>
    <r>
      <rPr>
        <sz val="11"/>
        <rFont val="DengXian"/>
        <family val="2"/>
        <scheme val="minor"/>
      </rPr>
      <t>Cephei Capital Management(Hong
Kong) Limited</t>
    </r>
  </si>
  <si>
    <t>北京益保伟业科技有限公司</t>
  </si>
  <si>
    <t>广东竣弘投资管理有限责任公司</t>
  </si>
  <si>
    <t>程少博</t>
  </si>
  <si>
    <t>山东鲁信实业集团有限公司</t>
  </si>
  <si>
    <t>山东天诚投资管理有限公司</t>
  </si>
  <si>
    <t>山东省国际信托股份有限公司</t>
  </si>
  <si>
    <r>
      <rPr>
        <sz val="11"/>
        <rFont val="DengXian"/>
        <family val="2"/>
        <scheme val="minor"/>
      </rPr>
      <t>珠海中珠集团股份有限公
司</t>
    </r>
  </si>
  <si>
    <r>
      <rPr>
        <sz val="11"/>
        <rFont val="DengXian"/>
        <family val="2"/>
        <scheme val="minor"/>
      </rPr>
      <t>方正富邦基金
管理有限公司</t>
    </r>
  </si>
  <si>
    <r>
      <rPr>
        <sz val="11"/>
        <rFont val="DengXian"/>
        <family val="2"/>
        <scheme val="minor"/>
      </rPr>
      <t>国泓资产管理
有限公司</t>
    </r>
  </si>
  <si>
    <r>
      <rPr>
        <sz val="11"/>
        <rFont val="DengXian"/>
        <family val="2"/>
        <scheme val="minor"/>
      </rPr>
      <t>泰达宏利基金
管理有限公司</t>
    </r>
  </si>
  <si>
    <r>
      <rPr>
        <sz val="11"/>
        <rFont val="DengXian"/>
        <family val="2"/>
        <scheme val="minor"/>
      </rPr>
      <t>海富通基金管
理有限公司</t>
    </r>
  </si>
  <si>
    <r>
      <rPr>
        <sz val="11"/>
        <rFont val="DengXian"/>
        <family val="2"/>
        <scheme val="minor"/>
      </rPr>
      <t>安信基金管理
有限责任公司</t>
    </r>
  </si>
  <si>
    <r>
      <rPr>
        <sz val="11"/>
        <rFont val="DengXian"/>
        <family val="2"/>
        <scheme val="minor"/>
      </rPr>
      <t>前海开源基金
管理有限公司</t>
    </r>
  </si>
  <si>
    <r>
      <rPr>
        <sz val="11"/>
        <rFont val="DengXian"/>
        <family val="2"/>
        <scheme val="minor"/>
      </rPr>
      <t>长信基金管理
有限责任公司</t>
    </r>
  </si>
  <si>
    <r>
      <rPr>
        <sz val="11"/>
        <rFont val="DengXian"/>
        <family val="2"/>
        <scheme val="minor"/>
      </rPr>
      <t>上海新东吴优
胜资产管理有限公司</t>
    </r>
  </si>
  <si>
    <r>
      <rPr>
        <sz val="11"/>
        <rFont val="DengXian"/>
        <family val="2"/>
        <scheme val="minor"/>
      </rPr>
      <t>鹏华资产管理
（深圳）有限公司</t>
    </r>
  </si>
  <si>
    <r>
      <rPr>
        <sz val="11"/>
        <rFont val="DengXian"/>
        <family val="2"/>
        <scheme val="minor"/>
      </rPr>
      <t>东旭集团有限
公司</t>
    </r>
  </si>
  <si>
    <t>庄敏</t>
  </si>
  <si>
    <r>
      <rPr>
        <sz val="11"/>
        <rFont val="DengXian"/>
        <family val="2"/>
        <scheme val="minor"/>
      </rPr>
      <t>红塔红土基金管理有限公
司</t>
    </r>
  </si>
  <si>
    <t>公告没有资料</t>
  </si>
  <si>
    <t>金龙集团</t>
  </si>
  <si>
    <t>上海三星半导体有限公司</t>
  </si>
  <si>
    <t>2016年7月12日</t>
  </si>
  <si>
    <t>国投先进制造产业投资基金（有限合伙）</t>
  </si>
  <si>
    <t>60.3</t>
  </si>
  <si>
    <r>
      <rPr>
        <sz val="11"/>
        <rFont val="DengXian"/>
        <family val="2"/>
        <scheme val="minor"/>
      </rPr>
      <t>申万菱信(上海)资产管理有限公
司</t>
    </r>
  </si>
  <si>
    <r>
      <rPr>
        <sz val="11"/>
        <rFont val="DengXian"/>
        <family val="2"/>
        <scheme val="minor"/>
      </rPr>
      <t>安徽省铁路建设投资基金有限公
司</t>
    </r>
  </si>
  <si>
    <t>航天投资控股有限公司</t>
  </si>
  <si>
    <r>
      <rPr>
        <sz val="11"/>
        <rFont val="DengXian"/>
        <family val="2"/>
        <scheme val="minor"/>
      </rPr>
      <t>上海航天工业(集团)有限公司</t>
    </r>
  </si>
  <si>
    <t>高王伟</t>
  </si>
  <si>
    <t>星旅易游</t>
  </si>
  <si>
    <r>
      <rPr>
        <sz val="11"/>
        <rFont val="DengXian"/>
        <family val="2"/>
        <scheme val="minor"/>
      </rPr>
      <t>广发证券资产管理(广东)有限公司</t>
    </r>
  </si>
  <si>
    <t>中信盈时资产管理有限公司</t>
  </si>
  <si>
    <t>海华方达科技控股有限公司</t>
  </si>
  <si>
    <t>光大保德信资产管理有限公司</t>
  </si>
  <si>
    <r>
      <rPr>
        <sz val="11"/>
        <rFont val="DengXian"/>
        <family val="2"/>
        <scheme val="minor"/>
      </rPr>
      <t>易方达基金
管理有限公司</t>
    </r>
  </si>
  <si>
    <r>
      <rPr>
        <sz val="11"/>
        <rFont val="DengXian"/>
        <family val="2"/>
        <scheme val="minor"/>
      </rPr>
      <t>中国银河证券
股份有限公司</t>
    </r>
  </si>
  <si>
    <t>财通基金 管理有限公司</t>
  </si>
  <si>
    <r>
      <rPr>
        <sz val="11"/>
        <rFont val="DengXian"/>
        <family val="2"/>
        <scheme val="minor"/>
      </rPr>
      <t>富国基金管
理有限公司</t>
    </r>
  </si>
  <si>
    <r>
      <rPr>
        <sz val="11"/>
        <rFont val="DengXian"/>
        <family val="2"/>
        <scheme val="minor"/>
      </rPr>
      <t>上银瑞金资本管理有限
公司</t>
    </r>
  </si>
  <si>
    <r>
      <rPr>
        <sz val="11"/>
        <rFont val="DengXian"/>
        <family val="2"/>
        <scheme val="minor"/>
      </rPr>
      <t>诺安基金管
理有限公司</t>
    </r>
  </si>
  <si>
    <r>
      <rPr>
        <sz val="11"/>
        <rFont val="DengXian"/>
        <family val="2"/>
        <scheme val="minor"/>
      </rPr>
      <t>东海基金管
理有限公司</t>
    </r>
  </si>
  <si>
    <r>
      <rPr>
        <sz val="11"/>
        <rFont val="DengXian"/>
        <family val="2"/>
        <scheme val="minor"/>
      </rPr>
      <t>国商融通（北京）投资基金管理有限公
司</t>
    </r>
  </si>
  <si>
    <t>李平</t>
  </si>
  <si>
    <t>北京中海盈创投资管理中心（有限合伙）</t>
  </si>
  <si>
    <t>广州金融控股集团有限公司</t>
  </si>
  <si>
    <r>
      <rPr>
        <sz val="11"/>
        <rFont val="DengXian"/>
        <family val="2"/>
        <scheme val="minor"/>
      </rPr>
      <t>泰达宏利基金管
理有限公司</t>
    </r>
  </si>
  <si>
    <r>
      <rPr>
        <sz val="11"/>
        <rFont val="DengXian"/>
        <family val="2"/>
        <scheme val="minor"/>
      </rPr>
      <t>厦门国贸资产管
理有限公司</t>
    </r>
  </si>
  <si>
    <r>
      <rPr>
        <sz val="11"/>
        <rFont val="DengXian"/>
        <family val="2"/>
        <scheme val="minor"/>
      </rPr>
      <t>安信乾盛财富管
理（深圳）有限公司</t>
    </r>
  </si>
  <si>
    <t>x</t>
  </si>
  <si>
    <r>
      <rPr>
        <sz val="11"/>
        <rFont val="DengXian"/>
        <family val="2"/>
        <scheme val="minor"/>
      </rPr>
      <t>浙商基金管理
有限公司</t>
    </r>
  </si>
  <si>
    <r>
      <rPr>
        <sz val="11"/>
        <rFont val="DengXian"/>
        <family val="2"/>
        <scheme val="minor"/>
      </rPr>
      <t>深圳平安大华汇通财富管
理有限公司</t>
    </r>
  </si>
  <si>
    <r>
      <rPr>
        <sz val="11"/>
        <rFont val="DengXian"/>
        <family val="2"/>
        <scheme val="minor"/>
      </rPr>
      <t>拟认购金额为6,000 万元，不参与竞价，接受竞价确
定的价格</t>
    </r>
  </si>
  <si>
    <t>张德华</t>
  </si>
  <si>
    <r>
      <rPr>
        <sz val="11"/>
        <rFont val="DengXian"/>
        <family val="2"/>
        <scheme val="minor"/>
      </rPr>
      <t>富国基金管理有
限公司</t>
    </r>
  </si>
  <si>
    <t>深圳市江河资本管理有限公司</t>
  </si>
  <si>
    <t>上海财通资产管理有限公司</t>
  </si>
  <si>
    <r>
      <rPr>
        <sz val="11"/>
        <rFont val="DengXian"/>
        <family val="2"/>
        <scheme val="minor"/>
      </rPr>
      <t>申万菱信
（上海）资产管理有限公司</t>
    </r>
  </si>
  <si>
    <r>
      <rPr>
        <sz val="11"/>
        <rFont val="DengXian"/>
        <family val="2"/>
        <scheme val="minor"/>
      </rPr>
      <t>第一创业
证券股份有限公司</t>
    </r>
  </si>
  <si>
    <r>
      <rPr>
        <sz val="11"/>
        <rFont val="DengXian"/>
        <family val="2"/>
        <scheme val="minor"/>
      </rPr>
      <t>财通基金
管理有限公司</t>
    </r>
  </si>
  <si>
    <r>
      <rPr>
        <sz val="11"/>
        <rFont val="DengXian"/>
        <family val="2"/>
        <scheme val="minor"/>
      </rPr>
      <t>华泰柏瑞
基金管理有限公司</t>
    </r>
  </si>
  <si>
    <r>
      <rPr>
        <sz val="11"/>
        <rFont val="DengXian"/>
        <family val="2"/>
        <scheme val="minor"/>
      </rPr>
      <t>中融基金
管理有限公司</t>
    </r>
  </si>
  <si>
    <r>
      <rPr>
        <sz val="11"/>
        <rFont val="DengXian"/>
        <family val="2"/>
        <scheme val="minor"/>
      </rPr>
      <t>新投资集团有限公
司</t>
    </r>
  </si>
  <si>
    <t>深圳市创</t>
  </si>
  <si>
    <t>靳晓堂</t>
  </si>
  <si>
    <t>安邦资产管理有限责任公司</t>
  </si>
  <si>
    <r>
      <rPr>
        <sz val="11"/>
        <rFont val="DengXian"/>
        <family val="2"/>
        <scheme val="minor"/>
      </rPr>
      <t>北京首都开发控股(集团)有限公司</t>
    </r>
  </si>
  <si>
    <t>北京丰实联合投资基金（有限合伙）</t>
  </si>
  <si>
    <t>没有提供具体日期</t>
  </si>
  <si>
    <r>
      <rPr>
        <u/>
        <sz val="11"/>
        <rFont val="DengXian"/>
        <family val="2"/>
        <scheme val="minor"/>
      </rPr>
      <t>金鹰基金管理有限公司</t>
    </r>
  </si>
  <si>
    <r>
      <rPr>
        <u/>
        <sz val="11"/>
        <rFont val="DengXian"/>
        <family val="2"/>
        <scheme val="minor"/>
      </rPr>
      <t>华融资本管理有限公司</t>
    </r>
  </si>
  <si>
    <r>
      <rPr>
        <u/>
        <sz val="11"/>
        <rFont val="DengXian"/>
        <family val="2"/>
        <scheme val="minor"/>
      </rPr>
      <t>鑫沅资产管理有限公司</t>
    </r>
  </si>
  <si>
    <r>
      <rPr>
        <u/>
        <sz val="11"/>
        <rFont val="DengXian"/>
        <family val="2"/>
        <scheme val="minor"/>
      </rPr>
      <t>中欧盛世资产管理（上海）
有限公司</t>
    </r>
  </si>
  <si>
    <r>
      <rPr>
        <u/>
        <sz val="11"/>
        <rFont val="DengXian"/>
        <family val="2"/>
        <scheme val="minor"/>
      </rPr>
      <t>深圳平安大华汇通财富管理
有限公司</t>
    </r>
  </si>
  <si>
    <r>
      <rPr>
        <u/>
        <sz val="11"/>
        <rFont val="DengXian"/>
        <family val="2"/>
        <scheme val="minor"/>
      </rPr>
      <t>财通基金管理有限公司</t>
    </r>
  </si>
  <si>
    <t>汇添富基金管理股份有限公
司</t>
  </si>
  <si>
    <r>
      <rPr>
        <u/>
        <sz val="11"/>
        <rFont val="DengXian"/>
        <family val="2"/>
        <scheme val="minor"/>
      </rPr>
      <t>博时资本管理有限公司</t>
    </r>
  </si>
  <si>
    <r>
      <rPr>
        <u/>
        <sz val="11"/>
        <rFont val="DengXian"/>
        <family val="2"/>
        <scheme val="minor"/>
      </rPr>
      <t>天弘基金管理有限公司</t>
    </r>
  </si>
  <si>
    <t>西藏瑞华资本管理有限公司</t>
  </si>
  <si>
    <t>孙惠刚</t>
  </si>
  <si>
    <r>
      <rPr>
        <sz val="11"/>
        <rFont val="DengXian"/>
        <family val="2"/>
        <scheme val="minor"/>
      </rPr>
      <t>鱼跃医疗 2015 年度员工持股计划</t>
    </r>
  </si>
  <si>
    <t>丹阳市安居工程建设投资有限公司</t>
  </si>
  <si>
    <t>安徽铁路建设投资基金有限公司</t>
  </si>
  <si>
    <t xml:space="preserve">天安财产保险股份有限公司 </t>
  </si>
  <si>
    <t xml:space="preserve">万家共赢资产管理有限公司 </t>
  </si>
  <si>
    <t xml:space="preserve">申万菱信基金管理有限公司 </t>
  </si>
  <si>
    <t xml:space="preserve">陕西省国际信托股份有限公司 </t>
  </si>
  <si>
    <r>
      <rPr>
        <sz val="11"/>
        <rFont val="DengXian"/>
        <family val="2"/>
        <scheme val="minor"/>
      </rPr>
      <t>深圳平安大华汇通财富
管理有限公司</t>
    </r>
  </si>
  <si>
    <t>上海韬赛创业投资管理合伙企业（有限合伙）</t>
  </si>
  <si>
    <t>深圳市创新资本投资有限公司</t>
  </si>
  <si>
    <t>陕西丰恒胜达商贸有限公司</t>
  </si>
  <si>
    <r>
      <rPr>
        <sz val="11"/>
        <rFont val="DengXian"/>
        <family val="2"/>
        <scheme val="minor"/>
      </rPr>
      <t>上银瑞金资本管理有限公司
(下称“上银瑞金”)</t>
    </r>
  </si>
  <si>
    <r>
      <rPr>
        <sz val="11"/>
        <rFont val="DengXian"/>
        <family val="2"/>
        <scheme val="minor"/>
      </rPr>
      <t>上银基金管理有限公司(下称
“上银基金”)</t>
    </r>
  </si>
  <si>
    <t>浙江财通资本投资有限公司</t>
  </si>
  <si>
    <r>
      <rPr>
        <sz val="11"/>
        <rFont val="DengXian"/>
        <family val="2"/>
        <scheme val="minor"/>
      </rPr>
      <t>上海国泰君安证券资产
管理有限公司</t>
    </r>
  </si>
  <si>
    <t>张远捷</t>
  </si>
  <si>
    <t>中国保利集团公司</t>
  </si>
  <si>
    <r>
      <rPr>
        <sz val="11"/>
        <rFont val="DengXian"/>
        <family val="2"/>
        <scheme val="minor"/>
      </rPr>
      <t>青岛海丝创新股权投资基金企业（有限
合伙）</t>
    </r>
  </si>
  <si>
    <t>方文艳</t>
  </si>
  <si>
    <t>宁波铸石投资管理有限公司</t>
  </si>
  <si>
    <r>
      <rPr>
        <sz val="11"/>
        <rFont val="DengXian"/>
        <family val="2"/>
        <scheme val="minor"/>
      </rPr>
      <t>北京郁金香天玑资本管理中心（有限
合伙）</t>
    </r>
  </si>
  <si>
    <t>三峡财务有限责任公司</t>
  </si>
  <si>
    <t>青岛市科技风险投资有限公司</t>
  </si>
  <si>
    <t>南华期货股份有限公司</t>
  </si>
  <si>
    <r>
      <rPr>
        <sz val="11"/>
        <rFont val="DengXian"/>
        <family val="2"/>
        <scheme val="minor"/>
      </rPr>
      <t>深圳第一创业创新资本管理有限公
司</t>
    </r>
  </si>
  <si>
    <r>
      <rPr>
        <sz val="11"/>
        <rFont val="DengXian"/>
        <family val="2"/>
        <scheme val="minor"/>
      </rPr>
      <t>蓝色经济区产业投资基金（有限合
伙）</t>
    </r>
  </si>
  <si>
    <r>
      <rPr>
        <sz val="11"/>
        <rFont val="DengXian"/>
        <family val="2"/>
        <scheme val="minor"/>
      </rPr>
      <t>中信建投基金管理有
限公司</t>
    </r>
  </si>
  <si>
    <r>
      <rPr>
        <sz val="11"/>
        <rFont val="DengXian"/>
        <family val="2"/>
        <scheme val="minor"/>
      </rPr>
      <t>安信基金管理有限责
任公司</t>
    </r>
  </si>
  <si>
    <r>
      <rPr>
        <sz val="11"/>
        <rFont val="DengXian"/>
        <family val="2"/>
        <scheme val="minor"/>
      </rPr>
      <t>兴业全球基金管理有
限公司</t>
    </r>
  </si>
  <si>
    <t>浙江桐昆控股集团有限公司</t>
  </si>
  <si>
    <t>嘉实资本管理有限公司</t>
  </si>
  <si>
    <t>诺安资产管理有限公司</t>
  </si>
  <si>
    <t>上海华富利得资产管理有限公司</t>
  </si>
  <si>
    <t>上海富诚海富通资产管理有限公司</t>
  </si>
  <si>
    <r>
      <rPr>
        <sz val="11"/>
        <rFont val="DengXian"/>
        <family val="2"/>
        <scheme val="minor"/>
      </rPr>
      <t>东证融汇证券资产管理有限公
司</t>
    </r>
  </si>
  <si>
    <t>西藏兆能新能源开发有限公司</t>
  </si>
  <si>
    <t>嘉兴民安投资合伙企业（有限合伙）</t>
  </si>
  <si>
    <t>公告和法律意见书都找不到</t>
  </si>
  <si>
    <t>9,87</t>
  </si>
  <si>
    <t>德邦创新资本有限责任公司</t>
  </si>
  <si>
    <t>https://pdf.dfcfw.com/pdf/H2_AN201705120574485479_1.pdf</t>
  </si>
  <si>
    <t>吉林化纤福润德纺织有限公司</t>
  </si>
  <si>
    <t>吉林化纤集团有限责任公司</t>
  </si>
  <si>
    <t>北京郁金香天玑资本管理中心（有限合伙）</t>
  </si>
  <si>
    <t>吉林九富资产经营管理有限公司</t>
  </si>
  <si>
    <t>侯友夫</t>
  </si>
  <si>
    <r>
      <rPr>
        <sz val="11"/>
        <rFont val="DengXian"/>
        <family val="2"/>
        <scheme val="minor"/>
      </rPr>
      <t>信达澳银基金-招商银行-信达澳银基金-定增优选 2 号资产管
理计划</t>
    </r>
  </si>
  <si>
    <t>广发基金-招商银行-添翼定增分级6 号特定客户资产管理计划</t>
  </si>
  <si>
    <t>金鹰穗通定增 100 号资产管理计划</t>
  </si>
  <si>
    <r>
      <rPr>
        <sz val="11"/>
        <rFont val="DengXian"/>
        <family val="2"/>
        <scheme val="minor"/>
      </rPr>
      <t>其中：金鹰穗通定增 98 号资产管理计
划</t>
    </r>
  </si>
  <si>
    <r>
      <rPr>
        <sz val="11"/>
        <rFont val="DengXian"/>
        <family val="2"/>
        <scheme val="minor"/>
      </rPr>
      <t>兴业证券股份有
限公司</t>
    </r>
  </si>
  <si>
    <r>
      <rPr>
        <sz val="11"/>
        <rFont val="DengXian"/>
        <family val="2"/>
        <scheme val="minor"/>
      </rPr>
      <t>南方基金管理有
限公司</t>
    </r>
  </si>
  <si>
    <r>
      <rPr>
        <sz val="11"/>
        <rFont val="DengXian"/>
        <family val="2"/>
        <scheme val="minor"/>
      </rPr>
      <t>海通证券股份有
限公司</t>
    </r>
  </si>
  <si>
    <r>
      <rPr>
        <sz val="11"/>
        <rFont val="DengXian"/>
        <family val="2"/>
        <scheme val="minor"/>
      </rPr>
      <t>中广核财务有限
责任公司</t>
    </r>
  </si>
  <si>
    <r>
      <rPr>
        <sz val="11"/>
        <rFont val="DengXian"/>
        <family val="2"/>
        <scheme val="minor"/>
      </rPr>
      <t>华夏人寿保险股
份有限公司</t>
    </r>
  </si>
  <si>
    <r>
      <rPr>
        <sz val="11"/>
        <rFont val="DengXian"/>
        <family val="2"/>
        <scheme val="minor"/>
      </rPr>
      <t>广发基金管理有
限公司</t>
    </r>
  </si>
  <si>
    <r>
      <rPr>
        <sz val="11"/>
        <rFont val="DengXian"/>
        <family val="2"/>
        <scheme val="minor"/>
      </rPr>
      <t>泰康资产管理有
限责任公司</t>
    </r>
  </si>
  <si>
    <r>
      <rPr>
        <sz val="11"/>
        <rFont val="DengXian"/>
        <family val="2"/>
        <scheme val="minor"/>
      </rPr>
      <t>北信瑞丰基金管
理有限公司</t>
    </r>
  </si>
  <si>
    <t>东方基金管理有限责任公司</t>
  </si>
  <si>
    <r>
      <rPr>
        <sz val="11"/>
        <rFont val="DengXian"/>
        <family val="2"/>
        <scheme val="minor"/>
      </rPr>
      <t>融通基金管理有
限公司</t>
    </r>
  </si>
  <si>
    <r>
      <rPr>
        <sz val="11"/>
        <rFont val="DengXian"/>
        <family val="2"/>
        <scheme val="minor"/>
      </rPr>
      <t>常州京湟资本管
理有限公司</t>
    </r>
  </si>
  <si>
    <r>
      <rPr>
        <sz val="11"/>
        <rFont val="DengXian"/>
        <family val="2"/>
        <scheme val="minor"/>
      </rPr>
      <t>华安未来资产管理（上海）有限公
司</t>
    </r>
  </si>
  <si>
    <r>
      <rPr>
        <sz val="11"/>
        <rFont val="DengXian"/>
        <family val="2"/>
        <scheme val="minor"/>
      </rPr>
      <t>银河基金管理有
限公司</t>
    </r>
  </si>
  <si>
    <r>
      <rPr>
        <sz val="11"/>
        <rFont val="DengXian"/>
        <family val="2"/>
        <scheme val="minor"/>
      </rPr>
      <t>太平洋资产管理
有限责任公司</t>
    </r>
  </si>
  <si>
    <r>
      <rPr>
        <sz val="11"/>
        <rFont val="DengXian"/>
        <family val="2"/>
        <scheme val="minor"/>
      </rPr>
      <t>华泰柏瑞基金管
理有限公司</t>
    </r>
  </si>
  <si>
    <t>九州证券股份有限公司</t>
  </si>
  <si>
    <t>荆州市古城国有投资有限责任公司</t>
  </si>
  <si>
    <r>
      <rPr>
        <sz val="11"/>
        <rFont val="DengXian"/>
        <family val="2"/>
        <scheme val="minor"/>
      </rPr>
      <t>东莞证券股份有
限公司</t>
    </r>
  </si>
  <si>
    <r>
      <rPr>
        <sz val="11"/>
        <rFont val="DengXian"/>
        <family val="2"/>
        <scheme val="minor"/>
      </rPr>
      <t>上海国鑫投资发
展有限公司</t>
    </r>
  </si>
  <si>
    <r>
      <rPr>
        <sz val="11"/>
        <rFont val="DengXian"/>
        <family val="2"/>
        <scheme val="minor"/>
      </rPr>
      <t>上海国际集团资
产管理有限公司</t>
    </r>
  </si>
  <si>
    <r>
      <rPr>
        <sz val="11"/>
        <rFont val="DengXian"/>
        <family val="2"/>
        <scheme val="minor"/>
      </rPr>
      <t>国机财务有限责
任公司</t>
    </r>
  </si>
  <si>
    <r>
      <rPr>
        <sz val="11"/>
        <rFont val="DengXian"/>
        <family val="2"/>
        <scheme val="minor"/>
      </rPr>
      <t>华鑫证券有限责
任公司</t>
    </r>
  </si>
  <si>
    <r>
      <rPr>
        <sz val="11"/>
        <rFont val="DengXian"/>
        <family val="2"/>
        <scheme val="minor"/>
      </rPr>
      <t>广西铁路发展投
资基金（有限合伙）</t>
    </r>
  </si>
  <si>
    <t xml:space="preserve">8  北信瑞丰基金管理有限公司 </t>
  </si>
  <si>
    <t xml:space="preserve">7  华安未来资产管理(上海)有限公司 </t>
  </si>
  <si>
    <t xml:space="preserve">6  申万菱信基金管理有限公司 </t>
  </si>
  <si>
    <t xml:space="preserve">5  深圳天风天成资产管理有限公司 </t>
  </si>
  <si>
    <t xml:space="preserve">4  财通基金管理有限公司 </t>
  </si>
  <si>
    <t xml:space="preserve">3  天安财产保险股份有限公司 </t>
  </si>
  <si>
    <t xml:space="preserve">2  厦门象屿股份有限公司 </t>
  </si>
  <si>
    <t xml:space="preserve">1  江苏苏豪投资集团有限公司 </t>
  </si>
  <si>
    <t>黄威</t>
  </si>
  <si>
    <t>安信证劵股份有限公司</t>
  </si>
  <si>
    <t>西藏鼎成投资有限公司</t>
  </si>
  <si>
    <t xml:space="preserve">2016 年 5 月 4 日 </t>
  </si>
  <si>
    <r>
      <rPr>
        <sz val="11"/>
        <rFont val="DengXian"/>
        <family val="2"/>
        <scheme val="minor"/>
      </rPr>
      <t>银河金汇证券资产管理
有限公司</t>
    </r>
  </si>
  <si>
    <r>
      <rPr>
        <sz val="11"/>
        <rFont val="DengXian"/>
        <family val="2"/>
        <scheme val="minor"/>
      </rPr>
      <t>安信基金管理有限责任
公司</t>
    </r>
  </si>
  <si>
    <r>
      <rPr>
        <sz val="11"/>
        <rFont val="DengXian"/>
        <family val="2"/>
        <scheme val="minor"/>
      </rPr>
      <t>青岛城投金融控股集团
有限公司</t>
    </r>
  </si>
  <si>
    <t>凯撒集团（香港）有限公司</t>
  </si>
  <si>
    <t>上海锦趣投资合伙企业（有限合伙）</t>
  </si>
  <si>
    <t>常熟市天恒投资管理有限公司</t>
  </si>
  <si>
    <t>2016年04月22日</t>
  </si>
  <si>
    <t>10派1.50元,10派1.50元,10派1.50元</t>
  </si>
  <si>
    <t>http://static.cninfo.com.cn/finalpage/2016-01-28/1201950088.PDF</t>
  </si>
  <si>
    <t>特定对象</t>
  </si>
  <si>
    <t>http://static.cninfo.com.cn/finalpage/2016-01-29/1201952399.PDF</t>
  </si>
  <si>
    <t>中国泛海控股集团有限公司</t>
  </si>
  <si>
    <t>申购金额
（万元）</t>
  </si>
  <si>
    <t>大股东及关联方认购情况</t>
  </si>
  <si>
    <t>2016 年 3 月 3 日 15:45至 17:15</t>
  </si>
  <si>
    <t>大股东</t>
  </si>
  <si>
    <t>整理by</t>
  </si>
  <si>
    <t>市值(亿)</t>
  </si>
  <si>
    <t>总股本</t>
  </si>
  <si>
    <t>nova</t>
  </si>
  <si>
    <t>http://static.cninfo.com.cn/finalpage/2017-01-14/1203015165.PDF</t>
  </si>
  <si>
    <t>http://static.cninfo.com.cn/finalpage/2017-01-18/1203023184.PDF</t>
  </si>
  <si>
    <t>http://static.cninfo.com.cn/finalpage/2017-01-19/1203026900.PDF</t>
  </si>
  <si>
    <t>http://static.cninfo.com.cn/finalpage/2017-01-26/1203056329.PDF</t>
  </si>
  <si>
    <t>http://static.cninfo.com.cn/finalpage/2017-02-09/1203070728.PDF</t>
  </si>
  <si>
    <t>其他金融业</t>
  </si>
  <si>
    <t>http://static.cninfo.com.cn/finalpage/2017-03-17/1203168797.PDF</t>
  </si>
  <si>
    <t>http://static.cninfo.com.cn/finalpage/2017-01-24/1203043092.PDF</t>
  </si>
  <si>
    <t>http://static.cninfo.com.cn/finalpage/2017-01-25/1203051608.PDF</t>
  </si>
  <si>
    <t>http://static.cninfo.com.cn/finalpage/2017-02-07/1203068089.PDF</t>
  </si>
  <si>
    <t>http://static.cninfo.com.cn/finalpage/2017-01-25/1203050722.PDF</t>
  </si>
  <si>
    <t>http://static.cninfo.com.cn/finalpage/2017-01-26/1203056221.PDF</t>
  </si>
  <si>
    <t>http://static.cninfo.com.cn/finalpage/2017-01-25/1203050823.PDF</t>
  </si>
  <si>
    <t>http://static.cninfo.com.cn/finalpage/2017-02-14/1203080129.PDF</t>
  </si>
  <si>
    <t>http://static.cninfo.com.cn/finalpage/2017-02-23/1203100346.PDF</t>
  </si>
  <si>
    <t>http://static.cninfo.com.cn/finalpage/2017-02-27/1203106731.PDF</t>
  </si>
  <si>
    <t>http://static.cninfo.com.cn/finalpage/2017-02-27/1203106633.PDF</t>
  </si>
  <si>
    <t>http://static.cninfo.com.cn/finalpage/2017-02-23/1203100470.PDF</t>
  </si>
  <si>
    <t>http://static.cninfo.com.cn/finalpage/2017-03-06/1203130276.PDF</t>
  </si>
  <si>
    <t>http://static.cninfo.com.cn/finalpage/2017-03-13/1203149834.PDF</t>
  </si>
  <si>
    <t>http://static.cninfo.com.cn/finalpage/2016-03-11/1202039238.PDF</t>
  </si>
  <si>
    <t>http://static.cninfo.com.cn/finalpage/2017-03-16/1203168145.PDF</t>
  </si>
  <si>
    <t>http://static.cninfo.com.cn/finalpage/2017-03-22/1203183411.PDF</t>
  </si>
  <si>
    <t>http://static.cninfo.com.cn/finalpage/2017-04-10/1203274259.PDF</t>
  </si>
  <si>
    <t>8:00-11:00</t>
  </si>
  <si>
    <t>http://static.cninfo.com.cn/finalpage/2017-03-24/1203190030.PDF</t>
  </si>
  <si>
    <t xml:space="preserve"> 15:45-17:15</t>
  </si>
  <si>
    <t>http://static.cninfo.com.cn/finalpage/2017-03-28/1203210850.PDF</t>
  </si>
  <si>
    <t>文教、工美、体育和娱乐用品制造业</t>
  </si>
  <si>
    <t>http://static.cninfo.com.cn/finalpage/2017-03-25/1203197308.PDF</t>
  </si>
  <si>
    <t>http://static.cninfo.com.cn/finalpage/2017-03-28/1203210420.PDF</t>
  </si>
  <si>
    <t>http://static.cninfo.com.cn/finalpage/2017-03-27/1203194043.PDF</t>
  </si>
  <si>
    <t>http://static.cninfo.com.cn/finalpage/2017-03-30/1203224596.PDF</t>
  </si>
  <si>
    <t>http://static.cninfo.com.cn/finalpage/2017-03-31/1203236605.PDF</t>
  </si>
  <si>
    <t>http://static.cninfo.com.cn/finalpage/2017-03-31/1203237098.PDF</t>
  </si>
  <si>
    <t>http://static.cninfo.com.cn/finalpage/2017-04-06/1203251106.PDF</t>
  </si>
  <si>
    <t>http://static.cninfo.com.cn/finalpage/2016-04-06/1202139007.PDF</t>
  </si>
  <si>
    <t>10转10股派3.00元</t>
  </si>
  <si>
    <t>http://static.cninfo.com.cn/finalpage/2017-05-24/1203565992.PDF</t>
  </si>
  <si>
    <t>http://static.cninfo.com.cn/finalpage/2017-04-08/1203264068.PDF</t>
  </si>
  <si>
    <t>http://static.cninfo.com.cn/finalpage/2017-04-11/1203275429.PDF</t>
  </si>
  <si>
    <t>http://static.cninfo.com.cn/finalpage/2017-04-11/1203274914.PDF</t>
  </si>
  <si>
    <t>http://static.cninfo.com.cn/finalpage/2017-04-13/1203290945.PDF</t>
  </si>
  <si>
    <t>http://static.cninfo.com.cn/finalpage/2016-04-16/1202186886.PDF</t>
  </si>
  <si>
    <t>http://static.cninfo.com.cn/finalpage/2017-04-18/1203313040.PDF</t>
  </si>
  <si>
    <t>http://static.cninfo.com.cn/finalpage/2017-04-21/1203343407.PDF</t>
  </si>
  <si>
    <t>http://static.cninfo.com.cn/finalpage/2017-04-18/1203313609.PDF</t>
  </si>
  <si>
    <t>http://static.cninfo.com.cn/finalpage/2017-04-14/1203300138.PDF</t>
  </si>
  <si>
    <t>http://static.cninfo.com.cn/finalpage/2017-04-20/1203332754.PDF</t>
  </si>
  <si>
    <t>http://static.cninfo.com.cn/finalpage/2017-04-20/1203332578.PDF</t>
  </si>
  <si>
    <t>http://static.cninfo.com.cn/finalpage/2017-04-25/1203373474.PDF</t>
  </si>
  <si>
    <t>http://static.cninfo.com.cn/finalpage/2017-05-05/1203476447.PDF</t>
  </si>
  <si>
    <t>http://static.cninfo.com.cn/finalpage/2017-05-05/1203475946.PDF</t>
  </si>
  <si>
    <t>http://static.cninfo.com.cn/finalpage/2017-05-05/1203475616.PDF</t>
  </si>
  <si>
    <t>http://static.cninfo.com.cn/finalpage/2016-04-29/1202264126.PDF</t>
  </si>
  <si>
    <t>土木工程建筑业</t>
  </si>
  <si>
    <t>10转3股派2.00元,10转5股派3.000630元</t>
  </si>
  <si>
    <t>2016-5-3-5-4</t>
  </si>
  <si>
    <t>http://img2.gtimg.com/finance/hs/pdf/2016/05/13/1202321407.PDF</t>
  </si>
  <si>
    <t>http://static.cninfo.com.cn/finalpage/2016-05-23/1202332834.PDF</t>
  </si>
  <si>
    <t>公告都没有</t>
  </si>
  <si>
    <t>2016-6-17至23</t>
  </si>
  <si>
    <t>9：00 - 12:00</t>
  </si>
  <si>
    <t>2016-7-11-7-14</t>
  </si>
  <si>
    <t>10转10股派0.28元</t>
  </si>
  <si>
    <t>Erika</t>
  </si>
  <si>
    <t>http://static.cninfo.com.cn/finalpage/2017-09-20/1203987732.PDF</t>
  </si>
  <si>
    <t>2016.08.19收盘价</t>
  </si>
  <si>
    <t>http://pdf.dfcfw.com/pdf/H2_AN201609200017683139_1.pdf</t>
  </si>
  <si>
    <t>http://static.cninfo.com.cn/finalpage/2017-09-21/1203989437.PDF</t>
  </si>
  <si>
    <t>http://static.cninfo.com.cn/finalpage/2017-09-19/1203981960.PDF</t>
  </si>
  <si>
    <t>http://pdf.dfcfw.com/pdf/H2_AN201609230017721986_1.pdf</t>
  </si>
  <si>
    <t>http://static.cninfo.com.cn/finalpage/2017-09-15/1203975750.PDF</t>
  </si>
  <si>
    <t>http://static.cninfo.com.cn/finalpage/2017-09-19/1203981721.PDF</t>
  </si>
  <si>
    <t>http://static.cninfo.com.cn/finalpage/2017-09-28/1204007137.PDF</t>
  </si>
  <si>
    <t>水的生产和供应业</t>
  </si>
  <si>
    <t>http://static.cninfo.com.cn/finalpage/2017-09-19/1203982094.PDF</t>
  </si>
  <si>
    <t>http://static.cninfo.com.cn/finalpage/2017-09-22/1203994654.PDF</t>
  </si>
  <si>
    <t>http://static.cninfo.com.cn/finalpage/2017-10-25/1204064774.PDF</t>
  </si>
  <si>
    <t>2017.10.14-2018.1.8停牌。1.9收盘价</t>
  </si>
  <si>
    <t>http://data.eastmoney.com/notices/detail/300089/AN201609220017709945,JUU2JTk2JTg3JUU1JThDJTk2JUU5JTk1JUJGJUU1JTlGJThF.html</t>
  </si>
  <si>
    <t>http://static.cninfo.com.cn/finalpage/2016-09-22/1202720077.PDF</t>
  </si>
  <si>
    <t>http://data.eastmoney.com/notices/detail/300412/AN201609130017615023,JUU4JUJGJUE2JUU1JThEJTk3JUU3JUE3JTkxJUU2JThBJTgw.html</t>
  </si>
  <si>
    <t>http://static.cninfo.com.cn/finalpage/2017-09-25/1203998864.PDF</t>
  </si>
  <si>
    <t>http://data.eastmoney.com/notices/detail/000408/AN201609270017755605,JUU4JTk3JThGJUU2JUEwJUJDJUU2JThFJUE3JUU4JTgyJUEx.html</t>
  </si>
  <si>
    <t>http://static.cninfo.com.cn/finalpage/2017-10-09/1204014387.PDF</t>
  </si>
  <si>
    <t>http://static.cninfo.com.cn/finalpage/2016-09-28/1202730760.PDF</t>
  </si>
  <si>
    <t>http://data.eastmoney.com/notices/detail/000683/AN201609270017755387,JUU4JUJGJTlDJUU1JTg1JUI0JUU4JTgzJUJEJUU2JUJBJTkw.html</t>
  </si>
  <si>
    <t>http://static.cninfo.com.cn/finalpage/2017-10-10/1204020929.PDF</t>
  </si>
  <si>
    <t>14:00-17:00</t>
  </si>
  <si>
    <t>http://data.eastmoney.com/notices/detail/002110/AN201609280017953830,JUU0JUI4JTg5JUU5JTkyJUEyJUU5JTk3JUJEJUU1JTg1JTg5.html</t>
  </si>
  <si>
    <t>http://static.cninfo.com.cn/finalpage/2017-09-27/1204004737.PDF</t>
  </si>
  <si>
    <t>黑色金属冶炼和压延加工业</t>
  </si>
  <si>
    <t>http://data.eastmoney.com/notices/detail/600864/AN201610100021789365,JUU1JTkzJTg4JUU2JThBJTk1JUU4JTgyJUExJUU0JUJCJUJE.html</t>
  </si>
  <si>
    <t>http://static.cninfo.com.cn/finalpage/2017-09-26/1203999347.PDF</t>
  </si>
  <si>
    <t>9:00-17:00</t>
  </si>
  <si>
    <t>http://data.eastmoney.com/notices/detail/300382/AN201609090017573211,JUU2JTk2JUFGJUU4JThFJUIxJUU1JTg1JThC.html</t>
  </si>
  <si>
    <t>http://static.cninfo.com.cn/finalpage/2016-09-27/1202731175.PDF</t>
  </si>
  <si>
    <t>http://data.eastmoney.com/notices/detail/002414/AN201609260017741688,JUU5JUFCJTk4JUU1JUJFJUI3JUU3JUJBJUEyJUU1JUE0JTk2.html</t>
  </si>
  <si>
    <t>http://static.cninfo.com.cn/finalpage/2017-09-27/1204004792.PDF</t>
  </si>
  <si>
    <t>http://data.eastmoney.com/notices/detail/000536/AN201609290019986639,JUU1JThEJThFJUU2JTk4JUEwJUU3JUE3JTkxJUU2JThBJTgw.html</t>
  </si>
  <si>
    <t>http://static.cninfo.com.cn/finalpage/2017-09-29/1204012049.PDF</t>
  </si>
  <si>
    <t>http://data.eastmoney.com/notices/detail/300262/AN201609260017740644,JUU1JUI3JUI0JUU1JUFFJTg5JUU2JUIwJUI0JUU1JThBJUEx.html</t>
  </si>
  <si>
    <t>http://static.cninfo.com.cn/finalpage/2017-09-28/1204007220.PDF</t>
  </si>
  <si>
    <t>http://data.eastmoney.com/notices/detail/002194/AN201609270017756122,JUU2JUFEJUE2JUU2JUIxJTg5JUU1JTg3JUExJUU4JUIwJUI3.html</t>
  </si>
  <si>
    <t>http://static.cninfo.com.cn/finalpage/2017-09-28/1204007345.PDF</t>
  </si>
  <si>
    <t>http://data.eastmoney.com/notices/detail/600410/AN201610130021842615,JUU1JThEJThFJUU4JTgzJTlDJUU1JUE0JUE5JUU2JTg4JTkw.html</t>
  </si>
  <si>
    <t>http://static.cninfo.com.cn/finalpage/2017-09-30/1204014516.PDF</t>
  </si>
  <si>
    <t>http://static.cninfo.com.cn/finalpage/2017-10-09/1204016243.PDF</t>
  </si>
  <si>
    <t>http://static.cninfo.com.cn/finalpage/2017-10-12/1204030631.PDF</t>
  </si>
  <si>
    <t>http://data.eastmoney.com/notices/detail/002298/AN201610100021790351,JUU0JUI4JUFEJUU3JTk0JUI1JUU1JTg1JUI0JUU1JThGJTkx.html</t>
  </si>
  <si>
    <t>http://static.cninfo.com.cn/finalpage/2017-10-12/1204030483.PDF</t>
  </si>
  <si>
    <t>http://data.eastmoney.com/notices/detail/002132/AN201610110021804309,JUU2JTgxJTkyJUU2JTk4JTlGJUU3JUE3JTkxJUU2JThBJTgw.html</t>
  </si>
  <si>
    <t>http://static.cninfo.com.cn/finalpage/2017-10-10/1204020926.PDF</t>
  </si>
  <si>
    <t>http://data.eastmoney.com/notices/detail/000949/AN201610110021804883,JUU2JTk2JUIwJUU0JUI5JUExJUU1JThDJTk2JUU3JUJBJUE0.html</t>
  </si>
  <si>
    <t>http://static.cninfo.com.cn/finalpage/2017-10-17/1204045647.PDF</t>
  </si>
  <si>
    <t>http://data.eastmoney.com/notices/detail/002169/AN201610100021793220,JUU2JTk5JUJBJUU1JTg1JTg5JUU3JTk0JUI1JUU2JUIwJTk0.html</t>
  </si>
  <si>
    <t>http://static.cninfo.com.cn/finalpage/2017-10-12/1204030203.PDF</t>
  </si>
  <si>
    <t>http://data.eastmoney.com/notices/detail/600200/AN201610140021860995,JUU2JUIxJTlGJUU4JThCJThGJUU1JTkwJUI0JUU0JUI4JUFE.html</t>
  </si>
  <si>
    <t>截至12:00</t>
  </si>
  <si>
    <t>http://static.cninfo.com.cn/finalpage/2017-10-10/1204020997.PDF</t>
  </si>
  <si>
    <t>综合</t>
  </si>
  <si>
    <t>追加2016年9月19日-22日12:00</t>
  </si>
  <si>
    <t>http://data.eastmoney.com/notices/detail/300142/AN201610120021827689,JUU2JUIyJTgzJUU2JUEzJUFFJUU3JTk0JTlGJUU3JTg5JUE5.html</t>
  </si>
  <si>
    <t>http://static.cninfo.com.cn/finalpage/2017-10-11/1204030228.PDF</t>
  </si>
  <si>
    <t>http://data.eastmoney.com/notices/detail/000521/AN201610120021829005,JUU5JTk1JUJGJUU4JTk5JUI5JUU3JUJFJThFJUU4JThGJUIx.html</t>
  </si>
  <si>
    <t>http://static.cninfo.com.cn/finalpage/2017-10-13/1204033452.PDF</t>
  </si>
  <si>
    <t>http://data.eastmoney.com/notices/detail/002626/AN201610130021841505,JUU5JTg3JTkxJUU4JUJFJUJFJUU1JUE4JTgx.html</t>
  </si>
  <si>
    <t>http://static.cninfo.com.cn/finalpage/2017-10-12/1204030117.PDF</t>
  </si>
  <si>
    <t>食品制造业</t>
  </si>
  <si>
    <t>http://data.eastmoney.com/notices/detail/300259/AN201609260017740522,JUU2JTk2JUIwJUU1JUE0JUE5JUU3JUE3JTkxJUU2JThBJTgw.html</t>
  </si>
  <si>
    <t>http://static.cninfo.com.cn/finalpage/2017-10-13/1204039909.PDF</t>
  </si>
  <si>
    <t>http://data.eastmoney.com/notices/detail/002155/AN201610130021842518,JUU2JUI5JTk2JUU1JThEJTk3JUU5JUJCJTg0JUU5JTg3JTkx.html</t>
  </si>
  <si>
    <t>http://static.cninfo.com.cn/finalpage/2017-10-16/1204039477.PDF</t>
  </si>
  <si>
    <t>http://static.cninfo.com.cn/finalpage/2017-10-17/1204046213.PDF</t>
  </si>
  <si>
    <t>http://data.eastmoney.com/notices/detail/000703/AN201610170021883073,JUU2JTgxJTkyJUU5JTgwJUI4JUU3JTlGJUIzJUU1JThDJTk2.html</t>
  </si>
  <si>
    <t>http://static.cninfo.com.cn/finalpage/2017-10-25/1204064611.PDF</t>
  </si>
  <si>
    <t>http://data.eastmoney.com/notices/detail/300421/AN201610120021826883,JUU1JThBJTlCJUU2JTk4JTlGJUU4JTgyJUExJUU0JUJCJUJE.html</t>
  </si>
  <si>
    <t>http://static.cninfo.com.cn/finalpage/2017-10-19/1204054370.PDF</t>
  </si>
  <si>
    <t>http://data.eastmoney.com/notices/detail/002226/AN201610180021906800,JUU2JUIxJTlGJUU1JThEJTk3JUU1JThDJTk2JUU1JUI3JUE1.html</t>
  </si>
  <si>
    <t>9:30-12:30</t>
  </si>
  <si>
    <t>http://static.cninfo.com.cn/finalpage/2017-10-18/1204049202.PDF</t>
  </si>
  <si>
    <t>截止12:30</t>
  </si>
  <si>
    <t>截止16:00</t>
  </si>
  <si>
    <t>截止15:00</t>
  </si>
  <si>
    <t>http://data.eastmoney.com/notices/detail/002221/AN201610190021926690,JUU0JUI4JTlDJUU1JThEJThFJUU4JTgzJUJEJUU2JUJBJTkw.html</t>
  </si>
  <si>
    <t>http://static.cninfo.com.cn/finalpage/2017-10-19/1204052199.PDF</t>
  </si>
  <si>
    <t>http://data.eastmoney.com/notices/detail/300458/AN201610180021906989,JUU1JTg1JUE4JUU1JUJGJTk3JUU3JUE3JTkxJUU2JThBJTgw.html</t>
  </si>
  <si>
    <t>http://static.cninfo.com.cn/finalpage/2017-10-19/1204052281.PDF</t>
  </si>
  <si>
    <t>http://data.eastmoney.com/notices/detail/600515/AN201610250024633930,JUU2JUI1JUI3JUU4JTg4JUFBJUU1JTlGJUJBJUU3JUExJTgw.html</t>
  </si>
  <si>
    <t>http://static.cninfo.com.cn/finalpage/2017-10-19/1204052750.PDF</t>
  </si>
  <si>
    <t>http://static.cninfo.com.cn/finalpage/2017-10-20/1204054214.PDF</t>
  </si>
  <si>
    <t>http://static.cninfo.com.cn/finalpage/2017-10-23/1204056809.PDF</t>
  </si>
  <si>
    <t>文化艺术业</t>
  </si>
  <si>
    <t>http://data.eastmoney.com/notices/detail/300184/AN201610240022291003,JUU1JThBJTlCJUU2JUJBJTkwJUU0JUJGJUExJUU2JTgxJUFG.html</t>
  </si>
  <si>
    <t>http://static.cninfo.com.cn/finalpage/2016-10-24/1202781250.PDF</t>
  </si>
  <si>
    <t>http://data.eastmoney.com/notices/detail/300012/AN201610120021826888,JUU1JThEJThFJUU2JUI1JThCJUU2JUEzJTgwJUU2JUI1JThC.html</t>
  </si>
  <si>
    <t>http://static.cninfo.com.cn/finalpage/2017-10-25/1204064776.PDF</t>
  </si>
  <si>
    <t>http://data.eastmoney.com/notices/detail/002609/AN201610240022322095,JUU2JThEJUI3JUU5JUExJUJBJUU3JUE3JTkxJUU2JThBJTgw.html</t>
  </si>
  <si>
    <t>http://static.cninfo.com.cn/finalpage/2017-10-24/1204060847.PDF</t>
  </si>
  <si>
    <t>http://data.eastmoney.com/notices/detail/002170/AN201610260027378690,JUU4JThBJUFEJUU3JTk0JUIwJUU4JTgyJUExJUU0JUJCJUJE.html</t>
  </si>
  <si>
    <t>http://static.cninfo.com.cn/finalpage/2017-10-26/1204069613.PDF</t>
  </si>
  <si>
    <t>http://data.eastmoney.com/notices/detail/300134/AN201610100021791228,JUU1JUE0JUE3JUU1JUFGJThDJUU3JUE3JTkxJUU2JThBJTgw.html</t>
  </si>
  <si>
    <t>http://static.cninfo.com.cn/finalpage/2016-10-26/1202785938.PDF</t>
  </si>
  <si>
    <t>13:00-15:00</t>
  </si>
  <si>
    <t>http://data.eastmoney.com/notices/detail/002130/AN201610270031027129,JUU2JUIyJTgzJUU1JUIwJTk0JUU2JUEwJUI4JUU2JTlEJTkw.html</t>
  </si>
  <si>
    <t>http://static.cninfo.com.cn/finalpage/2017-10-27/1204079429.PDF</t>
  </si>
  <si>
    <t>http://data.eastmoney.com/notices/detail/300252/AN201610160021869938,JUU5JTg3JTkxJUU0JUJGJUExJUU4JUFGJUJB.html</t>
  </si>
  <si>
    <t>http://static.cninfo.com.cn/finalpage/2017-10-27/1204080496.PDF</t>
  </si>
  <si>
    <t>http://data.eastmoney.com/notices/detail/002374/AN201610310042233218,JUU0JUI4JUJEJUU5JUI5JThGJUU4JTgyJUExJUU0JUJCJUJE.html</t>
  </si>
  <si>
    <t>http://static.cninfo.com.cn/finalpage/2017-10-30/1204084934.PDF</t>
  </si>
  <si>
    <t>http://data.eastmoney.com/notices/detail/300213/AN201610310042211572,JUU0JUJEJUIzJUU4JUFFJUFGJUU5JUEzJTlFJUU5JUI4JUJG.html</t>
  </si>
  <si>
    <t>http://static.cninfo.com.cn/finalpage/2017-11-08/1204122724.PDF</t>
  </si>
  <si>
    <t>http://data.eastmoney.com/notices/detail/300422/AN201609290019911886,JUU1JThEJTlBJUU0JUI4JTk2JUU3JUE3JTkx.html</t>
  </si>
  <si>
    <t>http://static.cninfo.com.cn/finalpage/2017-10-31/1204096898.PDF</t>
  </si>
  <si>
    <t>http://data.eastmoney.com/notices/detail/002517/AN201611010045037778,JUU2JTgxJUJBJUU4JThCJUIxJUU3JUJEJTkxJUU3JUJCJTlD.html</t>
  </si>
  <si>
    <t>http://static.cninfo.com.cn/finalpage/2017-11-01/1204102749.PDF</t>
  </si>
  <si>
    <t>http://data.eastmoney.com/notices/detail/000656/AN201611010045108251,JUU5JTg3JTkxJUU3JUE3JTkxJUU4JTgyJUExJUU0JUJCJUJE.html</t>
  </si>
  <si>
    <t>http://static.cninfo.com.cn/finalpage/2017-10-31/1204096814.PDF</t>
  </si>
  <si>
    <t>http://pdf.dfcfw.com/pdf/H2_AN201611070072304045_1.pdf</t>
  </si>
  <si>
    <t>http://static.cninfo.com.cn/finalpage/2017-10-31/1204098608.PDF</t>
  </si>
  <si>
    <t>http://data.eastmoney.com/notices/detail/002073/AN201611020049571784,JUU4JUJEJUFGJUU2JThFJUE3JUU4JTgyJUExJUU0JUJCJUJE.html</t>
  </si>
  <si>
    <t>http://static.cninfo.com.cn/finalpage/2017-11-03/1204108807.PDF</t>
  </si>
  <si>
    <t>http://data.eastmoney.com/notices/detail/600676/AN201611110086069003,JUU0JUJBJUE0JUU4JUJGJTkwJUU4JTgyJUExJUU0JUJCJUJE.html</t>
  </si>
  <si>
    <t>http://static.cninfo.com.cn/finalpage/2017-11-03/1204109339.PDF</t>
  </si>
  <si>
    <t>道路运输业</t>
  </si>
  <si>
    <t>http://static.cninfo.com.cn/finalpage/2017-11-07/1204114205.PDF</t>
  </si>
  <si>
    <t>http://data.eastmoney.com/notices/detail/300316/AN201610280034178207,JUU2JTk5JUI2JUU3JTlCJTlCJUU2JTlDJUJBJUU3JTk0JUI1.html</t>
  </si>
  <si>
    <t>http://static.cninfo.com.cn/finalpage/2016-11-08/1202820187.PDF</t>
  </si>
  <si>
    <t>http://data.eastmoney.com/notices/detail/002310/AN201611090077040483,JUU0JUI4JTlDJUU2JTk2JUI5JUU1JTlCJUFEJUU2JTlFJTk3.html</t>
  </si>
  <si>
    <t>http://static.cninfo.com.cn/finalpage/2017-11-10/1204129109.PDF</t>
  </si>
  <si>
    <t>http://data.eastmoney.com/notices/detail/002494/AN201611080074075480,JUU1JThEJThFJUU2JTk2JUFGJUU4JTgyJUExJUU0JUJCJUJE.html</t>
  </si>
  <si>
    <t>http://static.cninfo.com.cn/finalpage/2017-11-10/1204128837.PDF</t>
  </si>
  <si>
    <t>皮革、毛皮、羽毛及其制品和制鞋业</t>
  </si>
  <si>
    <t>http://static.cninfo.com.cn/finalpage/2017-11-09/1204125822.PDF</t>
  </si>
  <si>
    <t>http://static.cninfo.com.cn/finalpage/2017-11-10/1204129280.PDF</t>
  </si>
  <si>
    <t>http://static.cninfo.com.cn/finalpage/2017-11-10/1204128897.PDF</t>
  </si>
  <si>
    <t>http://data.eastmoney.com/notices/detail/002303/AN201611100081072868,JUU3JUJFJThFJUU3JTlCJTg4JUU2JUEzJUFF.html</t>
  </si>
  <si>
    <t>http://static.cninfo.com.cn/finalpage/2017-11-13/1204131821.PDF</t>
  </si>
  <si>
    <t>追加认购2016年10月17日-21日</t>
  </si>
  <si>
    <t>beidi</t>
  </si>
  <si>
    <t>9:00 至 12:00</t>
    <phoneticPr fontId="4" type="noConversion"/>
  </si>
  <si>
    <t>http://data.eastmoney.com/notices/detail/300352/AN201611100081187916,JUU1JThDJTk3JUU0JUJGJUExJUU2JUJBJTkw.html</t>
  </si>
  <si>
    <t>9:00-12:00</t>
    <phoneticPr fontId="4" type="noConversion"/>
  </si>
  <si>
    <t>http://www.cninfo.com.cn/new/disclosure/detail?plate=szse&amp;orgId=9900004648&amp;stockCode=002239&amp;announcementId=1204131834&amp;announcementTime=2017-11-12%2008:00</t>
  </si>
  <si>
    <t>10转18股派0.6元</t>
    <phoneticPr fontId="4" type="noConversion"/>
  </si>
  <si>
    <t>http://www.cninfo.com.cn/new/disclosure/detail?plate=szse&amp;orgId=9900003402&amp;stockCode=002150&amp;announcementId=1204131835&amp;announcementTime=2017-11-12%2008:00</t>
  </si>
  <si>
    <t>10派1.5元</t>
  </si>
  <si>
    <t>http://www.cninfo.com.cn/new/disclosure/detail?plate=szse&amp;orgId=9900004605&amp;stockCode=002235&amp;announcementId=1204136390&amp;announcementTime=2017-11-13%2008:00</t>
  </si>
  <si>
    <t>http://www.cninfo.com.cn/new/disclosure/detail?plate=szse&amp;orgId=9900016929&amp;stockCode=002537&amp;announcementId=1204144750&amp;announcementTime=2017-11-16%2008:00</t>
  </si>
  <si>
    <t>10转12股派0.5元</t>
    <phoneticPr fontId="4" type="noConversion"/>
  </si>
  <si>
    <t>http://www.cninfo.com.cn/new/disclosure/detail?plate=szse&amp;orgId=gssz0000901&amp;stockCode=000901&amp;announcementId=1204144921&amp;announcementTime=2017-11-16%2008:00</t>
  </si>
  <si>
    <t>http://www.cninfo.com.cn/new/disclosure/detail?plate=szse&amp;orgId=9900022562&amp;stockCode=300367&amp;announcementId=1204171724&amp;announcementTime=2017-11-27%2008:00</t>
    <phoneticPr fontId="4" type="noConversion"/>
  </si>
  <si>
    <t>http://www.cninfo.com.cn/new/disclosure/detail?plate=szse&amp;orgId=gssz0000807&amp;stockCode=000807&amp;announcementId=1204144948&amp;announcementTime=2017-11-16%2008:00</t>
  </si>
  <si>
    <t>http://www.cninfo.com.cn/new/disclosure/detail?plate=szse&amp;orgId=9900023611&amp;stockCode=002776&amp;announcementId=1204151048&amp;announcementTime=2017-11-19%2008:00</t>
  </si>
  <si>
    <t>10派0.7元</t>
  </si>
  <si>
    <t>沧州明珠</t>
    <phoneticPr fontId="4" type="noConversion"/>
  </si>
  <si>
    <t>http://www.cninfo.com.cn/new/disclosure/detail?plate=szse&amp;orgId=9900002002&amp;stockCode=002108&amp;announcementId=1204144604&amp;announcementTime=2017-11-16%2008:00</t>
  </si>
  <si>
    <t>10转7股派1.6元</t>
    <phoneticPr fontId="4" type="noConversion"/>
  </si>
  <si>
    <t>9:00-11:30</t>
    <phoneticPr fontId="4" type="noConversion"/>
  </si>
  <si>
    <t>http://www.cninfo.com.cn/new/disclosure/detail?plate=szse&amp;orgId=9900021171&amp;stockCode=002605&amp;announcementId=1204163525&amp;announcementTime=2017-11-23%2008:00</t>
  </si>
  <si>
    <t>http://www.cninfo.com.cn/new/disclosure/detail?plate=szse&amp;orgId=9900022707&amp;stockCode=002675&amp;announcementId=1204174588&amp;announcementTime=2017-11-28%2008:00</t>
  </si>
  <si>
    <t>http://www.cninfo.com.cn/new/disclosure/detail?plate=szse&amp;orgId=gssz0000939&amp;stockCode=000939&amp;announcementId=1204232751&amp;announcementTime=2017-12-15%2008:00</t>
  </si>
  <si>
    <t>http://www.cninfo.com.cn/new/disclosure/detail?plate=szse&amp;orgId=9900021727&amp;stockCode=300324&amp;announcementId=1204196011&amp;announcementTime=2017-12-05%2008:00</t>
  </si>
  <si>
    <t>http://www.cninfo.com.cn/new/disclosure/detail?plate=szse&amp;orgId=9900009149&amp;stockCode=300247&amp;announcementId=1204183843&amp;announcementTime=2017-12-03%2008:00</t>
    <phoneticPr fontId="4" type="noConversion"/>
  </si>
  <si>
    <t>http://www.cninfo.com.cn/new/disclosure/detail?plate=szse&amp;orgId=9900022368&amp;stockCode=002669&amp;announcementId=1204178284&amp;announcementTime=2017-11-30%2008:00</t>
  </si>
  <si>
    <t>10派0.72元</t>
  </si>
  <si>
    <t>http://www.cninfo.com.cn/new/disclosure/detail?plate=sse&amp;orgId=gssh0600114&amp;stockCode=600114&amp;announcementId=1204185225&amp;announcementTime=2017-12-01%2008:00</t>
  </si>
  <si>
    <t>10派2.0元</t>
  </si>
  <si>
    <t>http://www.cninfo.com.cn/new/disclosure/detail?plate=sse&amp;orgId=9900023248&amp;stockCode=603555&amp;announcementId=1204177320&amp;announcementTime=2017-11-29%2008:00</t>
  </si>
  <si>
    <t>10派4.5元</t>
  </si>
  <si>
    <t>http://data.eastmoney.com/notices/detail/300053/AN201612060162823874,JUU2JUFDJUE3JUU2JUFGJTk0JUU3JTg5JUI5.html</t>
  </si>
  <si>
    <t>http://data.eastmoney.com/notices/detail/600072/AN201612080171150312,JUU0JUI4JUFEJUU4JTg4JUI5JUU3JUE3JTkxJUU2JThBJTgw.html</t>
    <phoneticPr fontId="4" type="noConversion"/>
  </si>
  <si>
    <t>http://www.cninfo.com.cn/new/disclosure/detail?plate=sse&amp;orgId=gssh0600072&amp;stockCode=600072&amp;announcementId=1204185273&amp;announcementTime=2017-12-01%2008:00</t>
  </si>
  <si>
    <t>http://www.cninfo.com.cn/new/disclosure/detail?plate=szse&amp;orgId=9900004894&amp;stockCode=002251&amp;announcementId=1204194736&amp;announcementTime=2017-12-05%2008:00</t>
  </si>
  <si>
    <t>10派1.0元</t>
  </si>
  <si>
    <t>http://data.eastmoney.com/notices/detail/300248/AN201612050159829610,JUU2JTk2JUIwJUU1JUJDJTgwJUU2JTk5JUFF.html</t>
  </si>
  <si>
    <t>http://www.cninfo.com.cn/new/disclosure/detail?plate=szse&amp;orgId=9900018728&amp;stockCode=300366&amp;announcementId=1204232541&amp;announcementTime=2017-12-15%2008:00</t>
    <phoneticPr fontId="4" type="noConversion"/>
  </si>
  <si>
    <t>10转10股派1.0元</t>
    <phoneticPr fontId="4" type="noConversion"/>
  </si>
  <si>
    <t>http://www.cninfo.com.cn/new/disclosure/detail?plate=sse&amp;orgId=gssh0600633&amp;stockCode=600633&amp;announcementId=1204217950&amp;announcementTime=2017-12-12%2008:00</t>
  </si>
  <si>
    <t>http://www.cninfo.com.cn/new/disclosure/detail?plate=szse&amp;orgId=9900018893&amp;stockCode=002568&amp;announcementId=1204220587&amp;announcementTime=2017-12-13%2008:00</t>
  </si>
  <si>
    <t>酒、饮料和精制茶制造业</t>
  </si>
  <si>
    <t>http://www.cninfo.com.cn/new/disclosure/detail?plate=sse&amp;orgId=gssh0600531&amp;stockCode=600531&amp;announcementId=1204214502&amp;announcementTime=2017-12-11%2008:00</t>
  </si>
  <si>
    <t>http://www.cninfo.com.cn/new/disclosure/detail?plate=sse&amp;orgId=9900013088&amp;stockCode=601000&amp;announcementId=1204218100&amp;announcementTime=2017-12-12%2008:00</t>
  </si>
  <si>
    <t>http://www.cninfo.com.cn/new/disclosure/detail?plate=sse&amp;orgId=gssh0600771&amp;stockCode=600771&amp;announcementId=1204232848&amp;announcementTime=2017-12-15%2008:00</t>
  </si>
  <si>
    <t>http://www.cninfo.com.cn/new/disclosure/detail?plate=szse&amp;orgId=gssz0000903&amp;stockCode=000903&amp;announcementId=1204242293&amp;announcementTime=2017-12-20%2008:00</t>
  </si>
  <si>
    <t>10送3股转7股派0.8元</t>
    <phoneticPr fontId="4" type="noConversion"/>
  </si>
  <si>
    <t>http://www.cninfo.com.cn/new/disclosure/detail?plate=sse&amp;orgId=9900023781&amp;stockCode=603799&amp;announcementId=1204233014&amp;announcementTime=2017-12-15%2008:00</t>
  </si>
  <si>
    <t>http://www.cninfo.com.cn/new/disclosure/detail?plate=sse&amp;orgId=gssh0600169&amp;stockCode=600169&amp;announcementId=1204237063&amp;announcementTime=2017-12-18%2008:00</t>
  </si>
  <si>
    <t>http://www.cninfo.com.cn/new/disclosure/detail?plate=szse&amp;orgId=9900022219&amp;stockCode=300349&amp;announcementId=1204242819&amp;announcementTime=2017-12-20%2008:00</t>
  </si>
  <si>
    <t>http://www.cninfo.com.cn/new/disclosure/detail?plate=szse&amp;orgId=9900010329&amp;stockCode=002344&amp;announcementId=1204343186&amp;announcementTime=2018-01-18%2008:00</t>
  </si>
  <si>
    <t>http://www.cninfo.com.cn/new/disclosure/detail?plate=szse&amp;orgId=9900023171&amp;stockCode=002717&amp;announcementId=1204297905&amp;announcementTime=2018-01-02%2008:00</t>
  </si>
  <si>
    <t>10派1.25元</t>
  </si>
  <si>
    <t>http://data.eastmoney.com/notices/detail/300319/AN201612220209026117,JUU5JUJBJUE2JUU2JThEJUI3JUU3JUE3JTkxJUU2JThBJTgw.html</t>
  </si>
  <si>
    <t>http://www.cninfo.com.cn/new/disclosure/detail?plate=szse&amp;orgId=gssz0000065&amp;stockCode=000065&amp;announcementId=1204250698&amp;announcementTime=2017-12-22%2008:00</t>
  </si>
  <si>
    <t>10派0.9元</t>
  </si>
  <si>
    <t>http://www.cninfo.com.cn/new/disclosure/detail?plate=szse&amp;orgId=9900023753&amp;stockCode=002770&amp;announcementId=1204249557&amp;announcementTime=2017-12-24%2008:00</t>
  </si>
  <si>
    <t>10转9股派0.24元</t>
    <phoneticPr fontId="4" type="noConversion"/>
  </si>
  <si>
    <t>http://www.cninfo.com.cn/new/disclosure/detail?plate=sse&amp;orgId=gssh0600438&amp;stockCode=600438&amp;announcementId=1204254343&amp;announcementTime=2017-12-25%2008:00</t>
  </si>
  <si>
    <t>http://www.cninfo.com.cn/new/disclosure/detail?plate=sse&amp;orgId=gssh0600960&amp;stockCode=600960&amp;announcementId=1204249996&amp;announcementTime=2017-12-22%2008:00</t>
  </si>
  <si>
    <t>10派0.26元</t>
  </si>
  <si>
    <t>http://www.cninfo.com.cn/new/disclosure/detail?plate=sse&amp;orgId=gssh0600336&amp;stockCode=600336&amp;announcementId=1204249951&amp;announcementTime=2017-12-22%2008:00</t>
  </si>
  <si>
    <t>http://www.cninfo.com.cn/new/disclosure/detail?plate=szse&amp;orgId=gssz0000555&amp;stockCode=000555&amp;announcementId=1204336219&amp;announcementTime=2018-01-16%2008:00</t>
  </si>
  <si>
    <t>http://www.cninfo.com.cn/new/disclosure/detail?plate=szse&amp;orgId=gssz0000875&amp;stockCode=000875&amp;announcementId=1204304640&amp;announcementTime=2018-01-04%2008:00</t>
  </si>
  <si>
    <t>http://www.cninfo.com.cn/new/disclosure/detail?plate=sse&amp;orgId=gssh0600699&amp;stockCode=600699&amp;announcementId=1204273313&amp;announcementTime=2017-12-27%2008:00</t>
  </si>
  <si>
    <t>10派2.0元</t>
    <phoneticPr fontId="4" type="noConversion"/>
  </si>
  <si>
    <t>http://www.cninfo.com.cn/new/disclosure/detail?plate=sse&amp;orgId=9900008087&amp;stockCode=601618&amp;announcementId=1204298973&amp;announcementTime=2018-01-02%2008:00</t>
  </si>
  <si>
    <t>10派0.6元</t>
    <phoneticPr fontId="4" type="noConversion"/>
  </si>
  <si>
    <t>http://www.cninfo.com.cn/new/disclosure/detail?plate=szse&amp;orgId=gssz0000426&amp;stockCode=000426&amp;announcementId=1204304683&amp;announcementTime=2018-01-04%2008:00</t>
  </si>
  <si>
    <t>10派0.2元</t>
    <phoneticPr fontId="4" type="noConversion"/>
  </si>
  <si>
    <t>http://www.cninfo.com.cn/new/disclosure/detail?plate=szse&amp;orgId=9900001583&amp;stockCode=002093&amp;announcementId=1204302188&amp;announcementTime=2018-01-03%2008:00</t>
  </si>
  <si>
    <t>10派0.1元</t>
    <phoneticPr fontId="4" type="noConversion"/>
  </si>
  <si>
    <t>http://www.cninfo.com.cn/new/disclosure/detail?plate=szse&amp;orgId=9900003434&amp;stockCode=002157&amp;announcementId=1204309952&amp;announcementTime=2018-01-07%2008:00</t>
  </si>
  <si>
    <t>10派0.5元</t>
    <phoneticPr fontId="4" type="noConversion"/>
  </si>
  <si>
    <t>http://www.cninfo.com.cn/new/disclosure/detail?plate=sse&amp;orgId=gssh0600258&amp;stockCode=600258&amp;announcementId=1204295965&amp;announcementTime=2018-01-01%2008:00</t>
    <phoneticPr fontId="4" type="noConversion"/>
  </si>
  <si>
    <t>10转2股派0.1元</t>
    <phoneticPr fontId="4" type="noConversion"/>
  </si>
  <si>
    <t>住宿业</t>
  </si>
  <si>
    <t>http://www.cninfo.com.cn/new/disclosure/detail?plate=szse&amp;orgId=9900004262&amp;stockCode=002217&amp;announcementId=1204312570&amp;announcementTime=2018-01-08%2008:00</t>
  </si>
  <si>
    <t>10转10股派0.84元</t>
    <phoneticPr fontId="4" type="noConversion"/>
  </si>
  <si>
    <t>http://www.cninfo.com.cn/new/disclosure/detail?plate=szse&amp;orgId=gssz0000851&amp;stockCode=000851&amp;announcementId=1204332012&amp;announcementTime=2018-01-15%2008:00</t>
  </si>
  <si>
    <t>10派0.2元</t>
  </si>
  <si>
    <t>http://www.cninfo.com.cn/new/disclosure/detail?plate=sse&amp;orgId=gssh0600309&amp;stockCode=600309&amp;announcementId=1204319051&amp;announcementTime=2018-01-10%2008:00</t>
  </si>
  <si>
    <t>10送2股派5.0元</t>
    <phoneticPr fontId="4" type="noConversion"/>
  </si>
  <si>
    <t>http://www.cninfo.com.cn/new/disclosure/detail?plate=szse&amp;orgId=gssz0000909&amp;stockCode=000909&amp;announcementId=36533668&amp;announcementTime=2008-01-08%2014:30</t>
  </si>
  <si>
    <t>10派0.35元</t>
  </si>
  <si>
    <t>http://www.cninfo.com.cn/new/disclosure/detail?plate=szse&amp;orgId=9900004895&amp;stockCode=002250&amp;announcementId=1204331873&amp;announcementTime=2018-01-15%2008:00</t>
  </si>
  <si>
    <t>http://www.cninfo.com.cn/new/disclosure/detail?plate=szse&amp;orgId=gssz0000862&amp;stockCode=000862&amp;announcementId=1204357285&amp;announcementTime=2018-01-23%2008:00</t>
  </si>
  <si>
    <t>http://www.cninfo.com.cn/new/disclosure/detail?plate=sse&amp;orgId=gssh0600104&amp;stockCode=600104&amp;announcementId=1204326998&amp;announcementTime=2018-01-12%2008:00</t>
  </si>
  <si>
    <t>10派16.5元</t>
  </si>
  <si>
    <t>http://www.cninfo.com.cn/new/disclosure/detail?plate=szse&amp;orgId=gssz0002040&amp;stockCode=002040&amp;announcementId=1204336158&amp;announcementTime=2018-01-16%2008:00</t>
  </si>
  <si>
    <t>http://www.cninfo.com.cn/new/disclosure/detail?plate=szse&amp;orgId=9900012452&amp;stockCode=300099&amp;announcementId=1204332344&amp;announcementTime=2018-01-15%2008:00</t>
    <phoneticPr fontId="4" type="noConversion"/>
  </si>
  <si>
    <t>http://www.cninfo.com.cn/new/disclosure/detail?plate=szse&amp;orgId=9900003622&amp;stockCode=002171&amp;announcementId=1204343044&amp;announcementTime=2018-01-18%2008:00</t>
  </si>
  <si>
    <t>http://www.cninfo.com.cn/new/disclosure/detail?plate=szse&amp;orgId=gssz0000767&amp;stockCode=000767&amp;announcementId=1204359541&amp;announcementTime=2018-01-24%2008:00</t>
  </si>
  <si>
    <t>http://www.cninfo.com.cn/new/disclosure/detail?plate=szse&amp;orgId=9900015790&amp;stockCode=002501&amp;announcementId=1204428376&amp;announcementTime=2018-02-22%2008:00</t>
  </si>
  <si>
    <t>http://www.cninfo.com.cn/new/disclosure/detail?plate=szse&amp;orgId=9900008269&amp;stockCode=300003&amp;announcementId=1203036620&amp;announcementTime=2017-01-20%2008:00</t>
  </si>
  <si>
    <t>10派0.98元</t>
  </si>
  <si>
    <t>http://www.cninfo.com.cn/new/disclosure/detail?plate=szse&amp;orgId=gssz0000519&amp;stockCode=000519&amp;announcementId=1204372498&amp;announcementTime=2018-01-29%2008:00</t>
  </si>
  <si>
    <t>http://www.cninfo.com.cn/new/disclosure/detail?plate=sse&amp;orgId=gssh0600967&amp;stockCode=600967&amp;announcementId=1204390381&amp;announcementTime=2018-02-02%2008:00</t>
  </si>
  <si>
    <t>预计募集（亿）</t>
    <phoneticPr fontId="4" type="noConversion"/>
  </si>
  <si>
    <t>发行时间</t>
  </si>
  <si>
    <t>二级市场价格</t>
    <phoneticPr fontId="4" type="noConversion"/>
  </si>
  <si>
    <t>发行价格</t>
    <phoneticPr fontId="4" type="noConversion"/>
  </si>
  <si>
    <t>解禁日期</t>
    <phoneticPr fontId="4" type="noConversion"/>
  </si>
  <si>
    <t>601555</t>
  </si>
  <si>
    <t>2016年1月7日9:00-12:00</t>
  </si>
  <si>
    <t>600340</t>
  </si>
  <si>
    <t>2016年1月12日9:00-12:00</t>
  </si>
  <si>
    <t>600468</t>
  </si>
  <si>
    <t>2016年1月13日9:00-12:00</t>
  </si>
  <si>
    <t>000977</t>
  </si>
  <si>
    <t>2016年1月8日9:00-12:00</t>
  </si>
  <si>
    <t>000046</t>
  </si>
  <si>
    <t>600876</t>
  </si>
  <si>
    <t>2016年1月20日9:00-12:00</t>
  </si>
  <si>
    <t>002195</t>
  </si>
  <si>
    <t>2016年1月18日9:00-12:00</t>
  </si>
  <si>
    <t>600328</t>
  </si>
  <si>
    <t>2016年1月26日9:00-12:00</t>
  </si>
  <si>
    <t>300409</t>
  </si>
  <si>
    <t>2016年1月14日9:00-12:00</t>
  </si>
  <si>
    <t>002444</t>
  </si>
  <si>
    <t>2016年1月5日9:00-12:00</t>
  </si>
  <si>
    <t>002280</t>
  </si>
  <si>
    <t>2016年1月15日9:00-12:00</t>
  </si>
  <si>
    <t>002249</t>
  </si>
  <si>
    <t>2016年1月11日9:00-12:00</t>
  </si>
  <si>
    <t>600756</t>
  </si>
  <si>
    <t>2016年2月1日10:00-13:00</t>
  </si>
  <si>
    <t>000701</t>
  </si>
  <si>
    <t>002590</t>
  </si>
  <si>
    <t>002462</t>
  </si>
  <si>
    <t>2016年1月21日9:00-12:00</t>
  </si>
  <si>
    <t>601599</t>
  </si>
  <si>
    <t>2016年2月19日8:30-11:30</t>
  </si>
  <si>
    <t>002657</t>
  </si>
  <si>
    <t>2016年1月22日9:00-12:00</t>
  </si>
  <si>
    <t>000791</t>
  </si>
  <si>
    <t>2016年1月28日9:00-12:00</t>
  </si>
  <si>
    <t>300253</t>
  </si>
  <si>
    <t>2016年2月25日9:00-12:00</t>
  </si>
  <si>
    <t>300197</t>
  </si>
  <si>
    <t>2016年2月24日9:00-12:00</t>
  </si>
  <si>
    <t>002610</t>
  </si>
  <si>
    <t>300182</t>
  </si>
  <si>
    <t>002176</t>
  </si>
  <si>
    <t>2016年3月3日8:00-11:00</t>
  </si>
  <si>
    <t>2016年3月3日15:45-17:15</t>
  </si>
  <si>
    <t>002292</t>
  </si>
  <si>
    <t>2016年3月4日9:00-12:00</t>
  </si>
  <si>
    <t>600393</t>
  </si>
  <si>
    <t>2016年3月25日8:30-11:30</t>
  </si>
  <si>
    <t>002244</t>
  </si>
  <si>
    <t>2016年3月10日9:00-12:00</t>
  </si>
  <si>
    <t>300180</t>
  </si>
  <si>
    <t>2016年3月8日13:00-17:00</t>
  </si>
  <si>
    <t>002722</t>
  </si>
  <si>
    <t>2016年2月26日13:00-17:00</t>
  </si>
  <si>
    <t>002441</t>
  </si>
  <si>
    <t>2016年3月15日9:00-12:00</t>
  </si>
  <si>
    <t>300250</t>
  </si>
  <si>
    <t>2016年3月16日9:00-12:00</t>
  </si>
  <si>
    <t>002706</t>
  </si>
  <si>
    <t>300377</t>
  </si>
  <si>
    <t>2016年3月14日9:00-12:00</t>
  </si>
  <si>
    <t>300113</t>
  </si>
  <si>
    <t>2016年3月8日9:00-12:00</t>
  </si>
  <si>
    <t>600177</t>
  </si>
  <si>
    <t>2016年4月1日13:00-16:00</t>
  </si>
  <si>
    <t>000735</t>
  </si>
  <si>
    <t>2016年3月17日12:00-15:00</t>
  </si>
  <si>
    <t>002139</t>
  </si>
  <si>
    <t>2016年3月23日13:00-16:00</t>
  </si>
  <si>
    <t>002027</t>
  </si>
  <si>
    <t>2016年3月18日9:00-12:00</t>
  </si>
  <si>
    <t>300236</t>
  </si>
  <si>
    <t>002380</t>
  </si>
  <si>
    <t>002617</t>
  </si>
  <si>
    <t>2016年3月24日13:00-16:00</t>
  </si>
  <si>
    <t>000961</t>
  </si>
  <si>
    <t>2016年3月23日9:00-15:00</t>
  </si>
  <si>
    <t>300388</t>
  </si>
  <si>
    <t>2016年3月30日9:00-12:00</t>
  </si>
  <si>
    <t>300304</t>
  </si>
  <si>
    <t>2016年3月29日9:00-12:00</t>
  </si>
  <si>
    <t>002546</t>
  </si>
  <si>
    <t>000690</t>
  </si>
  <si>
    <t>2016年4月1日9:00-12:00</t>
  </si>
  <si>
    <t>300343</t>
  </si>
  <si>
    <t>2016年4月7日9:00-12:00</t>
  </si>
  <si>
    <t>300287</t>
  </si>
  <si>
    <t>000887</t>
  </si>
  <si>
    <t>2016年4月12日9:00-12:00</t>
  </si>
  <si>
    <t>300055</t>
  </si>
  <si>
    <t>2016年4月13日9:00-12:00</t>
  </si>
  <si>
    <t>002607</t>
  </si>
  <si>
    <t>2016年4月12日09:00-12:00</t>
  </si>
  <si>
    <t>300342</t>
  </si>
  <si>
    <t xml:space="preserve">2016年4月15日9:00-12:00 </t>
  </si>
  <si>
    <t>002335</t>
  </si>
  <si>
    <t xml:space="preserve">2016年4月13日9:00-12:00 </t>
  </si>
  <si>
    <t>002654</t>
  </si>
  <si>
    <t xml:space="preserve">2016年4月18日9:00-12:00 </t>
  </si>
  <si>
    <t>300266</t>
  </si>
  <si>
    <t xml:space="preserve">2016年4月14日9:00-12:00 </t>
  </si>
  <si>
    <t>002425</t>
  </si>
  <si>
    <t xml:space="preserve">2016年4月12日13:00-16:00 </t>
  </si>
  <si>
    <t>601222</t>
  </si>
  <si>
    <t>2016年4月19日9:00-12:00</t>
  </si>
  <si>
    <t>2016年4月20日15:00-15:30</t>
  </si>
  <si>
    <t>2016年4月21日16:00-17:00</t>
  </si>
  <si>
    <t>603885</t>
  </si>
  <si>
    <t xml:space="preserve">2016年4月28日9:00-12:00 </t>
  </si>
  <si>
    <t xml:space="preserve">2016年5月4日9:00-17:00 </t>
  </si>
  <si>
    <t>300433</t>
  </si>
  <si>
    <t xml:space="preserve">2016年3月23日9:00-12:00 </t>
  </si>
  <si>
    <t xml:space="preserve">2016年4月7日13:00-16:00 </t>
  </si>
  <si>
    <t>603601</t>
  </si>
  <si>
    <t>2016年4月25日9:00-12:00</t>
  </si>
  <si>
    <t>600346</t>
  </si>
  <si>
    <t xml:space="preserve">2016年4月26日9:00-12:00 </t>
  </si>
  <si>
    <t>600566</t>
  </si>
  <si>
    <t xml:space="preserve">2016年4月27日9:00-12:00 </t>
  </si>
  <si>
    <t>300420</t>
  </si>
  <si>
    <t>2016年4月20日9:00-11:30, 13:00-15:30</t>
  </si>
  <si>
    <t>000420</t>
  </si>
  <si>
    <t xml:space="preserve">2016年4月22日13:00-16:00 </t>
  </si>
  <si>
    <t>300059</t>
  </si>
  <si>
    <t>2016年4月27日9:00-12:00</t>
  </si>
  <si>
    <t>300157</t>
  </si>
  <si>
    <t xml:space="preserve">2016年4月18日13:00-17:00 </t>
  </si>
  <si>
    <t>300166</t>
  </si>
  <si>
    <t xml:space="preserve">2016年4月15日13:00-16:00 </t>
  </si>
  <si>
    <t>300410</t>
  </si>
  <si>
    <t xml:space="preserve">2016年4月27日8:00-11:00 </t>
  </si>
  <si>
    <t>300301</t>
  </si>
  <si>
    <t xml:space="preserve">2016年4月20日9:00-12:00 </t>
  </si>
  <si>
    <t>002558</t>
  </si>
  <si>
    <t xml:space="preserve">2016年4月20日9:00-11:00 </t>
  </si>
  <si>
    <t>600811</t>
  </si>
  <si>
    <t xml:space="preserve">2016年5月16日9:00-12:00 </t>
  </si>
  <si>
    <t>300279</t>
  </si>
  <si>
    <t xml:space="preserve">2016年4月22日9:00-12:00 </t>
  </si>
  <si>
    <t>002745</t>
  </si>
  <si>
    <t xml:space="preserve">2016年5月6日9:00-12:00 </t>
  </si>
  <si>
    <t>300190</t>
  </si>
  <si>
    <t>2016年5月3日14:00-17:00</t>
  </si>
  <si>
    <t>600157</t>
  </si>
  <si>
    <t>2016年5月20日9:00-12:00</t>
  </si>
  <si>
    <t>300005</t>
  </si>
  <si>
    <t xml:space="preserve">2016年5月9日9:00-12:00 </t>
  </si>
  <si>
    <t>000631</t>
  </si>
  <si>
    <t>2016年5月19日9:00-12:00</t>
  </si>
  <si>
    <t>601567</t>
  </si>
  <si>
    <t>2016年5月25日13:00-17:00</t>
  </si>
  <si>
    <t>002259</t>
  </si>
  <si>
    <t xml:space="preserve">2016年5月10日9:00-12:00 </t>
  </si>
  <si>
    <t>601233</t>
  </si>
  <si>
    <t xml:space="preserve">2016年5月25日14:00-17:00 </t>
  </si>
  <si>
    <t>300185</t>
  </si>
  <si>
    <t>2016年5月9日9:00-12:00</t>
  </si>
  <si>
    <t xml:space="preserve">2016年5月17日13:00-14:00 </t>
  </si>
  <si>
    <t xml:space="preserve">2016年5月18日10:00-12:00 </t>
  </si>
  <si>
    <t>300419</t>
  </si>
  <si>
    <t xml:space="preserve">2016年5月19日9:00-12:00 </t>
  </si>
  <si>
    <t>002094</t>
  </si>
  <si>
    <t xml:space="preserve">2016年4月28日13:00-16:00 </t>
  </si>
  <si>
    <t>300383</t>
  </si>
  <si>
    <t>2016年5月23日9:00-12:00</t>
  </si>
  <si>
    <t>603118</t>
  </si>
  <si>
    <t>2016年6月2日9:00-12:00</t>
  </si>
  <si>
    <t>600048</t>
  </si>
  <si>
    <t>2016年6月7日9:00-12:00</t>
  </si>
  <si>
    <t>002277</t>
  </si>
  <si>
    <t>2016年5月17日9:00-12:00</t>
  </si>
  <si>
    <t>000530</t>
  </si>
  <si>
    <t xml:space="preserve">2016年5月24日9:00-12:00 </t>
  </si>
  <si>
    <t>300031</t>
  </si>
  <si>
    <t xml:space="preserve">2016年5月19日8:30-11:30 </t>
  </si>
  <si>
    <t>300219</t>
  </si>
  <si>
    <t>2016年5月24日9:00-12:00</t>
  </si>
  <si>
    <t>002600</t>
  </si>
  <si>
    <t>002077</t>
  </si>
  <si>
    <t>300021</t>
  </si>
  <si>
    <t>002223</t>
  </si>
  <si>
    <t>2016年6月6日9:00-12:00</t>
  </si>
  <si>
    <t>002432</t>
  </si>
  <si>
    <t>2016年6月13日9:00-12:00</t>
  </si>
  <si>
    <t>600438</t>
  </si>
  <si>
    <t xml:space="preserve">2016年6月17日9:00-12:00 </t>
  </si>
  <si>
    <t>603019</t>
  </si>
  <si>
    <t xml:space="preserve">2016年6月3日9:00-12:00 </t>
  </si>
  <si>
    <t>没有提供追加申购的日期</t>
  </si>
  <si>
    <t>000591</t>
  </si>
  <si>
    <t>2016年4月8日9:00-12:00</t>
  </si>
  <si>
    <t>600376</t>
  </si>
  <si>
    <t xml:space="preserve">2016年6月21日13:00-16:00 </t>
  </si>
  <si>
    <t>603009</t>
  </si>
  <si>
    <t xml:space="preserve">2016年6月17日8:30-11:30 </t>
  </si>
  <si>
    <t>600115</t>
  </si>
  <si>
    <t>2016年6月16日9:00-12:00</t>
  </si>
  <si>
    <t>2016年6月23日9:00-17:00</t>
  </si>
  <si>
    <t>2016年6月24日12:00</t>
  </si>
  <si>
    <t>603021</t>
  </si>
  <si>
    <t xml:space="preserve">2016年6月16日9:00-12:00 </t>
  </si>
  <si>
    <t>600575</t>
  </si>
  <si>
    <t>002305</t>
  </si>
  <si>
    <t xml:space="preserve">2016年6月14日9:00-12:00 </t>
  </si>
  <si>
    <t>002087</t>
  </si>
  <si>
    <t xml:space="preserve">2016年6月13日9:00-12:00 </t>
  </si>
  <si>
    <t>600482</t>
  </si>
  <si>
    <t>600567</t>
  </si>
  <si>
    <t xml:space="preserve">2016年6月27日9:00-12:00 </t>
  </si>
  <si>
    <t>600869</t>
  </si>
  <si>
    <t>300010</t>
  </si>
  <si>
    <t xml:space="preserve">2016年6月6日9:00-12:00 </t>
  </si>
  <si>
    <t>300353</t>
  </si>
  <si>
    <t>2016年6月14日8:00-11:30</t>
  </si>
  <si>
    <t>300313</t>
  </si>
  <si>
    <t xml:space="preserve">2016年6月15日13:00-17:00 </t>
  </si>
  <si>
    <t>300429</t>
  </si>
  <si>
    <t xml:space="preserve">2016年4月20日9:30-11:30 </t>
  </si>
  <si>
    <t>300269</t>
  </si>
  <si>
    <t xml:space="preserve">2016年6月14日9:30-11:30 </t>
  </si>
  <si>
    <t>300274</t>
  </si>
  <si>
    <t>2016年6月22日9:00-12:00</t>
  </si>
  <si>
    <t>002147</t>
  </si>
  <si>
    <t>603128</t>
  </si>
  <si>
    <t xml:space="preserve">2016年7月6日9:00-12:00 </t>
  </si>
  <si>
    <t>002639</t>
  </si>
  <si>
    <t>2016年6月22日10:00-15:00</t>
  </si>
  <si>
    <t>002206</t>
  </si>
  <si>
    <t xml:space="preserve">2016年6月24日9:00-12:00 </t>
  </si>
  <si>
    <t>300317</t>
  </si>
  <si>
    <t>2016年6月21日9:00-12:01</t>
  </si>
  <si>
    <t>002620</t>
  </si>
  <si>
    <t>600151</t>
  </si>
  <si>
    <t>2016年7月8日13:00-16:00</t>
  </si>
  <si>
    <t>603939</t>
  </si>
  <si>
    <t xml:space="preserve">2016年7月12日9:00-12:00 </t>
  </si>
  <si>
    <t>002718</t>
  </si>
  <si>
    <t xml:space="preserve">2016年6月30日9:00-12:00 </t>
  </si>
  <si>
    <t>002594</t>
  </si>
  <si>
    <t xml:space="preserve">2016年7月4日9:00-12:00 </t>
  </si>
  <si>
    <t>300032</t>
  </si>
  <si>
    <t>2016年6月30日9:00-12:00</t>
  </si>
  <si>
    <t>600074</t>
  </si>
  <si>
    <t>2016年7月15日9:00-12:00</t>
  </si>
  <si>
    <t>300351</t>
  </si>
  <si>
    <t>2016年7月1日9:00-12:00</t>
  </si>
  <si>
    <t>000040</t>
  </si>
  <si>
    <t>2016年6月23日9:00-12:00</t>
  </si>
  <si>
    <t>600568</t>
  </si>
  <si>
    <t>2016年7月18日9:00-12:00</t>
  </si>
  <si>
    <t>300297</t>
  </si>
  <si>
    <t>2016年6月21日9:00-12:00</t>
  </si>
  <si>
    <t>002604</t>
  </si>
  <si>
    <t>2016年7月8日9:00-12:00</t>
  </si>
  <si>
    <t>000055</t>
  </si>
  <si>
    <t>2016年7月12日9:00-12:00</t>
  </si>
  <si>
    <t>002572</t>
  </si>
  <si>
    <t xml:space="preserve">2016年7月6日13:00-17:00 </t>
  </si>
  <si>
    <t>300355</t>
  </si>
  <si>
    <t>2016年7月4日9:00-12:00</t>
  </si>
  <si>
    <t>000783</t>
  </si>
  <si>
    <t>2016年7月14日9:00-17:00</t>
  </si>
  <si>
    <t>600185</t>
  </si>
  <si>
    <t xml:space="preserve">2016年7月27日8:30-11:30 </t>
  </si>
  <si>
    <t>002413</t>
  </si>
  <si>
    <t xml:space="preserve">2016年7月8日13:00-16:00 </t>
  </si>
  <si>
    <t>300104</t>
  </si>
  <si>
    <t xml:space="preserve">2016年7月8日9:00-12:00 </t>
  </si>
  <si>
    <t>300047</t>
  </si>
  <si>
    <t>2016年7月27日9:00-12:00</t>
  </si>
  <si>
    <t>002149</t>
  </si>
  <si>
    <t>2016年7月21日9:00-12:00</t>
  </si>
  <si>
    <t>300364</t>
  </si>
  <si>
    <t>2016年7月22日9:00-12:00</t>
  </si>
  <si>
    <t>002092</t>
  </si>
  <si>
    <t xml:space="preserve">2016年7月14日9:00-11:30 </t>
  </si>
  <si>
    <t>600418</t>
  </si>
  <si>
    <t>2016年8月2日9:00-12:00</t>
  </si>
  <si>
    <t>300123</t>
  </si>
  <si>
    <t xml:space="preserve">2016年7月22日8:30-11:30 </t>
  </si>
  <si>
    <t>002193</t>
  </si>
  <si>
    <t xml:space="preserve">2016年7月26日9:00-12:00 </t>
  </si>
  <si>
    <t>601799</t>
  </si>
  <si>
    <t xml:space="preserve">2016年8月2日9:00-12:00 </t>
  </si>
  <si>
    <t>002643</t>
  </si>
  <si>
    <t xml:space="preserve">2016年7月29日9:00-11:30 </t>
  </si>
  <si>
    <t>601137</t>
  </si>
  <si>
    <t xml:space="preserve">2016年7月28日9:00-12:00 </t>
  </si>
  <si>
    <t>600327</t>
  </si>
  <si>
    <t xml:space="preserve">2016年8月8日8:30-11:30 </t>
  </si>
  <si>
    <t>600497</t>
    <phoneticPr fontId="139" type="noConversion"/>
  </si>
  <si>
    <t>2016年4月11日9:00-12:00</t>
    <phoneticPr fontId="139" type="noConversion"/>
  </si>
  <si>
    <t>2016年4月22日截止17:00</t>
    <phoneticPr fontId="139" type="noConversion"/>
  </si>
  <si>
    <t xml:space="preserve">http://static.cninfo.com.cn/finalpage/2016-08-17/1202571100.PDF </t>
  </si>
  <si>
    <t xml:space="preserve">http://static.cninfo.com.cn/finalpage/2016-06-24/1202394305.PDF </t>
  </si>
  <si>
    <t>http://static.cninfo.com.cn/finalpage/2016-05-10/1202313415.PDF</t>
  </si>
  <si>
    <t>http://static.cninfo.com.cn/finalpage/2016-08-10/1202551248.PDF</t>
    <phoneticPr fontId="139" type="noConversion"/>
  </si>
  <si>
    <t>2016年1月7日9:00-12:00</t>
    <phoneticPr fontId="1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</si>
</sst>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76" formatCode="_(&quot;$&quot;* #,##0.00_);_(&quot;$&quot;* \(#,##0.00\);_(&quot;$&quot;* &quot;-&quot;??_);_(@_)"/>
    <numFmt numFmtId="177" formatCode="_(* #,##0.00_);_(* \(#,##0.00\);_(* &quot;-&quot;??_);_(@_)"/>
    <numFmt numFmtId="178" formatCode="yyyy\-mm\-dd"/>
    <numFmt numFmtId="179" formatCode="#,##0.00_ "/>
    <numFmt numFmtId="180" formatCode="0.0_ "/>
    <numFmt numFmtId="181" formatCode="0.00_ "/>
    <numFmt numFmtId="182" formatCode="#,##0.0000"/>
    <numFmt numFmtId="183" formatCode="#,##0.000000"/>
    <numFmt numFmtId="184" formatCode="0.0"/>
    <numFmt numFmtId="185" formatCode="0.00000"/>
    <numFmt numFmtId="186" formatCode="h:mm:ss;@"/>
    <numFmt numFmtId="187" formatCode="0.0000000000"/>
    <numFmt numFmtId="188" formatCode="0.000"/>
    <numFmt numFmtId="189" formatCode="0.0000"/>
    <numFmt numFmtId="190" formatCode="#,##0.0"/>
    <numFmt numFmtId="191" formatCode="#,##0.000"/>
    <numFmt numFmtId="192" formatCode="0_ "/>
    <numFmt numFmtId="193" formatCode="0.00_);[Red]\(0.00\)"/>
    <numFmt numFmtId="194" formatCode="yyyy\-mm\-dd;@"/>
    <numFmt numFmtId="195" formatCode="h:mm;@"/>
    <numFmt numFmtId="196" formatCode="yyyy&quot;年&quot;m&quot;月&quot;d&quot;日&quot;;@"/>
  </numFmts>
  <fonts count="157">
    <font>
      <sz val="11"/>
      <color theme="1"/>
      <name val="DengXian"/>
      <family val="2"/>
      <charset val="134"/>
      <scheme val="minor"/>
    </font>
    <font>
      <sz val="12"/>
      <color theme="1"/>
      <name val="DengXian"/>
      <family val="2"/>
      <scheme val="minor"/>
    </font>
    <font>
      <sz val="12"/>
      <color theme="1"/>
      <name val="DengXian"/>
      <family val="2"/>
      <scheme val="minor"/>
    </font>
    <font>
      <sz val="12"/>
      <color theme="1"/>
      <name val="DengXian"/>
      <family val="2"/>
      <scheme val="minor"/>
    </font>
    <font>
      <sz val="12"/>
      <color theme="1"/>
      <name val="DengXian"/>
      <family val="2"/>
      <scheme val="minor"/>
    </font>
    <font>
      <sz val="11"/>
      <color theme="1"/>
      <name val="DengXian"/>
      <family val="2"/>
      <charset val="134"/>
      <scheme val="minor"/>
    </font>
    <font>
      <u/>
      <sz val="11"/>
      <color theme="10"/>
      <name val="DengXian"/>
      <family val="2"/>
      <charset val="134"/>
      <scheme val="minor"/>
    </font>
    <font>
      <sz val="11"/>
      <name val="SimSun"/>
      <family val="3"/>
      <charset val="134"/>
    </font>
    <font>
      <sz val="10.5"/>
      <name val="SimSun"/>
      <family val="3"/>
      <charset val="134"/>
    </font>
    <font>
      <sz val="11"/>
      <color theme="0" tint="-4.9989318521683403E-2"/>
      <name val="DengXian"/>
      <family val="2"/>
      <charset val="134"/>
      <scheme val="minor"/>
    </font>
    <font>
      <b/>
      <sz val="11"/>
      <color theme="0" tint="-4.9989318521683403E-2"/>
      <name val="Microsoft JhengHei"/>
      <family val="2"/>
      <charset val="136"/>
    </font>
    <font>
      <b/>
      <sz val="11"/>
      <color theme="0" tint="-4.9989318521683403E-2"/>
      <name val="Microsoft JhengHei"/>
      <family val="2"/>
    </font>
    <font>
      <b/>
      <sz val="11"/>
      <color theme="0" tint="-4.9989318521683403E-2"/>
      <name val="Times New Roman"/>
      <family val="1"/>
    </font>
    <font>
      <b/>
      <sz val="12"/>
      <color theme="0" tint="-4.9989318521683403E-2"/>
      <name val="Microsoft JhengHei"/>
      <family val="2"/>
      <charset val="136"/>
    </font>
    <font>
      <b/>
      <sz val="12"/>
      <color theme="0" tint="-4.9989318521683403E-2"/>
      <name val="Microsoft JhengHei"/>
      <family val="2"/>
    </font>
    <font>
      <sz val="11"/>
      <color theme="0" tint="-4.9989318521683403E-2"/>
      <name val="Times New Roman"/>
      <family val="2"/>
    </font>
    <font>
      <sz val="11"/>
      <color theme="0" tint="-4.9989318521683403E-2"/>
      <name val="SimSun"/>
      <family val="3"/>
      <charset val="134"/>
    </font>
    <font>
      <sz val="12"/>
      <color theme="0" tint="-4.9989318521683403E-2"/>
      <name val="Times New Roman"/>
      <family val="2"/>
    </font>
    <font>
      <sz val="12"/>
      <color theme="0" tint="-4.9989318521683403E-2"/>
      <name val="SimSun"/>
      <family val="3"/>
      <charset val="134"/>
    </font>
    <font>
      <sz val="12"/>
      <color theme="0" tint="-4.9989318521683403E-2"/>
      <name val="Times New Roman"/>
      <family val="1"/>
    </font>
    <font>
      <b/>
      <sz val="10.5"/>
      <color theme="0" tint="-4.9989318521683403E-2"/>
      <name val="Times New Roman"/>
      <family val="1"/>
    </font>
    <font>
      <sz val="10.5"/>
      <color theme="0" tint="-4.9989318521683403E-2"/>
      <name val="Times New Roman"/>
      <family val="2"/>
    </font>
    <font>
      <sz val="10.5"/>
      <color theme="0" tint="-4.9989318521683403E-2"/>
      <name val="SimSun"/>
      <family val="3"/>
      <charset val="134"/>
    </font>
    <font>
      <b/>
      <sz val="10.5"/>
      <color theme="0" tint="-4.9989318521683403E-2"/>
      <name val="Microsoft JhengHei"/>
      <family val="2"/>
      <charset val="136"/>
    </font>
    <font>
      <b/>
      <sz val="10.5"/>
      <color theme="0" tint="-4.9989318521683403E-2"/>
      <name val="Microsoft JhengHei"/>
      <family val="2"/>
    </font>
    <font>
      <b/>
      <sz val="10.5"/>
      <color theme="0" tint="-4.9989318521683403E-2"/>
      <name val="Arial"/>
      <family val="2"/>
    </font>
    <font>
      <sz val="10.5"/>
      <color theme="0" tint="-4.9989318521683403E-2"/>
      <name val="Calibri"/>
      <family val="2"/>
    </font>
    <font>
      <sz val="10.5"/>
      <color theme="0" tint="-4.9989318521683403E-2"/>
      <name val="Arial"/>
      <family val="2"/>
    </font>
    <font>
      <b/>
      <sz val="9"/>
      <color theme="0" tint="-4.9989318521683403E-2"/>
      <name val="Microsoft JhengHei"/>
      <family val="2"/>
      <charset val="136"/>
    </font>
    <font>
      <b/>
      <sz val="9"/>
      <color theme="0" tint="-4.9989318521683403E-2"/>
      <name val="Microsoft JhengHei"/>
      <family val="2"/>
    </font>
    <font>
      <b/>
      <sz val="9"/>
      <color theme="0" tint="-4.9989318521683403E-2"/>
      <name val="Times New Roman"/>
      <family val="1"/>
    </font>
    <font>
      <sz val="9"/>
      <color theme="0" tint="-4.9989318521683403E-2"/>
      <name val="SimSun"/>
      <family val="3"/>
      <charset val="134"/>
    </font>
    <font>
      <sz val="9"/>
      <color theme="0" tint="-4.9989318521683403E-2"/>
      <name val="Times New Roman"/>
      <family val="2"/>
    </font>
    <font>
      <sz val="10"/>
      <name val="SimSun"/>
      <family val="3"/>
      <charset val="134"/>
    </font>
    <font>
      <sz val="10"/>
      <color theme="0" tint="-4.9989318521683403E-2"/>
      <name val="Times New Roman"/>
      <family val="1"/>
    </font>
    <font>
      <sz val="10"/>
      <color theme="0" tint="-4.9989318521683403E-2"/>
      <name val="SimSun"/>
      <family val="3"/>
      <charset val="134"/>
    </font>
    <font>
      <b/>
      <sz val="10"/>
      <color theme="0" tint="-4.9989318521683403E-2"/>
      <name val="Microsoft JhengHei"/>
      <family val="2"/>
      <charset val="136"/>
    </font>
    <font>
      <b/>
      <sz val="10"/>
      <color theme="0" tint="-4.9989318521683403E-2"/>
      <name val="Microsoft JhengHei"/>
      <family val="2"/>
    </font>
    <font>
      <sz val="10.5"/>
      <color theme="1"/>
      <name val="Times New Roman"/>
      <family val="2"/>
    </font>
    <font>
      <sz val="10"/>
      <color theme="1"/>
      <name val="Times New Roman"/>
      <family val="1"/>
    </font>
    <font>
      <sz val="11"/>
      <color theme="1"/>
      <name val="SimSun"/>
      <family val="3"/>
      <charset val="134"/>
    </font>
    <font>
      <sz val="11"/>
      <color theme="1"/>
      <name val="Times New Roman"/>
      <family val="2"/>
    </font>
    <font>
      <sz val="10"/>
      <color rgb="FF000000"/>
      <name val="SimSun"/>
      <family val="2"/>
    </font>
    <font>
      <b/>
      <sz val="10"/>
      <color theme="0" tint="-4.9989318521683403E-2"/>
      <name val="Times New Roman"/>
      <family val="1"/>
    </font>
    <font>
      <sz val="11"/>
      <color theme="0" tint="-4.9989318521683403E-2"/>
      <name val="Arial"/>
      <family val="2"/>
    </font>
    <font>
      <sz val="10.5"/>
      <color theme="0" tint="-4.9989318521683403E-2"/>
      <name val="Times New Roman"/>
      <family val="1"/>
    </font>
    <font>
      <sz val="22"/>
      <color theme="0" tint="-4.9989318521683403E-2"/>
      <name val="SimSun"/>
      <family val="3"/>
      <charset val="134"/>
    </font>
    <font>
      <b/>
      <u/>
      <sz val="9"/>
      <color theme="0" tint="-4.9989318521683403E-2"/>
      <name val="Microsoft JhengHei"/>
      <family val="2"/>
    </font>
    <font>
      <sz val="11"/>
      <color theme="0" tint="-4.9989318521683403E-2"/>
      <name val="Times New Roman"/>
      <family val="1"/>
    </font>
    <font>
      <sz val="10"/>
      <name val="Arial"/>
      <family val="2"/>
    </font>
    <font>
      <sz val="10"/>
      <color theme="0" tint="-4.9989318521683403E-2"/>
      <name val="Arial"/>
      <family val="2"/>
    </font>
    <font>
      <b/>
      <sz val="10.5"/>
      <color theme="0" tint="-4.9989318521683403E-2"/>
      <name val="Microsoft YaHei"/>
      <family val="2"/>
    </font>
    <font>
      <sz val="10.5"/>
      <name val="Microsoft JhengHei"/>
      <family val="2"/>
    </font>
    <font>
      <b/>
      <sz val="12"/>
      <color theme="0" tint="-4.9989318521683403E-2"/>
      <name val="Microsoft YaHei"/>
      <family val="2"/>
    </font>
    <font>
      <b/>
      <sz val="12"/>
      <color theme="0" tint="-4.9989318521683403E-2"/>
      <name val="Times New Roman"/>
      <family val="1"/>
    </font>
    <font>
      <b/>
      <sz val="10.5"/>
      <color theme="0" tint="-4.9989318521683403E-2"/>
      <name val="Calibri"/>
      <family val="2"/>
    </font>
    <font>
      <b/>
      <sz val="10"/>
      <color theme="0" tint="-4.9989318521683403E-2"/>
      <name val="Arial"/>
      <family val="2"/>
    </font>
    <font>
      <sz val="11"/>
      <color theme="1"/>
      <name val="DengXian"/>
      <family val="2"/>
      <scheme val="minor"/>
    </font>
    <font>
      <sz val="11"/>
      <name val="DengXian"/>
      <family val="2"/>
      <scheme val="minor"/>
    </font>
    <font>
      <sz val="11"/>
      <color theme="1"/>
      <name val="Calibri"/>
      <family val="2"/>
      <charset val="134"/>
    </font>
    <font>
      <u/>
      <sz val="12"/>
      <color theme="10"/>
      <name val="DengXian"/>
      <family val="2"/>
      <scheme val="minor"/>
    </font>
    <font>
      <u/>
      <sz val="11"/>
      <color theme="10"/>
      <name val="DengXian"/>
      <family val="2"/>
      <scheme val="minor"/>
    </font>
    <font>
      <sz val="11"/>
      <color rgb="FF000000"/>
      <name val="DengXian"/>
      <family val="2"/>
      <scheme val="minor"/>
    </font>
    <font>
      <b/>
      <sz val="11"/>
      <color theme="1"/>
      <name val="DengXian"/>
      <family val="2"/>
      <scheme val="minor"/>
    </font>
    <font>
      <b/>
      <sz val="11"/>
      <name val="DengXian"/>
      <family val="2"/>
      <scheme val="minor"/>
    </font>
    <font>
      <sz val="11"/>
      <color theme="1"/>
      <name val="宋体"/>
      <family val="3"/>
      <charset val="134"/>
    </font>
    <font>
      <sz val="11"/>
      <name val="宋体"/>
      <family val="3"/>
      <charset val="134"/>
    </font>
    <font>
      <u/>
      <sz val="11"/>
      <name val="DengXian"/>
      <family val="2"/>
      <scheme val="minor"/>
    </font>
    <font>
      <i/>
      <sz val="11"/>
      <name val="DengXian"/>
      <family val="2"/>
      <scheme val="minor"/>
    </font>
    <font>
      <sz val="11"/>
      <color rgb="FF484848"/>
      <name val="宋体"/>
      <family val="3"/>
      <charset val="134"/>
    </font>
    <font>
      <sz val="9"/>
      <color theme="0" tint="-4.9989318521683403E-2"/>
      <name val="宋体"/>
      <family val="3"/>
      <charset val="134"/>
    </font>
    <font>
      <sz val="9"/>
      <color theme="0" tint="-4.9989318521683403E-2"/>
      <name val="Times New Roman"/>
      <family val="1"/>
    </font>
    <font>
      <sz val="8"/>
      <color theme="0" tint="-4.9989318521683403E-2"/>
      <name val="宋体"/>
      <family val="3"/>
      <charset val="134"/>
    </font>
    <font>
      <sz val="11"/>
      <color theme="0" tint="-4.9989318521683403E-2"/>
      <name val="宋体"/>
      <family val="3"/>
      <charset val="134"/>
    </font>
    <font>
      <sz val="10"/>
      <color theme="0" tint="-4.9989318521683403E-2"/>
      <name val="宋体"/>
      <family val="3"/>
      <charset val="134"/>
    </font>
    <font>
      <sz val="10.5"/>
      <color theme="0" tint="-4.9989318521683403E-2"/>
      <name val="宋体"/>
      <family val="3"/>
      <charset val="134"/>
    </font>
    <font>
      <sz val="14"/>
      <color theme="0" tint="-4.9989318521683403E-2"/>
      <name val="宋体"/>
      <family val="3"/>
      <charset val="134"/>
    </font>
    <font>
      <sz val="14.5"/>
      <color theme="0" tint="-4.9989318521683403E-2"/>
      <name val="宋体"/>
      <family val="3"/>
      <charset val="134"/>
    </font>
    <font>
      <b/>
      <sz val="10.5"/>
      <color theme="0" tint="-4.9989318521683403E-2"/>
      <name val="宋体"/>
      <family val="3"/>
      <charset val="134"/>
    </font>
    <font>
      <b/>
      <sz val="4.5"/>
      <color theme="0" tint="-4.9989318521683403E-2"/>
      <name val="Microsoft JhengHei"/>
      <family val="2"/>
    </font>
    <font>
      <b/>
      <sz val="5"/>
      <color theme="0" tint="-4.9989318521683403E-2"/>
      <name val="Microsoft JhengHei"/>
      <family val="2"/>
    </font>
    <font>
      <sz val="7"/>
      <color theme="0" tint="-4.9989318521683403E-2"/>
      <name val="宋体"/>
      <family val="3"/>
      <charset val="134"/>
    </font>
    <font>
      <sz val="13.5"/>
      <color theme="0" tint="-4.9989318521683403E-2"/>
      <name val="宋体"/>
      <family val="3"/>
      <charset val="134"/>
    </font>
    <font>
      <sz val="7.5"/>
      <color theme="0" tint="-4.9989318521683403E-2"/>
      <name val="宋体"/>
      <family val="3"/>
      <charset val="134"/>
    </font>
    <font>
      <b/>
      <sz val="7"/>
      <color theme="0" tint="-4.9989318521683403E-2"/>
      <name val="Microsoft JhengHei"/>
      <family val="2"/>
    </font>
    <font>
      <sz val="12"/>
      <color theme="0" tint="-4.9989318521683403E-2"/>
      <name val="宋体"/>
      <family val="3"/>
      <charset val="134"/>
    </font>
    <font>
      <sz val="13"/>
      <color theme="0" tint="-4.9989318521683403E-2"/>
      <name val="宋体"/>
      <family val="3"/>
      <charset val="134"/>
    </font>
    <font>
      <sz val="12.5"/>
      <color theme="0" tint="-4.9989318521683403E-2"/>
      <name val="宋体"/>
      <family val="3"/>
      <charset val="134"/>
    </font>
    <font>
      <sz val="8.5"/>
      <color theme="0" tint="-4.9989318521683403E-2"/>
      <name val="宋体"/>
      <family val="3"/>
      <charset val="134"/>
    </font>
    <font>
      <sz val="10.5"/>
      <color theme="1"/>
      <name val="Times New Roman"/>
      <family val="1"/>
    </font>
    <font>
      <sz val="10.5"/>
      <color theme="1"/>
      <name val="宋体"/>
      <family val="3"/>
      <charset val="134"/>
    </font>
    <font>
      <b/>
      <sz val="5.5"/>
      <color theme="1"/>
      <name val="Microsoft JhengHei"/>
      <family val="2"/>
      <charset val="136"/>
    </font>
    <font>
      <b/>
      <sz val="14.5"/>
      <color theme="1"/>
      <name val="Microsoft JhengHei"/>
      <family val="2"/>
      <charset val="136"/>
    </font>
    <font>
      <b/>
      <sz val="10"/>
      <color theme="1"/>
      <name val="Microsoft JhengHei"/>
      <family val="2"/>
      <charset val="136"/>
    </font>
    <font>
      <b/>
      <sz val="5"/>
      <color theme="1"/>
      <name val="Microsoft JhengHei"/>
      <family val="2"/>
      <charset val="136"/>
    </font>
    <font>
      <b/>
      <sz val="9.5"/>
      <color theme="1"/>
      <name val="Microsoft JhengHei"/>
      <family val="2"/>
      <charset val="136"/>
    </font>
    <font>
      <sz val="9.5"/>
      <color theme="1"/>
      <name val="Microsoft JhengHei"/>
      <family val="2"/>
      <charset val="136"/>
    </font>
    <font>
      <b/>
      <sz val="10.5"/>
      <color rgb="FF000000"/>
      <name val="Microsoft JhengHei"/>
      <family val="2"/>
      <charset val="136"/>
    </font>
    <font>
      <b/>
      <sz val="10.5"/>
      <color theme="1"/>
      <name val="Microsoft JhengHei"/>
      <family val="2"/>
      <charset val="136"/>
    </font>
    <font>
      <sz val="10.5"/>
      <color theme="1"/>
      <name val="Arial"/>
      <family val="2"/>
    </font>
    <font>
      <sz val="5.5"/>
      <color theme="1"/>
      <name val="Arial"/>
      <family val="2"/>
    </font>
    <font>
      <sz val="11"/>
      <color theme="1"/>
      <name val="Calibri"/>
      <family val="2"/>
    </font>
    <font>
      <sz val="15"/>
      <color theme="0" tint="-4.9989318521683403E-2"/>
      <name val="宋体"/>
      <family val="3"/>
      <charset val="134"/>
    </font>
    <font>
      <b/>
      <sz val="10"/>
      <color theme="0" tint="-4.9989318521683403E-2"/>
      <name val="宋体"/>
      <family val="3"/>
      <charset val="134"/>
    </font>
    <font>
      <b/>
      <sz val="10.5"/>
      <color theme="0" tint="-4.9989318521683403E-2"/>
      <name val="微软雅黑"/>
      <family val="2"/>
      <charset val="134"/>
    </font>
    <font>
      <sz val="11.5"/>
      <color theme="0" tint="-4.9989318521683403E-2"/>
      <name val="宋体"/>
      <family val="3"/>
      <charset val="134"/>
    </font>
    <font>
      <b/>
      <u/>
      <sz val="9"/>
      <color theme="0" tint="-4.9989318521683403E-2"/>
      <name val="Times New Roman"/>
      <family val="1"/>
    </font>
    <font>
      <sz val="9"/>
      <color theme="0" tint="-4.9989318521683403E-2"/>
      <name val="Microsoft JhengHei"/>
      <family val="2"/>
      <charset val="136"/>
    </font>
    <font>
      <sz val="9"/>
      <color theme="0" tint="-4.9989318521683403E-2"/>
      <name val="Microsoft JhengHei"/>
      <family val="2"/>
    </font>
    <font>
      <sz val="10.5"/>
      <color theme="0" tint="-4.9989318521683403E-2"/>
      <name val="Microsoft JhengHei"/>
      <family val="2"/>
    </font>
    <font>
      <sz val="11"/>
      <color theme="0" tint="-4.9989318521683403E-2"/>
      <name val="Microsoft JhengHei"/>
      <family val="2"/>
    </font>
    <font>
      <b/>
      <sz val="12"/>
      <color theme="0" tint="-4.9989318521683403E-2"/>
      <name val="宋体"/>
      <family val="3"/>
      <charset val="134"/>
    </font>
    <font>
      <b/>
      <u/>
      <sz val="10.5"/>
      <color theme="0" tint="-4.9989318521683403E-2"/>
      <name val="Times New Roman"/>
      <family val="1"/>
    </font>
    <font>
      <b/>
      <u/>
      <sz val="10.5"/>
      <color theme="0" tint="-4.9989318521683403E-2"/>
      <name val="Microsoft JhengHei"/>
      <family val="2"/>
    </font>
    <font>
      <sz val="9.5"/>
      <color theme="0" tint="-4.9989318521683403E-2"/>
      <name val="宋体"/>
      <family val="3"/>
      <charset val="134"/>
    </font>
    <font>
      <sz val="8"/>
      <color theme="0" tint="-4.9989318521683403E-2"/>
      <name val="Microsoft JhengHei"/>
      <family val="2"/>
    </font>
    <font>
      <sz val="13.5"/>
      <color theme="0" tint="-4.9989318521683403E-2"/>
      <name val="Microsoft JhengHei"/>
      <family val="2"/>
    </font>
    <font>
      <sz val="11.5"/>
      <color theme="0" tint="-4.9989318521683403E-2"/>
      <name val="Microsoft JhengHei"/>
      <family val="2"/>
    </font>
    <font>
      <sz val="6"/>
      <color theme="0" tint="-4.9989318521683403E-2"/>
      <name val="Microsoft JhengHei"/>
      <family val="2"/>
    </font>
    <font>
      <sz val="7"/>
      <color theme="0" tint="-4.9989318521683403E-2"/>
      <name val="Microsoft JhengHei"/>
      <family val="2"/>
    </font>
    <font>
      <sz val="11"/>
      <color theme="0" tint="-4.9989318521683403E-2"/>
      <name val="Calibri"/>
      <family val="2"/>
    </font>
    <font>
      <b/>
      <i/>
      <sz val="10.5"/>
      <color theme="0" tint="-4.9989318521683403E-2"/>
      <name val="Calibri"/>
      <family val="2"/>
    </font>
    <font>
      <sz val="9"/>
      <color theme="0" tint="-4.9989318521683403E-2"/>
      <name val="微软雅黑"/>
      <family val="2"/>
      <charset val="134"/>
    </font>
    <font>
      <sz val="1"/>
      <color theme="0" tint="-4.9989318521683403E-2"/>
      <name val="宋体"/>
      <family val="3"/>
      <charset val="134"/>
    </font>
    <font>
      <u/>
      <sz val="10.5"/>
      <color theme="0" tint="-4.9989318521683403E-2"/>
      <name val="Times New Roman"/>
      <family val="1"/>
    </font>
    <font>
      <u/>
      <sz val="10.5"/>
      <color theme="0" tint="-4.9989318521683403E-2"/>
      <name val="宋体"/>
      <family val="3"/>
      <charset val="134"/>
    </font>
    <font>
      <u/>
      <sz val="9"/>
      <color theme="0" tint="-4.9989318521683403E-2"/>
      <name val="Times New Roman"/>
      <family val="1"/>
    </font>
    <font>
      <u/>
      <sz val="9"/>
      <color theme="0" tint="-4.9989318521683403E-2"/>
      <name val="宋体"/>
      <family val="3"/>
      <charset val="134"/>
    </font>
    <font>
      <b/>
      <sz val="12"/>
      <color theme="0" tint="-4.9989318521683403E-2"/>
      <name val="微软雅黑"/>
      <family val="2"/>
      <charset val="134"/>
    </font>
    <font>
      <u/>
      <sz val="10.5"/>
      <color theme="0" tint="-4.9989318521683403E-2"/>
      <name val="Microsoft JhengHei"/>
      <family val="2"/>
    </font>
    <font>
      <sz val="10"/>
      <color theme="0" tint="-4.9989318521683403E-2"/>
      <name val="Microsoft JhengHei"/>
      <family val="2"/>
    </font>
    <font>
      <b/>
      <u/>
      <sz val="10"/>
      <color theme="0" tint="-4.9989318521683403E-2"/>
      <name val="Times New Roman"/>
      <family val="1"/>
    </font>
    <font>
      <sz val="9"/>
      <color theme="0" tint="-4.9989318521683403E-2"/>
      <name val="Tahoma"/>
      <family val="2"/>
    </font>
    <font>
      <sz val="11"/>
      <name val="DengXian"/>
      <family val="2"/>
      <charset val="134"/>
      <scheme val="minor"/>
    </font>
    <font>
      <sz val="10.5"/>
      <color rgb="FF000000"/>
      <name val="Times New Roman"/>
      <family val="2"/>
    </font>
    <font>
      <sz val="9"/>
      <color rgb="FF000000"/>
      <name val="Times New Roman"/>
      <family val="2"/>
    </font>
    <font>
      <b/>
      <sz val="9"/>
      <color rgb="FF000000"/>
      <name val="Times New Roman"/>
      <family val="2"/>
    </font>
    <font>
      <sz val="11"/>
      <color rgb="FF000000"/>
      <name val="Times New Roman"/>
      <family val="2"/>
    </font>
    <font>
      <sz val="10.5"/>
      <name val="Times New Roman"/>
      <family val="1"/>
    </font>
    <font>
      <sz val="9"/>
      <name val="DengXian"/>
      <family val="2"/>
      <charset val="134"/>
      <scheme val="minor"/>
    </font>
    <font>
      <sz val="10.5"/>
      <name val="宋体"/>
      <family val="3"/>
      <charset val="134"/>
    </font>
    <font>
      <sz val="12"/>
      <color theme="0" tint="-4.9989318521683403E-2"/>
      <name val="Arial"/>
      <family val="2"/>
    </font>
    <font>
      <sz val="9"/>
      <color theme="0" tint="-4.9989318521683403E-2"/>
      <name val="Arial"/>
      <family val="2"/>
    </font>
    <font>
      <sz val="4.5"/>
      <color theme="0" tint="-4.9989318521683403E-2"/>
      <name val="Arial"/>
      <family val="2"/>
    </font>
    <font>
      <sz val="11"/>
      <color theme="0" tint="-4.9989318521683403E-2"/>
      <name val="Arial"/>
      <family val="2"/>
      <charset val="134"/>
    </font>
    <font>
      <sz val="11"/>
      <color theme="0" tint="-4.9989318521683403E-2"/>
      <name val="微软雅黑"/>
      <family val="2"/>
      <charset val="134"/>
    </font>
    <font>
      <sz val="11"/>
      <color theme="0" tint="-4.9989318521683403E-2"/>
      <name val="等线"/>
      <family val="2"/>
      <charset val="134"/>
    </font>
    <font>
      <sz val="5"/>
      <color theme="0" tint="-4.9989318521683403E-2"/>
      <name val="Arial"/>
      <family val="2"/>
    </font>
    <font>
      <sz val="11"/>
      <name val="DengXian"/>
      <family val="4"/>
      <charset val="134"/>
      <scheme val="minor"/>
    </font>
    <font>
      <sz val="12"/>
      <name val="SimSun"/>
      <family val="3"/>
      <charset val="134"/>
    </font>
    <font>
      <b/>
      <sz val="11"/>
      <color rgb="FF000000"/>
      <name val="DengXian"/>
      <family val="2"/>
      <scheme val="minor"/>
    </font>
    <font>
      <sz val="11"/>
      <color rgb="FF202020"/>
      <name val="DengXian"/>
      <family val="2"/>
      <scheme val="minor"/>
    </font>
    <font>
      <sz val="11"/>
      <color rgb="FF000005"/>
      <name val="DengXian"/>
      <family val="2"/>
      <scheme val="minor"/>
    </font>
    <font>
      <sz val="12"/>
      <color rgb="FF000000"/>
      <name val="Arial"/>
      <family val="2"/>
    </font>
    <font>
      <sz val="11"/>
      <color theme="1"/>
      <name val="Arial Unicode MS"/>
      <family val="2"/>
    </font>
    <font>
      <sz val="11"/>
      <color rgb="FFFF0000"/>
      <name val="DengXian"/>
      <family val="2"/>
      <scheme val="minor"/>
    </font>
    <font>
      <u/>
      <sz val="11"/>
      <color theme="11"/>
      <name val="DengXian"/>
      <family val="2"/>
      <charset val="134"/>
      <scheme val="minor"/>
    </font>
  </fonts>
  <fills count="16">
    <fill>
      <patternFill patternType="none"/>
    </fill>
    <fill>
      <patternFill patternType="gray125"/>
    </fill>
    <fill>
      <patternFill patternType="solid">
        <fgColor rgb="FFFEF3CC"/>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rgb="FFDDEBF7"/>
        <bgColor rgb="FF000000"/>
      </patternFill>
    </fill>
    <fill>
      <patternFill patternType="solid">
        <fgColor theme="4" tint="0.79998168889431442"/>
        <bgColor indexed="64"/>
      </patternFill>
    </fill>
    <fill>
      <patternFill patternType="solid">
        <fgColor theme="8" tint="0.79998168889431442"/>
        <bgColor rgb="FF000000"/>
      </patternFill>
    </fill>
    <fill>
      <patternFill patternType="solid">
        <fgColor theme="3" tint="0.79998168889431442"/>
        <bgColor indexed="64"/>
      </patternFill>
    </fill>
    <fill>
      <patternFill patternType="solid">
        <fgColor theme="4" tint="0.79998168889431442"/>
        <bgColor rgb="FF000000"/>
      </patternFill>
    </fill>
    <fill>
      <patternFill patternType="solid">
        <fgColor rgb="FFDCE6F1"/>
        <bgColor rgb="FF000000"/>
      </patternFill>
    </fill>
    <fill>
      <patternFill patternType="solid">
        <fgColor rgb="FFF5D4E2"/>
        <bgColor indexed="64"/>
      </patternFill>
    </fill>
    <fill>
      <patternFill patternType="solid">
        <fgColor theme="5" tint="0.79998168889431442"/>
        <bgColor indexed="64"/>
      </patternFill>
    </fill>
    <fill>
      <patternFill patternType="solid">
        <fgColor theme="8" tint="0.39997558519241921"/>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rgb="FF000000"/>
      </right>
      <top style="thin">
        <color rgb="FF000000"/>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style="thin">
        <color auto="1"/>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n">
        <color auto="1"/>
      </left>
      <right style="thin">
        <color auto="1"/>
      </right>
      <top style="thin">
        <color rgb="FF000000"/>
      </top>
      <bottom style="thin">
        <color rgb="FF000000"/>
      </bottom>
      <diagonal/>
    </border>
    <border>
      <left style="thin">
        <color auto="1"/>
      </left>
      <right style="thin">
        <color auto="1"/>
      </right>
      <top style="thin">
        <color auto="1"/>
      </top>
      <bottom style="thin">
        <color rgb="FF000000"/>
      </bottom>
      <diagonal/>
    </border>
    <border>
      <left style="thin">
        <color rgb="FF000000"/>
      </left>
      <right/>
      <top/>
      <bottom/>
      <diagonal/>
    </border>
    <border>
      <left style="thin">
        <color auto="1"/>
      </left>
      <right style="thin">
        <color rgb="FF000000"/>
      </right>
      <top style="thin">
        <color rgb="FF000000"/>
      </top>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auto="1"/>
      </left>
      <right style="thin">
        <color rgb="FF000000"/>
      </right>
      <top/>
      <bottom style="thin">
        <color rgb="FF000000"/>
      </bottom>
      <diagonal/>
    </border>
  </borders>
  <cellStyleXfs count="27">
    <xf numFmtId="0" fontId="0" fillId="0" borderId="0">
      <alignment vertical="center"/>
    </xf>
    <xf numFmtId="0" fontId="6" fillId="0" borderId="0" applyNumberFormat="0" applyFill="0" applyBorder="0" applyAlignment="0" applyProtection="0">
      <alignment vertical="center"/>
    </xf>
    <xf numFmtId="9" fontId="5" fillId="0" borderId="0" applyFont="0" applyFill="0" applyBorder="0" applyAlignment="0" applyProtection="0"/>
    <xf numFmtId="0" fontId="49" fillId="0" borderId="0"/>
    <xf numFmtId="0" fontId="4" fillId="0" borderId="0"/>
    <xf numFmtId="0" fontId="60" fillId="0" borderId="0" applyNumberFormat="0" applyFill="0" applyBorder="0" applyAlignment="0" applyProtection="0"/>
    <xf numFmtId="177" fontId="4" fillId="0" borderId="0" applyFont="0" applyFill="0" applyBorder="0" applyAlignment="0" applyProtection="0"/>
    <xf numFmtId="9" fontId="5" fillId="0" borderId="0" applyFont="0" applyFill="0" applyBorder="0" applyAlignment="0" applyProtection="0">
      <alignment vertical="center"/>
    </xf>
    <xf numFmtId="0" fontId="3" fillId="0" borderId="0"/>
    <xf numFmtId="176" fontId="3" fillId="0" borderId="0" applyFont="0" applyFill="0" applyBorder="0" applyAlignment="0" applyProtection="0"/>
    <xf numFmtId="0" fontId="3" fillId="0" borderId="0"/>
    <xf numFmtId="177" fontId="3" fillId="0" borderId="0" applyFont="0" applyFill="0" applyBorder="0" applyAlignment="0" applyProtection="0"/>
    <xf numFmtId="0" fontId="2" fillId="0" borderId="0"/>
    <xf numFmtId="176" fontId="2" fillId="0" borderId="0" applyFont="0" applyFill="0" applyBorder="0" applyAlignment="0" applyProtection="0"/>
    <xf numFmtId="0" fontId="5" fillId="0" borderId="0">
      <alignment vertical="center"/>
    </xf>
    <xf numFmtId="9" fontId="1" fillId="0" borderId="0" applyFont="0" applyFill="0" applyBorder="0" applyAlignment="0" applyProtection="0"/>
    <xf numFmtId="0" fontId="5" fillId="0" borderId="0">
      <alignment vertical="center"/>
    </xf>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156" fillId="0" borderId="0" applyNumberFormat="0" applyFill="0" applyBorder="0" applyAlignment="0" applyProtection="0">
      <alignment vertical="center"/>
    </xf>
    <xf numFmtId="0" fontId="156" fillId="0" borderId="0" applyNumberFormat="0" applyFill="0" applyBorder="0" applyAlignment="0" applyProtection="0">
      <alignment vertical="center"/>
    </xf>
  </cellStyleXfs>
  <cellXfs count="1692">
    <xf numFmtId="0" fontId="0" fillId="0" borderId="0" xfId="0">
      <alignment vertical="center"/>
    </xf>
    <xf numFmtId="49" fontId="0" fillId="0" borderId="1" xfId="0" applyNumberFormat="1" applyBorder="1" applyAlignment="1">
      <alignment vertical="top"/>
    </xf>
    <xf numFmtId="178" fontId="0" fillId="0" borderId="1" xfId="0" applyNumberFormat="1" applyBorder="1" applyAlignment="1">
      <alignment vertical="top"/>
    </xf>
    <xf numFmtId="179" fontId="0" fillId="0" borderId="1" xfId="0" applyNumberFormat="1" applyBorder="1" applyAlignment="1">
      <alignment vertical="top"/>
    </xf>
    <xf numFmtId="0" fontId="0" fillId="0" borderId="0" xfId="0" applyAlignment="1">
      <alignment horizontal="center" vertical="center"/>
    </xf>
    <xf numFmtId="2" fontId="0" fillId="0" borderId="0" xfId="0" applyNumberFormat="1">
      <alignment vertical="center"/>
    </xf>
    <xf numFmtId="4" fontId="0" fillId="0" borderId="0" xfId="0" applyNumberFormat="1">
      <alignment vertical="center"/>
    </xf>
    <xf numFmtId="49" fontId="6" fillId="0" borderId="1" xfId="1" applyNumberFormat="1" applyBorder="1" applyAlignment="1">
      <alignment vertical="top"/>
    </xf>
    <xf numFmtId="49" fontId="0" fillId="2" borderId="1" xfId="0" applyNumberFormat="1" applyFill="1" applyBorder="1" applyAlignment="1">
      <alignment vertical="top"/>
    </xf>
    <xf numFmtId="0" fontId="6" fillId="0" borderId="1" xfId="1" applyBorder="1">
      <alignment vertical="center"/>
    </xf>
    <xf numFmtId="2" fontId="0" fillId="0" borderId="1" xfId="0" applyNumberFormat="1" applyBorder="1">
      <alignment vertical="center"/>
    </xf>
    <xf numFmtId="0" fontId="0" fillId="0" borderId="1" xfId="0" applyBorder="1">
      <alignment vertical="center"/>
    </xf>
    <xf numFmtId="0" fontId="0" fillId="2" borderId="1" xfId="0" applyFill="1" applyBorder="1" applyAlignment="1">
      <alignment horizontal="center" vertical="center"/>
    </xf>
    <xf numFmtId="180" fontId="0" fillId="2" borderId="1" xfId="0" applyNumberFormat="1" applyFill="1" applyBorder="1" applyAlignment="1">
      <alignment horizontal="center" vertical="center"/>
    </xf>
    <xf numFmtId="0" fontId="0" fillId="2" borderId="1" xfId="0" applyFill="1" applyBorder="1">
      <alignment vertical="center"/>
    </xf>
    <xf numFmtId="181" fontId="0" fillId="2" borderId="1" xfId="0" applyNumberFormat="1" applyFill="1" applyBorder="1" applyAlignment="1">
      <alignment horizontal="center" vertical="center"/>
    </xf>
    <xf numFmtId="0" fontId="0" fillId="3" borderId="1" xfId="0" applyFill="1" applyBorder="1" applyAlignment="1">
      <alignment horizontal="center" vertical="center"/>
    </xf>
    <xf numFmtId="180" fontId="0" fillId="3" borderId="1" xfId="0" applyNumberFormat="1" applyFill="1" applyBorder="1" applyAlignment="1">
      <alignment horizontal="center" vertical="center"/>
    </xf>
    <xf numFmtId="2" fontId="0" fillId="0" borderId="1" xfId="2" applyNumberFormat="1" applyFont="1" applyBorder="1" applyAlignment="1">
      <alignment vertical="center"/>
    </xf>
    <xf numFmtId="3" fontId="0" fillId="0" borderId="1" xfId="0" applyNumberFormat="1" applyBorder="1" applyAlignment="1">
      <alignment horizontal="center" vertic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0" borderId="1" xfId="0" applyBorder="1" applyAlignment="1">
      <alignment horizontal="right" vertical="center"/>
    </xf>
    <xf numFmtId="2" fontId="0" fillId="0" borderId="1" xfId="0" applyNumberFormat="1" applyBorder="1" applyAlignment="1">
      <alignment horizontal="right" vertical="center"/>
    </xf>
    <xf numFmtId="0" fontId="0" fillId="0" borderId="0" xfId="0">
      <alignment vertical="center"/>
    </xf>
    <xf numFmtId="0" fontId="9" fillId="0" borderId="0" xfId="0" applyFont="1">
      <alignment vertical="center"/>
    </xf>
    <xf numFmtId="4" fontId="9" fillId="0" borderId="0" xfId="0" applyNumberFormat="1" applyFont="1">
      <alignment vertical="center"/>
    </xf>
    <xf numFmtId="0" fontId="0" fillId="3" borderId="6" xfId="0" applyFill="1" applyBorder="1" applyAlignment="1">
      <alignment horizontal="center" vertical="center"/>
    </xf>
    <xf numFmtId="0" fontId="0" fillId="0" borderId="0" xfId="0" applyAlignment="1">
      <alignment horizontal="right" vertical="center"/>
    </xf>
    <xf numFmtId="0" fontId="0" fillId="2" borderId="2" xfId="0" applyFill="1" applyBorder="1" applyAlignment="1">
      <alignment horizontal="center" vertical="center"/>
    </xf>
    <xf numFmtId="49" fontId="0" fillId="2" borderId="2" xfId="0" applyNumberFormat="1" applyFill="1" applyBorder="1" applyAlignment="1">
      <alignment vertical="top"/>
    </xf>
    <xf numFmtId="0" fontId="0" fillId="0" borderId="0" xfId="0" applyAlignment="1">
      <alignment vertical="center" wrapText="1"/>
    </xf>
    <xf numFmtId="0" fontId="39" fillId="0" borderId="0" xfId="0" applyFont="1" applyAlignment="1">
      <alignment horizontal="right" vertical="top"/>
    </xf>
    <xf numFmtId="1" fontId="41" fillId="0" borderId="0" xfId="0" applyNumberFormat="1" applyFont="1" applyAlignment="1">
      <alignment vertical="center" shrinkToFit="1"/>
    </xf>
    <xf numFmtId="0" fontId="40" fillId="0" borderId="0" xfId="0" applyFont="1" applyAlignment="1">
      <alignment vertical="top"/>
    </xf>
    <xf numFmtId="2" fontId="41" fillId="0" borderId="0" xfId="0" applyNumberFormat="1" applyFont="1" applyAlignment="1">
      <alignment horizontal="center" vertical="top" shrinkToFit="1"/>
    </xf>
    <xf numFmtId="185" fontId="41" fillId="0" borderId="0" xfId="0" applyNumberFormat="1" applyFont="1" applyAlignment="1">
      <alignment horizontal="center" vertical="top" shrinkToFit="1"/>
    </xf>
    <xf numFmtId="0" fontId="8" fillId="0" borderId="8" xfId="0" applyFont="1" applyBorder="1" applyAlignment="1">
      <alignment horizontal="left" vertical="top"/>
    </xf>
    <xf numFmtId="2" fontId="0" fillId="0" borderId="1" xfId="0" applyNumberFormat="1" applyBorder="1" applyAlignment="1">
      <alignment horizontal="left" vertical="center"/>
    </xf>
    <xf numFmtId="0" fontId="34" fillId="0" borderId="0" xfId="0" applyFont="1" applyAlignment="1">
      <alignment horizontal="left" vertical="top"/>
    </xf>
    <xf numFmtId="0" fontId="18" fillId="0" borderId="0" xfId="0" applyFont="1" applyAlignment="1">
      <alignment horizontal="center" vertical="top"/>
    </xf>
    <xf numFmtId="0" fontId="34" fillId="0" borderId="0" xfId="0" applyFont="1" applyAlignment="1">
      <alignment horizontal="center" vertical="top"/>
    </xf>
    <xf numFmtId="0" fontId="18" fillId="0" borderId="0" xfId="0" applyFont="1">
      <alignment vertical="center"/>
    </xf>
    <xf numFmtId="0" fontId="16" fillId="0" borderId="0" xfId="0" applyFont="1">
      <alignment vertical="center"/>
    </xf>
    <xf numFmtId="0" fontId="9" fillId="0" borderId="0" xfId="0" applyFont="1" applyAlignment="1">
      <alignment vertical="center" wrapText="1"/>
    </xf>
    <xf numFmtId="0" fontId="18" fillId="0" borderId="0" xfId="0" applyFont="1" applyAlignment="1">
      <alignment horizontal="left" vertical="center"/>
    </xf>
    <xf numFmtId="0" fontId="18" fillId="0" borderId="0" xfId="0" applyFont="1" applyAlignment="1">
      <alignment horizontal="center" vertical="center"/>
    </xf>
    <xf numFmtId="0" fontId="0" fillId="0" borderId="1" xfId="0" applyBorder="1" applyAlignment="1">
      <alignment vertical="top"/>
    </xf>
    <xf numFmtId="3" fontId="32" fillId="0" borderId="0" xfId="0" applyNumberFormat="1" applyFont="1" applyAlignment="1">
      <alignment horizontal="center" vertical="top" shrinkToFit="1"/>
    </xf>
    <xf numFmtId="0" fontId="31" fillId="0" borderId="0" xfId="0" applyFont="1" applyAlignment="1">
      <alignment horizontal="left" vertical="top"/>
    </xf>
    <xf numFmtId="3" fontId="32" fillId="0" borderId="0" xfId="0" applyNumberFormat="1" applyFont="1" applyAlignment="1">
      <alignment vertical="top" shrinkToFit="1"/>
    </xf>
    <xf numFmtId="0" fontId="31" fillId="0" borderId="0" xfId="0" applyFont="1" applyAlignment="1">
      <alignment vertical="top"/>
    </xf>
    <xf numFmtId="4" fontId="32" fillId="0" borderId="0" xfId="0" applyNumberFormat="1" applyFont="1" applyAlignment="1">
      <alignment vertical="top" shrinkToFit="1"/>
    </xf>
    <xf numFmtId="2" fontId="32" fillId="0" borderId="0" xfId="0" applyNumberFormat="1" applyFont="1" applyAlignment="1">
      <alignment horizontal="right" vertical="top" shrinkToFit="1"/>
    </xf>
    <xf numFmtId="3" fontId="32" fillId="0" borderId="0" xfId="0" applyNumberFormat="1" applyFont="1" applyAlignment="1">
      <alignment vertical="center" shrinkToFit="1"/>
    </xf>
    <xf numFmtId="0" fontId="28" fillId="0" borderId="0" xfId="0" applyFont="1" applyAlignment="1">
      <alignment vertical="top"/>
    </xf>
    <xf numFmtId="0" fontId="23" fillId="0" borderId="0" xfId="0" applyFont="1" applyAlignment="1">
      <alignment horizontal="center" vertical="top"/>
    </xf>
    <xf numFmtId="0" fontId="34" fillId="0" borderId="0" xfId="0" applyFont="1" applyAlignment="1">
      <alignment horizontal="right" vertical="top"/>
    </xf>
    <xf numFmtId="0" fontId="9" fillId="0" borderId="0" xfId="0" applyFont="1" applyAlignment="1">
      <alignment horizontal="center" vertical="top"/>
    </xf>
    <xf numFmtId="0" fontId="36" fillId="0" borderId="0" xfId="0" applyFont="1" applyAlignment="1">
      <alignment horizontal="left" vertical="center"/>
    </xf>
    <xf numFmtId="0" fontId="36" fillId="0" borderId="0" xfId="0" applyFont="1" applyAlignment="1">
      <alignment horizontal="left" vertical="top"/>
    </xf>
    <xf numFmtId="1" fontId="15" fillId="0" borderId="0" xfId="0" applyNumberFormat="1" applyFont="1" applyAlignment="1">
      <alignment horizontal="center" vertical="top" shrinkToFit="1"/>
    </xf>
    <xf numFmtId="0" fontId="16" fillId="0" borderId="0" xfId="0" applyFont="1" applyAlignment="1">
      <alignment vertical="top"/>
    </xf>
    <xf numFmtId="1" fontId="15" fillId="0" borderId="0" xfId="0" applyNumberFormat="1" applyFont="1" applyAlignment="1">
      <alignment vertical="center" shrinkToFit="1"/>
    </xf>
    <xf numFmtId="0" fontId="9" fillId="0" borderId="0" xfId="0" applyFont="1" applyAlignment="1">
      <alignment vertical="top"/>
    </xf>
    <xf numFmtId="1" fontId="15" fillId="0" borderId="0" xfId="0" applyNumberFormat="1" applyFont="1" applyAlignment="1">
      <alignment vertical="top" shrinkToFit="1"/>
    </xf>
    <xf numFmtId="3" fontId="15" fillId="0" borderId="0" xfId="0" applyNumberFormat="1" applyFont="1" applyAlignment="1">
      <alignment horizontal="right" vertical="top" shrinkToFit="1"/>
    </xf>
    <xf numFmtId="0" fontId="0" fillId="0" borderId="0" xfId="0" applyAlignment="1">
      <alignment vertical="top" wrapText="1"/>
    </xf>
    <xf numFmtId="0" fontId="22" fillId="0" borderId="0" xfId="0" applyFont="1" applyAlignment="1">
      <alignment horizontal="left" vertical="top" wrapText="1" indent="1"/>
    </xf>
    <xf numFmtId="0" fontId="28" fillId="0" borderId="0" xfId="0" applyFont="1" applyAlignment="1">
      <alignment vertical="top" wrapText="1"/>
    </xf>
    <xf numFmtId="0" fontId="22" fillId="0" borderId="0" xfId="0" applyFont="1" applyAlignment="1">
      <alignment horizontal="right" vertical="top"/>
    </xf>
    <xf numFmtId="0" fontId="22" fillId="0" borderId="0" xfId="0" applyFont="1" applyAlignment="1">
      <alignment horizontal="left" vertical="top"/>
    </xf>
    <xf numFmtId="0" fontId="22" fillId="0" borderId="0" xfId="0" applyFont="1" applyAlignment="1">
      <alignment horizontal="center" vertical="top"/>
    </xf>
    <xf numFmtId="3" fontId="21" fillId="0" borderId="0" xfId="0" applyNumberFormat="1" applyFont="1" applyAlignment="1">
      <alignment horizontal="right" vertical="top" shrinkToFit="1"/>
    </xf>
    <xf numFmtId="2" fontId="21" fillId="0" borderId="0" xfId="0" applyNumberFormat="1" applyFont="1" applyAlignment="1">
      <alignment horizontal="right" vertical="top" shrinkToFit="1"/>
    </xf>
    <xf numFmtId="0" fontId="22" fillId="0" borderId="0" xfId="0" applyFont="1">
      <alignment vertical="center"/>
    </xf>
    <xf numFmtId="1" fontId="21" fillId="0" borderId="0" xfId="0" applyNumberFormat="1" applyFont="1" applyAlignment="1">
      <alignment vertical="center" shrinkToFit="1"/>
    </xf>
    <xf numFmtId="1" fontId="15" fillId="0" borderId="0" xfId="0" applyNumberFormat="1" applyFont="1" applyAlignment="1">
      <alignment horizontal="right" vertical="top" shrinkToFit="1"/>
    </xf>
    <xf numFmtId="0" fontId="23" fillId="0" borderId="0" xfId="0" applyFont="1" applyAlignment="1">
      <alignment horizontal="right" vertical="top"/>
    </xf>
    <xf numFmtId="3" fontId="15" fillId="0" borderId="0" xfId="0" applyNumberFormat="1" applyFont="1" applyAlignment="1">
      <alignment horizontal="center" vertical="top" shrinkToFit="1"/>
    </xf>
    <xf numFmtId="2" fontId="15" fillId="0" borderId="0" xfId="0" applyNumberFormat="1" applyFont="1" applyAlignment="1">
      <alignment horizontal="left" vertical="top" shrinkToFit="1"/>
    </xf>
    <xf numFmtId="1" fontId="15" fillId="0" borderId="0" xfId="0" applyNumberFormat="1" applyFont="1" applyAlignment="1">
      <alignment horizontal="left" vertical="top" shrinkToFit="1"/>
    </xf>
    <xf numFmtId="3" fontId="15" fillId="0" borderId="0" xfId="0" applyNumberFormat="1" applyFont="1" applyAlignment="1">
      <alignment horizontal="left" vertical="top" shrinkToFit="1"/>
    </xf>
    <xf numFmtId="3" fontId="21" fillId="0" borderId="0" xfId="0" applyNumberFormat="1" applyFont="1" applyAlignment="1">
      <alignment horizontal="center" vertical="top" shrinkToFit="1"/>
    </xf>
    <xf numFmtId="0" fontId="24" fillId="0" borderId="0" xfId="0" applyFont="1" applyAlignment="1">
      <alignment horizontal="right" vertical="center"/>
    </xf>
    <xf numFmtId="0" fontId="24" fillId="0" borderId="0" xfId="0" applyFont="1" applyAlignment="1">
      <alignment horizontal="center" vertical="center"/>
    </xf>
    <xf numFmtId="0" fontId="23" fillId="0" borderId="0" xfId="0" applyFont="1" applyAlignment="1">
      <alignment horizontal="left" vertical="top"/>
    </xf>
    <xf numFmtId="1" fontId="32" fillId="0" borderId="0" xfId="0" applyNumberFormat="1" applyFont="1" applyAlignment="1">
      <alignment horizontal="center" vertical="top" shrinkToFit="1"/>
    </xf>
    <xf numFmtId="1" fontId="32" fillId="0" borderId="0" xfId="0" applyNumberFormat="1" applyFont="1" applyAlignment="1">
      <alignment vertical="top" shrinkToFit="1"/>
    </xf>
    <xf numFmtId="1" fontId="32" fillId="0" borderId="0" xfId="0" applyNumberFormat="1" applyFont="1" applyAlignment="1">
      <alignment horizontal="right" vertical="top" shrinkToFit="1"/>
    </xf>
    <xf numFmtId="0" fontId="31" fillId="0" borderId="0" xfId="0" applyFont="1" applyAlignment="1">
      <alignment horizontal="center" vertical="top"/>
    </xf>
    <xf numFmtId="3" fontId="32" fillId="0" borderId="0" xfId="0" applyNumberFormat="1" applyFont="1" applyAlignment="1">
      <alignment horizontal="right" vertical="top" shrinkToFit="1"/>
    </xf>
    <xf numFmtId="1" fontId="32" fillId="0" borderId="0" xfId="0" applyNumberFormat="1" applyFont="1" applyAlignment="1">
      <alignment horizontal="right" vertical="center" shrinkToFit="1"/>
    </xf>
    <xf numFmtId="3" fontId="32" fillId="0" borderId="0" xfId="0" applyNumberFormat="1" applyFont="1" applyAlignment="1">
      <alignment horizontal="right" vertical="center" shrinkToFit="1"/>
    </xf>
    <xf numFmtId="2" fontId="32" fillId="0" borderId="0" xfId="0" applyNumberFormat="1" applyFont="1" applyAlignment="1">
      <alignment horizontal="right" vertical="center" shrinkToFit="1"/>
    </xf>
    <xf numFmtId="1" fontId="32" fillId="0" borderId="0" xfId="0" applyNumberFormat="1" applyFont="1" applyAlignment="1">
      <alignment horizontal="center" vertical="center" shrinkToFit="1"/>
    </xf>
    <xf numFmtId="0" fontId="9" fillId="0" borderId="0" xfId="0" applyFont="1" applyAlignment="1">
      <alignment horizontal="right" vertical="center"/>
    </xf>
    <xf numFmtId="0" fontId="28" fillId="0" borderId="0" xfId="0" applyFont="1" applyAlignment="1">
      <alignment horizontal="center" vertical="center"/>
    </xf>
    <xf numFmtId="0" fontId="34" fillId="0" borderId="0" xfId="0" applyFont="1" applyAlignment="1">
      <alignment horizontal="left"/>
    </xf>
    <xf numFmtId="0" fontId="22" fillId="0" borderId="0" xfId="0" applyFont="1" applyAlignment="1">
      <alignment vertical="top"/>
    </xf>
    <xf numFmtId="4" fontId="46" fillId="0" borderId="0" xfId="0" applyNumberFormat="1" applyFont="1" applyAlignment="1">
      <alignment horizontal="right" vertical="top" shrinkToFit="1"/>
    </xf>
    <xf numFmtId="0" fontId="22" fillId="0" borderId="0" xfId="0" applyFont="1" applyAlignment="1">
      <alignment horizontal="left" vertical="top" wrapText="1"/>
    </xf>
    <xf numFmtId="0" fontId="46" fillId="0" borderId="0" xfId="0" applyFont="1" applyAlignment="1">
      <alignment horizontal="right" vertical="top"/>
    </xf>
    <xf numFmtId="0" fontId="23" fillId="0" borderId="0" xfId="0" applyFont="1" applyAlignment="1">
      <alignment horizontal="right" vertical="top" wrapText="1"/>
    </xf>
    <xf numFmtId="0" fontId="23" fillId="0" borderId="0" xfId="0" applyFont="1" applyAlignment="1">
      <alignment horizontal="center" vertical="top" wrapText="1"/>
    </xf>
    <xf numFmtId="0" fontId="23" fillId="0" borderId="0" xfId="0" applyFont="1" applyAlignment="1">
      <alignment horizontal="center" vertical="center"/>
    </xf>
    <xf numFmtId="0" fontId="36" fillId="0" borderId="0" xfId="0" applyFont="1" applyAlignment="1">
      <alignment horizontal="right" vertical="top"/>
    </xf>
    <xf numFmtId="0" fontId="36" fillId="0" borderId="0" xfId="0" applyFont="1" applyAlignment="1">
      <alignment horizontal="center" vertical="top"/>
    </xf>
    <xf numFmtId="0" fontId="33" fillId="0" borderId="0" xfId="0" applyFont="1" applyAlignment="1">
      <alignment horizontal="center" vertical="top"/>
    </xf>
    <xf numFmtId="3" fontId="42" fillId="0" borderId="0" xfId="0" applyNumberFormat="1" applyFont="1" applyAlignment="1">
      <alignment horizontal="right" vertical="top" shrinkToFit="1"/>
    </xf>
    <xf numFmtId="2" fontId="42" fillId="0" borderId="0" xfId="0" applyNumberFormat="1" applyFont="1" applyAlignment="1">
      <alignment horizontal="center" vertical="top" shrinkToFit="1"/>
    </xf>
    <xf numFmtId="1" fontId="42" fillId="0" borderId="0" xfId="0" applyNumberFormat="1" applyFont="1" applyAlignment="1">
      <alignment horizontal="center" vertical="top" shrinkToFit="1"/>
    </xf>
    <xf numFmtId="184" fontId="9" fillId="0" borderId="0" xfId="0" applyNumberFormat="1" applyFont="1">
      <alignment vertical="center"/>
    </xf>
    <xf numFmtId="2" fontId="15" fillId="0" borderId="0" xfId="0" applyNumberFormat="1" applyFont="1" applyAlignment="1">
      <alignment horizontal="center" vertical="top" shrinkToFit="1"/>
    </xf>
    <xf numFmtId="1" fontId="21" fillId="0" borderId="0" xfId="0" applyNumberFormat="1" applyFont="1" applyAlignment="1">
      <alignment vertical="top" shrinkToFit="1"/>
    </xf>
    <xf numFmtId="0" fontId="34" fillId="0" borderId="0" xfId="0" applyFont="1" applyAlignment="1">
      <alignment vertical="top"/>
    </xf>
    <xf numFmtId="3" fontId="15" fillId="0" borderId="0" xfId="0" applyNumberFormat="1" applyFont="1" applyAlignment="1">
      <alignment vertical="top" shrinkToFit="1"/>
    </xf>
    <xf numFmtId="4" fontId="21" fillId="0" borderId="0" xfId="0" applyNumberFormat="1" applyFont="1" applyAlignment="1">
      <alignment horizontal="right" vertical="top" shrinkToFit="1"/>
    </xf>
    <xf numFmtId="0" fontId="23" fillId="0" borderId="0" xfId="0" applyFont="1" applyAlignment="1">
      <alignment vertical="top"/>
    </xf>
    <xf numFmtId="0" fontId="0" fillId="0" borderId="0" xfId="0" applyAlignment="1">
      <alignment horizontal="left" vertical="top"/>
    </xf>
    <xf numFmtId="0" fontId="0" fillId="0" borderId="0" xfId="0" applyAlignment="1">
      <alignment vertical="top"/>
    </xf>
    <xf numFmtId="0" fontId="0" fillId="0" borderId="5" xfId="0" applyBorder="1" applyAlignment="1">
      <alignment vertical="top" wrapText="1"/>
    </xf>
    <xf numFmtId="2" fontId="0" fillId="0" borderId="0" xfId="0" applyNumberFormat="1" applyAlignment="1">
      <alignment horizontal="right" vertical="center"/>
    </xf>
    <xf numFmtId="2" fontId="0" fillId="0" borderId="0" xfId="2" applyNumberFormat="1" applyFont="1" applyBorder="1" applyAlignment="1">
      <alignment vertical="center"/>
    </xf>
    <xf numFmtId="178" fontId="0" fillId="0" borderId="0" xfId="0" applyNumberFormat="1" applyAlignment="1">
      <alignment vertical="top"/>
    </xf>
    <xf numFmtId="0" fontId="0" fillId="0" borderId="15" xfId="0" applyBorder="1">
      <alignment vertical="center"/>
    </xf>
    <xf numFmtId="178" fontId="0" fillId="0" borderId="16" xfId="0" applyNumberFormat="1" applyBorder="1" applyAlignment="1">
      <alignment vertical="top"/>
    </xf>
    <xf numFmtId="179" fontId="0" fillId="0" borderId="16" xfId="0" applyNumberFormat="1" applyBorder="1" applyAlignment="1">
      <alignment vertical="top"/>
    </xf>
    <xf numFmtId="49" fontId="0" fillId="0" borderId="16" xfId="0" applyNumberFormat="1" applyBorder="1" applyAlignment="1">
      <alignment vertical="top"/>
    </xf>
    <xf numFmtId="0" fontId="6" fillId="0" borderId="16" xfId="1" applyBorder="1">
      <alignment vertical="center"/>
    </xf>
    <xf numFmtId="179" fontId="0" fillId="0" borderId="0" xfId="0" applyNumberFormat="1" applyAlignment="1">
      <alignment vertical="top"/>
    </xf>
    <xf numFmtId="4" fontId="38" fillId="0" borderId="0" xfId="0" applyNumberFormat="1" applyFont="1" applyAlignment="1">
      <alignment horizontal="right" vertical="top" shrinkToFit="1"/>
    </xf>
    <xf numFmtId="0" fontId="34" fillId="0" borderId="0" xfId="0" applyFont="1" applyAlignment="1">
      <alignment horizontal="left" vertical="center"/>
    </xf>
    <xf numFmtId="0" fontId="0" fillId="3" borderId="1" xfId="0" applyFill="1" applyBorder="1" applyAlignment="1">
      <alignment horizontal="left" vertical="center"/>
    </xf>
    <xf numFmtId="0" fontId="52" fillId="3" borderId="1" xfId="0" applyFont="1" applyFill="1" applyBorder="1" applyAlignment="1">
      <alignment horizontal="center" vertical="center"/>
    </xf>
    <xf numFmtId="3" fontId="0" fillId="0" borderId="7" xfId="0" applyNumberFormat="1" applyBorder="1" applyAlignment="1">
      <alignment horizontal="center" vertical="center"/>
    </xf>
    <xf numFmtId="0" fontId="0" fillId="3" borderId="2" xfId="0" applyFill="1" applyBorder="1" applyAlignment="1">
      <alignment horizontal="center" vertical="center"/>
    </xf>
    <xf numFmtId="0" fontId="33" fillId="0" borderId="8" xfId="0" applyFont="1" applyBorder="1" applyAlignment="1">
      <alignment horizontal="left" vertical="top"/>
    </xf>
    <xf numFmtId="0" fontId="61" fillId="0" borderId="0" xfId="5" applyFont="1"/>
    <xf numFmtId="0" fontId="60" fillId="0" borderId="0" xfId="5"/>
    <xf numFmtId="0" fontId="61" fillId="0" borderId="0" xfId="5" applyFont="1" applyAlignment="1">
      <alignment horizontal="center" vertical="center"/>
    </xf>
    <xf numFmtId="0" fontId="67" fillId="0" borderId="0" xfId="5" applyFont="1"/>
    <xf numFmtId="3" fontId="61" fillId="0" borderId="0" xfId="5" applyNumberFormat="1" applyFont="1" applyAlignment="1">
      <alignment vertical="center"/>
    </xf>
    <xf numFmtId="0" fontId="70" fillId="0" borderId="0" xfId="0" applyFont="1" applyAlignment="1">
      <alignment horizontal="right" vertical="center"/>
    </xf>
    <xf numFmtId="4" fontId="71" fillId="0" borderId="0" xfId="0" applyNumberFormat="1" applyFont="1" applyAlignment="1">
      <alignment horizontal="center" vertical="center"/>
    </xf>
    <xf numFmtId="0" fontId="71" fillId="0" borderId="0" xfId="0" applyFont="1" applyAlignment="1">
      <alignment horizontal="right" vertical="center"/>
    </xf>
    <xf numFmtId="0" fontId="70" fillId="0" borderId="0" xfId="0" applyFont="1" applyAlignment="1">
      <alignment horizontal="left" vertical="center"/>
    </xf>
    <xf numFmtId="0" fontId="71" fillId="0" borderId="0" xfId="0" applyFont="1" applyAlignment="1">
      <alignment horizontal="center" vertical="center"/>
    </xf>
    <xf numFmtId="0" fontId="70" fillId="0" borderId="0" xfId="0" applyFont="1" applyAlignment="1">
      <alignment horizontal="center" vertical="center"/>
    </xf>
    <xf numFmtId="0" fontId="72" fillId="0" borderId="0" xfId="0" applyFont="1" applyAlignment="1">
      <alignment horizontal="left" vertical="center"/>
    </xf>
    <xf numFmtId="3" fontId="71" fillId="0" borderId="0" xfId="0" applyNumberFormat="1" applyFont="1" applyAlignment="1">
      <alignment horizontal="center" vertical="center"/>
    </xf>
    <xf numFmtId="0" fontId="70" fillId="0" borderId="0" xfId="0" applyFont="1">
      <alignment vertical="center"/>
    </xf>
    <xf numFmtId="0" fontId="71" fillId="0" borderId="0" xfId="0" applyFont="1" applyAlignment="1">
      <alignment horizontal="left" vertical="center"/>
    </xf>
    <xf numFmtId="0" fontId="29" fillId="0" borderId="0" xfId="0" applyFont="1" applyAlignment="1">
      <alignment horizontal="left" vertical="center"/>
    </xf>
    <xf numFmtId="0" fontId="29" fillId="0" borderId="0" xfId="0" applyFont="1">
      <alignment vertical="center"/>
    </xf>
    <xf numFmtId="0" fontId="73" fillId="0" borderId="0" xfId="0" applyFont="1" applyAlignment="1">
      <alignment horizontal="center" vertical="center"/>
    </xf>
    <xf numFmtId="0" fontId="73" fillId="0" borderId="0" xfId="0" applyFont="1" applyAlignment="1">
      <alignment horizontal="left" vertical="center"/>
    </xf>
    <xf numFmtId="2" fontId="0" fillId="0" borderId="0" xfId="7" applyNumberFormat="1" applyFont="1" applyFill="1">
      <alignment vertical="center"/>
    </xf>
    <xf numFmtId="1" fontId="0" fillId="0" borderId="0" xfId="0" applyNumberFormat="1">
      <alignment vertical="center"/>
    </xf>
    <xf numFmtId="188" fontId="0" fillId="0" borderId="1" xfId="0" applyNumberFormat="1" applyBorder="1" applyAlignment="1"/>
    <xf numFmtId="179" fontId="0" fillId="0" borderId="11" xfId="0" applyNumberFormat="1" applyBorder="1" applyAlignment="1">
      <alignment vertical="top"/>
    </xf>
    <xf numFmtId="0" fontId="6" fillId="0" borderId="0" xfId="1" applyFill="1">
      <alignment vertical="center"/>
    </xf>
    <xf numFmtId="0" fontId="0" fillId="0" borderId="0" xfId="0" applyAlignment="1"/>
    <xf numFmtId="181" fontId="0" fillId="4" borderId="1" xfId="0" applyNumberFormat="1" applyFill="1" applyBorder="1" applyAlignment="1">
      <alignment horizontal="center" vertical="center"/>
    </xf>
    <xf numFmtId="0" fontId="0" fillId="4" borderId="1" xfId="0" applyFill="1" applyBorder="1" applyAlignment="1">
      <alignment horizontal="center" vertical="center"/>
    </xf>
    <xf numFmtId="181" fontId="0" fillId="4" borderId="2" xfId="0" applyNumberFormat="1" applyFill="1" applyBorder="1" applyAlignment="1">
      <alignment horizontal="center" vertical="center"/>
    </xf>
    <xf numFmtId="180" fontId="0" fillId="4" borderId="1" xfId="0" applyNumberFormat="1" applyFill="1" applyBorder="1" applyAlignment="1">
      <alignment horizontal="center" vertical="center"/>
    </xf>
    <xf numFmtId="3" fontId="45" fillId="0" borderId="0" xfId="0" applyNumberFormat="1" applyFont="1" applyAlignment="1">
      <alignment horizontal="center" vertical="center"/>
    </xf>
    <xf numFmtId="0" fontId="45" fillId="0" borderId="0" xfId="0" applyFont="1" applyAlignment="1">
      <alignment horizontal="center" vertical="center"/>
    </xf>
    <xf numFmtId="0" fontId="73" fillId="0" borderId="0" xfId="0" applyFont="1" applyAlignment="1">
      <alignment horizontal="right" vertical="center"/>
    </xf>
    <xf numFmtId="4" fontId="45" fillId="0" borderId="0" xfId="0" applyNumberFormat="1" applyFont="1" applyAlignment="1">
      <alignment horizontal="right" vertical="center" wrapText="1"/>
    </xf>
    <xf numFmtId="3" fontId="45" fillId="0" borderId="0" xfId="0" applyNumberFormat="1" applyFont="1" applyAlignment="1">
      <alignment horizontal="right" vertical="center" wrapText="1"/>
    </xf>
    <xf numFmtId="0" fontId="11" fillId="0" borderId="0" xfId="0" applyFont="1" applyAlignment="1">
      <alignment horizontal="center" vertical="center" wrapText="1"/>
    </xf>
    <xf numFmtId="0" fontId="48" fillId="0" borderId="0" xfId="0" applyFont="1" applyAlignment="1">
      <alignment horizontal="left" vertical="center" wrapText="1"/>
    </xf>
    <xf numFmtId="0" fontId="74" fillId="0" borderId="0" xfId="0" applyFont="1" applyAlignment="1">
      <alignment horizontal="left" vertical="center"/>
    </xf>
    <xf numFmtId="0" fontId="75" fillId="0" borderId="0" xfId="0" applyFont="1" applyAlignment="1">
      <alignment horizontal="right" vertical="center" wrapText="1"/>
    </xf>
    <xf numFmtId="0" fontId="45"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Alignment="1">
      <alignment horizontal="right" vertical="center"/>
    </xf>
    <xf numFmtId="0" fontId="0" fillId="3" borderId="3" xfId="0" applyFill="1" applyBorder="1" applyAlignment="1">
      <alignment horizontal="center" vertical="center"/>
    </xf>
    <xf numFmtId="180" fontId="0" fillId="3" borderId="3" xfId="0" applyNumberFormat="1" applyFill="1" applyBorder="1" applyAlignment="1">
      <alignment horizontal="center" vertical="center"/>
    </xf>
    <xf numFmtId="3" fontId="73" fillId="0" borderId="0" xfId="0" applyNumberFormat="1" applyFont="1" applyAlignment="1">
      <alignment horizontal="right" vertical="center"/>
    </xf>
    <xf numFmtId="0" fontId="73" fillId="0" borderId="0" xfId="0" applyFont="1">
      <alignment vertical="center"/>
    </xf>
    <xf numFmtId="0" fontId="74" fillId="0" borderId="0" xfId="0" applyFont="1">
      <alignment vertical="center"/>
    </xf>
    <xf numFmtId="3" fontId="73" fillId="0" borderId="0" xfId="0" applyNumberFormat="1" applyFont="1" applyAlignment="1">
      <alignment horizontal="center" vertical="center"/>
    </xf>
    <xf numFmtId="3" fontId="73" fillId="0" borderId="0" xfId="0" applyNumberFormat="1" applyFont="1" applyAlignment="1">
      <alignment horizontal="left" vertical="center"/>
    </xf>
    <xf numFmtId="0" fontId="11" fillId="0" borderId="0" xfId="0" applyFont="1">
      <alignment vertical="center"/>
    </xf>
    <xf numFmtId="3" fontId="73" fillId="0" borderId="0" xfId="0" applyNumberFormat="1" applyFont="1">
      <alignment vertical="center"/>
    </xf>
    <xf numFmtId="0" fontId="11" fillId="0" borderId="0" xfId="0" applyFont="1" applyAlignment="1">
      <alignment horizontal="left" vertical="center"/>
    </xf>
    <xf numFmtId="4" fontId="45" fillId="0" borderId="0" xfId="0" applyNumberFormat="1" applyFont="1" applyAlignment="1">
      <alignment horizontal="left" vertical="center"/>
    </xf>
    <xf numFmtId="0" fontId="45" fillId="0" borderId="0" xfId="0" applyFont="1" applyAlignment="1">
      <alignment horizontal="right" vertical="center"/>
    </xf>
    <xf numFmtId="0" fontId="45" fillId="0" borderId="0" xfId="0" applyFont="1" applyAlignment="1">
      <alignment horizontal="left" vertical="center"/>
    </xf>
    <xf numFmtId="0" fontId="75" fillId="0" borderId="0" xfId="0" applyFont="1">
      <alignment vertical="center"/>
    </xf>
    <xf numFmtId="3" fontId="45" fillId="0" borderId="0" xfId="0" applyNumberFormat="1" applyFont="1" applyAlignment="1">
      <alignment horizontal="left" vertical="center"/>
    </xf>
    <xf numFmtId="4" fontId="20" fillId="0" borderId="0" xfId="0" applyNumberFormat="1" applyFont="1" applyAlignment="1">
      <alignment horizontal="center" vertical="center"/>
    </xf>
    <xf numFmtId="3" fontId="20" fillId="0" borderId="0" xfId="0" applyNumberFormat="1" applyFont="1" applyAlignment="1">
      <alignment horizontal="left" vertical="center"/>
    </xf>
    <xf numFmtId="0" fontId="24" fillId="0" borderId="0" xfId="0" applyFont="1">
      <alignment vertical="center"/>
    </xf>
    <xf numFmtId="4" fontId="45" fillId="0" borderId="0" xfId="0" applyNumberFormat="1" applyFont="1" applyAlignment="1">
      <alignment horizontal="center" vertical="center"/>
    </xf>
    <xf numFmtId="0" fontId="76" fillId="0" borderId="0" xfId="0" applyFont="1">
      <alignment vertical="center"/>
    </xf>
    <xf numFmtId="0" fontId="77" fillId="0" borderId="0" xfId="0" applyFont="1">
      <alignment vertical="center"/>
    </xf>
    <xf numFmtId="0" fontId="78" fillId="0" borderId="0" xfId="0" applyFont="1">
      <alignment vertical="center"/>
    </xf>
    <xf numFmtId="0" fontId="75" fillId="0" borderId="0" xfId="0" applyFont="1" applyAlignment="1">
      <alignment horizontal="right" vertical="center"/>
    </xf>
    <xf numFmtId="4" fontId="75" fillId="0" borderId="0" xfId="0" applyNumberFormat="1" applyFont="1" applyAlignment="1">
      <alignment horizontal="center" vertical="center"/>
    </xf>
    <xf numFmtId="0" fontId="75" fillId="0" borderId="0" xfId="0" applyFont="1" applyAlignment="1">
      <alignment horizontal="left" vertical="center"/>
    </xf>
    <xf numFmtId="0" fontId="75" fillId="0" borderId="0" xfId="0" applyFont="1" applyAlignment="1">
      <alignment horizontal="center" vertical="center"/>
    </xf>
    <xf numFmtId="4" fontId="75" fillId="0" borderId="0" xfId="0" applyNumberFormat="1" applyFont="1">
      <alignment vertical="center"/>
    </xf>
    <xf numFmtId="4" fontId="75" fillId="0" borderId="0" xfId="0" applyNumberFormat="1" applyFont="1" applyAlignment="1">
      <alignment horizontal="left" vertical="center"/>
    </xf>
    <xf numFmtId="0" fontId="79" fillId="0" borderId="0" xfId="0" applyFont="1">
      <alignment vertical="center"/>
    </xf>
    <xf numFmtId="0" fontId="80" fillId="0" borderId="0" xfId="0" applyFont="1">
      <alignment vertical="center"/>
    </xf>
    <xf numFmtId="0" fontId="37" fillId="0" borderId="0" xfId="0" applyFont="1" applyAlignment="1">
      <alignment horizontal="left" vertical="center"/>
    </xf>
    <xf numFmtId="3" fontId="37" fillId="0" borderId="0" xfId="0" applyNumberFormat="1" applyFont="1" applyAlignment="1">
      <alignment horizontal="center" vertical="center"/>
    </xf>
    <xf numFmtId="4" fontId="37" fillId="0" borderId="0" xfId="0" applyNumberFormat="1" applyFont="1" applyAlignment="1">
      <alignment horizontal="center" vertical="center"/>
    </xf>
    <xf numFmtId="0" fontId="37" fillId="0" borderId="0" xfId="0" applyFont="1" applyAlignment="1">
      <alignment horizontal="center" vertical="center"/>
    </xf>
    <xf numFmtId="0" fontId="37" fillId="0" borderId="0" xfId="0" applyFont="1">
      <alignment vertical="center"/>
    </xf>
    <xf numFmtId="0" fontId="74" fillId="0" borderId="0" xfId="0" applyFont="1" applyAlignment="1">
      <alignment horizontal="center" vertical="center"/>
    </xf>
    <xf numFmtId="3" fontId="74" fillId="0" borderId="0" xfId="0" applyNumberFormat="1" applyFont="1" applyAlignment="1">
      <alignment horizontal="left" vertical="center"/>
    </xf>
    <xf numFmtId="4" fontId="74" fillId="0" borderId="0" xfId="0" applyNumberFormat="1" applyFont="1" applyAlignment="1">
      <alignment horizontal="left" vertical="center"/>
    </xf>
    <xf numFmtId="4" fontId="74" fillId="0" borderId="0" xfId="0" applyNumberFormat="1" applyFont="1" applyAlignment="1">
      <alignment horizontal="center" vertical="center"/>
    </xf>
    <xf numFmtId="0" fontId="81" fillId="0" borderId="0" xfId="0" applyFont="1">
      <alignment vertical="center"/>
    </xf>
    <xf numFmtId="3" fontId="74" fillId="0" borderId="0" xfId="0" applyNumberFormat="1" applyFont="1" applyAlignment="1">
      <alignment horizontal="center" vertical="center"/>
    </xf>
    <xf numFmtId="3" fontId="74" fillId="0" borderId="0" xfId="0" applyNumberFormat="1" applyFont="1">
      <alignment vertical="center"/>
    </xf>
    <xf numFmtId="0" fontId="82" fillId="0" borderId="0" xfId="0" applyFont="1">
      <alignment vertical="center"/>
    </xf>
    <xf numFmtId="0" fontId="83" fillId="0" borderId="0" xfId="0" applyFont="1">
      <alignment vertical="center"/>
    </xf>
    <xf numFmtId="4" fontId="75" fillId="0" borderId="0" xfId="0" applyNumberFormat="1" applyFont="1" applyAlignment="1">
      <alignment horizontal="right" vertical="center"/>
    </xf>
    <xf numFmtId="0" fontId="37" fillId="0" borderId="0" xfId="0" applyFont="1" applyAlignment="1">
      <alignment horizontal="right" vertical="center"/>
    </xf>
    <xf numFmtId="0" fontId="24" fillId="0" borderId="0" xfId="0" applyFont="1" applyAlignment="1">
      <alignment horizontal="left" vertical="center"/>
    </xf>
    <xf numFmtId="0" fontId="84" fillId="0" borderId="0" xfId="0" applyFont="1">
      <alignment vertical="center"/>
    </xf>
    <xf numFmtId="0" fontId="48" fillId="0" borderId="0" xfId="0" applyFont="1" applyAlignment="1">
      <alignment horizontal="left" vertical="center"/>
    </xf>
    <xf numFmtId="0" fontId="85" fillId="0" borderId="0" xfId="0" applyFont="1" applyAlignment="1">
      <alignment horizontal="left" vertical="center"/>
    </xf>
    <xf numFmtId="0" fontId="86" fillId="0" borderId="0" xfId="0" applyFont="1" applyAlignment="1">
      <alignment horizontal="left" vertical="center"/>
    </xf>
    <xf numFmtId="0" fontId="87" fillId="0" borderId="0" xfId="0" applyFont="1" applyAlignment="1">
      <alignment horizontal="left" vertical="center"/>
    </xf>
    <xf numFmtId="0" fontId="82" fillId="0" borderId="0" xfId="0" applyFont="1" applyAlignment="1">
      <alignment horizontal="left" vertical="center"/>
    </xf>
    <xf numFmtId="0" fontId="88" fillId="0" borderId="0" xfId="0" applyFont="1" applyAlignment="1">
      <alignment horizontal="left" vertical="center"/>
    </xf>
    <xf numFmtId="0" fontId="9" fillId="0" borderId="0" xfId="0" applyFont="1" applyAlignment="1"/>
    <xf numFmtId="4" fontId="45" fillId="0" borderId="0" xfId="0" applyNumberFormat="1" applyFont="1" applyAlignment="1">
      <alignment horizontal="right" vertical="center"/>
    </xf>
    <xf numFmtId="0" fontId="72" fillId="0" borderId="0" xfId="0" applyFont="1">
      <alignment vertical="center"/>
    </xf>
    <xf numFmtId="3" fontId="45" fillId="0" borderId="0" xfId="0" applyNumberFormat="1" applyFont="1" applyAlignment="1">
      <alignment horizontal="right" vertical="center"/>
    </xf>
    <xf numFmtId="0" fontId="48" fillId="0" borderId="0" xfId="0" applyFont="1" applyAlignment="1">
      <alignment horizontal="center" vertical="center"/>
    </xf>
    <xf numFmtId="0" fontId="88" fillId="0" borderId="0" xfId="0" applyFont="1">
      <alignment vertical="center"/>
    </xf>
    <xf numFmtId="0" fontId="65" fillId="0" borderId="0" xfId="0" applyFont="1" applyAlignment="1">
      <alignment horizontal="center" vertical="center"/>
    </xf>
    <xf numFmtId="3" fontId="89" fillId="0" borderId="0" xfId="0" applyNumberFormat="1" applyFont="1" applyAlignment="1">
      <alignment horizontal="right" vertical="center" wrapText="1"/>
    </xf>
    <xf numFmtId="3" fontId="89" fillId="0" borderId="0" xfId="0" applyNumberFormat="1" applyFont="1" applyAlignment="1">
      <alignment horizontal="center" vertical="center" wrapText="1"/>
    </xf>
    <xf numFmtId="0" fontId="89" fillId="0" borderId="0" xfId="0" applyFont="1" applyAlignment="1">
      <alignment horizontal="center" vertical="center" wrapText="1"/>
    </xf>
    <xf numFmtId="0" fontId="90" fillId="0" borderId="0" xfId="0" applyFont="1" applyAlignment="1">
      <alignment vertical="center" wrapText="1"/>
    </xf>
    <xf numFmtId="0" fontId="91" fillId="0" borderId="0" xfId="0" applyFont="1" applyAlignment="1">
      <alignment vertical="center" wrapText="1"/>
    </xf>
    <xf numFmtId="181" fontId="65" fillId="0" borderId="1" xfId="0" applyNumberFormat="1" applyFont="1" applyBorder="1" applyAlignment="1">
      <alignment horizontal="center" vertical="center"/>
    </xf>
    <xf numFmtId="3" fontId="89" fillId="0" borderId="1" xfId="0" applyNumberFormat="1" applyFont="1" applyBorder="1" applyAlignment="1">
      <alignment horizontal="center" vertical="center"/>
    </xf>
    <xf numFmtId="4" fontId="89" fillId="0" borderId="1" xfId="0" applyNumberFormat="1" applyFont="1" applyBorder="1" applyAlignment="1">
      <alignment horizontal="center" vertical="center"/>
    </xf>
    <xf numFmtId="0" fontId="89" fillId="0" borderId="1" xfId="0" applyFont="1" applyBorder="1" applyAlignment="1">
      <alignment horizontal="center" vertical="center"/>
    </xf>
    <xf numFmtId="0" fontId="90" fillId="0" borderId="1" xfId="0" applyFont="1" applyBorder="1">
      <alignment vertical="center"/>
    </xf>
    <xf numFmtId="0" fontId="89" fillId="0" borderId="0" xfId="0" applyFont="1" applyAlignment="1">
      <alignment horizontal="center" vertical="center"/>
    </xf>
    <xf numFmtId="3" fontId="89" fillId="0" borderId="0" xfId="0" applyNumberFormat="1" applyFont="1" applyAlignment="1">
      <alignment horizontal="left" vertical="center" wrapText="1" indent="2"/>
    </xf>
    <xf numFmtId="0" fontId="90" fillId="0" borderId="0" xfId="0" applyFont="1">
      <alignment vertical="center"/>
    </xf>
    <xf numFmtId="0" fontId="92" fillId="0" borderId="0" xfId="0" applyFont="1" applyAlignment="1">
      <alignment vertical="center" wrapText="1"/>
    </xf>
    <xf numFmtId="0" fontId="93" fillId="0" borderId="0" xfId="0" applyFont="1">
      <alignment vertical="center"/>
    </xf>
    <xf numFmtId="0" fontId="94" fillId="0" borderId="0" xfId="0" applyFont="1">
      <alignment vertical="center"/>
    </xf>
    <xf numFmtId="0" fontId="95" fillId="0" borderId="0" xfId="0" applyFont="1">
      <alignment vertical="center"/>
    </xf>
    <xf numFmtId="0" fontId="65" fillId="0" borderId="1" xfId="0" applyFont="1" applyBorder="1" applyAlignment="1">
      <alignment horizontal="center" vertical="center"/>
    </xf>
    <xf numFmtId="0" fontId="96" fillId="0" borderId="0" xfId="0" applyFont="1">
      <alignment vertical="center"/>
    </xf>
    <xf numFmtId="0" fontId="0" fillId="0" borderId="1" xfId="0" applyBorder="1" applyAlignment="1">
      <alignment horizontal="center"/>
    </xf>
    <xf numFmtId="0" fontId="97" fillId="0" borderId="0" xfId="0" applyFont="1" applyAlignment="1">
      <alignment horizontal="center" vertical="center" wrapText="1"/>
    </xf>
    <xf numFmtId="0" fontId="97" fillId="0" borderId="0" xfId="0" applyFont="1" applyAlignment="1">
      <alignment horizontal="left" vertical="center" wrapText="1" indent="1"/>
    </xf>
    <xf numFmtId="0" fontId="97" fillId="0" borderId="0" xfId="0" applyFont="1">
      <alignment vertical="center"/>
    </xf>
    <xf numFmtId="0" fontId="98" fillId="0" borderId="0" xfId="0" applyFont="1">
      <alignment vertical="center"/>
    </xf>
    <xf numFmtId="181" fontId="0" fillId="0" borderId="0" xfId="0" applyNumberFormat="1">
      <alignment vertical="center"/>
    </xf>
    <xf numFmtId="4" fontId="89" fillId="0" borderId="1" xfId="0" applyNumberFormat="1" applyFont="1" applyBorder="1" applyAlignment="1">
      <alignment horizontal="right" vertical="center"/>
    </xf>
    <xf numFmtId="0" fontId="99" fillId="0" borderId="1" xfId="0" applyFont="1" applyBorder="1">
      <alignment vertical="center"/>
    </xf>
    <xf numFmtId="0" fontId="100" fillId="0" borderId="1" xfId="0" applyFont="1" applyBorder="1">
      <alignment vertical="center"/>
    </xf>
    <xf numFmtId="181" fontId="0" fillId="0" borderId="1" xfId="0" applyNumberFormat="1" applyBorder="1" applyAlignment="1">
      <alignment horizontal="center" vertical="center"/>
    </xf>
    <xf numFmtId="0" fontId="0" fillId="0" borderId="1" xfId="0" applyBorder="1" applyAlignment="1"/>
    <xf numFmtId="0" fontId="0" fillId="0" borderId="4" xfId="0" applyBorder="1" applyAlignment="1">
      <alignment vertical="top"/>
    </xf>
    <xf numFmtId="188" fontId="0" fillId="0" borderId="4" xfId="0" applyNumberFormat="1" applyBorder="1" applyAlignment="1"/>
    <xf numFmtId="0" fontId="20" fillId="0" borderId="0" xfId="0" applyFont="1" applyAlignment="1">
      <alignment horizontal="center" vertical="center"/>
    </xf>
    <xf numFmtId="0" fontId="101" fillId="0" borderId="0" xfId="0" applyFont="1">
      <alignment vertical="center"/>
    </xf>
    <xf numFmtId="3" fontId="75" fillId="0" borderId="0" xfId="0" applyNumberFormat="1" applyFont="1">
      <alignment vertical="center"/>
    </xf>
    <xf numFmtId="3" fontId="45" fillId="0" borderId="0" xfId="0" applyNumberFormat="1" applyFont="1">
      <alignment vertical="center"/>
    </xf>
    <xf numFmtId="4" fontId="48" fillId="0" borderId="0" xfId="0" applyNumberFormat="1" applyFont="1" applyAlignment="1">
      <alignment horizontal="center" vertical="center"/>
    </xf>
    <xf numFmtId="0" fontId="48" fillId="0" borderId="0" xfId="0" applyFont="1" applyAlignment="1">
      <alignment horizontal="right" vertical="center"/>
    </xf>
    <xf numFmtId="0" fontId="48" fillId="0" borderId="0" xfId="0" applyFont="1">
      <alignment vertical="center"/>
    </xf>
    <xf numFmtId="4" fontId="48" fillId="0" borderId="0" xfId="0" applyNumberFormat="1" applyFont="1">
      <alignment vertical="center"/>
    </xf>
    <xf numFmtId="4" fontId="48" fillId="0" borderId="0" xfId="0" applyNumberFormat="1" applyFont="1" applyAlignment="1">
      <alignment horizontal="left" vertical="center"/>
    </xf>
    <xf numFmtId="3" fontId="0" fillId="0" borderId="1" xfId="0" applyNumberFormat="1" applyBorder="1">
      <alignment vertical="center"/>
    </xf>
    <xf numFmtId="4" fontId="0" fillId="0" borderId="1" xfId="0" applyNumberFormat="1" applyBorder="1">
      <alignment vertical="center"/>
    </xf>
    <xf numFmtId="0" fontId="102" fillId="0" borderId="0" xfId="0" applyFont="1">
      <alignment vertical="center"/>
    </xf>
    <xf numFmtId="3" fontId="20" fillId="0" borderId="0" xfId="0" applyNumberFormat="1" applyFont="1" applyAlignment="1">
      <alignment horizontal="right" vertical="center"/>
    </xf>
    <xf numFmtId="3" fontId="20" fillId="0" borderId="0" xfId="0" applyNumberFormat="1" applyFont="1" applyAlignment="1">
      <alignment horizontal="center" vertical="center"/>
    </xf>
    <xf numFmtId="0" fontId="78" fillId="0" borderId="0" xfId="0" applyFont="1" applyAlignment="1">
      <alignment horizontal="left" vertical="center"/>
    </xf>
    <xf numFmtId="0" fontId="103" fillId="0" borderId="0" xfId="0" applyFont="1" applyAlignment="1">
      <alignment horizontal="left" vertical="center"/>
    </xf>
    <xf numFmtId="0" fontId="103" fillId="0" borderId="0" xfId="0" applyFont="1">
      <alignment vertical="center"/>
    </xf>
    <xf numFmtId="0" fontId="103" fillId="0" borderId="0" xfId="0" applyFont="1" applyAlignment="1">
      <alignment horizontal="center" vertical="center"/>
    </xf>
    <xf numFmtId="3" fontId="34" fillId="0" borderId="0" xfId="0" applyNumberFormat="1" applyFont="1" applyAlignment="1">
      <alignment horizontal="right" vertical="center"/>
    </xf>
    <xf numFmtId="0" fontId="34" fillId="0" borderId="0" xfId="0" applyFont="1" applyAlignment="1">
      <alignment horizontal="right" vertical="center"/>
    </xf>
    <xf numFmtId="0" fontId="34" fillId="0" borderId="0" xfId="0" applyFont="1" applyAlignment="1">
      <alignment horizontal="center" vertical="center"/>
    </xf>
    <xf numFmtId="0" fontId="34" fillId="0" borderId="0" xfId="0" applyFont="1">
      <alignment vertical="center"/>
    </xf>
    <xf numFmtId="0" fontId="65" fillId="0" borderId="0" xfId="0" applyFont="1">
      <alignment vertical="center"/>
    </xf>
    <xf numFmtId="3" fontId="34" fillId="0" borderId="0" xfId="0" applyNumberFormat="1" applyFont="1">
      <alignment vertical="center"/>
    </xf>
    <xf numFmtId="0" fontId="45" fillId="0" borderId="0" xfId="0" applyFont="1">
      <alignment vertical="center"/>
    </xf>
    <xf numFmtId="4" fontId="45" fillId="0" borderId="0" xfId="0" applyNumberFormat="1" applyFont="1">
      <alignment vertical="center"/>
    </xf>
    <xf numFmtId="0" fontId="104" fillId="0" borderId="0" xfId="0" applyFont="1">
      <alignment vertical="center"/>
    </xf>
    <xf numFmtId="0" fontId="105" fillId="0" borderId="0" xfId="0" applyFont="1">
      <alignment vertical="center"/>
    </xf>
    <xf numFmtId="0" fontId="106" fillId="0" borderId="0" xfId="0" applyFont="1" applyAlignment="1">
      <alignment horizontal="center" vertical="center"/>
    </xf>
    <xf numFmtId="0" fontId="47" fillId="0" borderId="0" xfId="0" applyFont="1">
      <alignment vertical="center"/>
    </xf>
    <xf numFmtId="0" fontId="47" fillId="0" borderId="0" xfId="0" applyFont="1" applyAlignment="1">
      <alignment horizontal="center" vertical="center"/>
    </xf>
    <xf numFmtId="0" fontId="107" fillId="0" borderId="0" xfId="0" applyFont="1" applyAlignment="1">
      <alignment horizontal="center" vertical="center"/>
    </xf>
    <xf numFmtId="0" fontId="47" fillId="0" borderId="0" xfId="0" applyFont="1" applyAlignment="1">
      <alignment horizontal="left" vertical="center"/>
    </xf>
    <xf numFmtId="0" fontId="85" fillId="0" borderId="0" xfId="0" applyFont="1">
      <alignment vertical="center"/>
    </xf>
    <xf numFmtId="0" fontId="107" fillId="0" borderId="0" xfId="0" applyFont="1" applyAlignment="1">
      <alignment horizontal="left" vertical="center"/>
    </xf>
    <xf numFmtId="4" fontId="71" fillId="0" borderId="0" xfId="0" applyNumberFormat="1" applyFont="1">
      <alignment vertical="center"/>
    </xf>
    <xf numFmtId="0" fontId="71" fillId="0" borderId="0" xfId="0" applyFont="1">
      <alignment vertical="center"/>
    </xf>
    <xf numFmtId="0" fontId="106" fillId="0" borderId="0" xfId="0" applyFont="1">
      <alignment vertical="center"/>
    </xf>
    <xf numFmtId="4" fontId="19" fillId="0" borderId="0" xfId="0" applyNumberFormat="1" applyFont="1" applyAlignment="1">
      <alignment horizontal="center" vertical="center"/>
    </xf>
    <xf numFmtId="3" fontId="19" fillId="0" borderId="0" xfId="0" applyNumberFormat="1" applyFont="1" applyAlignment="1">
      <alignment horizontal="center" vertical="center"/>
    </xf>
    <xf numFmtId="0" fontId="85" fillId="0" borderId="0" xfId="0" applyFont="1" applyAlignment="1">
      <alignment horizontal="center" vertical="center"/>
    </xf>
    <xf numFmtId="0" fontId="19" fillId="0" borderId="0" xfId="0" applyFont="1" applyAlignment="1">
      <alignment horizontal="center" vertical="center"/>
    </xf>
    <xf numFmtId="0" fontId="108" fillId="0" borderId="0" xfId="0" applyFont="1">
      <alignment vertical="center"/>
    </xf>
    <xf numFmtId="0" fontId="108" fillId="0" borderId="0" xfId="0" applyFont="1" applyAlignment="1">
      <alignment horizontal="center" vertical="center"/>
    </xf>
    <xf numFmtId="0" fontId="14" fillId="0" borderId="0" xfId="0" applyFont="1" applyAlignment="1">
      <alignment horizontal="center" vertical="center"/>
    </xf>
    <xf numFmtId="4" fontId="34" fillId="0" borderId="0" xfId="0" applyNumberFormat="1" applyFont="1" applyAlignment="1">
      <alignment horizontal="right" vertical="center"/>
    </xf>
    <xf numFmtId="3" fontId="34" fillId="0" borderId="0" xfId="0" applyNumberFormat="1" applyFont="1" applyAlignment="1">
      <alignment horizontal="center" vertical="center"/>
    </xf>
    <xf numFmtId="1" fontId="0" fillId="0" borderId="1" xfId="0" applyNumberFormat="1" applyBorder="1">
      <alignment vertical="center"/>
    </xf>
    <xf numFmtId="4" fontId="34" fillId="0" borderId="0" xfId="0" applyNumberFormat="1" applyFont="1">
      <alignment vertical="center"/>
    </xf>
    <xf numFmtId="3" fontId="48" fillId="0" borderId="0" xfId="0" applyNumberFormat="1" applyFont="1">
      <alignment vertical="center"/>
    </xf>
    <xf numFmtId="3" fontId="48" fillId="0" borderId="0" xfId="0" applyNumberFormat="1" applyFont="1" applyAlignment="1">
      <alignment horizontal="center" vertical="center"/>
    </xf>
    <xf numFmtId="4" fontId="20" fillId="0" borderId="0" xfId="0" applyNumberFormat="1" applyFont="1" applyAlignment="1">
      <alignment horizontal="right" vertical="center"/>
    </xf>
    <xf numFmtId="0" fontId="83" fillId="0" borderId="0" xfId="0" applyFont="1" applyAlignment="1">
      <alignment horizontal="left" vertical="center"/>
    </xf>
    <xf numFmtId="10" fontId="20" fillId="0" borderId="0" xfId="0" applyNumberFormat="1" applyFont="1" applyAlignment="1">
      <alignment horizontal="right" vertical="center"/>
    </xf>
    <xf numFmtId="0" fontId="76" fillId="0" borderId="0" xfId="0" applyFont="1" applyAlignment="1">
      <alignment horizontal="left" vertical="center"/>
    </xf>
    <xf numFmtId="10" fontId="45" fillId="0" borderId="0" xfId="0" applyNumberFormat="1" applyFont="1">
      <alignment vertical="center"/>
    </xf>
    <xf numFmtId="20" fontId="0" fillId="0" borderId="0" xfId="0" applyNumberFormat="1">
      <alignment vertical="center"/>
    </xf>
    <xf numFmtId="0" fontId="6" fillId="0" borderId="0" xfId="1">
      <alignment vertical="center"/>
    </xf>
    <xf numFmtId="0" fontId="109" fillId="0" borderId="0" xfId="0" applyFont="1">
      <alignment vertical="center"/>
    </xf>
    <xf numFmtId="0" fontId="109" fillId="0" borderId="0" xfId="0" applyFont="1" applyAlignment="1">
      <alignment horizontal="center" vertical="center"/>
    </xf>
    <xf numFmtId="178" fontId="0" fillId="0" borderId="4" xfId="0" applyNumberFormat="1" applyBorder="1" applyAlignment="1">
      <alignment vertical="top"/>
    </xf>
    <xf numFmtId="0" fontId="81" fillId="0" borderId="0" xfId="0" applyFont="1" applyAlignment="1">
      <alignment horizontal="left" vertical="center"/>
    </xf>
    <xf numFmtId="0" fontId="110" fillId="0" borderId="0" xfId="0" applyFont="1" applyAlignment="1">
      <alignment horizontal="left" vertical="center"/>
    </xf>
    <xf numFmtId="0" fontId="110" fillId="0" borderId="0" xfId="0" applyFont="1">
      <alignment vertical="center"/>
    </xf>
    <xf numFmtId="0" fontId="20" fillId="0" borderId="0" xfId="0" applyFont="1">
      <alignment vertical="center"/>
    </xf>
    <xf numFmtId="184" fontId="0" fillId="0" borderId="1" xfId="0" applyNumberFormat="1" applyBorder="1">
      <alignment vertical="center"/>
    </xf>
    <xf numFmtId="0" fontId="86" fillId="0" borderId="0" xfId="0" applyFont="1">
      <alignment vertical="center"/>
    </xf>
    <xf numFmtId="0" fontId="87" fillId="0" borderId="0" xfId="0" applyFont="1">
      <alignment vertical="center"/>
    </xf>
    <xf numFmtId="0" fontId="78" fillId="0" borderId="0" xfId="0" applyFont="1" applyAlignment="1">
      <alignment horizontal="center" vertical="center"/>
    </xf>
    <xf numFmtId="0" fontId="111" fillId="0" borderId="0" xfId="0" applyFont="1">
      <alignment vertical="center"/>
    </xf>
    <xf numFmtId="0" fontId="78" fillId="0" borderId="0" xfId="0" applyFont="1" applyAlignment="1">
      <alignment horizontal="right" vertical="center"/>
    </xf>
    <xf numFmtId="4" fontId="48" fillId="0" borderId="0" xfId="0" applyNumberFormat="1" applyFont="1" applyAlignment="1">
      <alignment horizontal="right" vertical="center"/>
    </xf>
    <xf numFmtId="0" fontId="109" fillId="0" borderId="0" xfId="0" applyFont="1" applyAlignment="1">
      <alignment horizontal="left" vertical="center"/>
    </xf>
    <xf numFmtId="4" fontId="112" fillId="0" borderId="0" xfId="0" applyNumberFormat="1" applyFont="1">
      <alignment vertical="center"/>
    </xf>
    <xf numFmtId="3" fontId="112" fillId="0" borderId="0" xfId="0" applyNumberFormat="1" applyFont="1">
      <alignment vertical="center"/>
    </xf>
    <xf numFmtId="0" fontId="112" fillId="0" borderId="0" xfId="0" applyFont="1">
      <alignment vertical="center"/>
    </xf>
    <xf numFmtId="0" fontId="113" fillId="0" borderId="0" xfId="0" applyFont="1">
      <alignment vertical="center"/>
    </xf>
    <xf numFmtId="0" fontId="114" fillId="0" borderId="0" xfId="0" applyFont="1">
      <alignment vertical="center"/>
    </xf>
    <xf numFmtId="21" fontId="34" fillId="0" borderId="0" xfId="0" applyNumberFormat="1" applyFont="1" applyAlignment="1">
      <alignment horizontal="right" vertical="center"/>
    </xf>
    <xf numFmtId="21" fontId="34" fillId="0" borderId="0" xfId="0" applyNumberFormat="1" applyFont="1" applyAlignment="1">
      <alignment horizontal="left" vertical="center"/>
    </xf>
    <xf numFmtId="21" fontId="34" fillId="0" borderId="0" xfId="0" applyNumberFormat="1" applyFont="1">
      <alignment vertical="center"/>
    </xf>
    <xf numFmtId="20" fontId="75" fillId="0" borderId="0" xfId="0" applyNumberFormat="1" applyFont="1" applyAlignment="1">
      <alignment horizontal="center" vertical="center"/>
    </xf>
    <xf numFmtId="3" fontId="75" fillId="0" borderId="0" xfId="0" applyNumberFormat="1" applyFont="1" applyAlignment="1">
      <alignment horizontal="center" vertical="center"/>
    </xf>
    <xf numFmtId="3" fontId="75" fillId="0" borderId="0" xfId="0" applyNumberFormat="1" applyFont="1" applyAlignment="1">
      <alignment horizontal="right" vertical="center"/>
    </xf>
    <xf numFmtId="0" fontId="115" fillId="0" borderId="0" xfId="0" applyFont="1" applyAlignment="1">
      <alignment horizontal="left" vertical="center"/>
    </xf>
    <xf numFmtId="3" fontId="75" fillId="0" borderId="0" xfId="0" applyNumberFormat="1" applyFont="1" applyAlignment="1">
      <alignment horizontal="left" vertical="center"/>
    </xf>
    <xf numFmtId="20" fontId="75" fillId="0" borderId="0" xfId="0" applyNumberFormat="1" applyFont="1" applyAlignment="1">
      <alignment horizontal="left" vertical="center"/>
    </xf>
    <xf numFmtId="0" fontId="116" fillId="0" borderId="0" xfId="0" applyFont="1" applyAlignment="1">
      <alignment horizontal="left" vertical="center"/>
    </xf>
    <xf numFmtId="0" fontId="117" fillId="0" borderId="0" xfId="0" applyFont="1" applyAlignment="1">
      <alignment horizontal="left" vertical="center"/>
    </xf>
    <xf numFmtId="0" fontId="118" fillId="0" borderId="0" xfId="0" applyFont="1" applyAlignment="1">
      <alignment horizontal="left" vertical="center"/>
    </xf>
    <xf numFmtId="0" fontId="119" fillId="0" borderId="0" xfId="0" applyFont="1" applyAlignment="1">
      <alignment horizontal="left" vertical="center"/>
    </xf>
    <xf numFmtId="4" fontId="109" fillId="0" borderId="0" xfId="0" applyNumberFormat="1" applyFont="1" applyAlignment="1">
      <alignment horizontal="right" vertical="center"/>
    </xf>
    <xf numFmtId="3" fontId="109" fillId="0" borderId="0" xfId="0" applyNumberFormat="1" applyFont="1" applyAlignment="1">
      <alignment horizontal="right" vertical="center"/>
    </xf>
    <xf numFmtId="20" fontId="75" fillId="0" borderId="0" xfId="0" applyNumberFormat="1" applyFont="1">
      <alignment vertical="center"/>
    </xf>
    <xf numFmtId="0" fontId="14" fillId="0" borderId="0" xfId="0" applyFont="1">
      <alignment vertical="center"/>
    </xf>
    <xf numFmtId="0" fontId="120" fillId="0" borderId="0" xfId="0" applyFont="1" applyAlignment="1">
      <alignment horizontal="center" vertical="center"/>
    </xf>
    <xf numFmtId="0" fontId="14" fillId="0" borderId="0" xfId="0" applyFont="1" applyAlignment="1">
      <alignment horizontal="left" vertical="center"/>
    </xf>
    <xf numFmtId="4" fontId="27" fillId="0" borderId="0" xfId="0" applyNumberFormat="1" applyFont="1" applyAlignment="1">
      <alignment horizontal="right" vertical="center"/>
    </xf>
    <xf numFmtId="0" fontId="27" fillId="0" borderId="0" xfId="0" applyFont="1" applyAlignment="1">
      <alignment horizontal="right" vertical="center"/>
    </xf>
    <xf numFmtId="0" fontId="27" fillId="0" borderId="0" xfId="0" applyFont="1" applyAlignment="1">
      <alignment horizontal="center" vertical="center"/>
    </xf>
    <xf numFmtId="4" fontId="25" fillId="0" borderId="0" xfId="0" applyNumberFormat="1" applyFont="1" applyAlignment="1">
      <alignment horizontal="right" vertical="center"/>
    </xf>
    <xf numFmtId="3" fontId="25" fillId="0" borderId="0" xfId="0" applyNumberFormat="1" applyFont="1" applyAlignment="1">
      <alignment horizontal="right" vertical="center"/>
    </xf>
    <xf numFmtId="3" fontId="27" fillId="0" borderId="0" xfId="0" applyNumberFormat="1" applyFont="1" applyAlignment="1">
      <alignment horizontal="right" vertical="center"/>
    </xf>
    <xf numFmtId="3" fontId="48" fillId="0" borderId="0" xfId="0" applyNumberFormat="1" applyFont="1" applyAlignment="1">
      <alignment horizontal="center" vertical="center" wrapText="1"/>
    </xf>
    <xf numFmtId="0" fontId="48" fillId="0" borderId="0" xfId="0" applyFont="1" applyAlignment="1">
      <alignment horizontal="center" vertical="center" wrapText="1"/>
    </xf>
    <xf numFmtId="3" fontId="48" fillId="0" borderId="0" xfId="0" applyNumberFormat="1" applyFont="1" applyAlignment="1">
      <alignment horizontal="left" vertical="center"/>
    </xf>
    <xf numFmtId="3" fontId="48" fillId="0" borderId="0" xfId="0" applyNumberFormat="1" applyFont="1" applyAlignment="1">
      <alignment horizontal="right" vertical="center"/>
    </xf>
    <xf numFmtId="4" fontId="12" fillId="0" borderId="0" xfId="0" applyNumberFormat="1" applyFont="1" applyAlignment="1">
      <alignment horizontal="center" vertical="center"/>
    </xf>
    <xf numFmtId="3" fontId="12" fillId="0" borderId="0" xfId="0" applyNumberFormat="1" applyFont="1" applyAlignment="1">
      <alignment horizontal="center" vertical="center"/>
    </xf>
    <xf numFmtId="0" fontId="12" fillId="0" borderId="0" xfId="0" applyFont="1" applyAlignment="1">
      <alignment horizontal="center" vertical="center"/>
    </xf>
    <xf numFmtId="0" fontId="114" fillId="0" borderId="0" xfId="0" applyFont="1" applyAlignment="1">
      <alignment horizontal="left" vertical="center"/>
    </xf>
    <xf numFmtId="0" fontId="26" fillId="0" borderId="0" xfId="0" applyFont="1" applyAlignment="1">
      <alignment horizontal="center" vertical="center"/>
    </xf>
    <xf numFmtId="4" fontId="73" fillId="0" borderId="0" xfId="0" applyNumberFormat="1" applyFont="1">
      <alignment vertical="center"/>
    </xf>
    <xf numFmtId="4" fontId="73" fillId="0" borderId="0" xfId="0" applyNumberFormat="1" applyFont="1" applyAlignment="1">
      <alignment horizontal="center" vertical="center"/>
    </xf>
    <xf numFmtId="0" fontId="110" fillId="0" borderId="0" xfId="0" applyFont="1" applyAlignment="1">
      <alignment horizontal="center" vertical="center"/>
    </xf>
    <xf numFmtId="4" fontId="19" fillId="0" borderId="0" xfId="0" applyNumberFormat="1" applyFont="1" applyAlignment="1">
      <alignment horizontal="right" vertical="center"/>
    </xf>
    <xf numFmtId="3" fontId="19" fillId="0" borderId="0" xfId="0" applyNumberFormat="1" applyFont="1" applyAlignment="1">
      <alignment horizontal="right" vertical="center"/>
    </xf>
    <xf numFmtId="0" fontId="19" fillId="0" borderId="0" xfId="0" applyFont="1" applyAlignment="1">
      <alignment horizontal="right" vertical="center"/>
    </xf>
    <xf numFmtId="0" fontId="19" fillId="0" borderId="0" xfId="0" applyFont="1" applyAlignment="1">
      <alignment horizontal="left" vertical="center"/>
    </xf>
    <xf numFmtId="4" fontId="19" fillId="0" borderId="0" xfId="0" applyNumberFormat="1" applyFont="1">
      <alignment vertical="center"/>
    </xf>
    <xf numFmtId="3" fontId="19" fillId="0" borderId="0" xfId="0" applyNumberFormat="1" applyFont="1">
      <alignment vertical="center"/>
    </xf>
    <xf numFmtId="0" fontId="19" fillId="0" borderId="0" xfId="0" applyFont="1">
      <alignment vertical="center"/>
    </xf>
    <xf numFmtId="0" fontId="111" fillId="0" borderId="0" xfId="0" applyFont="1" applyAlignment="1">
      <alignment horizontal="center" vertical="center"/>
    </xf>
    <xf numFmtId="0" fontId="111" fillId="0" borderId="0" xfId="0" applyFont="1" applyAlignment="1">
      <alignment horizontal="left" vertical="center"/>
    </xf>
    <xf numFmtId="0" fontId="54" fillId="0" borderId="0" xfId="0" applyFont="1" applyAlignment="1">
      <alignment horizontal="left" vertical="center"/>
    </xf>
    <xf numFmtId="0" fontId="102" fillId="0" borderId="0" xfId="0" applyFont="1" applyAlignment="1">
      <alignment horizontal="left" vertical="center"/>
    </xf>
    <xf numFmtId="0" fontId="105" fillId="0" borderId="0" xfId="0" applyFont="1" applyAlignment="1">
      <alignment horizontal="left" vertical="center"/>
    </xf>
    <xf numFmtId="3" fontId="71" fillId="0" borderId="0" xfId="0" applyNumberFormat="1" applyFont="1">
      <alignment vertical="center"/>
    </xf>
    <xf numFmtId="0" fontId="122" fillId="0" borderId="0" xfId="0" applyFont="1" applyAlignment="1">
      <alignment horizontal="left" vertical="center"/>
    </xf>
    <xf numFmtId="0" fontId="122" fillId="0" borderId="0" xfId="0" applyFont="1" applyAlignment="1">
      <alignment horizontal="center" vertical="center"/>
    </xf>
    <xf numFmtId="0" fontId="123" fillId="0" borderId="0" xfId="0" applyFont="1">
      <alignment vertical="center"/>
    </xf>
    <xf numFmtId="4" fontId="124" fillId="0" borderId="0" xfId="0" applyNumberFormat="1" applyFont="1" applyAlignment="1">
      <alignment horizontal="center" vertical="center"/>
    </xf>
    <xf numFmtId="3" fontId="124" fillId="0" borderId="0" xfId="0" applyNumberFormat="1" applyFont="1" applyAlignment="1">
      <alignment horizontal="center" vertical="center"/>
    </xf>
    <xf numFmtId="0" fontId="125" fillId="0" borderId="0" xfId="0" applyFont="1" applyAlignment="1">
      <alignment horizontal="center" vertical="center"/>
    </xf>
    <xf numFmtId="4" fontId="126" fillId="0" borderId="0" xfId="0" applyNumberFormat="1" applyFont="1" applyAlignment="1">
      <alignment horizontal="center" vertical="center"/>
    </xf>
    <xf numFmtId="3" fontId="126" fillId="0" borderId="0" xfId="0" applyNumberFormat="1" applyFont="1" applyAlignment="1">
      <alignment horizontal="center" vertical="center"/>
    </xf>
    <xf numFmtId="0" fontId="127" fillId="0" borderId="0" xfId="0" applyFont="1" applyAlignment="1">
      <alignment horizontal="center" vertical="center"/>
    </xf>
    <xf numFmtId="0" fontId="128" fillId="0" borderId="0" xfId="0" applyFont="1">
      <alignment vertical="center"/>
    </xf>
    <xf numFmtId="0" fontId="104" fillId="0" borderId="0" xfId="0" applyFont="1" applyAlignment="1">
      <alignment horizontal="center" vertical="center"/>
    </xf>
    <xf numFmtId="0" fontId="30" fillId="0" borderId="0" xfId="0" applyFont="1" applyAlignment="1">
      <alignment horizontal="center" vertical="center"/>
    </xf>
    <xf numFmtId="0" fontId="30" fillId="0" borderId="0" xfId="0" applyFont="1" applyAlignment="1">
      <alignment horizontal="left" vertical="center"/>
    </xf>
    <xf numFmtId="0" fontId="29" fillId="0" borderId="0" xfId="0" applyFont="1" applyAlignment="1">
      <alignment horizontal="center" vertical="center"/>
    </xf>
    <xf numFmtId="0" fontId="75" fillId="0" borderId="0" xfId="0" applyFont="1" applyAlignment="1">
      <alignment horizontal="justify" vertical="center"/>
    </xf>
    <xf numFmtId="0" fontId="129" fillId="0" borderId="0" xfId="0" applyFont="1" applyAlignment="1">
      <alignment horizontal="center" vertical="center"/>
    </xf>
    <xf numFmtId="4" fontId="71" fillId="0" borderId="0" xfId="0" applyNumberFormat="1" applyFont="1" applyAlignment="1">
      <alignment horizontal="right" vertical="center"/>
    </xf>
    <xf numFmtId="3" fontId="71" fillId="0" borderId="0" xfId="0" applyNumberFormat="1" applyFont="1" applyAlignment="1">
      <alignment horizontal="left" vertical="center"/>
    </xf>
    <xf numFmtId="0" fontId="113" fillId="0" borderId="0" xfId="0" applyFont="1" applyAlignment="1">
      <alignment horizontal="center" vertical="center"/>
    </xf>
    <xf numFmtId="0" fontId="20" fillId="0" borderId="0" xfId="0" applyFont="1" applyAlignment="1">
      <alignment horizontal="right" vertical="center"/>
    </xf>
    <xf numFmtId="3" fontId="20" fillId="0" borderId="0" xfId="0" applyNumberFormat="1" applyFont="1">
      <alignment vertical="center"/>
    </xf>
    <xf numFmtId="0" fontId="20" fillId="0" borderId="0" xfId="0" applyFont="1" applyAlignment="1">
      <alignment horizontal="left" vertical="center"/>
    </xf>
    <xf numFmtId="3" fontId="45" fillId="0" borderId="0" xfId="0" applyNumberFormat="1" applyFont="1" applyAlignment="1">
      <alignment horizontal="left" vertical="center" wrapText="1" indent="2"/>
    </xf>
    <xf numFmtId="0" fontId="45" fillId="0" borderId="0" xfId="0" applyFont="1" applyAlignment="1">
      <alignment horizontal="left" vertical="center" wrapText="1" indent="1"/>
    </xf>
    <xf numFmtId="0" fontId="75" fillId="0" borderId="0" xfId="0" applyFont="1" applyAlignment="1">
      <alignment horizontal="center" vertical="center" wrapText="1"/>
    </xf>
    <xf numFmtId="0" fontId="45" fillId="0" borderId="0" xfId="0" applyFont="1" applyAlignment="1">
      <alignment horizontal="center" vertical="center" wrapText="1"/>
    </xf>
    <xf numFmtId="4" fontId="27" fillId="0" borderId="0" xfId="0" applyNumberFormat="1" applyFont="1" applyAlignment="1">
      <alignment horizontal="center" vertical="center"/>
    </xf>
    <xf numFmtId="0" fontId="27" fillId="0" borderId="0" xfId="0" applyFont="1">
      <alignment vertical="center"/>
    </xf>
    <xf numFmtId="0" fontId="27" fillId="0" borderId="0" xfId="0" applyFont="1" applyAlignment="1">
      <alignment horizontal="left" vertical="center"/>
    </xf>
    <xf numFmtId="4" fontId="27" fillId="0" borderId="0" xfId="0" applyNumberFormat="1" applyFont="1">
      <alignment vertical="center"/>
    </xf>
    <xf numFmtId="3" fontId="25" fillId="0" borderId="0" xfId="0" applyNumberFormat="1" applyFont="1" applyAlignment="1">
      <alignment horizontal="center" vertical="center"/>
    </xf>
    <xf numFmtId="3" fontId="44" fillId="0" borderId="0" xfId="0" applyNumberFormat="1" applyFont="1">
      <alignment vertical="center"/>
    </xf>
    <xf numFmtId="4" fontId="44" fillId="0" borderId="0" xfId="0" applyNumberFormat="1" applyFont="1">
      <alignment vertical="center"/>
    </xf>
    <xf numFmtId="0" fontId="44" fillId="0" borderId="0" xfId="0" applyFont="1">
      <alignment vertical="center"/>
    </xf>
    <xf numFmtId="3" fontId="44" fillId="0" borderId="0" xfId="0" applyNumberFormat="1" applyFont="1" applyAlignment="1">
      <alignment horizontal="center" vertical="center"/>
    </xf>
    <xf numFmtId="4" fontId="44" fillId="0" borderId="0" xfId="0" applyNumberFormat="1" applyFont="1" applyAlignment="1">
      <alignment horizontal="left" vertical="center"/>
    </xf>
    <xf numFmtId="0" fontId="44" fillId="0" borderId="0" xfId="0" applyFont="1" applyAlignment="1">
      <alignment horizontal="center" vertical="center"/>
    </xf>
    <xf numFmtId="4" fontId="27" fillId="0" borderId="0" xfId="0" applyNumberFormat="1" applyFont="1" applyAlignment="1">
      <alignment horizontal="left" vertical="center"/>
    </xf>
    <xf numFmtId="3" fontId="27" fillId="0" borderId="0" xfId="0" applyNumberFormat="1" applyFont="1" applyAlignment="1">
      <alignment horizontal="center" vertical="center"/>
    </xf>
    <xf numFmtId="188" fontId="0" fillId="0" borderId="1" xfId="0" applyNumberFormat="1" applyBorder="1">
      <alignment vertical="center"/>
    </xf>
    <xf numFmtId="3" fontId="27" fillId="0" borderId="0" xfId="0" applyNumberFormat="1" applyFont="1">
      <alignment vertical="center"/>
    </xf>
    <xf numFmtId="3" fontId="25" fillId="0" borderId="0" xfId="0" applyNumberFormat="1" applyFont="1" applyAlignment="1">
      <alignment horizontal="left" vertical="center"/>
    </xf>
    <xf numFmtId="3" fontId="27" fillId="0" borderId="0" xfId="0" applyNumberFormat="1" applyFont="1" applyAlignment="1">
      <alignment horizontal="left" vertical="center"/>
    </xf>
    <xf numFmtId="4" fontId="50" fillId="0" borderId="0" xfId="0" applyNumberFormat="1" applyFont="1" applyAlignment="1">
      <alignment horizontal="right" vertical="center"/>
    </xf>
    <xf numFmtId="0" fontId="50" fillId="0" borderId="0" xfId="0" applyFont="1" applyAlignment="1">
      <alignment horizontal="right" vertical="center"/>
    </xf>
    <xf numFmtId="0" fontId="50" fillId="0" borderId="0" xfId="0" applyFont="1" applyAlignment="1">
      <alignment horizontal="center" vertical="center"/>
    </xf>
    <xf numFmtId="0" fontId="56" fillId="0" borderId="0" xfId="0" applyFont="1" applyAlignment="1">
      <alignment horizontal="center" vertical="center"/>
    </xf>
    <xf numFmtId="4" fontId="56" fillId="0" borderId="0" xfId="0" applyNumberFormat="1" applyFont="1" applyAlignment="1">
      <alignment horizontal="right" vertical="center"/>
    </xf>
    <xf numFmtId="3" fontId="56" fillId="0" borderId="0" xfId="0" applyNumberFormat="1" applyFont="1" applyAlignment="1">
      <alignment horizontal="right" vertical="center"/>
    </xf>
    <xf numFmtId="3" fontId="50" fillId="0" borderId="0" xfId="0" applyNumberFormat="1" applyFont="1" applyAlignment="1">
      <alignment horizontal="right" vertical="center"/>
    </xf>
    <xf numFmtId="4" fontId="50" fillId="0" borderId="0" xfId="0" applyNumberFormat="1" applyFont="1">
      <alignment vertical="center"/>
    </xf>
    <xf numFmtId="3" fontId="50" fillId="0" borderId="0" xfId="0" applyNumberFormat="1" applyFont="1">
      <alignment vertical="center"/>
    </xf>
    <xf numFmtId="0" fontId="50" fillId="0" borderId="0" xfId="0" applyFont="1">
      <alignment vertical="center"/>
    </xf>
    <xf numFmtId="0" fontId="130" fillId="0" borderId="0" xfId="0" applyFont="1" applyAlignment="1">
      <alignment horizontal="center" vertical="center"/>
    </xf>
    <xf numFmtId="0" fontId="131" fillId="0" borderId="0" xfId="0" applyFont="1" applyAlignment="1">
      <alignment horizontal="left" vertical="center"/>
    </xf>
    <xf numFmtId="0" fontId="130" fillId="0" borderId="0" xfId="0" applyFont="1">
      <alignment vertical="center"/>
    </xf>
    <xf numFmtId="0" fontId="130" fillId="0" borderId="0" xfId="0" applyFont="1" applyAlignment="1">
      <alignment horizontal="left" vertical="center"/>
    </xf>
    <xf numFmtId="3" fontId="71" fillId="0" borderId="0" xfId="0" applyNumberFormat="1" applyFont="1" applyAlignment="1">
      <alignment horizontal="right" vertical="center"/>
    </xf>
    <xf numFmtId="0" fontId="132" fillId="0" borderId="0" xfId="0" applyFont="1" applyAlignment="1">
      <alignment horizontal="right" vertical="center"/>
    </xf>
    <xf numFmtId="0" fontId="132" fillId="0" borderId="0" xfId="0" applyFont="1" applyAlignment="1">
      <alignment horizontal="center" vertical="center"/>
    </xf>
    <xf numFmtId="0" fontId="108" fillId="0" borderId="0" xfId="0" applyFont="1" applyAlignment="1">
      <alignment horizontal="left" vertical="center"/>
    </xf>
    <xf numFmtId="3" fontId="34" fillId="0" borderId="0" xfId="0" applyNumberFormat="1" applyFont="1" applyAlignment="1">
      <alignment horizontal="left" vertical="center"/>
    </xf>
    <xf numFmtId="2" fontId="0" fillId="0" borderId="1" xfId="0" applyNumberFormat="1" applyBorder="1" applyAlignment="1">
      <alignment horizontal="center"/>
    </xf>
    <xf numFmtId="178" fontId="0" fillId="0" borderId="1" xfId="0" applyNumberFormat="1" applyBorder="1" applyAlignment="1">
      <alignment horizontal="center" vertical="top"/>
    </xf>
    <xf numFmtId="4" fontId="62" fillId="0" borderId="0" xfId="0" applyNumberFormat="1" applyFont="1" applyAlignment="1">
      <alignment horizontal="center" vertical="center"/>
    </xf>
    <xf numFmtId="179" fontId="0" fillId="0" borderId="1" xfId="0" applyNumberFormat="1" applyBorder="1" applyAlignment="1">
      <alignment horizontal="center" vertical="center"/>
    </xf>
    <xf numFmtId="2" fontId="0" fillId="0" borderId="1" xfId="0" applyNumberFormat="1" applyBorder="1" applyAlignment="1">
      <alignment horizontal="center" vertical="top"/>
    </xf>
    <xf numFmtId="0" fontId="57" fillId="0" borderId="1" xfId="0" applyFont="1" applyBorder="1" applyAlignment="1">
      <alignment horizontal="center" vertical="center"/>
    </xf>
    <xf numFmtId="2" fontId="57" fillId="0" borderId="1" xfId="0" applyNumberFormat="1" applyFont="1" applyBorder="1" applyAlignment="1">
      <alignment horizontal="center" vertical="center"/>
    </xf>
    <xf numFmtId="0" fontId="24" fillId="0" borderId="0" xfId="0" applyFont="1" applyAlignment="1">
      <alignment horizontal="center" vertical="center"/>
    </xf>
    <xf numFmtId="0" fontId="45" fillId="0" borderId="0" xfId="0" applyFont="1" applyAlignment="1">
      <alignment horizontal="center" vertical="center"/>
    </xf>
    <xf numFmtId="0" fontId="45" fillId="0" borderId="0" xfId="0" applyFont="1" applyAlignment="1">
      <alignment horizontal="right" vertical="center"/>
    </xf>
    <xf numFmtId="4" fontId="45" fillId="0" borderId="0" xfId="0" applyNumberFormat="1" applyFont="1" applyAlignment="1">
      <alignment horizontal="left" vertical="center"/>
    </xf>
    <xf numFmtId="0" fontId="11" fillId="0" borderId="0" xfId="0" applyFont="1" applyAlignment="1">
      <alignment horizontal="right" vertical="center" wrapText="1"/>
    </xf>
    <xf numFmtId="0" fontId="45" fillId="0" borderId="0" xfId="0" applyFont="1" applyAlignment="1">
      <alignment horizontal="center" vertical="center"/>
    </xf>
    <xf numFmtId="0" fontId="11" fillId="0" borderId="0" xfId="0" applyFont="1" applyAlignment="1">
      <alignment horizontal="left" vertical="center" wrapText="1"/>
    </xf>
    <xf numFmtId="0" fontId="9" fillId="0" borderId="0" xfId="0" applyFont="1" applyFill="1">
      <alignment vertical="center"/>
    </xf>
    <xf numFmtId="193" fontId="71" fillId="0" borderId="0" xfId="0" applyNumberFormat="1" applyFont="1" applyFill="1" applyAlignment="1">
      <alignment horizontal="center" vertical="center"/>
    </xf>
    <xf numFmtId="0" fontId="133" fillId="0" borderId="0" xfId="0" applyFont="1">
      <alignment vertical="center"/>
    </xf>
    <xf numFmtId="0" fontId="140" fillId="0" borderId="0" xfId="0" applyFont="1">
      <alignment vertical="center"/>
    </xf>
    <xf numFmtId="0" fontId="138" fillId="0" borderId="0" xfId="0" applyFont="1" applyAlignment="1">
      <alignment horizontal="right" vertical="center"/>
    </xf>
    <xf numFmtId="4" fontId="138" fillId="0" borderId="0" xfId="0" applyNumberFormat="1" applyFont="1" applyAlignment="1">
      <alignment horizontal="left" vertical="center"/>
    </xf>
    <xf numFmtId="0" fontId="138" fillId="0" borderId="0" xfId="0" applyFont="1" applyAlignment="1">
      <alignment horizontal="center" vertical="center"/>
    </xf>
    <xf numFmtId="3" fontId="0" fillId="0" borderId="0" xfId="0" applyNumberFormat="1">
      <alignment vertical="center"/>
    </xf>
    <xf numFmtId="0" fontId="0" fillId="0" borderId="0" xfId="0" applyAlignment="1">
      <alignment horizontal="center" vertical="center"/>
    </xf>
    <xf numFmtId="0" fontId="0" fillId="0" borderId="0" xfId="0" applyBorder="1">
      <alignment vertical="center"/>
    </xf>
    <xf numFmtId="2" fontId="0" fillId="0" borderId="0" xfId="0" applyNumberFormat="1" applyBorder="1">
      <alignment vertical="center"/>
    </xf>
    <xf numFmtId="179" fontId="0" fillId="0" borderId="2" xfId="0" applyNumberFormat="1" applyBorder="1" applyAlignment="1">
      <alignment vertical="top"/>
    </xf>
    <xf numFmtId="188" fontId="0" fillId="0" borderId="2" xfId="0" applyNumberFormat="1" applyBorder="1" applyAlignment="1"/>
    <xf numFmtId="178" fontId="0" fillId="0" borderId="2" xfId="0" applyNumberFormat="1" applyBorder="1" applyAlignment="1">
      <alignment vertical="top"/>
    </xf>
    <xf numFmtId="0" fontId="27" fillId="0" borderId="0" xfId="0" applyFont="1" applyFill="1" applyBorder="1" applyAlignment="1">
      <alignment vertical="center"/>
    </xf>
    <xf numFmtId="0" fontId="27" fillId="0" borderId="0" xfId="0" applyFont="1" applyFill="1" applyBorder="1" applyAlignment="1">
      <alignment horizontal="left" vertical="center"/>
    </xf>
    <xf numFmtId="0" fontId="9" fillId="0" borderId="0" xfId="0" applyFont="1" applyFill="1" applyBorder="1">
      <alignment vertical="center"/>
    </xf>
    <xf numFmtId="0" fontId="27" fillId="0" borderId="0" xfId="0" applyFont="1" applyFill="1" applyBorder="1" applyAlignment="1">
      <alignment horizontal="center" vertical="center"/>
    </xf>
    <xf numFmtId="0" fontId="24" fillId="0" borderId="0" xfId="0" applyFont="1" applyFill="1" applyBorder="1" applyAlignment="1">
      <alignment horizontal="center" vertical="center"/>
    </xf>
    <xf numFmtId="0" fontId="141" fillId="0" borderId="0" xfId="0" applyFont="1" applyFill="1" applyBorder="1" applyAlignment="1">
      <alignment vertical="center"/>
    </xf>
    <xf numFmtId="4" fontId="45" fillId="0" borderId="0" xfId="0" applyNumberFormat="1" applyFont="1" applyFill="1" applyBorder="1" applyAlignment="1">
      <alignment horizontal="center" vertical="center"/>
    </xf>
    <xf numFmtId="0" fontId="45" fillId="0" borderId="0" xfId="0" applyFont="1" applyFill="1" applyBorder="1" applyAlignment="1">
      <alignment horizontal="center" vertical="center"/>
    </xf>
    <xf numFmtId="0" fontId="44" fillId="0" borderId="0" xfId="0" applyFont="1" applyFill="1" applyBorder="1" applyAlignment="1">
      <alignment horizontal="center" vertical="center"/>
    </xf>
    <xf numFmtId="3" fontId="34" fillId="0" borderId="0" xfId="0" applyNumberFormat="1" applyFont="1" applyFill="1" applyBorder="1" applyAlignment="1">
      <alignment horizontal="center" vertical="center"/>
    </xf>
    <xf numFmtId="4" fontId="34" fillId="0" borderId="0" xfId="0" applyNumberFormat="1" applyFont="1" applyFill="1" applyBorder="1" applyAlignment="1">
      <alignment horizontal="right" vertical="center"/>
    </xf>
    <xf numFmtId="0" fontId="71" fillId="0" borderId="0" xfId="0" applyFont="1" applyFill="1" applyBorder="1" applyAlignment="1">
      <alignment horizontal="left" vertical="center"/>
    </xf>
    <xf numFmtId="0" fontId="142" fillId="0" borderId="0" xfId="0" applyFont="1" applyFill="1" applyBorder="1" applyAlignment="1">
      <alignment horizontal="right" vertical="center"/>
    </xf>
    <xf numFmtId="0" fontId="71" fillId="0" borderId="0" xfId="0" applyFont="1" applyFill="1" applyBorder="1" applyAlignment="1">
      <alignment horizontal="center" vertical="center"/>
    </xf>
    <xf numFmtId="0" fontId="34" fillId="0" borderId="0" xfId="0" applyFont="1" applyFill="1" applyBorder="1" applyAlignment="1">
      <alignment horizontal="center" vertical="center"/>
    </xf>
    <xf numFmtId="3" fontId="34" fillId="0" borderId="0" xfId="0" applyNumberFormat="1" applyFont="1" applyFill="1" applyBorder="1" applyAlignment="1">
      <alignment horizontal="left" vertical="center"/>
    </xf>
    <xf numFmtId="0" fontId="48" fillId="0" borderId="0" xfId="0" applyFont="1" applyFill="1" applyBorder="1" applyAlignment="1">
      <alignment vertical="center"/>
    </xf>
    <xf numFmtId="0" fontId="143" fillId="0" borderId="0" xfId="0" applyFont="1" applyFill="1" applyBorder="1" applyAlignment="1">
      <alignment vertical="center"/>
    </xf>
    <xf numFmtId="0" fontId="144" fillId="0" borderId="0" xfId="0" applyFont="1" applyFill="1" applyBorder="1" applyAlignment="1">
      <alignment horizontal="center" vertical="center"/>
    </xf>
    <xf numFmtId="0" fontId="44" fillId="0" borderId="0" xfId="0" applyFont="1" applyFill="1" applyBorder="1" applyAlignment="1">
      <alignment vertical="center"/>
    </xf>
    <xf numFmtId="0" fontId="142" fillId="0" borderId="0" xfId="0" applyFont="1" applyFill="1" applyBorder="1" applyAlignment="1">
      <alignment vertical="center"/>
    </xf>
    <xf numFmtId="0" fontId="147" fillId="0" borderId="0" xfId="0" applyFont="1" applyFill="1" applyBorder="1" applyAlignment="1">
      <alignment vertical="center"/>
    </xf>
    <xf numFmtId="0" fontId="43" fillId="0" borderId="0" xfId="0" applyFont="1" applyFill="1" applyBorder="1" applyAlignment="1">
      <alignment horizontal="center" vertical="center"/>
    </xf>
    <xf numFmtId="3" fontId="43" fillId="0" borderId="0" xfId="0" applyNumberFormat="1" applyFont="1" applyFill="1" applyBorder="1" applyAlignment="1">
      <alignment horizontal="left" vertical="center"/>
    </xf>
    <xf numFmtId="4" fontId="43" fillId="0" borderId="0" xfId="0" applyNumberFormat="1" applyFont="1" applyFill="1" applyBorder="1" applyAlignment="1">
      <alignment horizontal="center" vertical="center"/>
    </xf>
    <xf numFmtId="3" fontId="131" fillId="0" borderId="0" xfId="0" applyNumberFormat="1" applyFont="1" applyFill="1" applyBorder="1" applyAlignment="1">
      <alignment horizontal="center" vertical="center"/>
    </xf>
    <xf numFmtId="4" fontId="131" fillId="0" borderId="0" xfId="0" applyNumberFormat="1" applyFont="1" applyFill="1" applyBorder="1" applyAlignment="1">
      <alignment horizontal="right" vertical="center"/>
    </xf>
    <xf numFmtId="0" fontId="30" fillId="0" borderId="0" xfId="0" applyFont="1" applyFill="1" applyBorder="1" applyAlignment="1">
      <alignment horizontal="center" vertical="center"/>
    </xf>
    <xf numFmtId="0" fontId="34" fillId="0" borderId="0" xfId="0" applyFont="1" applyFill="1" applyBorder="1" applyAlignment="1">
      <alignment vertical="center"/>
    </xf>
    <xf numFmtId="3" fontId="34" fillId="0" borderId="0" xfId="0" applyNumberFormat="1" applyFont="1" applyFill="1" applyBorder="1" applyAlignment="1">
      <alignment vertical="center"/>
    </xf>
    <xf numFmtId="4" fontId="20" fillId="0" borderId="0" xfId="0" applyNumberFormat="1" applyFont="1" applyFill="1" applyBorder="1" applyAlignment="1">
      <alignment horizontal="center" vertical="center"/>
    </xf>
    <xf numFmtId="0" fontId="142" fillId="0" borderId="0" xfId="0" applyFont="1" applyFill="1" applyBorder="1" applyAlignment="1">
      <alignment horizontal="left" vertical="center"/>
    </xf>
    <xf numFmtId="3" fontId="131" fillId="0" borderId="0" xfId="0" applyNumberFormat="1" applyFont="1" applyFill="1" applyBorder="1" applyAlignment="1">
      <alignment horizontal="left" vertical="center"/>
    </xf>
    <xf numFmtId="4" fontId="131" fillId="0" borderId="0" xfId="0" applyNumberFormat="1" applyFont="1" applyFill="1" applyBorder="1" applyAlignment="1">
      <alignment horizontal="center" vertical="center"/>
    </xf>
    <xf numFmtId="0" fontId="57" fillId="0" borderId="15" xfId="0" applyFont="1" applyBorder="1" applyAlignment="1">
      <alignment horizontal="center" vertical="center"/>
    </xf>
    <xf numFmtId="0" fontId="57" fillId="0" borderId="0" xfId="0" applyFont="1" applyAlignment="1">
      <alignment horizontal="center" vertical="center"/>
    </xf>
    <xf numFmtId="3" fontId="134" fillId="0" borderId="0" xfId="0" applyNumberFormat="1" applyFont="1" applyAlignment="1">
      <alignment horizontal="center" vertical="top" shrinkToFit="1"/>
    </xf>
    <xf numFmtId="1" fontId="134" fillId="0" borderId="0" xfId="0" applyNumberFormat="1" applyFont="1" applyAlignment="1">
      <alignment horizontal="center" vertical="top" shrinkToFit="1"/>
    </xf>
    <xf numFmtId="0" fontId="3" fillId="0" borderId="0" xfId="10"/>
    <xf numFmtId="0" fontId="58" fillId="0" borderId="0" xfId="10" applyFont="1" applyAlignment="1">
      <alignment vertical="center"/>
    </xf>
    <xf numFmtId="0" fontId="58" fillId="0" borderId="0" xfId="10" applyFont="1" applyAlignment="1">
      <alignment horizontal="center" vertical="center"/>
    </xf>
    <xf numFmtId="0" fontId="57" fillId="0" borderId="0" xfId="10" applyFont="1" applyAlignment="1">
      <alignment horizontal="center"/>
    </xf>
    <xf numFmtId="4" fontId="58" fillId="0" borderId="0" xfId="10" applyNumberFormat="1" applyFont="1" applyAlignment="1">
      <alignment vertical="center"/>
    </xf>
    <xf numFmtId="3" fontId="58" fillId="0" borderId="0" xfId="10" applyNumberFormat="1" applyFont="1" applyAlignment="1">
      <alignment vertical="center"/>
    </xf>
    <xf numFmtId="2" fontId="58" fillId="0" borderId="0" xfId="10" applyNumberFormat="1" applyFont="1" applyAlignment="1">
      <alignment vertical="center"/>
    </xf>
    <xf numFmtId="2" fontId="58" fillId="0" borderId="0" xfId="10" applyNumberFormat="1" applyFont="1" applyAlignment="1">
      <alignment horizontal="center" vertical="center"/>
    </xf>
    <xf numFmtId="2" fontId="58" fillId="0" borderId="1" xfId="10" applyNumberFormat="1" applyFont="1" applyBorder="1" applyAlignment="1">
      <alignment horizontal="center" vertical="center"/>
    </xf>
    <xf numFmtId="0" fontId="58" fillId="0" borderId="1" xfId="10" applyFont="1" applyBorder="1" applyAlignment="1">
      <alignment horizontal="center" vertical="center"/>
    </xf>
    <xf numFmtId="0" fontId="58" fillId="0" borderId="1" xfId="10" applyFont="1" applyBorder="1" applyAlignment="1">
      <alignment vertical="center"/>
    </xf>
    <xf numFmtId="2" fontId="7" fillId="0" borderId="1" xfId="10" applyNumberFormat="1" applyFont="1" applyBorder="1" applyAlignment="1">
      <alignment horizontal="center" vertical="center"/>
    </xf>
    <xf numFmtId="0" fontId="57" fillId="0" borderId="0" xfId="10" applyFont="1" applyAlignment="1">
      <alignment vertical="center"/>
    </xf>
    <xf numFmtId="0" fontId="57" fillId="0" borderId="0" xfId="10" applyFont="1" applyAlignment="1">
      <alignment vertical="center" wrapText="1"/>
    </xf>
    <xf numFmtId="0" fontId="57" fillId="0" borderId="0" xfId="10" applyFont="1" applyAlignment="1">
      <alignment horizontal="center" vertical="center" wrapText="1"/>
    </xf>
    <xf numFmtId="0" fontId="65" fillId="0" borderId="0" xfId="10" applyFont="1" applyAlignment="1">
      <alignment horizontal="center" vertical="center"/>
    </xf>
    <xf numFmtId="20" fontId="65" fillId="0" borderId="1" xfId="10" applyNumberFormat="1" applyFont="1" applyBorder="1" applyAlignment="1">
      <alignment horizontal="center" vertical="center"/>
    </xf>
    <xf numFmtId="0" fontId="57" fillId="0" borderId="1" xfId="10" applyFont="1" applyBorder="1" applyAlignment="1">
      <alignment vertical="center"/>
    </xf>
    <xf numFmtId="2" fontId="65" fillId="0" borderId="1" xfId="10" applyNumberFormat="1" applyFont="1" applyBorder="1" applyAlignment="1">
      <alignment horizontal="center" vertical="center"/>
    </xf>
    <xf numFmtId="0" fontId="57" fillId="0" borderId="0" xfId="10" applyFont="1" applyAlignment="1">
      <alignment horizontal="center" vertical="center"/>
    </xf>
    <xf numFmtId="0" fontId="57" fillId="0" borderId="15" xfId="10" applyFont="1" applyBorder="1" applyAlignment="1">
      <alignment vertical="center" wrapText="1"/>
    </xf>
    <xf numFmtId="2" fontId="57" fillId="3" borderId="1" xfId="10" applyNumberFormat="1" applyFont="1" applyFill="1" applyBorder="1" applyAlignment="1">
      <alignment horizontal="center" vertical="center"/>
    </xf>
    <xf numFmtId="0" fontId="57" fillId="3" borderId="7" xfId="10" applyFont="1" applyFill="1" applyBorder="1" applyAlignment="1">
      <alignment horizontal="center" vertical="center"/>
    </xf>
    <xf numFmtId="0" fontId="57" fillId="3" borderId="1" xfId="10" applyFont="1" applyFill="1" applyBorder="1" applyAlignment="1">
      <alignment horizontal="center" vertical="center"/>
    </xf>
    <xf numFmtId="180" fontId="57" fillId="3" borderId="1" xfId="10" applyNumberFormat="1" applyFont="1" applyFill="1" applyBorder="1" applyAlignment="1">
      <alignment horizontal="center" vertical="center"/>
    </xf>
    <xf numFmtId="179" fontId="57" fillId="0" borderId="1" xfId="10" applyNumberFormat="1" applyFont="1" applyBorder="1" applyAlignment="1">
      <alignment horizontal="left" vertical="center"/>
    </xf>
    <xf numFmtId="0" fontId="57" fillId="0" borderId="1" xfId="10" applyFont="1" applyBorder="1" applyAlignment="1">
      <alignment horizontal="center" vertical="center"/>
    </xf>
    <xf numFmtId="179" fontId="57" fillId="0" borderId="1" xfId="10" applyNumberFormat="1" applyFont="1" applyBorder="1" applyAlignment="1">
      <alignment horizontal="center" vertical="center"/>
    </xf>
    <xf numFmtId="178" fontId="63" fillId="0" borderId="1" xfId="10" applyNumberFormat="1" applyFont="1" applyBorder="1" applyAlignment="1">
      <alignment horizontal="center" vertical="center"/>
    </xf>
    <xf numFmtId="178" fontId="58" fillId="0" borderId="1" xfId="10" applyNumberFormat="1" applyFont="1" applyBorder="1" applyAlignment="1">
      <alignment horizontal="left" vertical="center"/>
    </xf>
    <xf numFmtId="49" fontId="57" fillId="0" borderId="1" xfId="10" applyNumberFormat="1" applyFont="1" applyBorder="1" applyAlignment="1">
      <alignment horizontal="center" vertical="center"/>
    </xf>
    <xf numFmtId="49" fontId="57" fillId="0" borderId="7" xfId="10" applyNumberFormat="1" applyFont="1" applyBorder="1" applyAlignment="1">
      <alignment horizontal="center" vertical="center"/>
    </xf>
    <xf numFmtId="49" fontId="58" fillId="0" borderId="1" xfId="10" applyNumberFormat="1" applyFont="1" applyBorder="1" applyAlignment="1">
      <alignment horizontal="left" vertical="center"/>
    </xf>
    <xf numFmtId="181" fontId="58" fillId="4" borderId="1" xfId="10" applyNumberFormat="1" applyFont="1" applyFill="1" applyBorder="1" applyAlignment="1">
      <alignment horizontal="center" vertical="center"/>
    </xf>
    <xf numFmtId="0" fontId="58" fillId="4" borderId="1" xfId="10" applyFont="1" applyFill="1" applyBorder="1" applyAlignment="1">
      <alignment horizontal="center" vertical="center"/>
    </xf>
    <xf numFmtId="180" fontId="58" fillId="4" borderId="1" xfId="10" applyNumberFormat="1" applyFont="1" applyFill="1" applyBorder="1" applyAlignment="1">
      <alignment horizontal="center" vertical="center"/>
    </xf>
    <xf numFmtId="49" fontId="58" fillId="4" borderId="1" xfId="10" applyNumberFormat="1" applyFont="1" applyFill="1" applyBorder="1" applyAlignment="1">
      <alignment horizontal="center" vertical="center"/>
    </xf>
    <xf numFmtId="0" fontId="58" fillId="4" borderId="7" xfId="10" applyFont="1" applyFill="1" applyBorder="1" applyAlignment="1">
      <alignment horizontal="center" vertical="center"/>
    </xf>
    <xf numFmtId="178" fontId="57" fillId="0" borderId="1" xfId="10" applyNumberFormat="1" applyFont="1" applyBorder="1" applyAlignment="1">
      <alignment horizontal="center" vertical="center"/>
    </xf>
    <xf numFmtId="2" fontId="65" fillId="0" borderId="0" xfId="10" applyNumberFormat="1" applyFont="1" applyAlignment="1">
      <alignment horizontal="center" vertical="center"/>
    </xf>
    <xf numFmtId="20" fontId="65" fillId="0" borderId="0" xfId="10" applyNumberFormat="1" applyFont="1" applyAlignment="1">
      <alignment horizontal="center" vertical="center"/>
    </xf>
    <xf numFmtId="4" fontId="65" fillId="0" borderId="1" xfId="10" applyNumberFormat="1" applyFont="1" applyBorder="1" applyAlignment="1">
      <alignment horizontal="center" vertical="center"/>
    </xf>
    <xf numFmtId="0" fontId="65" fillId="0" borderId="1" xfId="10" applyFont="1" applyBorder="1" applyAlignment="1">
      <alignment horizontal="center" vertical="center"/>
    </xf>
    <xf numFmtId="0" fontId="58" fillId="0" borderId="1" xfId="10" applyFont="1" applyBorder="1" applyAlignment="1">
      <alignment horizontal="left" vertical="center"/>
    </xf>
    <xf numFmtId="0" fontId="58" fillId="0" borderId="0" xfId="10" applyFont="1" applyAlignment="1">
      <alignment horizontal="left" vertical="center"/>
    </xf>
    <xf numFmtId="187" fontId="58" fillId="0" borderId="0" xfId="10" applyNumberFormat="1" applyFont="1" applyAlignment="1">
      <alignment vertical="center"/>
    </xf>
    <xf numFmtId="0" fontId="7" fillId="0" borderId="1" xfId="10" applyFont="1" applyBorder="1" applyAlignment="1">
      <alignment horizontal="center" vertical="center"/>
    </xf>
    <xf numFmtId="4" fontId="7" fillId="0" borderId="1" xfId="10" applyNumberFormat="1" applyFont="1" applyBorder="1" applyAlignment="1">
      <alignment horizontal="center" vertical="center"/>
    </xf>
    <xf numFmtId="3" fontId="7" fillId="0" borderId="1" xfId="10" applyNumberFormat="1" applyFont="1" applyBorder="1" applyAlignment="1">
      <alignment horizontal="center" vertical="center"/>
    </xf>
    <xf numFmtId="2" fontId="40" fillId="0" borderId="1" xfId="10" applyNumberFormat="1" applyFont="1" applyBorder="1" applyAlignment="1">
      <alignment horizontal="center" vertical="center"/>
    </xf>
    <xf numFmtId="20" fontId="40" fillId="0" borderId="1" xfId="10" applyNumberFormat="1" applyFont="1" applyBorder="1" applyAlignment="1">
      <alignment horizontal="center" vertical="center"/>
    </xf>
    <xf numFmtId="2" fontId="40" fillId="0" borderId="1" xfId="10" applyNumberFormat="1" applyFont="1" applyBorder="1" applyAlignment="1">
      <alignment vertical="center"/>
    </xf>
    <xf numFmtId="3" fontId="58" fillId="0" borderId="0" xfId="10" applyNumberFormat="1" applyFont="1" applyAlignment="1">
      <alignment horizontal="center" vertical="center"/>
    </xf>
    <xf numFmtId="0" fontId="58" fillId="0" borderId="0" xfId="10" applyFont="1" applyAlignment="1">
      <alignment horizontal="center"/>
    </xf>
    <xf numFmtId="0" fontId="58" fillId="0" borderId="0" xfId="10" applyFont="1" applyAlignment="1">
      <alignment vertical="center" wrapText="1"/>
    </xf>
    <xf numFmtId="0" fontId="66" fillId="0" borderId="0" xfId="10" applyFont="1" applyAlignment="1">
      <alignment horizontal="center" vertical="center"/>
    </xf>
    <xf numFmtId="20" fontId="66" fillId="0" borderId="1" xfId="10" applyNumberFormat="1" applyFont="1" applyBorder="1" applyAlignment="1">
      <alignment horizontal="center" vertical="center"/>
    </xf>
    <xf numFmtId="2" fontId="66" fillId="0" borderId="1" xfId="10" applyNumberFormat="1" applyFont="1" applyBorder="1" applyAlignment="1">
      <alignment horizontal="center" vertical="center"/>
    </xf>
    <xf numFmtId="0" fontId="58" fillId="0" borderId="15" xfId="10" applyFont="1" applyBorder="1" applyAlignment="1">
      <alignment vertical="center" wrapText="1"/>
    </xf>
    <xf numFmtId="2" fontId="58" fillId="3" borderId="1" xfId="10" applyNumberFormat="1" applyFont="1" applyFill="1" applyBorder="1" applyAlignment="1">
      <alignment horizontal="center" vertical="center"/>
    </xf>
    <xf numFmtId="0" fontId="58" fillId="3" borderId="1" xfId="10" applyFont="1" applyFill="1" applyBorder="1" applyAlignment="1">
      <alignment horizontal="center" vertical="center"/>
    </xf>
    <xf numFmtId="180" fontId="58" fillId="3" borderId="1" xfId="10" applyNumberFormat="1" applyFont="1" applyFill="1" applyBorder="1" applyAlignment="1">
      <alignment horizontal="center" vertical="center"/>
    </xf>
    <xf numFmtId="2" fontId="66" fillId="0" borderId="0" xfId="10" applyNumberFormat="1" applyFont="1" applyAlignment="1">
      <alignment horizontal="center" vertical="center"/>
    </xf>
    <xf numFmtId="20" fontId="66" fillId="0" borderId="0" xfId="10" applyNumberFormat="1" applyFont="1" applyAlignment="1">
      <alignment horizontal="center" vertical="center"/>
    </xf>
    <xf numFmtId="0" fontId="7" fillId="0" borderId="1" xfId="10" applyFont="1" applyBorder="1" applyAlignment="1">
      <alignment vertical="center"/>
    </xf>
    <xf numFmtId="0" fontId="58" fillId="0" borderId="1" xfId="10" applyFont="1" applyBorder="1" applyAlignment="1">
      <alignment horizontal="center"/>
    </xf>
    <xf numFmtId="0" fontId="58" fillId="3" borderId="7" xfId="10" applyFont="1" applyFill="1" applyBorder="1" applyAlignment="1">
      <alignment horizontal="center" vertical="center"/>
    </xf>
    <xf numFmtId="3" fontId="66" fillId="0" borderId="0" xfId="10" applyNumberFormat="1" applyFont="1" applyAlignment="1">
      <alignment horizontal="center" vertical="center"/>
    </xf>
    <xf numFmtId="0" fontId="58" fillId="0" borderId="1" xfId="10" applyFont="1" applyBorder="1" applyAlignment="1">
      <alignment vertical="center" wrapText="1"/>
    </xf>
    <xf numFmtId="3" fontId="66" fillId="0" borderId="1" xfId="10" applyNumberFormat="1" applyFont="1" applyBorder="1" applyAlignment="1">
      <alignment horizontal="center" vertical="center"/>
    </xf>
    <xf numFmtId="0" fontId="62" fillId="0" borderId="1" xfId="10" applyFont="1" applyBorder="1" applyAlignment="1">
      <alignment horizontal="left" vertical="center"/>
    </xf>
    <xf numFmtId="0" fontId="68" fillId="0" borderId="0" xfId="10" applyFont="1" applyAlignment="1">
      <alignment horizontal="center" vertical="center"/>
    </xf>
    <xf numFmtId="179" fontId="59" fillId="0" borderId="1" xfId="10" applyNumberFormat="1" applyFont="1" applyBorder="1" applyAlignment="1">
      <alignment horizontal="center" vertical="top"/>
    </xf>
    <xf numFmtId="4" fontId="57" fillId="0" borderId="0" xfId="10" applyNumberFormat="1" applyFont="1"/>
    <xf numFmtId="3" fontId="57" fillId="0" borderId="0" xfId="10" applyNumberFormat="1" applyFont="1"/>
    <xf numFmtId="0" fontId="57" fillId="0" borderId="1" xfId="10" applyFont="1" applyBorder="1" applyAlignment="1">
      <alignment horizontal="left" vertical="center"/>
    </xf>
    <xf numFmtId="4" fontId="58" fillId="0" borderId="1" xfId="10" applyNumberFormat="1" applyFont="1" applyBorder="1" applyAlignment="1">
      <alignment horizontal="center" vertical="center"/>
    </xf>
    <xf numFmtId="2" fontId="58" fillId="0" borderId="1" xfId="10" applyNumberFormat="1" applyFont="1" applyBorder="1" applyAlignment="1">
      <alignment vertical="center"/>
    </xf>
    <xf numFmtId="179" fontId="57" fillId="0" borderId="2" xfId="10" applyNumberFormat="1" applyFont="1" applyBorder="1" applyAlignment="1">
      <alignment horizontal="center" vertical="center"/>
    </xf>
    <xf numFmtId="4" fontId="40" fillId="0" borderId="1" xfId="10" applyNumberFormat="1" applyFont="1" applyBorder="1" applyAlignment="1">
      <alignment horizontal="center"/>
    </xf>
    <xf numFmtId="3" fontId="58" fillId="0" borderId="1" xfId="10" applyNumberFormat="1" applyFont="1" applyBorder="1" applyAlignment="1">
      <alignment vertical="center"/>
    </xf>
    <xf numFmtId="39" fontId="7" fillId="0" borderId="1" xfId="11" applyNumberFormat="1" applyFont="1" applyBorder="1" applyAlignment="1">
      <alignment horizontal="center" vertical="center"/>
    </xf>
    <xf numFmtId="3" fontId="7" fillId="0" borderId="1" xfId="10" applyNumberFormat="1" applyFont="1" applyBorder="1" applyAlignment="1">
      <alignment vertical="center"/>
    </xf>
    <xf numFmtId="4" fontId="58" fillId="0" borderId="0" xfId="10" applyNumberFormat="1" applyFont="1" applyAlignment="1">
      <alignment horizontal="center" vertical="center"/>
    </xf>
    <xf numFmtId="2" fontId="7" fillId="0" borderId="0" xfId="10" applyNumberFormat="1" applyFont="1" applyAlignment="1">
      <alignment horizontal="center" vertical="center"/>
    </xf>
    <xf numFmtId="0" fontId="69" fillId="0" borderId="0" xfId="10" applyFont="1"/>
    <xf numFmtId="0" fontId="69" fillId="0" borderId="0" xfId="10" applyFont="1" applyAlignment="1">
      <alignment horizontal="center"/>
    </xf>
    <xf numFmtId="0" fontId="6" fillId="0" borderId="0" xfId="1" applyAlignment="1"/>
    <xf numFmtId="10" fontId="58" fillId="0" borderId="0" xfId="10" applyNumberFormat="1" applyFont="1" applyAlignment="1">
      <alignment vertical="center"/>
    </xf>
    <xf numFmtId="0" fontId="57" fillId="0" borderId="0" xfId="10" applyFont="1"/>
    <xf numFmtId="2" fontId="65" fillId="0" borderId="1" xfId="10" quotePrefix="1" applyNumberFormat="1" applyFont="1" applyBorder="1" applyAlignment="1">
      <alignment horizontal="center" vertical="center"/>
    </xf>
    <xf numFmtId="0" fontId="57" fillId="0" borderId="1" xfId="10" applyFont="1" applyBorder="1"/>
    <xf numFmtId="0" fontId="57" fillId="3" borderId="2" xfId="10" applyFont="1" applyFill="1" applyBorder="1" applyAlignment="1">
      <alignment horizontal="center" vertical="center"/>
    </xf>
    <xf numFmtId="180" fontId="57" fillId="3" borderId="2" xfId="10" applyNumberFormat="1" applyFont="1" applyFill="1" applyBorder="1" applyAlignment="1">
      <alignment horizontal="center" vertical="center"/>
    </xf>
    <xf numFmtId="0" fontId="40" fillId="0" borderId="1" xfId="10" applyFont="1" applyBorder="1" applyAlignment="1">
      <alignment horizontal="center" vertical="center"/>
    </xf>
    <xf numFmtId="0" fontId="57" fillId="0" borderId="1" xfId="10" applyFont="1" applyBorder="1" applyAlignment="1">
      <alignment horizontal="center"/>
    </xf>
    <xf numFmtId="2" fontId="40" fillId="3" borderId="1" xfId="10" applyNumberFormat="1" applyFont="1" applyFill="1" applyBorder="1" applyAlignment="1">
      <alignment horizontal="center" vertical="center"/>
    </xf>
    <xf numFmtId="2" fontId="148" fillId="0" borderId="0" xfId="0" applyNumberFormat="1" applyFont="1" applyAlignment="1">
      <alignment horizontal="center" vertical="center"/>
    </xf>
    <xf numFmtId="179" fontId="0" fillId="0" borderId="0" xfId="0" applyNumberFormat="1" applyAlignment="1">
      <alignment horizontal="center" vertical="center"/>
    </xf>
    <xf numFmtId="178" fontId="148" fillId="0" borderId="0" xfId="0" applyNumberFormat="1" applyFont="1" applyAlignment="1">
      <alignment horizontal="left" vertical="center"/>
    </xf>
    <xf numFmtId="194" fontId="148" fillId="0" borderId="0" xfId="0" applyNumberFormat="1" applyFont="1" applyAlignment="1">
      <alignment horizontal="center" vertical="center"/>
    </xf>
    <xf numFmtId="21" fontId="7" fillId="0" borderId="1" xfId="10" applyNumberFormat="1" applyFont="1" applyBorder="1" applyAlignment="1">
      <alignment horizontal="center" vertical="center"/>
    </xf>
    <xf numFmtId="21" fontId="58" fillId="0" borderId="0" xfId="10" applyNumberFormat="1" applyFont="1" applyAlignment="1">
      <alignment vertical="center"/>
    </xf>
    <xf numFmtId="178" fontId="64" fillId="0" borderId="1" xfId="10" applyNumberFormat="1" applyFont="1" applyBorder="1" applyAlignment="1">
      <alignment horizontal="center" vertical="center"/>
    </xf>
    <xf numFmtId="49" fontId="58" fillId="0" borderId="7" xfId="10" applyNumberFormat="1" applyFont="1" applyBorder="1" applyAlignment="1">
      <alignment horizontal="center" vertical="center"/>
    </xf>
    <xf numFmtId="0" fontId="57" fillId="0" borderId="0" xfId="10" applyFont="1" applyAlignment="1">
      <alignment horizontal="left" vertical="center"/>
    </xf>
    <xf numFmtId="0" fontId="57" fillId="3" borderId="3" xfId="10" applyFont="1" applyFill="1" applyBorder="1" applyAlignment="1">
      <alignment horizontal="center" vertical="center"/>
    </xf>
    <xf numFmtId="180" fontId="57" fillId="3" borderId="3" xfId="10" applyNumberFormat="1" applyFont="1" applyFill="1" applyBorder="1" applyAlignment="1">
      <alignment horizontal="center" vertical="center"/>
    </xf>
    <xf numFmtId="2" fontId="57" fillId="0" borderId="1" xfId="10" applyNumberFormat="1" applyFont="1" applyBorder="1" applyAlignment="1">
      <alignment horizontal="center" vertical="center"/>
    </xf>
    <xf numFmtId="2" fontId="65" fillId="0" borderId="6" xfId="10" applyNumberFormat="1" applyFont="1" applyBorder="1" applyAlignment="1">
      <alignment horizontal="center" vertical="center"/>
    </xf>
    <xf numFmtId="1" fontId="21" fillId="0" borderId="0" xfId="0" applyNumberFormat="1" applyFont="1" applyAlignment="1">
      <alignment horizontal="center" vertical="top" shrinkToFit="1"/>
    </xf>
    <xf numFmtId="0" fontId="16" fillId="0" borderId="0" xfId="0" applyFont="1" applyAlignment="1">
      <alignment horizontal="left" vertical="top"/>
    </xf>
    <xf numFmtId="0" fontId="9" fillId="0" borderId="0" xfId="0" applyFont="1" applyAlignment="1">
      <alignment horizontal="left" vertical="top"/>
    </xf>
    <xf numFmtId="2" fontId="0" fillId="0" borderId="6" xfId="0" applyNumberFormat="1" applyBorder="1" applyAlignment="1">
      <alignment horizontal="center" vertical="center"/>
    </xf>
    <xf numFmtId="0" fontId="57" fillId="0" borderId="0" xfId="12" applyFont="1" applyAlignment="1">
      <alignment horizontal="center" vertical="center"/>
    </xf>
    <xf numFmtId="4" fontId="62" fillId="0" borderId="1" xfId="12" applyNumberFormat="1" applyFont="1" applyBorder="1" applyAlignment="1">
      <alignment horizontal="center" vertical="center" shrinkToFit="1"/>
    </xf>
    <xf numFmtId="3" fontId="62" fillId="0" borderId="1" xfId="12" applyNumberFormat="1" applyFont="1" applyBorder="1" applyAlignment="1">
      <alignment horizontal="center" vertical="center" shrinkToFit="1"/>
    </xf>
    <xf numFmtId="0" fontId="57" fillId="0" borderId="1" xfId="12" applyFont="1" applyBorder="1" applyAlignment="1">
      <alignment horizontal="center" vertical="center"/>
    </xf>
    <xf numFmtId="0" fontId="58" fillId="0" borderId="1" xfId="12" applyFont="1" applyBorder="1" applyAlignment="1">
      <alignment horizontal="center" vertical="center" wrapText="1"/>
    </xf>
    <xf numFmtId="2" fontId="62" fillId="0" borderId="1" xfId="12" applyNumberFormat="1" applyFont="1" applyBorder="1" applyAlignment="1">
      <alignment horizontal="center" vertical="center" shrinkToFit="1"/>
    </xf>
    <xf numFmtId="0" fontId="62" fillId="7" borderId="1" xfId="12" applyFont="1" applyFill="1" applyBorder="1" applyAlignment="1">
      <alignment horizontal="center" vertical="center"/>
    </xf>
    <xf numFmtId="180" fontId="62" fillId="7" borderId="1" xfId="12" applyNumberFormat="1" applyFont="1" applyFill="1" applyBorder="1" applyAlignment="1">
      <alignment horizontal="center" vertical="center"/>
    </xf>
    <xf numFmtId="49" fontId="57" fillId="0" borderId="0" xfId="12" applyNumberFormat="1" applyFont="1" applyAlignment="1">
      <alignment horizontal="center" vertical="center"/>
    </xf>
    <xf numFmtId="178" fontId="57" fillId="0" borderId="0" xfId="12" applyNumberFormat="1" applyFont="1" applyAlignment="1">
      <alignment horizontal="center" vertical="center"/>
    </xf>
    <xf numFmtId="49" fontId="57" fillId="0" borderId="1" xfId="12" applyNumberFormat="1" applyFont="1" applyBorder="1" applyAlignment="1">
      <alignment horizontal="center" vertical="center"/>
    </xf>
    <xf numFmtId="2" fontId="57" fillId="0" borderId="1" xfId="12" applyNumberFormat="1" applyFont="1" applyBorder="1" applyAlignment="1">
      <alignment horizontal="center" vertical="center"/>
    </xf>
    <xf numFmtId="178" fontId="57" fillId="0" borderId="1" xfId="12" applyNumberFormat="1" applyFont="1" applyBorder="1" applyAlignment="1">
      <alignment horizontal="center" vertical="center"/>
    </xf>
    <xf numFmtId="0" fontId="57" fillId="0" borderId="6" xfId="12" applyFont="1" applyBorder="1" applyAlignment="1">
      <alignment horizontal="center" vertical="center"/>
    </xf>
    <xf numFmtId="179" fontId="57" fillId="0" borderId="1" xfId="12" applyNumberFormat="1" applyFont="1" applyBorder="1" applyAlignment="1">
      <alignment horizontal="center" vertical="center"/>
    </xf>
    <xf numFmtId="2" fontId="58" fillId="0" borderId="1" xfId="12" applyNumberFormat="1" applyFont="1" applyBorder="1" applyAlignment="1">
      <alignment horizontal="center" vertical="center"/>
    </xf>
    <xf numFmtId="0" fontId="62" fillId="0" borderId="1" xfId="12" applyFont="1" applyBorder="1" applyAlignment="1">
      <alignment horizontal="center" vertical="center"/>
    </xf>
    <xf numFmtId="179" fontId="57" fillId="0" borderId="2" xfId="12" applyNumberFormat="1" applyFont="1" applyBorder="1" applyAlignment="1">
      <alignment horizontal="center" vertical="center"/>
    </xf>
    <xf numFmtId="179" fontId="57" fillId="0" borderId="0" xfId="12" applyNumberFormat="1" applyFont="1" applyAlignment="1">
      <alignment horizontal="center" vertical="center"/>
    </xf>
    <xf numFmtId="179" fontId="62" fillId="0" borderId="2" xfId="12" applyNumberFormat="1" applyFont="1" applyBorder="1" applyAlignment="1">
      <alignment horizontal="center" vertical="center"/>
    </xf>
    <xf numFmtId="49" fontId="62" fillId="0" borderId="2" xfId="12" applyNumberFormat="1" applyFont="1" applyBorder="1" applyAlignment="1">
      <alignment horizontal="center" vertical="center"/>
    </xf>
    <xf numFmtId="0" fontId="57" fillId="6" borderId="0" xfId="12" applyFont="1" applyFill="1" applyAlignment="1">
      <alignment horizontal="center" vertical="center"/>
    </xf>
    <xf numFmtId="49" fontId="57" fillId="6" borderId="0" xfId="12" applyNumberFormat="1" applyFont="1" applyFill="1" applyAlignment="1">
      <alignment horizontal="center" vertical="center"/>
    </xf>
    <xf numFmtId="0" fontId="57" fillId="6" borderId="1" xfId="12" applyFont="1" applyFill="1" applyBorder="1" applyAlignment="1">
      <alignment horizontal="center" vertical="center"/>
    </xf>
    <xf numFmtId="0" fontId="58" fillId="6" borderId="1" xfId="12" applyFont="1" applyFill="1" applyBorder="1" applyAlignment="1">
      <alignment horizontal="center" vertical="center"/>
    </xf>
    <xf numFmtId="49" fontId="57" fillId="6" borderId="1" xfId="12" applyNumberFormat="1" applyFont="1" applyFill="1" applyBorder="1" applyAlignment="1">
      <alignment horizontal="center" vertical="center"/>
    </xf>
    <xf numFmtId="0" fontId="57" fillId="6" borderId="6" xfId="12" applyFont="1" applyFill="1" applyBorder="1" applyAlignment="1">
      <alignment horizontal="center" vertical="center"/>
    </xf>
    <xf numFmtId="2" fontId="134" fillId="0" borderId="0" xfId="0" applyNumberFormat="1" applyFont="1" applyAlignment="1">
      <alignment vertical="top" shrinkToFit="1"/>
    </xf>
    <xf numFmtId="2" fontId="134" fillId="0" borderId="1" xfId="0" applyNumberFormat="1" applyFont="1" applyBorder="1" applyAlignment="1">
      <alignment horizontal="center" vertical="center" shrinkToFit="1"/>
    </xf>
    <xf numFmtId="0" fontId="149" fillId="0" borderId="1" xfId="0" applyFont="1" applyBorder="1" applyAlignment="1">
      <alignment horizontal="center" vertical="center" wrapText="1"/>
    </xf>
    <xf numFmtId="2" fontId="57" fillId="0" borderId="1" xfId="12" applyNumberFormat="1" applyFont="1" applyBorder="1" applyAlignment="1">
      <alignment horizontal="center" vertical="center" wrapText="1"/>
    </xf>
    <xf numFmtId="0" fontId="57" fillId="0" borderId="1" xfId="12" applyFont="1" applyBorder="1" applyAlignment="1">
      <alignment horizontal="center" vertical="center" wrapText="1"/>
    </xf>
    <xf numFmtId="0" fontId="62" fillId="0" borderId="6" xfId="12" applyFont="1" applyBorder="1" applyAlignment="1">
      <alignment horizontal="center" vertical="center"/>
    </xf>
    <xf numFmtId="179" fontId="57" fillId="0" borderId="7" xfId="12" applyNumberFormat="1" applyFont="1" applyBorder="1" applyAlignment="1">
      <alignment horizontal="center" vertical="center"/>
    </xf>
    <xf numFmtId="49" fontId="62" fillId="0" borderId="14" xfId="12" applyNumberFormat="1" applyFont="1" applyBorder="1" applyAlignment="1">
      <alignment horizontal="center" vertical="center"/>
    </xf>
    <xf numFmtId="49" fontId="57" fillId="6" borderId="7" xfId="12" applyNumberFormat="1" applyFont="1" applyFill="1" applyBorder="1" applyAlignment="1">
      <alignment horizontal="center" vertical="center"/>
    </xf>
    <xf numFmtId="49" fontId="57" fillId="6" borderId="6" xfId="12" applyNumberFormat="1" applyFont="1" applyFill="1" applyBorder="1" applyAlignment="1">
      <alignment horizontal="center" vertical="center"/>
    </xf>
    <xf numFmtId="0" fontId="62" fillId="0" borderId="1" xfId="12" applyFont="1" applyBorder="1" applyAlignment="1">
      <alignment horizontal="center" vertical="center" wrapText="1"/>
    </xf>
    <xf numFmtId="0" fontId="57" fillId="0" borderId="10" xfId="12" applyFont="1" applyBorder="1" applyAlignment="1">
      <alignment horizontal="center" vertical="center"/>
    </xf>
    <xf numFmtId="0" fontId="57" fillId="0" borderId="3" xfId="12" applyFont="1" applyBorder="1" applyAlignment="1">
      <alignment horizontal="center" vertical="center"/>
    </xf>
    <xf numFmtId="0" fontId="62" fillId="0" borderId="3" xfId="12" applyFont="1" applyBorder="1" applyAlignment="1">
      <alignment horizontal="center" vertical="center"/>
    </xf>
    <xf numFmtId="179" fontId="57" fillId="0" borderId="3" xfId="12" applyNumberFormat="1" applyFont="1" applyBorder="1" applyAlignment="1">
      <alignment horizontal="center" vertical="center"/>
    </xf>
    <xf numFmtId="179" fontId="57" fillId="0" borderId="4" xfId="12" applyNumberFormat="1" applyFont="1" applyBorder="1" applyAlignment="1">
      <alignment horizontal="center" vertical="center"/>
    </xf>
    <xf numFmtId="179" fontId="62" fillId="0" borderId="4" xfId="12" applyNumberFormat="1" applyFont="1" applyBorder="1" applyAlignment="1">
      <alignment horizontal="center" vertical="center"/>
    </xf>
    <xf numFmtId="49" fontId="62" fillId="0" borderId="4" xfId="12" applyNumberFormat="1" applyFont="1" applyBorder="1" applyAlignment="1">
      <alignment horizontal="center" vertical="center"/>
    </xf>
    <xf numFmtId="4" fontId="62" fillId="0" borderId="0" xfId="12" applyNumberFormat="1" applyFont="1" applyAlignment="1">
      <alignment horizontal="center" vertical="center" shrinkToFit="1"/>
    </xf>
    <xf numFmtId="0" fontId="57" fillId="0" borderId="12" xfId="12" applyFont="1" applyBorder="1" applyAlignment="1">
      <alignment horizontal="center" vertical="center"/>
    </xf>
    <xf numFmtId="4" fontId="62" fillId="0" borderId="20" xfId="12" applyNumberFormat="1" applyFont="1" applyBorder="1" applyAlignment="1">
      <alignment horizontal="center" vertical="center" shrinkToFit="1"/>
    </xf>
    <xf numFmtId="3" fontId="62" fillId="0" borderId="20" xfId="12" applyNumberFormat="1" applyFont="1" applyBorder="1" applyAlignment="1">
      <alignment horizontal="center" vertical="center" shrinkToFit="1"/>
    </xf>
    <xf numFmtId="4" fontId="62" fillId="0" borderId="21" xfId="12" applyNumberFormat="1" applyFont="1" applyBorder="1" applyAlignment="1">
      <alignment horizontal="center" vertical="center" shrinkToFit="1"/>
    </xf>
    <xf numFmtId="2" fontId="62" fillId="0" borderId="20" xfId="12" applyNumberFormat="1" applyFont="1" applyBorder="1" applyAlignment="1">
      <alignment horizontal="center" vertical="center" shrinkToFit="1"/>
    </xf>
    <xf numFmtId="0" fontId="58" fillId="0" borderId="8" xfId="12" applyFont="1" applyBorder="1" applyAlignment="1">
      <alignment horizontal="center" vertical="center" wrapText="1"/>
    </xf>
    <xf numFmtId="4" fontId="62" fillId="0" borderId="22" xfId="12" applyNumberFormat="1" applyFont="1" applyBorder="1" applyAlignment="1">
      <alignment horizontal="center" vertical="center" shrinkToFit="1"/>
    </xf>
    <xf numFmtId="4" fontId="62" fillId="0" borderId="23" xfId="12" applyNumberFormat="1" applyFont="1" applyBorder="1" applyAlignment="1">
      <alignment horizontal="center" vertical="center" shrinkToFit="1"/>
    </xf>
    <xf numFmtId="0" fontId="62" fillId="7" borderId="0" xfId="12" applyFont="1" applyFill="1" applyAlignment="1">
      <alignment horizontal="center" vertical="center"/>
    </xf>
    <xf numFmtId="180" fontId="62" fillId="7" borderId="0" xfId="12" applyNumberFormat="1" applyFont="1" applyFill="1" applyAlignment="1">
      <alignment horizontal="center" vertical="center"/>
    </xf>
    <xf numFmtId="14" fontId="0" fillId="8" borderId="1" xfId="0" applyNumberFormat="1" applyFill="1" applyBorder="1" applyAlignment="1">
      <alignment horizontal="center" vertical="center"/>
    </xf>
    <xf numFmtId="2" fontId="57" fillId="0" borderId="0" xfId="12" applyNumberFormat="1" applyFont="1" applyAlignment="1">
      <alignment horizontal="center" vertical="center"/>
    </xf>
    <xf numFmtId="14" fontId="0" fillId="0" borderId="1" xfId="0" applyNumberFormat="1" applyBorder="1" applyAlignment="1">
      <alignment horizontal="center" vertical="center"/>
    </xf>
    <xf numFmtId="179" fontId="62" fillId="0" borderId="0" xfId="12" applyNumberFormat="1" applyFont="1" applyAlignment="1">
      <alignment horizontal="center" vertical="center" shrinkToFit="1"/>
    </xf>
    <xf numFmtId="178" fontId="58" fillId="0" borderId="0" xfId="12" applyNumberFormat="1" applyFont="1" applyAlignment="1">
      <alignment horizontal="center" vertical="center" wrapText="1"/>
    </xf>
    <xf numFmtId="16" fontId="57" fillId="0" borderId="1" xfId="0" applyNumberFormat="1" applyFont="1" applyBorder="1" applyAlignment="1">
      <alignment horizontal="center" vertical="center"/>
    </xf>
    <xf numFmtId="179" fontId="62" fillId="0" borderId="1" xfId="12" applyNumberFormat="1" applyFont="1" applyBorder="1" applyAlignment="1">
      <alignment horizontal="center" vertical="center" shrinkToFit="1"/>
    </xf>
    <xf numFmtId="3" fontId="62" fillId="0" borderId="0" xfId="12" applyNumberFormat="1" applyFont="1" applyAlignment="1">
      <alignment horizontal="center" vertical="center" shrinkToFit="1"/>
    </xf>
    <xf numFmtId="190" fontId="57" fillId="0" borderId="0" xfId="12" applyNumberFormat="1" applyFont="1" applyAlignment="1">
      <alignment horizontal="center" vertical="center"/>
    </xf>
    <xf numFmtId="0" fontId="58" fillId="0" borderId="0" xfId="12" applyFont="1" applyAlignment="1">
      <alignment horizontal="center" vertical="center" wrapText="1"/>
    </xf>
    <xf numFmtId="190" fontId="57" fillId="0" borderId="1" xfId="12" applyNumberFormat="1" applyFont="1" applyBorder="1" applyAlignment="1">
      <alignment horizontal="center" vertical="center"/>
    </xf>
    <xf numFmtId="190" fontId="62" fillId="0" borderId="1" xfId="12" applyNumberFormat="1" applyFont="1" applyBorder="1" applyAlignment="1">
      <alignment horizontal="center" vertical="center" shrinkToFit="1"/>
    </xf>
    <xf numFmtId="190" fontId="150" fillId="0" borderId="1" xfId="12" applyNumberFormat="1" applyFont="1" applyBorder="1" applyAlignment="1">
      <alignment horizontal="center" vertical="center" shrinkToFit="1"/>
    </xf>
    <xf numFmtId="2" fontId="150" fillId="0" borderId="1" xfId="12" applyNumberFormat="1" applyFont="1" applyBorder="1" applyAlignment="1">
      <alignment horizontal="center" vertical="center" shrinkToFit="1"/>
    </xf>
    <xf numFmtId="4" fontId="57" fillId="0" borderId="1" xfId="12" applyNumberFormat="1" applyFont="1" applyBorder="1" applyAlignment="1">
      <alignment horizontal="center" vertical="center"/>
    </xf>
    <xf numFmtId="2" fontId="58" fillId="0" borderId="1" xfId="12" applyNumberFormat="1" applyFont="1" applyBorder="1" applyAlignment="1">
      <alignment horizontal="center" vertical="center" wrapText="1"/>
    </xf>
    <xf numFmtId="4" fontId="57" fillId="0" borderId="1" xfId="12" applyNumberFormat="1" applyFont="1" applyBorder="1" applyAlignment="1">
      <alignment horizontal="center" vertical="center" wrapText="1"/>
    </xf>
    <xf numFmtId="179" fontId="63" fillId="0" borderId="2" xfId="12" applyNumberFormat="1" applyFont="1" applyBorder="1" applyAlignment="1">
      <alignment horizontal="center" vertical="center"/>
    </xf>
    <xf numFmtId="0" fontId="57" fillId="6" borderId="12" xfId="12" applyFont="1" applyFill="1" applyBorder="1" applyAlignment="1">
      <alignment horizontal="center" vertical="center"/>
    </xf>
    <xf numFmtId="0" fontId="57" fillId="0" borderId="0" xfId="12" applyFont="1" applyAlignment="1">
      <alignment horizontal="center" vertical="center" wrapText="1"/>
    </xf>
    <xf numFmtId="183" fontId="62" fillId="0" borderId="0" xfId="12" applyNumberFormat="1" applyFont="1" applyAlignment="1">
      <alignment horizontal="center" vertical="center" shrinkToFit="1"/>
    </xf>
    <xf numFmtId="188" fontId="57" fillId="0" borderId="1" xfId="12" applyNumberFormat="1" applyFont="1" applyBorder="1" applyAlignment="1">
      <alignment horizontal="center" vertical="center"/>
    </xf>
    <xf numFmtId="20" fontId="57" fillId="0" borderId="1" xfId="12" applyNumberFormat="1" applyFont="1" applyBorder="1" applyAlignment="1">
      <alignment horizontal="center" vertical="center"/>
    </xf>
    <xf numFmtId="179" fontId="62" fillId="0" borderId="1" xfId="12" applyNumberFormat="1" applyFont="1" applyBorder="1" applyAlignment="1">
      <alignment horizontal="center" vertical="center"/>
    </xf>
    <xf numFmtId="49" fontId="62" fillId="0" borderId="1" xfId="12" applyNumberFormat="1" applyFont="1" applyBorder="1" applyAlignment="1">
      <alignment horizontal="center" vertical="center"/>
    </xf>
    <xf numFmtId="178" fontId="62" fillId="0" borderId="1" xfId="12" applyNumberFormat="1" applyFont="1" applyBorder="1" applyAlignment="1">
      <alignment horizontal="center" vertical="center"/>
    </xf>
    <xf numFmtId="4" fontId="62" fillId="0" borderId="3" xfId="12" applyNumberFormat="1" applyFont="1" applyBorder="1" applyAlignment="1">
      <alignment horizontal="center" vertical="center" shrinkToFit="1"/>
    </xf>
    <xf numFmtId="2" fontId="62" fillId="0" borderId="3" xfId="12" applyNumberFormat="1" applyFont="1" applyBorder="1" applyAlignment="1">
      <alignment horizontal="center" vertical="center" shrinkToFit="1"/>
    </xf>
    <xf numFmtId="4" fontId="62" fillId="0" borderId="2" xfId="12" applyNumberFormat="1" applyFont="1" applyBorder="1" applyAlignment="1">
      <alignment horizontal="center" vertical="center" shrinkToFit="1"/>
    </xf>
    <xf numFmtId="2" fontId="62" fillId="0" borderId="2" xfId="12" applyNumberFormat="1" applyFont="1" applyBorder="1" applyAlignment="1">
      <alignment horizontal="center" vertical="center" shrinkToFit="1"/>
    </xf>
    <xf numFmtId="1" fontId="136" fillId="0" borderId="0" xfId="0" applyNumberFormat="1" applyFont="1" applyAlignment="1">
      <alignment horizontal="left" vertical="center" indent="1" shrinkToFit="1"/>
    </xf>
    <xf numFmtId="0" fontId="57" fillId="0" borderId="0" xfId="0" applyFont="1" applyAlignment="1">
      <alignment horizontal="center" vertical="top"/>
    </xf>
    <xf numFmtId="4" fontId="62" fillId="0" borderId="1" xfId="0" applyNumberFormat="1" applyFont="1" applyBorder="1" applyAlignment="1">
      <alignment horizontal="center" vertical="center" shrinkToFit="1"/>
    </xf>
    <xf numFmtId="0" fontId="57" fillId="0" borderId="1" xfId="0" applyFont="1" applyBorder="1" applyAlignment="1">
      <alignment horizontal="center" vertical="center" wrapText="1"/>
    </xf>
    <xf numFmtId="2" fontId="62" fillId="0" borderId="1" xfId="0" applyNumberFormat="1" applyFont="1" applyBorder="1" applyAlignment="1">
      <alignment horizontal="center" vertical="center" shrinkToFit="1"/>
    </xf>
    <xf numFmtId="1" fontId="136" fillId="0" borderId="0" xfId="0" applyNumberFormat="1" applyFont="1" applyAlignment="1">
      <alignment horizontal="center" vertical="top" shrinkToFit="1"/>
    </xf>
    <xf numFmtId="0" fontId="58" fillId="0" borderId="1" xfId="0" applyFont="1" applyBorder="1" applyAlignment="1">
      <alignment horizontal="center" vertical="center" wrapText="1"/>
    </xf>
    <xf numFmtId="1" fontId="135" fillId="0" borderId="0" xfId="0" applyNumberFormat="1" applyFont="1" applyAlignment="1">
      <alignment horizontal="center" vertical="top" shrinkToFit="1"/>
    </xf>
    <xf numFmtId="1" fontId="135" fillId="0" borderId="0" xfId="0" applyNumberFormat="1" applyFont="1" applyAlignment="1">
      <alignment horizontal="center" vertical="center" shrinkToFit="1"/>
    </xf>
    <xf numFmtId="190" fontId="62" fillId="0" borderId="1" xfId="0" applyNumberFormat="1" applyFont="1" applyBorder="1" applyAlignment="1">
      <alignment horizontal="center" vertical="center" shrinkToFit="1"/>
    </xf>
    <xf numFmtId="1" fontId="135" fillId="0" borderId="0" xfId="0" applyNumberFormat="1" applyFont="1" applyAlignment="1">
      <alignment horizontal="left" vertical="top" indent="1" shrinkToFit="1"/>
    </xf>
    <xf numFmtId="1" fontId="135" fillId="0" borderId="0" xfId="0" applyNumberFormat="1" applyFont="1" applyAlignment="1">
      <alignment horizontal="left" vertical="center" indent="1" shrinkToFit="1"/>
    </xf>
    <xf numFmtId="0" fontId="62" fillId="0" borderId="1" xfId="12" applyFont="1" applyBorder="1" applyAlignment="1">
      <alignment horizontal="center" vertical="center" shrinkToFit="1"/>
    </xf>
    <xf numFmtId="3" fontId="57" fillId="0" borderId="1" xfId="12" applyNumberFormat="1" applyFont="1" applyBorder="1" applyAlignment="1">
      <alignment horizontal="center" vertical="center"/>
    </xf>
    <xf numFmtId="179" fontId="57" fillId="0" borderId="6" xfId="12" applyNumberFormat="1" applyFont="1" applyBorder="1" applyAlignment="1">
      <alignment horizontal="center" vertical="center"/>
    </xf>
    <xf numFmtId="2" fontId="62" fillId="0" borderId="1" xfId="12" applyNumberFormat="1" applyFont="1" applyBorder="1" applyAlignment="1">
      <alignment horizontal="center" vertical="center"/>
    </xf>
    <xf numFmtId="2" fontId="62" fillId="0" borderId="1" xfId="12" applyNumberFormat="1" applyFont="1" applyBorder="1" applyAlignment="1">
      <alignment horizontal="center" vertical="center" wrapText="1"/>
    </xf>
    <xf numFmtId="184" fontId="62" fillId="0" borderId="1" xfId="12" applyNumberFormat="1" applyFont="1" applyBorder="1" applyAlignment="1">
      <alignment horizontal="center" vertical="center" shrinkToFit="1"/>
    </xf>
    <xf numFmtId="0" fontId="62" fillId="7" borderId="3" xfId="12" applyFont="1" applyFill="1" applyBorder="1" applyAlignment="1">
      <alignment horizontal="center" vertical="center"/>
    </xf>
    <xf numFmtId="179" fontId="62" fillId="0" borderId="0" xfId="12" applyNumberFormat="1" applyFont="1" applyAlignment="1">
      <alignment horizontal="center" vertical="center"/>
    </xf>
    <xf numFmtId="49" fontId="62" fillId="0" borderId="0" xfId="12" applyNumberFormat="1" applyFont="1" applyAlignment="1">
      <alignment horizontal="center" vertical="center"/>
    </xf>
    <xf numFmtId="178" fontId="62" fillId="0" borderId="0" xfId="12" applyNumberFormat="1" applyFont="1" applyAlignment="1">
      <alignment horizontal="center" vertical="center"/>
    </xf>
    <xf numFmtId="0" fontId="62" fillId="0" borderId="0" xfId="12" applyFont="1" applyAlignment="1">
      <alignment horizontal="center" vertical="center"/>
    </xf>
    <xf numFmtId="0" fontId="58" fillId="0" borderId="0" xfId="12" applyFont="1" applyAlignment="1">
      <alignment vertical="center" wrapText="1"/>
    </xf>
    <xf numFmtId="0" fontId="58" fillId="0" borderId="1" xfId="12" applyFont="1" applyBorder="1" applyAlignment="1">
      <alignment vertical="center" wrapText="1"/>
    </xf>
    <xf numFmtId="4" fontId="150" fillId="0" borderId="0" xfId="12" applyNumberFormat="1" applyFont="1" applyAlignment="1">
      <alignment horizontal="center" vertical="center" shrinkToFit="1"/>
    </xf>
    <xf numFmtId="0" fontId="57" fillId="0" borderId="2" xfId="12" applyFont="1" applyBorder="1" applyAlignment="1">
      <alignment horizontal="center" vertical="center"/>
    </xf>
    <xf numFmtId="3" fontId="62" fillId="0" borderId="3" xfId="12" applyNumberFormat="1" applyFont="1" applyBorder="1" applyAlignment="1">
      <alignment horizontal="center" vertical="center" shrinkToFit="1"/>
    </xf>
    <xf numFmtId="3" fontId="62" fillId="0" borderId="2" xfId="12" applyNumberFormat="1" applyFont="1" applyBorder="1" applyAlignment="1">
      <alignment horizontal="center" vertical="center" shrinkToFit="1"/>
    </xf>
    <xf numFmtId="3" fontId="62" fillId="0" borderId="4" xfId="12" applyNumberFormat="1" applyFont="1" applyBorder="1" applyAlignment="1">
      <alignment horizontal="center" vertical="center" shrinkToFit="1"/>
    </xf>
    <xf numFmtId="0" fontId="57" fillId="0" borderId="7" xfId="12" applyFont="1" applyBorder="1" applyAlignment="1">
      <alignment horizontal="center" vertical="center"/>
    </xf>
    <xf numFmtId="0" fontId="57" fillId="8" borderId="9" xfId="12" applyFont="1" applyFill="1" applyBorder="1" applyAlignment="1">
      <alignment horizontal="center" vertical="center"/>
    </xf>
    <xf numFmtId="0" fontId="57" fillId="8" borderId="10" xfId="12" applyFont="1" applyFill="1" applyBorder="1" applyAlignment="1">
      <alignment horizontal="center" vertical="center"/>
    </xf>
    <xf numFmtId="0" fontId="57" fillId="0" borderId="6" xfId="12" applyFont="1" applyBorder="1" applyAlignment="1">
      <alignment horizontal="center" vertical="center" wrapText="1"/>
    </xf>
    <xf numFmtId="0" fontId="57" fillId="8" borderId="11" xfId="12" applyFont="1" applyFill="1" applyBorder="1" applyAlignment="1">
      <alignment horizontal="center" vertical="center"/>
    </xf>
    <xf numFmtId="0" fontId="57" fillId="8" borderId="12" xfId="12" applyFont="1" applyFill="1" applyBorder="1" applyAlignment="1">
      <alignment horizontal="center" vertical="center"/>
    </xf>
    <xf numFmtId="0" fontId="58" fillId="0" borderId="6" xfId="12" applyFont="1" applyBorder="1" applyAlignment="1">
      <alignment horizontal="center" vertical="center" wrapText="1"/>
    </xf>
    <xf numFmtId="0" fontId="57" fillId="8" borderId="13" xfId="12" applyFont="1" applyFill="1" applyBorder="1" applyAlignment="1">
      <alignment horizontal="center" vertical="center"/>
    </xf>
    <xf numFmtId="0" fontId="57" fillId="8" borderId="14" xfId="12" applyFont="1" applyFill="1" applyBorder="1" applyAlignment="1">
      <alignment horizontal="center" vertical="center"/>
    </xf>
    <xf numFmtId="0" fontId="62" fillId="7" borderId="2" xfId="12" applyFont="1" applyFill="1" applyBorder="1" applyAlignment="1">
      <alignment horizontal="center" vertical="center"/>
    </xf>
    <xf numFmtId="1" fontId="137" fillId="0" borderId="0" xfId="0" applyNumberFormat="1" applyFont="1" applyAlignment="1">
      <alignment horizontal="center" vertical="top" shrinkToFit="1"/>
    </xf>
    <xf numFmtId="184" fontId="57" fillId="0" borderId="1" xfId="12" applyNumberFormat="1" applyFont="1" applyBorder="1" applyAlignment="1">
      <alignment horizontal="center" vertical="center"/>
    </xf>
    <xf numFmtId="4" fontId="62" fillId="0" borderId="17" xfId="12" applyNumberFormat="1" applyFont="1" applyBorder="1" applyAlignment="1">
      <alignment horizontal="center" vertical="center" shrinkToFit="1"/>
    </xf>
    <xf numFmtId="3" fontId="62" fillId="0" borderId="17" xfId="12" applyNumberFormat="1" applyFont="1" applyBorder="1" applyAlignment="1">
      <alignment horizontal="center" vertical="center" shrinkToFit="1"/>
    </xf>
    <xf numFmtId="0" fontId="58" fillId="0" borderId="17" xfId="12" applyFont="1" applyBorder="1" applyAlignment="1">
      <alignment horizontal="center" vertical="center" wrapText="1"/>
    </xf>
    <xf numFmtId="4" fontId="152" fillId="0" borderId="1" xfId="12" applyNumberFormat="1" applyFont="1" applyBorder="1" applyAlignment="1">
      <alignment horizontal="center" vertical="center" shrinkToFit="1"/>
    </xf>
    <xf numFmtId="2" fontId="152" fillId="0" borderId="1" xfId="12" applyNumberFormat="1" applyFont="1" applyBorder="1" applyAlignment="1">
      <alignment horizontal="center" vertical="center" shrinkToFit="1"/>
    </xf>
    <xf numFmtId="0" fontId="152" fillId="0" borderId="1" xfId="12" applyFont="1" applyBorder="1" applyAlignment="1">
      <alignment horizontal="center" vertical="center" wrapText="1"/>
    </xf>
    <xf numFmtId="179" fontId="58" fillId="0" borderId="0" xfId="12" applyNumberFormat="1" applyFont="1" applyAlignment="1">
      <alignment horizontal="center" vertical="center"/>
    </xf>
    <xf numFmtId="4" fontId="57" fillId="0" borderId="0" xfId="12" applyNumberFormat="1" applyFont="1" applyAlignment="1">
      <alignment horizontal="center" vertical="center"/>
    </xf>
    <xf numFmtId="3" fontId="57" fillId="0" borderId="0" xfId="12" applyNumberFormat="1" applyFont="1" applyAlignment="1">
      <alignment horizontal="center" vertical="center"/>
    </xf>
    <xf numFmtId="2" fontId="62" fillId="0" borderId="0" xfId="12" applyNumberFormat="1" applyFont="1" applyAlignment="1">
      <alignment horizontal="center" vertical="center" shrinkToFit="1"/>
    </xf>
    <xf numFmtId="2" fontId="62" fillId="0" borderId="1" xfId="12" applyNumberFormat="1" applyFont="1" applyBorder="1" applyAlignment="1">
      <alignment horizontal="center" vertical="center" wrapText="1" shrinkToFit="1"/>
    </xf>
    <xf numFmtId="0" fontId="58" fillId="0" borderId="1" xfId="12" applyFont="1" applyBorder="1" applyAlignment="1">
      <alignment horizontal="center" vertical="center"/>
    </xf>
    <xf numFmtId="179" fontId="62" fillId="0" borderId="1" xfId="0" applyNumberFormat="1" applyFont="1" applyBorder="1" applyAlignment="1">
      <alignment horizontal="center" vertical="top"/>
    </xf>
    <xf numFmtId="49" fontId="62" fillId="0" borderId="6" xfId="12" applyNumberFormat="1" applyFont="1" applyBorder="1" applyAlignment="1">
      <alignment horizontal="center" vertical="center"/>
    </xf>
    <xf numFmtId="0" fontId="61" fillId="0" borderId="1" xfId="5" applyFont="1" applyFill="1" applyBorder="1" applyAlignment="1">
      <alignment horizontal="center" vertical="center"/>
    </xf>
    <xf numFmtId="0" fontId="63" fillId="0" borderId="1" xfId="12" applyFont="1" applyBorder="1" applyAlignment="1">
      <alignment horizontal="center" vertical="center"/>
    </xf>
    <xf numFmtId="178" fontId="61" fillId="0" borderId="1" xfId="5" applyNumberFormat="1" applyFont="1" applyFill="1" applyBorder="1" applyAlignment="1">
      <alignment horizontal="center" vertical="center"/>
    </xf>
    <xf numFmtId="0" fontId="57" fillId="0" borderId="0" xfId="0" applyFont="1">
      <alignment vertical="center"/>
    </xf>
    <xf numFmtId="0" fontId="57" fillId="0" borderId="9" xfId="12" applyFont="1" applyBorder="1" applyAlignment="1">
      <alignment horizontal="center" vertical="center"/>
    </xf>
    <xf numFmtId="0" fontId="57" fillId="0" borderId="11" xfId="12" applyFont="1" applyBorder="1" applyAlignment="1">
      <alignment horizontal="center" vertical="center"/>
    </xf>
    <xf numFmtId="4" fontId="62" fillId="0" borderId="19" xfId="12" applyNumberFormat="1" applyFont="1" applyBorder="1" applyAlignment="1">
      <alignment horizontal="center" vertical="center" shrinkToFit="1"/>
    </xf>
    <xf numFmtId="2" fontId="62" fillId="0" borderId="19" xfId="12" applyNumberFormat="1" applyFont="1" applyBorder="1" applyAlignment="1">
      <alignment horizontal="center" vertical="center" shrinkToFit="1"/>
    </xf>
    <xf numFmtId="0" fontId="58" fillId="0" borderId="25" xfId="12" applyFont="1" applyBorder="1" applyAlignment="1">
      <alignment horizontal="center" vertical="center" wrapText="1"/>
    </xf>
    <xf numFmtId="4" fontId="62" fillId="0" borderId="26" xfId="12" applyNumberFormat="1" applyFont="1" applyBorder="1" applyAlignment="1">
      <alignment horizontal="center" vertical="center" shrinkToFit="1"/>
    </xf>
    <xf numFmtId="3" fontId="62" fillId="0" borderId="8" xfId="12" applyNumberFormat="1" applyFont="1" applyBorder="1" applyAlignment="1">
      <alignment horizontal="center" vertical="center" shrinkToFit="1"/>
    </xf>
    <xf numFmtId="4" fontId="62" fillId="0" borderId="8" xfId="12" applyNumberFormat="1" applyFont="1" applyBorder="1" applyAlignment="1">
      <alignment horizontal="center" vertical="center" shrinkToFit="1"/>
    </xf>
    <xf numFmtId="2" fontId="62" fillId="0" borderId="8" xfId="12" applyNumberFormat="1" applyFont="1" applyBorder="1" applyAlignment="1">
      <alignment horizontal="center" vertical="center" shrinkToFit="1"/>
    </xf>
    <xf numFmtId="0" fontId="58" fillId="0" borderId="27" xfId="12" applyFont="1" applyBorder="1" applyAlignment="1">
      <alignment horizontal="center" vertical="center" wrapText="1"/>
    </xf>
    <xf numFmtId="0" fontId="58" fillId="0" borderId="28" xfId="12" applyFont="1" applyBorder="1" applyAlignment="1">
      <alignment horizontal="center" vertical="center" wrapText="1"/>
    </xf>
    <xf numFmtId="0" fontId="62" fillId="7" borderId="13" xfId="12" applyFont="1" applyFill="1" applyBorder="1" applyAlignment="1">
      <alignment horizontal="center" vertical="center"/>
    </xf>
    <xf numFmtId="180" fontId="62" fillId="7" borderId="15" xfId="12" applyNumberFormat="1" applyFont="1" applyFill="1" applyBorder="1" applyAlignment="1">
      <alignment horizontal="center" vertical="center"/>
    </xf>
    <xf numFmtId="0" fontId="62" fillId="7" borderId="15" xfId="12" applyFont="1" applyFill="1" applyBorder="1" applyAlignment="1">
      <alignment horizontal="center" vertical="center"/>
    </xf>
    <xf numFmtId="0" fontId="62" fillId="7" borderId="14" xfId="12" applyFont="1" applyFill="1" applyBorder="1" applyAlignment="1">
      <alignment horizontal="center" vertical="center"/>
    </xf>
    <xf numFmtId="179" fontId="57" fillId="0" borderId="11" xfId="12" applyNumberFormat="1" applyFont="1" applyBorder="1" applyAlignment="1">
      <alignment horizontal="center" vertical="center"/>
    </xf>
    <xf numFmtId="178" fontId="62" fillId="0" borderId="12" xfId="12" applyNumberFormat="1" applyFont="1" applyBorder="1" applyAlignment="1">
      <alignment horizontal="center" vertical="center"/>
    </xf>
    <xf numFmtId="49" fontId="57" fillId="0" borderId="2" xfId="12" applyNumberFormat="1" applyFont="1" applyBorder="1" applyAlignment="1">
      <alignment horizontal="center" vertical="center"/>
    </xf>
    <xf numFmtId="1" fontId="153" fillId="0" borderId="0" xfId="0" applyNumberFormat="1" applyFont="1" applyAlignment="1">
      <alignment horizontal="center" vertical="top" shrinkToFit="1"/>
    </xf>
    <xf numFmtId="1" fontId="153" fillId="0" borderId="0" xfId="0" applyNumberFormat="1" applyFont="1" applyAlignment="1">
      <alignment vertical="top" shrinkToFit="1"/>
    </xf>
    <xf numFmtId="0" fontId="0" fillId="0" borderId="1" xfId="0" applyBorder="1" applyAlignment="1">
      <alignment horizontal="center" vertical="top"/>
    </xf>
    <xf numFmtId="4" fontId="153" fillId="0" borderId="1" xfId="0" applyNumberFormat="1" applyFont="1" applyBorder="1" applyAlignment="1">
      <alignment horizontal="center" vertical="top" shrinkToFit="1"/>
    </xf>
    <xf numFmtId="2" fontId="153" fillId="0" borderId="1" xfId="0" applyNumberFormat="1" applyFont="1" applyBorder="1" applyAlignment="1">
      <alignment horizontal="center" vertical="top" shrinkToFit="1"/>
    </xf>
    <xf numFmtId="0" fontId="0" fillId="0" borderId="1" xfId="0" applyBorder="1" applyAlignment="1">
      <alignment horizontal="center" vertical="top" wrapText="1"/>
    </xf>
    <xf numFmtId="1" fontId="153" fillId="0" borderId="0" xfId="0" applyNumberFormat="1" applyFont="1" applyAlignment="1">
      <alignment vertical="center" shrinkToFit="1"/>
    </xf>
    <xf numFmtId="0" fontId="149" fillId="0" borderId="1" xfId="0" applyFont="1" applyBorder="1" applyAlignment="1">
      <alignment horizontal="center" vertical="top" wrapText="1"/>
    </xf>
    <xf numFmtId="182" fontId="62" fillId="0" borderId="0" xfId="12" applyNumberFormat="1" applyFont="1" applyAlignment="1">
      <alignment horizontal="center" vertical="center" shrinkToFit="1"/>
    </xf>
    <xf numFmtId="4" fontId="58" fillId="0" borderId="1" xfId="12" applyNumberFormat="1" applyFont="1" applyBorder="1" applyAlignment="1">
      <alignment horizontal="center" vertical="center" shrinkToFit="1"/>
    </xf>
    <xf numFmtId="3" fontId="58" fillId="0" borderId="1" xfId="12" applyNumberFormat="1" applyFont="1" applyBorder="1" applyAlignment="1">
      <alignment horizontal="center" vertical="center" shrinkToFit="1"/>
    </xf>
    <xf numFmtId="4" fontId="58" fillId="0" borderId="1" xfId="12" applyNumberFormat="1" applyFont="1" applyBorder="1" applyAlignment="1">
      <alignment horizontal="center" vertical="center"/>
    </xf>
    <xf numFmtId="3" fontId="58" fillId="0" borderId="1" xfId="12" applyNumberFormat="1" applyFont="1" applyBorder="1" applyAlignment="1">
      <alignment horizontal="center" vertical="center"/>
    </xf>
    <xf numFmtId="1" fontId="57" fillId="0" borderId="1" xfId="12" applyNumberFormat="1" applyFont="1" applyBorder="1" applyAlignment="1">
      <alignment horizontal="center" vertical="center"/>
    </xf>
    <xf numFmtId="0" fontId="0" fillId="0" borderId="1" xfId="0" applyBorder="1" applyAlignment="1">
      <alignment horizontal="left" vertical="center"/>
    </xf>
    <xf numFmtId="0" fontId="58" fillId="0" borderId="1" xfId="0" applyFont="1" applyBorder="1" applyAlignment="1">
      <alignment horizontal="center"/>
    </xf>
    <xf numFmtId="0" fontId="57" fillId="0" borderId="11" xfId="12" applyFont="1" applyBorder="1" applyAlignment="1">
      <alignment vertical="center"/>
    </xf>
    <xf numFmtId="0" fontId="58" fillId="0" borderId="2" xfId="12" applyFont="1" applyBorder="1" applyAlignment="1">
      <alignment horizontal="center" vertical="center" wrapText="1"/>
    </xf>
    <xf numFmtId="0" fontId="57" fillId="8" borderId="0" xfId="12" applyFont="1" applyFill="1" applyAlignment="1">
      <alignment horizontal="center" vertical="center"/>
    </xf>
    <xf numFmtId="0" fontId="57" fillId="0" borderId="8" xfId="12" applyFont="1" applyBorder="1" applyAlignment="1">
      <alignment horizontal="center" vertical="center" wrapText="1"/>
    </xf>
    <xf numFmtId="0" fontId="61" fillId="0" borderId="1" xfId="1" applyFont="1" applyFill="1" applyBorder="1" applyAlignment="1">
      <alignment horizontal="right"/>
    </xf>
    <xf numFmtId="179" fontId="62" fillId="0" borderId="1" xfId="0" applyNumberFormat="1" applyFont="1" applyBorder="1" applyAlignment="1">
      <alignment horizontal="right" vertical="top"/>
    </xf>
    <xf numFmtId="3" fontId="62" fillId="10" borderId="1" xfId="12" applyNumberFormat="1" applyFont="1" applyFill="1" applyBorder="1" applyAlignment="1">
      <alignment horizontal="center" vertical="center" shrinkToFit="1"/>
    </xf>
    <xf numFmtId="49" fontId="62" fillId="0" borderId="1" xfId="0" applyNumberFormat="1" applyFont="1" applyBorder="1" applyAlignment="1">
      <alignment vertical="top"/>
    </xf>
    <xf numFmtId="0" fontId="62" fillId="0" borderId="1" xfId="0" applyFont="1" applyBorder="1" applyAlignment="1">
      <alignment horizontal="center" vertical="top"/>
    </xf>
    <xf numFmtId="0" fontId="57" fillId="0" borderId="0" xfId="12" quotePrefix="1" applyFont="1" applyAlignment="1">
      <alignment horizontal="center" vertical="center"/>
    </xf>
    <xf numFmtId="189" fontId="57" fillId="0" borderId="1" xfId="12" applyNumberFormat="1" applyFont="1" applyBorder="1" applyAlignment="1">
      <alignment horizontal="center" vertical="center"/>
    </xf>
    <xf numFmtId="191" fontId="62" fillId="0" borderId="1" xfId="12" applyNumberFormat="1" applyFont="1" applyBorder="1" applyAlignment="1">
      <alignment horizontal="center" vertical="center" shrinkToFit="1"/>
    </xf>
    <xf numFmtId="191" fontId="57" fillId="0" borderId="1" xfId="12" applyNumberFormat="1" applyFont="1" applyBorder="1" applyAlignment="1">
      <alignment horizontal="center" vertical="center"/>
    </xf>
    <xf numFmtId="0" fontId="62" fillId="0" borderId="1" xfId="13" applyNumberFormat="1" applyFont="1" applyBorder="1" applyAlignment="1">
      <alignment horizontal="center" vertical="center" shrinkToFit="1"/>
    </xf>
    <xf numFmtId="2" fontId="58" fillId="0" borderId="1" xfId="12" applyNumberFormat="1" applyFont="1" applyBorder="1" applyAlignment="1">
      <alignment horizontal="center" vertical="center" shrinkToFit="1"/>
    </xf>
    <xf numFmtId="0" fontId="57" fillId="8" borderId="1" xfId="12" applyFont="1" applyFill="1" applyBorder="1" applyAlignment="1">
      <alignment horizontal="center" vertical="center"/>
    </xf>
    <xf numFmtId="14" fontId="62" fillId="0" borderId="1" xfId="12" applyNumberFormat="1" applyFont="1" applyBorder="1" applyAlignment="1">
      <alignment horizontal="center" vertical="center"/>
    </xf>
    <xf numFmtId="14" fontId="57" fillId="0" borderId="1" xfId="12" applyNumberFormat="1" applyFont="1" applyBorder="1" applyAlignment="1">
      <alignment horizontal="center" vertical="center"/>
    </xf>
    <xf numFmtId="191" fontId="57" fillId="0" borderId="1" xfId="12" applyNumberFormat="1" applyFont="1" applyBorder="1" applyAlignment="1">
      <alignment horizontal="center" vertical="center" wrapText="1"/>
    </xf>
    <xf numFmtId="3" fontId="62" fillId="8" borderId="1" xfId="12" applyNumberFormat="1" applyFont="1" applyFill="1" applyBorder="1" applyAlignment="1">
      <alignment horizontal="center" vertical="center" shrinkToFit="1"/>
    </xf>
    <xf numFmtId="49" fontId="57" fillId="6" borderId="3" xfId="12" applyNumberFormat="1" applyFont="1" applyFill="1" applyBorder="1" applyAlignment="1">
      <alignment horizontal="center" vertical="center"/>
    </xf>
    <xf numFmtId="0" fontId="57" fillId="0" borderId="15" xfId="12" applyFont="1" applyBorder="1" applyAlignment="1">
      <alignment horizontal="center" vertical="center"/>
    </xf>
    <xf numFmtId="0" fontId="57" fillId="0" borderId="2" xfId="0" applyFont="1" applyBorder="1" applyAlignment="1">
      <alignment horizontal="center" vertical="center"/>
    </xf>
    <xf numFmtId="1" fontId="62" fillId="0" borderId="1" xfId="12" applyNumberFormat="1" applyFont="1" applyBorder="1" applyAlignment="1">
      <alignment horizontal="center" vertical="center" shrinkToFit="1"/>
    </xf>
    <xf numFmtId="179" fontId="58" fillId="0" borderId="1" xfId="12" applyNumberFormat="1" applyFont="1" applyBorder="1" applyAlignment="1">
      <alignment horizontal="center" vertical="center"/>
    </xf>
    <xf numFmtId="179" fontId="58" fillId="0" borderId="2" xfId="12" applyNumberFormat="1" applyFont="1" applyBorder="1" applyAlignment="1">
      <alignment horizontal="center" vertical="center"/>
    </xf>
    <xf numFmtId="49" fontId="58" fillId="0" borderId="2" xfId="12" applyNumberFormat="1" applyFont="1" applyBorder="1" applyAlignment="1">
      <alignment horizontal="center" vertical="center"/>
    </xf>
    <xf numFmtId="0" fontId="62" fillId="7" borderId="0" xfId="0" applyFont="1" applyFill="1" applyAlignment="1">
      <alignment horizontal="center" vertical="center"/>
    </xf>
    <xf numFmtId="180" fontId="62" fillId="7" borderId="0" xfId="0" applyNumberFormat="1" applyFont="1" applyFill="1" applyAlignment="1">
      <alignment horizontal="center" vertical="center"/>
    </xf>
    <xf numFmtId="49" fontId="57" fillId="0" borderId="0" xfId="0" applyNumberFormat="1" applyFont="1" applyAlignment="1">
      <alignment horizontal="center" vertical="center"/>
    </xf>
    <xf numFmtId="178" fontId="57" fillId="0" borderId="0" xfId="0" applyNumberFormat="1" applyFont="1" applyAlignment="1">
      <alignment horizontal="center" vertical="center"/>
    </xf>
    <xf numFmtId="49" fontId="57" fillId="0" borderId="1" xfId="0" applyNumberFormat="1" applyFont="1" applyBorder="1" applyAlignment="1">
      <alignment horizontal="center" vertical="center"/>
    </xf>
    <xf numFmtId="178" fontId="57" fillId="0" borderId="1" xfId="0" applyNumberFormat="1" applyFont="1" applyBorder="1" applyAlignment="1">
      <alignment horizontal="center" vertical="center"/>
    </xf>
    <xf numFmtId="179" fontId="57" fillId="0" borderId="1" xfId="0" applyNumberFormat="1" applyFont="1" applyBorder="1" applyAlignment="1">
      <alignment horizontal="center" vertical="center"/>
    </xf>
    <xf numFmtId="0" fontId="62" fillId="0" borderId="1" xfId="0" applyFont="1" applyBorder="1" applyAlignment="1">
      <alignment horizontal="center" vertical="center"/>
    </xf>
    <xf numFmtId="179" fontId="62" fillId="0" borderId="1" xfId="0" applyNumberFormat="1" applyFont="1" applyBorder="1" applyAlignment="1">
      <alignment horizontal="center" vertical="center"/>
    </xf>
    <xf numFmtId="49" fontId="62" fillId="0" borderId="1" xfId="0" applyNumberFormat="1" applyFont="1" applyBorder="1" applyAlignment="1">
      <alignment horizontal="center" vertical="center"/>
    </xf>
    <xf numFmtId="178" fontId="62" fillId="0" borderId="1" xfId="0" applyNumberFormat="1" applyFont="1" applyBorder="1" applyAlignment="1">
      <alignment horizontal="center" vertical="center"/>
    </xf>
    <xf numFmtId="0" fontId="57" fillId="6" borderId="0" xfId="0" applyFont="1" applyFill="1" applyAlignment="1">
      <alignment horizontal="center" vertical="center"/>
    </xf>
    <xf numFmtId="49" fontId="57" fillId="6" borderId="0" xfId="0" applyNumberFormat="1" applyFont="1" applyFill="1" applyAlignment="1">
      <alignment horizontal="center" vertical="center"/>
    </xf>
    <xf numFmtId="0" fontId="57" fillId="6" borderId="1" xfId="0" applyFont="1" applyFill="1" applyBorder="1" applyAlignment="1">
      <alignment horizontal="center" vertical="center"/>
    </xf>
    <xf numFmtId="0" fontId="58" fillId="6" borderId="1" xfId="0" applyFont="1" applyFill="1" applyBorder="1" applyAlignment="1">
      <alignment horizontal="center" vertical="center"/>
    </xf>
    <xf numFmtId="49" fontId="57" fillId="6" borderId="1" xfId="0" applyNumberFormat="1" applyFont="1" applyFill="1" applyBorder="1" applyAlignment="1">
      <alignment horizontal="center" vertical="center"/>
    </xf>
    <xf numFmtId="4" fontId="57" fillId="0" borderId="1" xfId="0" applyNumberFormat="1" applyFont="1" applyBorder="1" applyAlignment="1">
      <alignment horizontal="center" vertical="center"/>
    </xf>
    <xf numFmtId="3" fontId="57" fillId="0" borderId="1" xfId="0" applyNumberFormat="1" applyFont="1" applyBorder="1" applyAlignment="1">
      <alignment horizontal="center" vertical="center"/>
    </xf>
    <xf numFmtId="0" fontId="62" fillId="7" borderId="1" xfId="0" applyFont="1" applyFill="1" applyBorder="1" applyAlignment="1">
      <alignment horizontal="center" vertical="center"/>
    </xf>
    <xf numFmtId="180" fontId="62" fillId="7" borderId="1" xfId="0" applyNumberFormat="1" applyFont="1" applyFill="1" applyBorder="1" applyAlignment="1">
      <alignment horizontal="center" vertical="center"/>
    </xf>
    <xf numFmtId="2" fontId="57" fillId="0" borderId="0" xfId="0" applyNumberFormat="1" applyFont="1" applyAlignment="1">
      <alignment horizontal="center" vertical="center"/>
    </xf>
    <xf numFmtId="179" fontId="57" fillId="0" borderId="0" xfId="0" applyNumberFormat="1" applyFont="1" applyAlignment="1">
      <alignment horizontal="center" vertical="center"/>
    </xf>
    <xf numFmtId="179" fontId="57" fillId="0" borderId="2" xfId="0" applyNumberFormat="1" applyFont="1" applyBorder="1" applyAlignment="1">
      <alignment horizontal="center" vertical="center"/>
    </xf>
    <xf numFmtId="179" fontId="62" fillId="0" borderId="2" xfId="0" applyNumberFormat="1" applyFont="1" applyBorder="1" applyAlignment="1">
      <alignment horizontal="center" vertical="center"/>
    </xf>
    <xf numFmtId="49" fontId="62" fillId="0" borderId="2" xfId="0" applyNumberFormat="1" applyFont="1" applyBorder="1" applyAlignment="1">
      <alignment horizontal="center" vertical="center"/>
    </xf>
    <xf numFmtId="178" fontId="62" fillId="0" borderId="2" xfId="0" applyNumberFormat="1" applyFont="1" applyBorder="1" applyAlignment="1">
      <alignment horizontal="center" vertical="center"/>
    </xf>
    <xf numFmtId="0" fontId="57" fillId="6" borderId="12" xfId="0" applyFont="1" applyFill="1" applyBorder="1" applyAlignment="1">
      <alignment horizontal="center" vertical="center"/>
    </xf>
    <xf numFmtId="0" fontId="57" fillId="6" borderId="6" xfId="0" applyFont="1" applyFill="1" applyBorder="1" applyAlignment="1">
      <alignment horizontal="center" vertical="center"/>
    </xf>
    <xf numFmtId="3" fontId="62" fillId="0" borderId="1" xfId="0" applyNumberFormat="1" applyFont="1" applyBorder="1" applyAlignment="1">
      <alignment horizontal="center" vertical="center" shrinkToFit="1"/>
    </xf>
    <xf numFmtId="2" fontId="57" fillId="0" borderId="3" xfId="0" applyNumberFormat="1" applyFont="1" applyBorder="1" applyAlignment="1">
      <alignment horizontal="center" vertical="center"/>
    </xf>
    <xf numFmtId="179" fontId="57" fillId="0" borderId="6" xfId="0" applyNumberFormat="1" applyFont="1" applyBorder="1" applyAlignment="1">
      <alignment horizontal="center" vertical="center"/>
    </xf>
    <xf numFmtId="49" fontId="57" fillId="6" borderId="6" xfId="0" applyNumberFormat="1" applyFont="1" applyFill="1" applyBorder="1" applyAlignment="1">
      <alignment horizontal="center" vertical="center"/>
    </xf>
    <xf numFmtId="4" fontId="62" fillId="0" borderId="0" xfId="0" applyNumberFormat="1" applyFont="1" applyAlignment="1">
      <alignment horizontal="center" vertical="center" shrinkToFit="1"/>
    </xf>
    <xf numFmtId="3" fontId="62" fillId="0" borderId="0" xfId="0" applyNumberFormat="1" applyFont="1" applyAlignment="1">
      <alignment horizontal="center" vertical="center" shrinkToFit="1"/>
    </xf>
    <xf numFmtId="4" fontId="57" fillId="0" borderId="0" xfId="0" applyNumberFormat="1" applyFont="1" applyAlignment="1">
      <alignment horizontal="center" vertical="center"/>
    </xf>
    <xf numFmtId="20" fontId="57" fillId="0" borderId="1" xfId="0" applyNumberFormat="1" applyFont="1" applyBorder="1" applyAlignment="1">
      <alignment horizontal="center" vertical="center"/>
    </xf>
    <xf numFmtId="0" fontId="62" fillId="0" borderId="7" xfId="0" applyFont="1" applyBorder="1" applyAlignment="1">
      <alignment horizontal="center" vertical="center"/>
    </xf>
    <xf numFmtId="179" fontId="62" fillId="0" borderId="7" xfId="0" applyNumberFormat="1" applyFont="1" applyBorder="1" applyAlignment="1">
      <alignment horizontal="center" vertical="center"/>
    </xf>
    <xf numFmtId="179" fontId="62" fillId="0" borderId="0" xfId="0" applyNumberFormat="1" applyFont="1" applyAlignment="1">
      <alignment horizontal="center" vertical="center"/>
    </xf>
    <xf numFmtId="179" fontId="62" fillId="0" borderId="13" xfId="0" applyNumberFormat="1" applyFont="1" applyBorder="1" applyAlignment="1">
      <alignment horizontal="center" vertical="center"/>
    </xf>
    <xf numFmtId="49" fontId="62" fillId="0" borderId="13" xfId="0" applyNumberFormat="1" applyFont="1" applyBorder="1" applyAlignment="1">
      <alignment horizontal="center" vertical="center"/>
    </xf>
    <xf numFmtId="0" fontId="62" fillId="7" borderId="3" xfId="0" applyFont="1" applyFill="1" applyBorder="1" applyAlignment="1">
      <alignment horizontal="center" vertical="center"/>
    </xf>
    <xf numFmtId="180" fontId="62" fillId="7" borderId="3" xfId="0" applyNumberFormat="1" applyFont="1" applyFill="1" applyBorder="1" applyAlignment="1">
      <alignment horizontal="center" vertical="center"/>
    </xf>
    <xf numFmtId="0" fontId="57" fillId="8" borderId="0" xfId="0" applyFont="1" applyFill="1" applyAlignment="1">
      <alignment horizontal="center" vertical="center"/>
    </xf>
    <xf numFmtId="0" fontId="58" fillId="0" borderId="0" xfId="0" applyFont="1" applyAlignment="1">
      <alignment horizontal="center" vertical="center" wrapText="1"/>
    </xf>
    <xf numFmtId="49" fontId="62" fillId="0" borderId="7" xfId="0" applyNumberFormat="1" applyFont="1" applyBorder="1" applyAlignment="1">
      <alignment horizontal="center" vertical="center"/>
    </xf>
    <xf numFmtId="2" fontId="62" fillId="0" borderId="0" xfId="0" applyNumberFormat="1" applyFont="1" applyAlignment="1">
      <alignment horizontal="center" vertical="center" shrinkToFit="1"/>
    </xf>
    <xf numFmtId="2" fontId="58" fillId="0" borderId="1" xfId="0" applyNumberFormat="1" applyFont="1" applyBorder="1" applyAlignment="1">
      <alignment horizontal="center" vertical="center"/>
    </xf>
    <xf numFmtId="0" fontId="62" fillId="0" borderId="1" xfId="0" applyFont="1" applyBorder="1" applyAlignment="1">
      <alignment horizontal="center" vertical="center" wrapText="1"/>
    </xf>
    <xf numFmtId="4" fontId="57" fillId="0" borderId="1" xfId="0" applyNumberFormat="1" applyFont="1" applyBorder="1" applyAlignment="1">
      <alignment horizontal="center" vertical="center" shrinkToFit="1"/>
    </xf>
    <xf numFmtId="3" fontId="57" fillId="0" borderId="1" xfId="0" applyNumberFormat="1" applyFont="1" applyBorder="1" applyAlignment="1">
      <alignment horizontal="center" vertical="center" shrinkToFit="1"/>
    </xf>
    <xf numFmtId="14" fontId="62" fillId="0" borderId="1" xfId="0" applyNumberFormat="1" applyFont="1" applyBorder="1" applyAlignment="1">
      <alignment horizontal="center" vertical="center"/>
    </xf>
    <xf numFmtId="3" fontId="57" fillId="0" borderId="0" xfId="0" applyNumberFormat="1" applyFont="1" applyAlignment="1">
      <alignment horizontal="center" vertical="center"/>
    </xf>
    <xf numFmtId="190" fontId="57" fillId="0" borderId="1" xfId="0" applyNumberFormat="1" applyFont="1" applyBorder="1" applyAlignment="1">
      <alignment horizontal="center" vertical="center"/>
    </xf>
    <xf numFmtId="2" fontId="62" fillId="0" borderId="1" xfId="0" applyNumberFormat="1" applyFont="1" applyBorder="1" applyAlignment="1">
      <alignment horizontal="center" vertical="center"/>
    </xf>
    <xf numFmtId="0" fontId="58" fillId="0" borderId="12" xfId="0" applyFont="1" applyBorder="1" applyAlignment="1">
      <alignment horizontal="center" vertical="center" wrapText="1"/>
    </xf>
    <xf numFmtId="4" fontId="62" fillId="0" borderId="20" xfId="0" applyNumberFormat="1" applyFont="1" applyBorder="1" applyAlignment="1">
      <alignment horizontal="center" vertical="center" shrinkToFit="1"/>
    </xf>
    <xf numFmtId="2" fontId="62" fillId="0" borderId="8" xfId="0" applyNumberFormat="1" applyFont="1" applyBorder="1" applyAlignment="1">
      <alignment horizontal="center" vertical="center" shrinkToFit="1"/>
    </xf>
    <xf numFmtId="0" fontId="58" fillId="0" borderId="8" xfId="0" applyFont="1" applyBorder="1" applyAlignment="1">
      <alignment horizontal="center" vertical="center" wrapText="1"/>
    </xf>
    <xf numFmtId="4" fontId="62" fillId="0" borderId="12" xfId="0" applyNumberFormat="1" applyFont="1" applyBorder="1" applyAlignment="1">
      <alignment horizontal="center" vertical="center" shrinkToFit="1"/>
    </xf>
    <xf numFmtId="0" fontId="57" fillId="0" borderId="8" xfId="0" applyFont="1" applyBorder="1" applyAlignment="1">
      <alignment horizontal="center" vertical="center" wrapText="1"/>
    </xf>
    <xf numFmtId="4" fontId="62" fillId="0" borderId="8" xfId="0" applyNumberFormat="1" applyFont="1" applyBorder="1" applyAlignment="1">
      <alignment horizontal="center" vertical="center" shrinkToFit="1"/>
    </xf>
    <xf numFmtId="2" fontId="62" fillId="0" borderId="5" xfId="0" applyNumberFormat="1" applyFont="1" applyBorder="1" applyAlignment="1">
      <alignment horizontal="center" vertical="center" shrinkToFit="1"/>
    </xf>
    <xf numFmtId="0" fontId="57" fillId="0" borderId="19" xfId="0" applyFont="1" applyBorder="1" applyAlignment="1">
      <alignment horizontal="center" vertical="center" wrapText="1"/>
    </xf>
    <xf numFmtId="4" fontId="62" fillId="0" borderId="17" xfId="0" applyNumberFormat="1" applyFont="1" applyBorder="1" applyAlignment="1">
      <alignment horizontal="center" vertical="center" shrinkToFit="1"/>
    </xf>
    <xf numFmtId="2" fontId="62" fillId="0" borderId="17" xfId="0" applyNumberFormat="1" applyFont="1" applyBorder="1" applyAlignment="1">
      <alignment horizontal="center" vertical="center" shrinkToFit="1"/>
    </xf>
    <xf numFmtId="0" fontId="57" fillId="0" borderId="17" xfId="0" applyFont="1" applyBorder="1" applyAlignment="1">
      <alignment horizontal="center" vertical="center" wrapText="1"/>
    </xf>
    <xf numFmtId="178" fontId="61" fillId="0" borderId="2" xfId="1" applyNumberFormat="1" applyFont="1" applyBorder="1" applyAlignment="1">
      <alignment horizontal="center" vertical="center"/>
    </xf>
    <xf numFmtId="0" fontId="57" fillId="0" borderId="7" xfId="0" applyFont="1" applyBorder="1" applyAlignment="1">
      <alignment horizontal="center" vertical="center"/>
    </xf>
    <xf numFmtId="0" fontId="57" fillId="6" borderId="7" xfId="0" applyFont="1" applyFill="1" applyBorder="1" applyAlignment="1">
      <alignment horizontal="center" vertical="center"/>
    </xf>
    <xf numFmtId="189" fontId="57" fillId="0" borderId="0" xfId="0" applyNumberFormat="1" applyFont="1" applyAlignment="1">
      <alignment horizontal="center" vertical="center"/>
    </xf>
    <xf numFmtId="179" fontId="62" fillId="0" borderId="11" xfId="0" applyNumberFormat="1" applyFont="1" applyBorder="1" applyAlignment="1">
      <alignment horizontal="center" vertical="center"/>
    </xf>
    <xf numFmtId="49" fontId="62" fillId="0" borderId="11" xfId="0" applyNumberFormat="1" applyFont="1" applyBorder="1" applyAlignment="1">
      <alignment horizontal="center" vertical="center"/>
    </xf>
    <xf numFmtId="178" fontId="62" fillId="0" borderId="11" xfId="0" applyNumberFormat="1" applyFont="1" applyBorder="1" applyAlignment="1">
      <alignment horizontal="center" vertical="center"/>
    </xf>
    <xf numFmtId="0" fontId="62" fillId="0" borderId="0" xfId="0" applyFont="1" applyAlignment="1">
      <alignment horizontal="center" vertical="center"/>
    </xf>
    <xf numFmtId="179" fontId="62" fillId="0" borderId="6" xfId="0" applyNumberFormat="1" applyFont="1" applyBorder="1" applyAlignment="1">
      <alignment horizontal="center" vertical="center"/>
    </xf>
    <xf numFmtId="179" fontId="58" fillId="0" borderId="1" xfId="0" applyNumberFormat="1" applyFont="1" applyBorder="1" applyAlignment="1">
      <alignment horizontal="center" vertical="center"/>
    </xf>
    <xf numFmtId="3" fontId="62" fillId="0" borderId="2" xfId="0" applyNumberFormat="1" applyFont="1" applyBorder="1" applyAlignment="1">
      <alignment horizontal="center" vertical="center" shrinkToFit="1"/>
    </xf>
    <xf numFmtId="4" fontId="62" fillId="0" borderId="2" xfId="0" applyNumberFormat="1" applyFont="1" applyBorder="1" applyAlignment="1">
      <alignment horizontal="center" vertical="center" shrinkToFit="1"/>
    </xf>
    <xf numFmtId="2" fontId="62" fillId="0" borderId="2" xfId="0" applyNumberFormat="1" applyFont="1" applyBorder="1" applyAlignment="1">
      <alignment horizontal="center" vertical="center" shrinkToFit="1"/>
    </xf>
    <xf numFmtId="0" fontId="58" fillId="0" borderId="2" xfId="0" applyFont="1" applyBorder="1" applyAlignment="1">
      <alignment horizontal="center" vertical="center" wrapText="1"/>
    </xf>
    <xf numFmtId="0" fontId="62" fillId="11" borderId="1" xfId="0" applyFont="1" applyFill="1" applyBorder="1" applyAlignment="1">
      <alignment horizontal="center" vertical="center"/>
    </xf>
    <xf numFmtId="0" fontId="57" fillId="0" borderId="12" xfId="0" applyFont="1" applyBorder="1" applyAlignment="1">
      <alignment horizontal="center" vertical="center"/>
    </xf>
    <xf numFmtId="0" fontId="57" fillId="0" borderId="6" xfId="0" applyFont="1" applyBorder="1" applyAlignment="1">
      <alignment horizontal="center" vertical="center"/>
    </xf>
    <xf numFmtId="49" fontId="62" fillId="0" borderId="0" xfId="0" applyNumberFormat="1" applyFont="1" applyAlignment="1">
      <alignment horizontal="center" vertical="center"/>
    </xf>
    <xf numFmtId="178" fontId="62" fillId="0" borderId="0" xfId="0" applyNumberFormat="1" applyFont="1" applyAlignment="1">
      <alignment horizontal="center" vertical="center"/>
    </xf>
    <xf numFmtId="179" fontId="57" fillId="0" borderId="15" xfId="0" applyNumberFormat="1" applyFont="1" applyBorder="1" applyAlignment="1">
      <alignment horizontal="center" vertical="center"/>
    </xf>
    <xf numFmtId="179" fontId="62" fillId="0" borderId="15" xfId="0" applyNumberFormat="1" applyFont="1" applyBorder="1" applyAlignment="1">
      <alignment horizontal="center" vertical="center"/>
    </xf>
    <xf numFmtId="49" fontId="62" fillId="0" borderId="15" xfId="0" applyNumberFormat="1" applyFont="1" applyBorder="1" applyAlignment="1">
      <alignment horizontal="center" vertical="center"/>
    </xf>
    <xf numFmtId="178" fontId="62" fillId="0" borderId="15" xfId="0" applyNumberFormat="1" applyFont="1" applyBorder="1" applyAlignment="1">
      <alignment horizontal="center" vertical="center"/>
    </xf>
    <xf numFmtId="0" fontId="62" fillId="0" borderId="15" xfId="0" applyFont="1" applyBorder="1" applyAlignment="1">
      <alignment horizontal="center" vertical="center"/>
    </xf>
    <xf numFmtId="49" fontId="57" fillId="0" borderId="6" xfId="0" applyNumberFormat="1" applyFont="1" applyBorder="1" applyAlignment="1">
      <alignment horizontal="center" vertical="center"/>
    </xf>
    <xf numFmtId="0" fontId="62" fillId="0" borderId="2" xfId="0" applyFont="1" applyBorder="1" applyAlignment="1">
      <alignment horizontal="center" vertical="center"/>
    </xf>
    <xf numFmtId="190" fontId="57" fillId="0" borderId="0" xfId="0" applyNumberFormat="1" applyFont="1" applyAlignment="1">
      <alignment horizontal="center" vertical="center"/>
    </xf>
    <xf numFmtId="191" fontId="57" fillId="0" borderId="1" xfId="0" applyNumberFormat="1" applyFont="1" applyBorder="1" applyAlignment="1">
      <alignment horizontal="center" vertical="center"/>
    </xf>
    <xf numFmtId="0" fontId="57" fillId="8" borderId="1" xfId="0" applyFont="1" applyFill="1" applyBorder="1" applyAlignment="1">
      <alignment horizontal="center" vertical="center"/>
    </xf>
    <xf numFmtId="0" fontId="61" fillId="0" borderId="0" xfId="5" applyFont="1" applyFill="1" applyAlignment="1">
      <alignment horizontal="center" vertical="center"/>
    </xf>
    <xf numFmtId="0" fontId="58" fillId="0" borderId="1" xfId="0" applyFont="1" applyBorder="1" applyAlignment="1">
      <alignment horizontal="center" vertical="center"/>
    </xf>
    <xf numFmtId="179" fontId="58" fillId="0" borderId="0" xfId="0" applyNumberFormat="1" applyFont="1" applyAlignment="1">
      <alignment horizontal="center" vertical="center"/>
    </xf>
    <xf numFmtId="179" fontId="58" fillId="0" borderId="2" xfId="0" applyNumberFormat="1" applyFont="1" applyBorder="1" applyAlignment="1">
      <alignment horizontal="center" vertical="center"/>
    </xf>
    <xf numFmtId="49" fontId="58" fillId="0" borderId="2" xfId="0" applyNumberFormat="1" applyFont="1" applyBorder="1" applyAlignment="1">
      <alignment horizontal="center" vertical="center"/>
    </xf>
    <xf numFmtId="180" fontId="62" fillId="0" borderId="0" xfId="0" applyNumberFormat="1" applyFont="1" applyAlignment="1">
      <alignment horizontal="center" vertical="center"/>
    </xf>
    <xf numFmtId="180" fontId="62" fillId="0" borderId="1" xfId="0" applyNumberFormat="1" applyFont="1" applyBorder="1" applyAlignment="1">
      <alignment horizontal="center" vertical="center"/>
    </xf>
    <xf numFmtId="49" fontId="62" fillId="0" borderId="6" xfId="0" applyNumberFormat="1" applyFont="1" applyBorder="1" applyAlignment="1">
      <alignment horizontal="center" vertical="center"/>
    </xf>
    <xf numFmtId="0" fontId="57" fillId="5" borderId="1" xfId="0" applyFont="1" applyFill="1" applyBorder="1" applyAlignment="1">
      <alignment horizontal="center" vertical="center"/>
    </xf>
    <xf numFmtId="0" fontId="62" fillId="5" borderId="1" xfId="0" applyFont="1" applyFill="1" applyBorder="1" applyAlignment="1">
      <alignment horizontal="center" vertical="center"/>
    </xf>
    <xf numFmtId="0" fontId="63" fillId="0" borderId="1" xfId="0" applyFont="1" applyBorder="1" applyAlignment="1">
      <alignment horizontal="center" vertical="center"/>
    </xf>
    <xf numFmtId="4" fontId="62" fillId="0" borderId="1" xfId="0" applyNumberFormat="1" applyFont="1" applyBorder="1" applyAlignment="1">
      <alignment horizontal="center" vertical="center"/>
    </xf>
    <xf numFmtId="190" fontId="62" fillId="0" borderId="1" xfId="0" applyNumberFormat="1" applyFont="1" applyBorder="1" applyAlignment="1">
      <alignment horizontal="center" vertical="center"/>
    </xf>
    <xf numFmtId="20" fontId="62" fillId="0" borderId="1" xfId="0" applyNumberFormat="1" applyFont="1" applyBorder="1" applyAlignment="1">
      <alignment horizontal="center" vertical="center"/>
    </xf>
    <xf numFmtId="0" fontId="61" fillId="0" borderId="1" xfId="5" applyFont="1" applyBorder="1" applyAlignment="1">
      <alignment horizontal="center" vertical="center"/>
    </xf>
    <xf numFmtId="192" fontId="58" fillId="0" borderId="6" xfId="0" applyNumberFormat="1" applyFont="1" applyBorder="1" applyAlignment="1">
      <alignment horizontal="center" vertical="center"/>
    </xf>
    <xf numFmtId="20" fontId="58" fillId="0" borderId="1" xfId="0" applyNumberFormat="1" applyFont="1" applyBorder="1" applyAlignment="1">
      <alignment horizontal="center" vertical="center"/>
    </xf>
    <xf numFmtId="4" fontId="58" fillId="0" borderId="1" xfId="0" applyNumberFormat="1" applyFont="1" applyBorder="1" applyAlignment="1">
      <alignment horizontal="center" vertical="center"/>
    </xf>
    <xf numFmtId="4" fontId="58" fillId="0" borderId="6" xfId="0" applyNumberFormat="1" applyFont="1" applyBorder="1" applyAlignment="1">
      <alignment horizontal="center" vertical="center"/>
    </xf>
    <xf numFmtId="3" fontId="58" fillId="0" borderId="1" xfId="0" applyNumberFormat="1" applyFont="1" applyBorder="1" applyAlignment="1">
      <alignment horizontal="center" vertical="center"/>
    </xf>
    <xf numFmtId="0" fontId="57" fillId="3" borderId="6" xfId="0" applyFont="1" applyFill="1" applyBorder="1" applyAlignment="1">
      <alignment horizontal="center" vertical="center"/>
    </xf>
    <xf numFmtId="0" fontId="57" fillId="3" borderId="1" xfId="0" applyFont="1" applyFill="1" applyBorder="1" applyAlignment="1">
      <alignment horizontal="center" vertical="center"/>
    </xf>
    <xf numFmtId="0" fontId="62" fillId="0" borderId="12" xfId="0" applyFont="1" applyBorder="1" applyAlignment="1">
      <alignment horizontal="center" vertical="center"/>
    </xf>
    <xf numFmtId="0" fontId="62" fillId="3" borderId="6" xfId="0" applyFont="1" applyFill="1" applyBorder="1" applyAlignment="1">
      <alignment horizontal="center" vertical="center"/>
    </xf>
    <xf numFmtId="180" fontId="62" fillId="3" borderId="1" xfId="0" applyNumberFormat="1" applyFont="1" applyFill="1" applyBorder="1" applyAlignment="1">
      <alignment horizontal="center" vertical="center"/>
    </xf>
    <xf numFmtId="0" fontId="62" fillId="3" borderId="1" xfId="0" applyFont="1" applyFill="1" applyBorder="1" applyAlignment="1">
      <alignment horizontal="center" vertical="center"/>
    </xf>
    <xf numFmtId="0" fontId="62" fillId="9" borderId="1" xfId="0" applyFont="1" applyFill="1" applyBorder="1" applyAlignment="1">
      <alignment horizontal="center" vertical="center"/>
    </xf>
    <xf numFmtId="14" fontId="57" fillId="0" borderId="1" xfId="0" applyNumberFormat="1" applyFont="1" applyBorder="1" applyAlignment="1">
      <alignment horizontal="center" vertical="center"/>
    </xf>
    <xf numFmtId="3" fontId="22" fillId="0" borderId="0" xfId="0" applyNumberFormat="1" applyFont="1" applyAlignment="1">
      <alignment horizontal="right" vertical="top" shrinkToFit="1"/>
    </xf>
    <xf numFmtId="1" fontId="22" fillId="0" borderId="0" xfId="0" applyNumberFormat="1" applyFont="1" applyAlignment="1">
      <alignment horizontal="center" vertical="top" shrinkToFit="1"/>
    </xf>
    <xf numFmtId="2" fontId="22" fillId="0" borderId="0" xfId="0" applyNumberFormat="1" applyFont="1" applyAlignment="1">
      <alignment horizontal="right" vertical="top" shrinkToFit="1"/>
    </xf>
    <xf numFmtId="4" fontId="22" fillId="0" borderId="0" xfId="0" applyNumberFormat="1" applyFont="1" applyAlignment="1">
      <alignment horizontal="right" vertical="top" shrinkToFit="1"/>
    </xf>
    <xf numFmtId="1" fontId="22" fillId="0" borderId="0" xfId="0" applyNumberFormat="1" applyFont="1" applyAlignment="1">
      <alignment vertical="center" shrinkToFit="1"/>
    </xf>
    <xf numFmtId="3" fontId="22" fillId="0" borderId="0" xfId="0" applyNumberFormat="1" applyFont="1" applyAlignment="1">
      <alignment horizontal="right" vertical="center" shrinkToFit="1"/>
    </xf>
    <xf numFmtId="0" fontId="0" fillId="0" borderId="1" xfId="0" applyFill="1" applyBorder="1">
      <alignment vertical="center"/>
    </xf>
    <xf numFmtId="2" fontId="22" fillId="0" borderId="0" xfId="0" applyNumberFormat="1" applyFont="1" applyAlignment="1">
      <alignment vertical="top" shrinkToFit="1"/>
    </xf>
    <xf numFmtId="4" fontId="22" fillId="0" borderId="0" xfId="0" applyNumberFormat="1" applyFont="1" applyAlignment="1">
      <alignment vertical="top" shrinkToFit="1"/>
    </xf>
    <xf numFmtId="1" fontId="22" fillId="0" borderId="0" xfId="0" applyNumberFormat="1" applyFont="1" applyAlignment="1">
      <alignment vertical="top" shrinkToFit="1"/>
    </xf>
    <xf numFmtId="1" fontId="22" fillId="0" borderId="0" xfId="0" applyNumberFormat="1" applyFont="1" applyAlignment="1">
      <alignment horizontal="left" vertical="top" shrinkToFit="1"/>
    </xf>
    <xf numFmtId="2" fontId="30" fillId="0" borderId="0" xfId="0" applyNumberFormat="1" applyFont="1" applyAlignment="1">
      <alignment horizontal="right" vertical="top" shrinkToFit="1"/>
    </xf>
    <xf numFmtId="3" fontId="30" fillId="0" borderId="0" xfId="0" applyNumberFormat="1" applyFont="1" applyAlignment="1">
      <alignment horizontal="right" vertical="top" shrinkToFit="1"/>
    </xf>
    <xf numFmtId="3" fontId="30" fillId="0" borderId="0" xfId="0" applyNumberFormat="1" applyFont="1" applyAlignment="1">
      <alignment vertical="top" shrinkToFit="1"/>
    </xf>
    <xf numFmtId="0" fontId="23" fillId="0" borderId="0" xfId="0" applyFont="1" applyAlignment="1">
      <alignment horizontal="right" vertical="center"/>
    </xf>
    <xf numFmtId="0" fontId="0" fillId="0" borderId="1" xfId="0" applyNumberFormat="1" applyBorder="1" applyAlignment="1">
      <alignment horizontal="center" vertical="center"/>
    </xf>
    <xf numFmtId="2" fontId="34" fillId="0" borderId="0" xfId="0" applyNumberFormat="1" applyFont="1" applyAlignment="1">
      <alignment horizontal="center" vertical="top" shrinkToFit="1"/>
    </xf>
    <xf numFmtId="4" fontId="34" fillId="0" borderId="0" xfId="0" applyNumberFormat="1" applyFont="1" applyAlignment="1">
      <alignment horizontal="right" vertical="top" shrinkToFit="1"/>
    </xf>
    <xf numFmtId="186" fontId="34" fillId="0" borderId="0" xfId="0" applyNumberFormat="1" applyFont="1" applyAlignment="1">
      <alignment vertical="center" shrinkToFit="1"/>
    </xf>
    <xf numFmtId="186" fontId="34" fillId="0" borderId="0" xfId="0" applyNumberFormat="1" applyFont="1" applyAlignment="1">
      <alignment horizontal="right" vertical="top" shrinkToFit="1"/>
    </xf>
    <xf numFmtId="1" fontId="18" fillId="0" borderId="0" xfId="0" applyNumberFormat="1" applyFont="1" applyAlignment="1">
      <alignment vertical="center" shrinkToFit="1"/>
    </xf>
    <xf numFmtId="2" fontId="18" fillId="0" borderId="0" xfId="0" applyNumberFormat="1" applyFont="1" applyAlignment="1">
      <alignment horizontal="center" vertical="top" shrinkToFit="1"/>
    </xf>
    <xf numFmtId="1" fontId="18" fillId="0" borderId="0" xfId="0" applyNumberFormat="1" applyFont="1" applyAlignment="1">
      <alignment horizontal="center" vertical="top" shrinkToFit="1"/>
    </xf>
    <xf numFmtId="3" fontId="18" fillId="0" borderId="0" xfId="0" applyNumberFormat="1" applyFont="1" applyAlignment="1">
      <alignment horizontal="left" vertical="top" shrinkToFit="1"/>
    </xf>
    <xf numFmtId="3" fontId="18" fillId="0" borderId="0" xfId="0" applyNumberFormat="1" applyFont="1" applyAlignment="1">
      <alignment horizontal="center" vertical="top" shrinkToFit="1"/>
    </xf>
    <xf numFmtId="1" fontId="18" fillId="0" borderId="0" xfId="0" applyNumberFormat="1" applyFont="1" applyAlignment="1">
      <alignment horizontal="left" vertical="top" shrinkToFit="1"/>
    </xf>
    <xf numFmtId="2" fontId="18" fillId="0" borderId="0" xfId="0" applyNumberFormat="1" applyFont="1" applyAlignment="1">
      <alignment horizontal="center" vertical="center" shrinkToFit="1"/>
    </xf>
    <xf numFmtId="1" fontId="18" fillId="0" borderId="0" xfId="0" applyNumberFormat="1" applyFont="1" applyAlignment="1">
      <alignment horizontal="left" vertical="center" shrinkToFit="1"/>
    </xf>
    <xf numFmtId="178" fontId="0" fillId="0" borderId="1" xfId="0" applyNumberFormat="1" applyFont="1" applyFill="1" applyBorder="1" applyAlignment="1">
      <alignment vertical="top"/>
    </xf>
    <xf numFmtId="0" fontId="0" fillId="0" borderId="1" xfId="0" applyNumberFormat="1" applyFill="1" applyBorder="1" applyAlignment="1">
      <alignment vertical="top"/>
    </xf>
    <xf numFmtId="2" fontId="0" fillId="0" borderId="1" xfId="0" applyNumberFormat="1" applyFill="1" applyBorder="1">
      <alignment vertical="center"/>
    </xf>
    <xf numFmtId="178" fontId="0" fillId="0" borderId="1" xfId="0" applyNumberFormat="1" applyFill="1" applyBorder="1" applyAlignment="1">
      <alignment vertical="top"/>
    </xf>
    <xf numFmtId="0" fontId="23" fillId="0" borderId="0" xfId="0" applyFont="1" applyFill="1" applyBorder="1" applyAlignment="1">
      <alignment horizontal="center" vertical="top"/>
    </xf>
    <xf numFmtId="0" fontId="9" fillId="0" borderId="0" xfId="0" applyFont="1" applyFill="1" applyBorder="1" applyAlignment="1">
      <alignment horizontal="center" vertical="top"/>
    </xf>
    <xf numFmtId="0" fontId="9" fillId="0" borderId="0" xfId="0" applyFont="1" applyFill="1" applyBorder="1" applyAlignment="1">
      <alignment horizontal="left" vertical="top"/>
    </xf>
    <xf numFmtId="0" fontId="23" fillId="0" borderId="0" xfId="0" applyFont="1" applyFill="1" applyBorder="1" applyAlignment="1">
      <alignment horizontal="center" vertical="center"/>
    </xf>
    <xf numFmtId="0" fontId="34" fillId="0" borderId="0" xfId="0" applyFont="1" applyFill="1" applyBorder="1" applyAlignment="1">
      <alignment horizontal="left" vertical="top"/>
    </xf>
    <xf numFmtId="1" fontId="27" fillId="0" borderId="0" xfId="0" applyNumberFormat="1" applyFont="1" applyFill="1" applyBorder="1" applyAlignment="1">
      <alignment vertical="center" shrinkToFit="1"/>
    </xf>
    <xf numFmtId="0" fontId="35" fillId="0" borderId="0" xfId="0" applyFont="1" applyFill="1" applyBorder="1" applyAlignment="1">
      <alignment vertical="top"/>
    </xf>
    <xf numFmtId="2" fontId="50" fillId="0" borderId="0" xfId="0" applyNumberFormat="1" applyFont="1" applyFill="1" applyBorder="1" applyAlignment="1">
      <alignment vertical="top" shrinkToFit="1"/>
    </xf>
    <xf numFmtId="3" fontId="50" fillId="0" borderId="0" xfId="0" applyNumberFormat="1" applyFont="1" applyFill="1" applyBorder="1" applyAlignment="1">
      <alignment horizontal="center" vertical="top" shrinkToFit="1"/>
    </xf>
    <xf numFmtId="0" fontId="35" fillId="0" borderId="0" xfId="0" applyFont="1" applyFill="1" applyBorder="1" applyAlignment="1">
      <alignment horizontal="left" vertical="top"/>
    </xf>
    <xf numFmtId="3" fontId="50" fillId="0" borderId="0" xfId="0" applyNumberFormat="1" applyFont="1" applyFill="1" applyBorder="1" applyAlignment="1">
      <alignment horizontal="right" vertical="top" shrinkToFit="1"/>
    </xf>
    <xf numFmtId="1" fontId="27" fillId="0" borderId="0" xfId="0" applyNumberFormat="1" applyFont="1" applyFill="1" applyBorder="1" applyAlignment="1">
      <alignment horizontal="center" vertical="top" shrinkToFit="1"/>
    </xf>
    <xf numFmtId="0" fontId="35" fillId="0" borderId="0" xfId="0" applyFont="1" applyFill="1" applyBorder="1" applyAlignment="1">
      <alignment horizontal="center" vertical="top"/>
    </xf>
    <xf numFmtId="2" fontId="50" fillId="0" borderId="0" xfId="0" applyNumberFormat="1" applyFont="1" applyFill="1" applyBorder="1" applyAlignment="1">
      <alignment horizontal="right" vertical="top" shrinkToFit="1"/>
    </xf>
    <xf numFmtId="1" fontId="27" fillId="0" borderId="0" xfId="0" applyNumberFormat="1" applyFont="1" applyFill="1" applyBorder="1" applyAlignment="1">
      <alignment vertical="top" shrinkToFit="1"/>
    </xf>
    <xf numFmtId="0" fontId="35" fillId="0" borderId="0" xfId="0" applyFont="1" applyFill="1" applyBorder="1">
      <alignment vertical="center"/>
    </xf>
    <xf numFmtId="0" fontId="13" fillId="0" borderId="0" xfId="0" applyFont="1" applyFill="1" applyBorder="1" applyAlignment="1">
      <alignment horizontal="center" vertical="top"/>
    </xf>
    <xf numFmtId="0" fontId="34" fillId="0" borderId="0" xfId="0" applyFont="1" applyFill="1" applyBorder="1" applyAlignment="1">
      <alignment horizontal="center" vertical="top"/>
    </xf>
    <xf numFmtId="0" fontId="23" fillId="0" borderId="0" xfId="0" applyFont="1" applyFill="1" applyBorder="1" applyAlignment="1">
      <alignment horizontal="right" vertical="top"/>
    </xf>
    <xf numFmtId="1" fontId="17" fillId="0" borderId="0" xfId="0" applyNumberFormat="1" applyFont="1" applyFill="1" applyBorder="1" applyAlignment="1">
      <alignment horizontal="center" vertical="top" shrinkToFit="1"/>
    </xf>
    <xf numFmtId="0" fontId="18" fillId="0" borderId="0" xfId="0" applyFont="1" applyFill="1" applyBorder="1" applyAlignment="1">
      <alignment horizontal="left" vertical="top"/>
    </xf>
    <xf numFmtId="2" fontId="17" fillId="0" borderId="0" xfId="0" applyNumberFormat="1" applyFont="1" applyFill="1" applyBorder="1" applyAlignment="1">
      <alignment horizontal="center" vertical="top" shrinkToFit="1"/>
    </xf>
    <xf numFmtId="183" fontId="17" fillId="0" borderId="0" xfId="0" applyNumberFormat="1" applyFont="1" applyFill="1" applyBorder="1" applyAlignment="1">
      <alignment horizontal="center" vertical="top" shrinkToFit="1"/>
    </xf>
    <xf numFmtId="0" fontId="18" fillId="0" borderId="0" xfId="0" applyFont="1" applyFill="1" applyBorder="1" applyAlignment="1">
      <alignment horizontal="left" vertical="center"/>
    </xf>
    <xf numFmtId="3" fontId="18" fillId="0" borderId="0" xfId="0" applyNumberFormat="1" applyFont="1" applyFill="1" applyBorder="1" applyAlignment="1">
      <alignment horizontal="left" vertical="top" indent="2" shrinkToFit="1"/>
    </xf>
    <xf numFmtId="1" fontId="17" fillId="0" borderId="0" xfId="0" applyNumberFormat="1" applyFont="1" applyFill="1" applyBorder="1" applyAlignment="1">
      <alignment vertical="center" shrinkToFit="1"/>
    </xf>
    <xf numFmtId="0" fontId="9" fillId="0" borderId="0" xfId="0" applyFont="1" applyFill="1" applyBorder="1" applyAlignment="1">
      <alignment horizontal="center" vertical="center"/>
    </xf>
    <xf numFmtId="0" fontId="9" fillId="0" borderId="0" xfId="0" applyFont="1" applyFill="1" applyBorder="1" applyAlignment="1">
      <alignment horizontal="left"/>
    </xf>
    <xf numFmtId="0" fontId="34" fillId="0" borderId="0" xfId="0" applyFont="1" applyFill="1" applyBorder="1" applyAlignment="1">
      <alignment horizontal="right" vertical="top"/>
    </xf>
    <xf numFmtId="0" fontId="50" fillId="0" borderId="0" xfId="3" applyFont="1" applyFill="1" applyBorder="1" applyAlignment="1">
      <alignment horizontal="center" vertical="center"/>
    </xf>
    <xf numFmtId="0" fontId="9" fillId="0" borderId="0" xfId="0" applyNumberFormat="1" applyFont="1" applyFill="1" applyBorder="1" applyAlignment="1">
      <alignment horizontal="center"/>
    </xf>
    <xf numFmtId="0" fontId="9" fillId="0" borderId="0" xfId="0" applyNumberFormat="1" applyFont="1" applyFill="1" applyBorder="1" applyAlignment="1">
      <alignment horizontal="center" vertical="center"/>
    </xf>
    <xf numFmtId="0" fontId="50" fillId="0" borderId="0" xfId="3" applyFont="1" applyFill="1" applyBorder="1" applyAlignment="1">
      <alignment horizontal="left"/>
    </xf>
    <xf numFmtId="3" fontId="50" fillId="0" borderId="0" xfId="3" applyNumberFormat="1" applyFont="1" applyFill="1" applyBorder="1" applyAlignment="1">
      <alignment horizontal="center"/>
    </xf>
    <xf numFmtId="0" fontId="50" fillId="0" borderId="0" xfId="3" applyFont="1" applyFill="1" applyBorder="1" applyAlignment="1">
      <alignment horizontal="center"/>
    </xf>
    <xf numFmtId="0" fontId="50" fillId="0" borderId="0" xfId="3" applyFont="1" applyFill="1" applyBorder="1" applyAlignment="1">
      <alignment horizontal="left" vertical="center"/>
    </xf>
    <xf numFmtId="3" fontId="50" fillId="0" borderId="0" xfId="3" applyNumberFormat="1" applyFont="1" applyFill="1" applyBorder="1" applyAlignment="1">
      <alignment horizontal="center" vertical="center"/>
    </xf>
    <xf numFmtId="0" fontId="9" fillId="0" borderId="0" xfId="0" applyFont="1" applyFill="1" applyBorder="1" applyAlignment="1">
      <alignment horizontal="left" vertical="center"/>
    </xf>
    <xf numFmtId="0" fontId="9" fillId="0" borderId="0" xfId="0" applyNumberFormat="1" applyFont="1" applyFill="1" applyBorder="1" applyAlignment="1">
      <alignment horizontal="justify" vertical="center"/>
    </xf>
    <xf numFmtId="0" fontId="9" fillId="0" borderId="0" xfId="0" applyNumberFormat="1" applyFont="1" applyFill="1" applyBorder="1" applyAlignment="1">
      <alignment vertical="center"/>
    </xf>
    <xf numFmtId="0" fontId="9" fillId="0" borderId="0" xfId="0" applyFont="1" applyFill="1" applyBorder="1" applyAlignment="1">
      <alignment vertical="center"/>
    </xf>
    <xf numFmtId="4" fontId="50" fillId="0" borderId="0" xfId="3" applyNumberFormat="1" applyFont="1" applyFill="1" applyBorder="1" applyAlignment="1">
      <alignment horizontal="center"/>
    </xf>
    <xf numFmtId="0" fontId="9" fillId="0" borderId="0" xfId="0" applyNumberFormat="1" applyFont="1" applyFill="1" applyBorder="1" applyAlignment="1">
      <alignment horizontal="justify"/>
    </xf>
    <xf numFmtId="0" fontId="9" fillId="0" borderId="0" xfId="0" applyFont="1" applyFill="1" applyBorder="1" applyAlignment="1">
      <alignment horizontal="center" vertical="top" wrapText="1"/>
    </xf>
    <xf numFmtId="1" fontId="12" fillId="0" borderId="0" xfId="0" applyNumberFormat="1" applyFont="1" applyFill="1" applyBorder="1" applyAlignment="1">
      <alignment horizontal="center" vertical="top" shrinkToFit="1"/>
    </xf>
    <xf numFmtId="0" fontId="28" fillId="0" borderId="0" xfId="0" applyFont="1" applyFill="1" applyBorder="1" applyAlignment="1">
      <alignment horizontal="center" vertical="top"/>
    </xf>
    <xf numFmtId="2" fontId="30" fillId="0" borderId="0" xfId="0" applyNumberFormat="1" applyFont="1" applyFill="1" applyBorder="1" applyAlignment="1">
      <alignment horizontal="center" vertical="top" shrinkToFit="1"/>
    </xf>
    <xf numFmtId="4" fontId="30" fillId="0" borderId="0" xfId="0" applyNumberFormat="1" applyFont="1" applyFill="1" applyBorder="1" applyAlignment="1">
      <alignment horizontal="left" vertical="top" shrinkToFit="1"/>
    </xf>
    <xf numFmtId="4" fontId="30" fillId="0" borderId="0" xfId="0" applyNumberFormat="1" applyFont="1" applyFill="1" applyBorder="1" applyAlignment="1">
      <alignment horizontal="center" vertical="top" shrinkToFit="1"/>
    </xf>
    <xf numFmtId="0" fontId="22" fillId="0" borderId="0" xfId="0" applyFont="1" applyFill="1" applyBorder="1" applyAlignment="1">
      <alignment vertical="top"/>
    </xf>
    <xf numFmtId="3" fontId="21" fillId="0" borderId="0" xfId="0" applyNumberFormat="1" applyFont="1" applyFill="1" applyBorder="1" applyAlignment="1">
      <alignment vertical="top" shrinkToFit="1"/>
    </xf>
    <xf numFmtId="0" fontId="31" fillId="0" borderId="0" xfId="0" applyFont="1" applyFill="1" applyBorder="1" applyAlignment="1">
      <alignment horizontal="center" vertical="top"/>
    </xf>
    <xf numFmtId="2" fontId="32" fillId="0" borderId="0" xfId="0" applyNumberFormat="1" applyFont="1" applyFill="1" applyBorder="1" applyAlignment="1">
      <alignment horizontal="center" vertical="top" shrinkToFit="1"/>
    </xf>
    <xf numFmtId="4" fontId="32" fillId="0" borderId="0" xfId="0" applyNumberFormat="1" applyFont="1" applyFill="1" applyBorder="1" applyAlignment="1">
      <alignment horizontal="left" vertical="top" shrinkToFit="1"/>
    </xf>
    <xf numFmtId="0" fontId="15" fillId="0" borderId="0" xfId="0" applyFont="1" applyFill="1" applyBorder="1" applyAlignment="1">
      <alignment horizontal="center" vertical="top" wrapText="1"/>
    </xf>
    <xf numFmtId="1" fontId="12" fillId="0" borderId="0" xfId="0" applyNumberFormat="1" applyFont="1" applyFill="1" applyBorder="1" applyAlignment="1">
      <alignment vertical="center" shrinkToFit="1"/>
    </xf>
    <xf numFmtId="0" fontId="28" fillId="0" borderId="0" xfId="0" applyFont="1" applyFill="1" applyBorder="1" applyAlignment="1">
      <alignment vertical="top"/>
    </xf>
    <xf numFmtId="0" fontId="31" fillId="0" borderId="0" xfId="0" applyFont="1" applyFill="1" applyBorder="1">
      <alignment vertical="center"/>
    </xf>
    <xf numFmtId="0" fontId="30" fillId="0" borderId="0" xfId="0" applyFont="1" applyFill="1" applyBorder="1" applyAlignment="1">
      <alignment horizontal="center" vertical="top" wrapText="1"/>
    </xf>
    <xf numFmtId="0" fontId="10" fillId="0" borderId="0" xfId="0" applyFont="1" applyFill="1" applyBorder="1" applyAlignment="1">
      <alignment horizontal="left" vertical="top" indent="7"/>
    </xf>
    <xf numFmtId="1" fontId="15" fillId="0" borderId="0" xfId="0" applyNumberFormat="1" applyFont="1" applyFill="1" applyBorder="1" applyAlignment="1">
      <alignment vertical="center" shrinkToFit="1"/>
    </xf>
    <xf numFmtId="0" fontId="16" fillId="0" borderId="0" xfId="0" applyFont="1" applyFill="1" applyBorder="1">
      <alignment vertical="center"/>
    </xf>
    <xf numFmtId="2" fontId="15" fillId="0" borderId="0" xfId="0" applyNumberFormat="1" applyFont="1" applyFill="1" applyBorder="1" applyAlignment="1">
      <alignment horizontal="right" vertical="top" shrinkToFit="1"/>
    </xf>
    <xf numFmtId="3" fontId="15" fillId="0" borderId="0" xfId="0" applyNumberFormat="1" applyFont="1" applyFill="1" applyBorder="1" applyAlignment="1">
      <alignment horizontal="right" vertical="top" shrinkToFit="1"/>
    </xf>
    <xf numFmtId="0" fontId="16" fillId="0" borderId="0" xfId="0" applyFont="1" applyFill="1" applyBorder="1" applyAlignment="1">
      <alignment horizontal="left" vertical="top"/>
    </xf>
    <xf numFmtId="1" fontId="15" fillId="0" borderId="0" xfId="0" applyNumberFormat="1" applyFont="1" applyFill="1" applyBorder="1" applyAlignment="1">
      <alignment vertical="top" shrinkToFit="1"/>
    </xf>
    <xf numFmtId="0" fontId="16" fillId="0" borderId="0" xfId="0" applyFont="1" applyFill="1" applyBorder="1" applyAlignment="1">
      <alignment vertical="top"/>
    </xf>
    <xf numFmtId="1" fontId="15" fillId="0" borderId="0" xfId="0" applyNumberFormat="1" applyFont="1" applyFill="1" applyBorder="1" applyAlignment="1">
      <alignment horizontal="center" vertical="top" shrinkToFit="1"/>
    </xf>
    <xf numFmtId="0" fontId="16" fillId="0" borderId="0" xfId="0" applyFont="1" applyFill="1" applyBorder="1" applyAlignment="1">
      <alignment horizontal="center" vertical="top"/>
    </xf>
    <xf numFmtId="184" fontId="15" fillId="0" borderId="0" xfId="0" applyNumberFormat="1" applyFont="1" applyFill="1" applyBorder="1" applyAlignment="1">
      <alignment horizontal="right" vertical="top" shrinkToFit="1"/>
    </xf>
    <xf numFmtId="0" fontId="10" fillId="0" borderId="0" xfId="0" applyFont="1" applyFill="1" applyBorder="1" applyAlignment="1">
      <alignment horizontal="center" vertical="top"/>
    </xf>
    <xf numFmtId="0" fontId="10" fillId="0" borderId="0" xfId="0" applyFont="1" applyFill="1" applyBorder="1" applyAlignment="1">
      <alignment horizontal="left" vertical="top"/>
    </xf>
    <xf numFmtId="0" fontId="10" fillId="0" borderId="0" xfId="0" applyFont="1" applyFill="1" applyBorder="1" applyAlignment="1">
      <alignment horizontal="right" vertical="top"/>
    </xf>
    <xf numFmtId="1" fontId="16" fillId="0" borderId="0" xfId="0" applyNumberFormat="1" applyFont="1" applyFill="1" applyBorder="1" applyAlignment="1">
      <alignment vertical="center" shrinkToFit="1"/>
    </xf>
    <xf numFmtId="2" fontId="16" fillId="0" borderId="0" xfId="0" applyNumberFormat="1" applyFont="1" applyFill="1" applyBorder="1" applyAlignment="1">
      <alignment horizontal="right" vertical="top" shrinkToFit="1"/>
    </xf>
    <xf numFmtId="3" fontId="16" fillId="0" borderId="0" xfId="0" applyNumberFormat="1" applyFont="1" applyFill="1" applyBorder="1" applyAlignment="1">
      <alignment horizontal="center" vertical="top" shrinkToFit="1"/>
    </xf>
    <xf numFmtId="3" fontId="16" fillId="0" borderId="0" xfId="0" applyNumberFormat="1" applyFont="1" applyFill="1" applyBorder="1" applyAlignment="1">
      <alignment horizontal="right" vertical="top" shrinkToFit="1"/>
    </xf>
    <xf numFmtId="1" fontId="16" fillId="0" borderId="0" xfId="0" applyNumberFormat="1" applyFont="1" applyFill="1" applyBorder="1" applyAlignment="1">
      <alignment horizontal="center" vertical="top" shrinkToFit="1"/>
    </xf>
    <xf numFmtId="0" fontId="16" fillId="0" borderId="0" xfId="0" applyFont="1" applyFill="1" applyBorder="1" applyAlignment="1">
      <alignment horizontal="right" vertical="top"/>
    </xf>
    <xf numFmtId="1" fontId="16" fillId="0" borderId="0" xfId="0" applyNumberFormat="1" applyFont="1" applyFill="1" applyBorder="1" applyAlignment="1">
      <alignment vertical="top" shrinkToFit="1"/>
    </xf>
    <xf numFmtId="0" fontId="23" fillId="0" borderId="0" xfId="0" applyFont="1" applyFill="1" applyBorder="1" applyAlignment="1">
      <alignment horizontal="left" vertical="center"/>
    </xf>
    <xf numFmtId="1" fontId="21" fillId="0" borderId="0" xfId="0" applyNumberFormat="1" applyFont="1" applyFill="1" applyBorder="1" applyAlignment="1">
      <alignment vertical="center" shrinkToFit="1"/>
    </xf>
    <xf numFmtId="0" fontId="22" fillId="0" borderId="0" xfId="0" applyFont="1" applyFill="1" applyBorder="1">
      <alignment vertical="center"/>
    </xf>
    <xf numFmtId="2" fontId="21" fillId="0" borderId="0" xfId="0" applyNumberFormat="1" applyFont="1" applyFill="1" applyBorder="1" applyAlignment="1">
      <alignment horizontal="right" vertical="top" shrinkToFit="1"/>
    </xf>
    <xf numFmtId="3" fontId="21" fillId="0" borderId="0" xfId="0" applyNumberFormat="1" applyFont="1" applyFill="1" applyBorder="1" applyAlignment="1">
      <alignment horizontal="right" vertical="top" shrinkToFit="1"/>
    </xf>
    <xf numFmtId="0" fontId="22" fillId="0" borderId="0" xfId="0" applyFont="1" applyFill="1" applyBorder="1" applyAlignment="1">
      <alignment horizontal="left" vertical="top"/>
    </xf>
    <xf numFmtId="4" fontId="21" fillId="0" borderId="0" xfId="0" applyNumberFormat="1" applyFont="1" applyFill="1" applyBorder="1" applyAlignment="1">
      <alignment horizontal="right" vertical="center" shrinkToFit="1"/>
    </xf>
    <xf numFmtId="182" fontId="21" fillId="0" borderId="0" xfId="0" applyNumberFormat="1" applyFont="1" applyFill="1" applyBorder="1" applyAlignment="1">
      <alignment horizontal="right" vertical="center" shrinkToFit="1"/>
    </xf>
    <xf numFmtId="1" fontId="21" fillId="0" borderId="0" xfId="0" applyNumberFormat="1" applyFont="1" applyFill="1" applyBorder="1" applyAlignment="1">
      <alignment horizontal="center" vertical="top" shrinkToFit="1"/>
    </xf>
    <xf numFmtId="1" fontId="21" fillId="0" borderId="0" xfId="0" applyNumberFormat="1" applyFont="1" applyFill="1" applyBorder="1" applyAlignment="1">
      <alignment vertical="top" shrinkToFit="1"/>
    </xf>
    <xf numFmtId="0" fontId="23" fillId="0" borderId="0" xfId="0" applyFont="1" applyFill="1" applyBorder="1" applyAlignment="1">
      <alignment horizontal="left" vertical="top" indent="6"/>
    </xf>
    <xf numFmtId="0" fontId="23" fillId="0" borderId="0" xfId="0" applyFont="1" applyFill="1" applyBorder="1" applyAlignment="1">
      <alignment horizontal="left" vertical="top"/>
    </xf>
    <xf numFmtId="0" fontId="27" fillId="0" borderId="0" xfId="0" applyFont="1" applyFill="1" applyBorder="1" applyAlignment="1">
      <alignment horizontal="center" vertical="top"/>
    </xf>
    <xf numFmtId="3" fontId="27" fillId="0" borderId="0" xfId="0" applyNumberFormat="1" applyFont="1" applyFill="1" applyBorder="1" applyAlignment="1">
      <alignment horizontal="left" vertical="top" indent="3" shrinkToFit="1"/>
    </xf>
    <xf numFmtId="1" fontId="44" fillId="0" borderId="0" xfId="0" applyNumberFormat="1" applyFont="1" applyFill="1" applyBorder="1" applyAlignment="1">
      <alignment vertical="center" shrinkToFit="1"/>
    </xf>
    <xf numFmtId="0" fontId="16" fillId="0" borderId="0" xfId="0" applyFont="1" applyFill="1" applyBorder="1" applyAlignment="1">
      <alignment vertical="center"/>
    </xf>
    <xf numFmtId="2" fontId="44" fillId="0" borderId="0" xfId="0" applyNumberFormat="1" applyFont="1" applyFill="1" applyBorder="1" applyAlignment="1">
      <alignment horizontal="center" vertical="top" shrinkToFit="1"/>
    </xf>
    <xf numFmtId="1" fontId="44" fillId="0" borderId="0" xfId="0" applyNumberFormat="1" applyFont="1" applyFill="1" applyBorder="1" applyAlignment="1">
      <alignment vertical="top" shrinkToFit="1"/>
    </xf>
    <xf numFmtId="1" fontId="44" fillId="0" borderId="0" xfId="0" applyNumberFormat="1" applyFont="1" applyFill="1" applyBorder="1" applyAlignment="1">
      <alignment horizontal="center" vertical="top" shrinkToFit="1"/>
    </xf>
    <xf numFmtId="0" fontId="22" fillId="0" borderId="0" xfId="0" applyFont="1" applyFill="1" applyBorder="1" applyAlignment="1">
      <alignment horizontal="left" vertical="top" wrapText="1"/>
    </xf>
    <xf numFmtId="2" fontId="44" fillId="0" borderId="0" xfId="0" applyNumberFormat="1" applyFont="1" applyFill="1" applyBorder="1" applyAlignment="1">
      <alignment horizontal="left" vertical="top" shrinkToFit="1"/>
    </xf>
    <xf numFmtId="0" fontId="13" fillId="0" borderId="0" xfId="0" applyFont="1" applyFill="1" applyBorder="1" applyAlignment="1">
      <alignment vertical="top"/>
    </xf>
    <xf numFmtId="3" fontId="15" fillId="0" borderId="0" xfId="0" applyNumberFormat="1" applyFont="1" applyFill="1" applyBorder="1" applyAlignment="1">
      <alignment horizontal="center" vertical="top" shrinkToFit="1"/>
    </xf>
    <xf numFmtId="0" fontId="9" fillId="0" borderId="0" xfId="0" applyFont="1" applyFill="1" applyBorder="1" applyAlignment="1">
      <alignment vertical="top"/>
    </xf>
    <xf numFmtId="0" fontId="23" fillId="0" borderId="0" xfId="0" applyFont="1" applyFill="1" applyBorder="1" applyAlignment="1">
      <alignment horizontal="left" vertical="top" wrapText="1"/>
    </xf>
    <xf numFmtId="0" fontId="23" fillId="0" borderId="0" xfId="0" applyFont="1" applyFill="1" applyBorder="1" applyAlignment="1">
      <alignment horizontal="center" vertical="top" wrapText="1"/>
    </xf>
    <xf numFmtId="0" fontId="9" fillId="0" borderId="0" xfId="0" applyFont="1" applyFill="1" applyBorder="1" applyAlignment="1">
      <alignment horizontal="left" vertical="top" wrapText="1" indent="1"/>
    </xf>
    <xf numFmtId="0" fontId="9" fillId="0" borderId="0" xfId="0" applyFont="1" applyFill="1" applyBorder="1" applyAlignment="1">
      <alignment vertical="top" wrapText="1"/>
    </xf>
    <xf numFmtId="0" fontId="22" fillId="0" borderId="0" xfId="0" applyFont="1" applyFill="1" applyBorder="1" applyAlignment="1">
      <alignment vertical="center" wrapText="1"/>
    </xf>
    <xf numFmtId="4" fontId="21" fillId="0" borderId="0" xfId="0" applyNumberFormat="1" applyFont="1" applyFill="1" applyBorder="1" applyAlignment="1">
      <alignment vertical="top" shrinkToFit="1"/>
    </xf>
    <xf numFmtId="3" fontId="21" fillId="0" borderId="0" xfId="0" applyNumberFormat="1" applyFont="1" applyFill="1" applyBorder="1" applyAlignment="1">
      <alignment horizontal="left" vertical="top" shrinkToFit="1"/>
    </xf>
    <xf numFmtId="0" fontId="22" fillId="0" borderId="0" xfId="0" applyFont="1" applyFill="1" applyBorder="1" applyAlignment="1">
      <alignment horizontal="center" vertical="top"/>
    </xf>
    <xf numFmtId="3" fontId="21" fillId="0" borderId="0" xfId="0" applyNumberFormat="1" applyFont="1" applyFill="1" applyBorder="1" applyAlignment="1">
      <alignment horizontal="center" vertical="top" shrinkToFit="1"/>
    </xf>
    <xf numFmtId="4" fontId="21" fillId="0" borderId="0" xfId="0" applyNumberFormat="1" applyFont="1" applyFill="1" applyBorder="1" applyAlignment="1">
      <alignment horizontal="right" vertical="top" shrinkToFit="1"/>
    </xf>
    <xf numFmtId="0" fontId="35" fillId="0" borderId="0" xfId="0" applyFont="1" applyFill="1" applyBorder="1" applyAlignment="1">
      <alignment horizontal="left" vertical="center"/>
    </xf>
    <xf numFmtId="0" fontId="53" fillId="0" borderId="0" xfId="0" applyFont="1" applyFill="1" applyBorder="1" applyAlignment="1">
      <alignment horizontal="center" vertical="top"/>
    </xf>
    <xf numFmtId="0" fontId="18" fillId="0" borderId="0" xfId="0" applyFont="1" applyFill="1" applyBorder="1">
      <alignment vertical="center"/>
    </xf>
    <xf numFmtId="2" fontId="17" fillId="0" borderId="0" xfId="0" applyNumberFormat="1" applyFont="1" applyFill="1" applyBorder="1" applyAlignment="1">
      <alignment horizontal="right" vertical="top" shrinkToFit="1"/>
    </xf>
    <xf numFmtId="3" fontId="17" fillId="0" borderId="0" xfId="0" applyNumberFormat="1" applyFont="1" applyFill="1" applyBorder="1" applyAlignment="1">
      <alignment horizontal="right" vertical="top" shrinkToFit="1"/>
    </xf>
    <xf numFmtId="0" fontId="18" fillId="0" borderId="0" xfId="0" applyFont="1" applyFill="1" applyBorder="1" applyAlignment="1">
      <alignment horizontal="center" vertical="top"/>
    </xf>
    <xf numFmtId="182" fontId="17" fillId="0" borderId="0" xfId="0" applyNumberFormat="1" applyFont="1" applyFill="1" applyBorder="1" applyAlignment="1">
      <alignment horizontal="right" vertical="top" shrinkToFit="1"/>
    </xf>
    <xf numFmtId="3" fontId="17" fillId="0" borderId="0" xfId="0" applyNumberFormat="1" applyFont="1" applyFill="1" applyBorder="1" applyAlignment="1">
      <alignment horizontal="right" vertical="top"/>
    </xf>
    <xf numFmtId="1" fontId="50" fillId="0" borderId="0" xfId="0" applyNumberFormat="1" applyFont="1" applyFill="1" applyBorder="1" applyAlignment="1">
      <alignment horizontal="center" vertical="top" shrinkToFit="1"/>
    </xf>
    <xf numFmtId="2" fontId="50" fillId="0" borderId="0" xfId="0" applyNumberFormat="1" applyFont="1" applyFill="1" applyBorder="1" applyAlignment="1">
      <alignment horizontal="left" vertical="top" shrinkToFit="1"/>
    </xf>
    <xf numFmtId="3" fontId="27" fillId="0" borderId="0" xfId="0" applyNumberFormat="1" applyFont="1" applyFill="1" applyBorder="1" applyAlignment="1">
      <alignment horizontal="center" vertical="top" shrinkToFit="1"/>
    </xf>
    <xf numFmtId="1" fontId="50" fillId="0" borderId="0" xfId="0" applyNumberFormat="1" applyFont="1" applyFill="1" applyBorder="1" applyAlignment="1">
      <alignment vertical="center" shrinkToFit="1"/>
    </xf>
    <xf numFmtId="3" fontId="50" fillId="0" borderId="0" xfId="0" applyNumberFormat="1" applyFont="1" applyFill="1" applyBorder="1" applyAlignment="1">
      <alignment vertical="top" shrinkToFit="1"/>
    </xf>
    <xf numFmtId="0" fontId="21" fillId="0" borderId="0" xfId="0" applyFont="1" applyFill="1" applyBorder="1" applyAlignment="1">
      <alignment vertical="top"/>
    </xf>
    <xf numFmtId="2" fontId="21" fillId="0" borderId="0" xfId="0" applyNumberFormat="1" applyFont="1" applyFill="1" applyBorder="1" applyAlignment="1">
      <alignment vertical="top" shrinkToFit="1"/>
    </xf>
    <xf numFmtId="183" fontId="21" fillId="0" borderId="0" xfId="0" applyNumberFormat="1" applyFont="1" applyFill="1" applyBorder="1" applyAlignment="1">
      <alignment vertical="top" shrinkToFit="1"/>
    </xf>
    <xf numFmtId="0" fontId="21" fillId="0" borderId="0" xfId="0" applyFont="1" applyFill="1" applyBorder="1" applyAlignment="1">
      <alignment horizontal="center" vertical="top"/>
    </xf>
    <xf numFmtId="2" fontId="21" fillId="0" borderId="0" xfId="0" applyNumberFormat="1" applyFont="1" applyFill="1" applyBorder="1" applyAlignment="1">
      <alignment horizontal="left" vertical="top" shrinkToFit="1"/>
    </xf>
    <xf numFmtId="183" fontId="21" fillId="0" borderId="0" xfId="0" applyNumberFormat="1" applyFont="1" applyFill="1" applyBorder="1" applyAlignment="1">
      <alignment horizontal="center" vertical="top" shrinkToFit="1"/>
    </xf>
    <xf numFmtId="0" fontId="21" fillId="0" borderId="0" xfId="0" applyFont="1" applyFill="1" applyBorder="1" applyAlignment="1">
      <alignment horizontal="left" vertical="top"/>
    </xf>
    <xf numFmtId="2" fontId="21" fillId="0" borderId="0" xfId="0" applyNumberFormat="1" applyFont="1" applyFill="1" applyBorder="1" applyAlignment="1">
      <alignment horizontal="center" vertical="top" shrinkToFit="1"/>
    </xf>
    <xf numFmtId="0" fontId="23" fillId="0" borderId="0" xfId="0" applyFont="1" applyFill="1" applyBorder="1" applyAlignment="1">
      <alignment vertical="top"/>
    </xf>
    <xf numFmtId="1" fontId="22" fillId="0" borderId="0" xfId="0" applyNumberFormat="1" applyFont="1" applyFill="1" applyBorder="1" applyAlignment="1">
      <alignment horizontal="center" vertical="top" shrinkToFit="1"/>
    </xf>
    <xf numFmtId="2" fontId="22" fillId="0" borderId="0" xfId="0" applyNumberFormat="1" applyFont="1" applyFill="1" applyBorder="1" applyAlignment="1">
      <alignment horizontal="center" vertical="top" shrinkToFit="1"/>
    </xf>
    <xf numFmtId="3" fontId="22" fillId="0" borderId="0" xfId="0" applyNumberFormat="1" applyFont="1" applyFill="1" applyBorder="1" applyAlignment="1">
      <alignment horizontal="center" vertical="top" shrinkToFit="1"/>
    </xf>
    <xf numFmtId="3" fontId="22" fillId="0" borderId="0" xfId="0" applyNumberFormat="1" applyFont="1" applyFill="1" applyBorder="1" applyAlignment="1">
      <alignment horizontal="left" vertical="top" indent="2" shrinkToFit="1"/>
    </xf>
    <xf numFmtId="1" fontId="22" fillId="0" borderId="0" xfId="0" applyNumberFormat="1" applyFont="1" applyFill="1" applyBorder="1" applyAlignment="1">
      <alignment vertical="center" shrinkToFit="1"/>
    </xf>
    <xf numFmtId="1" fontId="22" fillId="0" borderId="0" xfId="0" applyNumberFormat="1" applyFont="1" applyFill="1" applyBorder="1" applyAlignment="1">
      <alignment vertical="top" shrinkToFit="1"/>
    </xf>
    <xf numFmtId="0" fontId="22" fillId="0" borderId="0" xfId="0" applyFont="1" applyFill="1" applyBorder="1" applyAlignment="1">
      <alignment vertical="center"/>
    </xf>
    <xf numFmtId="4" fontId="22" fillId="0" borderId="0" xfId="0" applyNumberFormat="1" applyFont="1" applyFill="1" applyBorder="1" applyAlignment="1">
      <alignment horizontal="center" vertical="top" shrinkToFit="1"/>
    </xf>
    <xf numFmtId="0" fontId="23" fillId="0" borderId="0" xfId="0" applyFont="1" applyBorder="1" applyAlignment="1">
      <alignment horizontal="center" vertical="top"/>
    </xf>
    <xf numFmtId="0" fontId="23" fillId="0" borderId="0" xfId="0" applyFont="1" applyBorder="1" applyAlignment="1">
      <alignment vertical="top"/>
    </xf>
    <xf numFmtId="0" fontId="9" fillId="0" borderId="0" xfId="0" applyFont="1" applyBorder="1" applyAlignment="1">
      <alignment vertical="top"/>
    </xf>
    <xf numFmtId="0" fontId="34" fillId="0" borderId="0" xfId="0" applyFont="1" applyBorder="1" applyAlignment="1">
      <alignment horizontal="right" vertical="top"/>
    </xf>
    <xf numFmtId="0" fontId="23" fillId="0" borderId="0" xfId="0" applyFont="1" applyBorder="1" applyAlignment="1">
      <alignment horizontal="left" vertical="top"/>
    </xf>
    <xf numFmtId="1" fontId="21" fillId="0" borderId="0" xfId="0" applyNumberFormat="1" applyFont="1" applyBorder="1" applyAlignment="1">
      <alignment horizontal="center" vertical="top" shrinkToFit="1"/>
    </xf>
    <xf numFmtId="0" fontId="22" fillId="0" borderId="0" xfId="0" applyFont="1" applyBorder="1" applyAlignment="1">
      <alignment vertical="top"/>
    </xf>
    <xf numFmtId="2" fontId="21" fillId="0" borderId="0" xfId="0" applyNumberFormat="1" applyFont="1" applyBorder="1" applyAlignment="1">
      <alignment vertical="top" shrinkToFit="1"/>
    </xf>
    <xf numFmtId="4" fontId="21" fillId="0" borderId="0" xfId="0" applyNumberFormat="1" applyFont="1" applyBorder="1" applyAlignment="1">
      <alignment vertical="top" shrinkToFit="1"/>
    </xf>
    <xf numFmtId="0" fontId="9" fillId="0" borderId="0" xfId="0" applyFont="1" applyBorder="1">
      <alignment vertical="center"/>
    </xf>
    <xf numFmtId="0" fontId="9" fillId="0" borderId="0" xfId="0" applyFont="1" applyBorder="1" applyAlignment="1">
      <alignment horizontal="left" vertical="top"/>
    </xf>
    <xf numFmtId="3" fontId="21" fillId="0" borderId="0" xfId="0" applyNumberFormat="1" applyFont="1" applyBorder="1" applyAlignment="1">
      <alignment horizontal="right" vertical="top" shrinkToFit="1"/>
    </xf>
    <xf numFmtId="1" fontId="21" fillId="0" borderId="0" xfId="0" applyNumberFormat="1" applyFont="1" applyBorder="1" applyAlignment="1">
      <alignment vertical="center" shrinkToFit="1"/>
    </xf>
    <xf numFmtId="0" fontId="22" fillId="0" borderId="0" xfId="0" applyFont="1" applyBorder="1" applyAlignment="1">
      <alignment vertical="center"/>
    </xf>
    <xf numFmtId="0" fontId="22" fillId="0" borderId="0" xfId="0" applyFont="1" applyBorder="1" applyAlignment="1">
      <alignment horizontal="left" vertical="top"/>
    </xf>
    <xf numFmtId="184" fontId="21" fillId="0" borderId="0" xfId="0" applyNumberFormat="1" applyFont="1" applyBorder="1" applyAlignment="1">
      <alignment vertical="top" shrinkToFit="1"/>
    </xf>
    <xf numFmtId="1" fontId="21" fillId="0" borderId="0" xfId="0" applyNumberFormat="1" applyFont="1" applyBorder="1" applyAlignment="1">
      <alignment vertical="top" shrinkToFit="1"/>
    </xf>
    <xf numFmtId="0" fontId="9" fillId="0" borderId="0" xfId="0" applyFont="1" applyBorder="1" applyAlignment="1">
      <alignment horizontal="center" vertical="top"/>
    </xf>
    <xf numFmtId="0" fontId="9" fillId="0" borderId="0" xfId="0" applyFont="1" applyBorder="1" applyAlignment="1">
      <alignment vertical="top" wrapText="1"/>
    </xf>
    <xf numFmtId="0" fontId="22" fillId="0" borderId="0" xfId="0" applyFont="1" applyBorder="1" applyAlignment="1">
      <alignment horizontal="center" vertical="top"/>
    </xf>
    <xf numFmtId="2" fontId="21" fillId="0" borderId="0" xfId="0" applyNumberFormat="1" applyFont="1" applyBorder="1" applyAlignment="1">
      <alignment horizontal="center" vertical="top" shrinkToFit="1"/>
    </xf>
    <xf numFmtId="1" fontId="21" fillId="0" borderId="0" xfId="0" applyNumberFormat="1" applyFont="1" applyBorder="1" applyAlignment="1">
      <alignment horizontal="left" vertical="top" shrinkToFit="1"/>
    </xf>
    <xf numFmtId="0" fontId="36" fillId="0" borderId="0" xfId="0" applyFont="1" applyBorder="1" applyAlignment="1">
      <alignment horizontal="center" vertical="top"/>
    </xf>
    <xf numFmtId="0" fontId="34" fillId="0" borderId="0" xfId="0" applyFont="1" applyBorder="1" applyAlignment="1">
      <alignment horizontal="left" vertical="top"/>
    </xf>
    <xf numFmtId="0" fontId="34" fillId="0" borderId="0" xfId="0" applyFont="1" applyBorder="1" applyAlignment="1">
      <alignment horizontal="center" vertical="top"/>
    </xf>
    <xf numFmtId="1" fontId="35" fillId="0" borderId="0" xfId="0" applyNumberFormat="1" applyFont="1" applyBorder="1" applyAlignment="1">
      <alignment vertical="center" shrinkToFit="1"/>
    </xf>
    <xf numFmtId="0" fontId="35" fillId="0" borderId="0" xfId="0" applyFont="1" applyBorder="1" applyAlignment="1">
      <alignment vertical="top"/>
    </xf>
    <xf numFmtId="2" fontId="35" fillId="0" borderId="0" xfId="0" applyNumberFormat="1" applyFont="1" applyBorder="1" applyAlignment="1">
      <alignment horizontal="right" vertical="top" shrinkToFit="1"/>
    </xf>
    <xf numFmtId="1" fontId="35" fillId="0" borderId="0" xfId="0" applyNumberFormat="1" applyFont="1" applyBorder="1" applyAlignment="1">
      <alignment horizontal="right" vertical="top" shrinkToFit="1"/>
    </xf>
    <xf numFmtId="3" fontId="35" fillId="0" borderId="0" xfId="0" applyNumberFormat="1" applyFont="1" applyBorder="1" applyAlignment="1">
      <alignment vertical="center" shrinkToFit="1"/>
    </xf>
    <xf numFmtId="0" fontId="35" fillId="0" borderId="0" xfId="0" applyFont="1" applyBorder="1">
      <alignment vertical="center"/>
    </xf>
    <xf numFmtId="3" fontId="35" fillId="0" borderId="0" xfId="0" applyNumberFormat="1" applyFont="1" applyBorder="1" applyAlignment="1">
      <alignment horizontal="right" vertical="top" shrinkToFit="1"/>
    </xf>
    <xf numFmtId="1" fontId="35" fillId="0" borderId="0" xfId="0" applyNumberFormat="1" applyFont="1" applyBorder="1" applyAlignment="1">
      <alignment horizontal="center" vertical="top" shrinkToFit="1"/>
    </xf>
    <xf numFmtId="3" fontId="35" fillId="0" borderId="0" xfId="0" applyNumberFormat="1" applyFont="1" applyBorder="1" applyAlignment="1">
      <alignment horizontal="left" vertical="top" shrinkToFit="1"/>
    </xf>
    <xf numFmtId="0" fontId="35" fillId="0" borderId="0" xfId="0" applyFont="1" applyBorder="1" applyAlignment="1">
      <alignment horizontal="center" vertical="top"/>
    </xf>
    <xf numFmtId="0" fontId="34" fillId="0" borderId="0" xfId="0" applyFont="1" applyBorder="1" applyAlignment="1">
      <alignment horizontal="left"/>
    </xf>
    <xf numFmtId="0" fontId="34" fillId="0" borderId="0" xfId="0" applyFont="1" applyBorder="1" applyAlignment="1">
      <alignment horizontal="left" vertical="center"/>
    </xf>
    <xf numFmtId="2" fontId="35" fillId="0" borderId="0" xfId="0" applyNumberFormat="1" applyFont="1" applyBorder="1" applyAlignment="1">
      <alignment horizontal="right" vertical="top" indent="1" shrinkToFit="1"/>
    </xf>
    <xf numFmtId="2" fontId="21" fillId="0" borderId="0" xfId="0" applyNumberFormat="1" applyFont="1" applyBorder="1" applyAlignment="1">
      <alignment horizontal="right" vertical="top" shrinkToFit="1"/>
    </xf>
    <xf numFmtId="3" fontId="21" fillId="0" borderId="0" xfId="0" applyNumberFormat="1" applyFont="1" applyBorder="1" applyAlignment="1">
      <alignment horizontal="center" vertical="top" shrinkToFit="1"/>
    </xf>
    <xf numFmtId="0" fontId="22" fillId="0" borderId="0" xfId="0" applyFont="1" applyBorder="1">
      <alignment vertical="center"/>
    </xf>
    <xf numFmtId="3" fontId="21" fillId="0" borderId="0" xfId="0" applyNumberFormat="1" applyFont="1" applyBorder="1" applyAlignment="1">
      <alignment vertical="top" shrinkToFit="1"/>
    </xf>
    <xf numFmtId="184" fontId="21" fillId="0" borderId="0" xfId="0" applyNumberFormat="1" applyFont="1" applyBorder="1" applyAlignment="1">
      <alignment horizontal="right" vertical="top" shrinkToFit="1"/>
    </xf>
    <xf numFmtId="4" fontId="9" fillId="0" borderId="0" xfId="0" applyNumberFormat="1" applyFont="1" applyBorder="1">
      <alignment vertical="center"/>
    </xf>
    <xf numFmtId="1" fontId="21" fillId="0" borderId="0" xfId="0" applyNumberFormat="1" applyFont="1" applyBorder="1" applyAlignment="1">
      <alignment horizontal="center" vertical="center" shrinkToFit="1"/>
    </xf>
    <xf numFmtId="4" fontId="17" fillId="0" borderId="0" xfId="0" applyNumberFormat="1" applyFont="1" applyFill="1" applyBorder="1" applyAlignment="1">
      <alignment horizontal="right" vertical="top" shrinkToFit="1"/>
    </xf>
    <xf numFmtId="3" fontId="56" fillId="0" borderId="0" xfId="0" applyNumberFormat="1" applyFont="1" applyFill="1" applyBorder="1" applyAlignment="1">
      <alignment horizontal="right" vertical="top" shrinkToFit="1"/>
    </xf>
    <xf numFmtId="3" fontId="21" fillId="0" borderId="0" xfId="0" applyNumberFormat="1" applyFont="1" applyFill="1" applyBorder="1" applyAlignment="1">
      <alignment horizontal="right" vertical="center" shrinkToFit="1"/>
    </xf>
    <xf numFmtId="0" fontId="23" fillId="0" borderId="0" xfId="0" applyFont="1" applyFill="1" applyBorder="1" applyAlignment="1">
      <alignment vertical="top" wrapText="1"/>
    </xf>
    <xf numFmtId="188" fontId="0" fillId="0" borderId="1" xfId="0" applyNumberFormat="1" applyBorder="1" applyAlignment="1">
      <alignment horizontal="center" vertical="center"/>
    </xf>
    <xf numFmtId="0" fontId="22" fillId="0" borderId="0" xfId="0" applyFont="1" applyFill="1" applyBorder="1" applyAlignment="1">
      <alignment vertical="top" wrapText="1"/>
    </xf>
    <xf numFmtId="190" fontId="0" fillId="0" borderId="1" xfId="0" applyNumberFormat="1" applyBorder="1" applyAlignment="1">
      <alignment horizontal="center" vertical="center"/>
    </xf>
    <xf numFmtId="0" fontId="22" fillId="0" borderId="0" xfId="0" applyFont="1" applyFill="1" applyBorder="1" applyAlignment="1">
      <alignment horizontal="center" vertical="top" wrapText="1"/>
    </xf>
    <xf numFmtId="2" fontId="26" fillId="0" borderId="0" xfId="0" applyNumberFormat="1" applyFont="1" applyFill="1" applyBorder="1" applyAlignment="1">
      <alignment vertical="top" shrinkToFit="1"/>
    </xf>
    <xf numFmtId="4" fontId="26" fillId="0" borderId="0" xfId="0" applyNumberFormat="1" applyFont="1" applyFill="1" applyBorder="1" applyAlignment="1">
      <alignment vertical="top" shrinkToFit="1"/>
    </xf>
    <xf numFmtId="0" fontId="18" fillId="0" borderId="0" xfId="0" applyFont="1" applyFill="1" applyBorder="1" applyAlignment="1">
      <alignment vertical="top"/>
    </xf>
    <xf numFmtId="3" fontId="15" fillId="0" borderId="0" xfId="0" applyNumberFormat="1" applyFont="1" applyFill="1" applyBorder="1" applyAlignment="1">
      <alignment vertical="top" shrinkToFit="1"/>
    </xf>
    <xf numFmtId="0" fontId="36" fillId="0" borderId="0" xfId="0" applyFont="1" applyFill="1" applyBorder="1" applyAlignment="1">
      <alignment horizontal="center" vertical="top"/>
    </xf>
    <xf numFmtId="1" fontId="35" fillId="0" borderId="0" xfId="0" applyNumberFormat="1" applyFont="1" applyFill="1" applyBorder="1" applyAlignment="1">
      <alignment horizontal="center" vertical="top" shrinkToFit="1"/>
    </xf>
    <xf numFmtId="2" fontId="35" fillId="0" borderId="0" xfId="0" applyNumberFormat="1" applyFont="1" applyFill="1" applyBorder="1" applyAlignment="1">
      <alignment horizontal="center" vertical="top" shrinkToFit="1"/>
    </xf>
    <xf numFmtId="1" fontId="35" fillId="0" borderId="0" xfId="0" applyNumberFormat="1" applyFont="1" applyFill="1" applyBorder="1" applyAlignment="1">
      <alignment vertical="center" shrinkToFit="1"/>
    </xf>
    <xf numFmtId="0" fontId="35" fillId="0" borderId="0" xfId="0" applyFont="1" applyFill="1" applyBorder="1" applyAlignment="1">
      <alignment vertical="center"/>
    </xf>
    <xf numFmtId="1" fontId="35" fillId="0" borderId="0" xfId="0" applyNumberFormat="1" applyFont="1" applyFill="1" applyBorder="1" applyAlignment="1">
      <alignment horizontal="left" vertical="top" shrinkToFit="1"/>
    </xf>
    <xf numFmtId="1" fontId="35" fillId="0" borderId="0" xfId="0" applyNumberFormat="1" applyFont="1" applyFill="1" applyBorder="1" applyAlignment="1">
      <alignment vertical="top" shrinkToFit="1"/>
    </xf>
    <xf numFmtId="0" fontId="10" fillId="0" borderId="0" xfId="0" applyFont="1" applyFill="1" applyBorder="1" applyAlignment="1">
      <alignment horizontal="center" vertical="top" wrapText="1"/>
    </xf>
    <xf numFmtId="2" fontId="22" fillId="0" borderId="0" xfId="0" applyNumberFormat="1" applyFont="1" applyFill="1" applyBorder="1" applyAlignment="1">
      <alignment horizontal="right" vertical="top" shrinkToFit="1"/>
    </xf>
    <xf numFmtId="3" fontId="22" fillId="0" borderId="0" xfId="0" applyNumberFormat="1" applyFont="1" applyFill="1" applyBorder="1" applyAlignment="1">
      <alignment horizontal="right" vertical="top" shrinkToFit="1"/>
    </xf>
    <xf numFmtId="4" fontId="16" fillId="0" borderId="0" xfId="0" applyNumberFormat="1" applyFont="1" applyFill="1" applyBorder="1" applyAlignment="1">
      <alignment horizontal="center" vertical="top" shrinkToFit="1"/>
    </xf>
    <xf numFmtId="1" fontId="22" fillId="0" borderId="0" xfId="0" applyNumberFormat="1" applyFont="1" applyFill="1" applyBorder="1" applyAlignment="1">
      <alignment horizontal="center" vertical="center" shrinkToFit="1"/>
    </xf>
    <xf numFmtId="0" fontId="22" fillId="0" borderId="0" xfId="0" applyFont="1" applyFill="1" applyBorder="1" applyAlignment="1">
      <alignment horizontal="center" vertical="center"/>
    </xf>
    <xf numFmtId="2" fontId="22" fillId="0" borderId="0" xfId="0" applyNumberFormat="1" applyFont="1" applyFill="1" applyBorder="1" applyAlignment="1">
      <alignment horizontal="right" vertical="center" shrinkToFit="1"/>
    </xf>
    <xf numFmtId="3" fontId="22" fillId="0" borderId="0" xfId="0" applyNumberFormat="1" applyFont="1" applyFill="1" applyBorder="1" applyAlignment="1">
      <alignment horizontal="right" vertical="center" shrinkToFit="1"/>
    </xf>
    <xf numFmtId="2" fontId="22" fillId="0" borderId="0" xfId="0" applyNumberFormat="1" applyFont="1" applyFill="1" applyBorder="1" applyAlignment="1">
      <alignment vertical="top" shrinkToFit="1"/>
    </xf>
    <xf numFmtId="3" fontId="22" fillId="0" borderId="0" xfId="0" applyNumberFormat="1" applyFont="1" applyFill="1" applyBorder="1" applyAlignment="1">
      <alignment vertical="top" shrinkToFit="1"/>
    </xf>
    <xf numFmtId="1" fontId="22" fillId="0" borderId="0" xfId="0" applyNumberFormat="1" applyFont="1" applyFill="1" applyBorder="1" applyAlignment="1">
      <alignment horizontal="left" vertical="top" shrinkToFit="1"/>
    </xf>
    <xf numFmtId="1" fontId="22" fillId="0" borderId="0" xfId="0" applyNumberFormat="1" applyFont="1" applyFill="1" applyBorder="1" applyAlignment="1">
      <alignment horizontal="left" vertical="center" shrinkToFit="1"/>
    </xf>
    <xf numFmtId="0" fontId="34" fillId="0" borderId="0" xfId="0" applyFont="1" applyFill="1" applyBorder="1" applyAlignment="1">
      <alignment vertical="top"/>
    </xf>
    <xf numFmtId="1" fontId="18" fillId="0" borderId="0" xfId="0" applyNumberFormat="1" applyFont="1" applyFill="1" applyBorder="1" applyAlignment="1">
      <alignment vertical="center" shrinkToFit="1"/>
    </xf>
    <xf numFmtId="2" fontId="18" fillId="0" borderId="0" xfId="0" applyNumberFormat="1" applyFont="1" applyFill="1" applyBorder="1" applyAlignment="1">
      <alignment vertical="top" shrinkToFit="1"/>
    </xf>
    <xf numFmtId="4" fontId="18" fillId="0" borderId="0" xfId="0" applyNumberFormat="1" applyFont="1" applyFill="1" applyBorder="1" applyAlignment="1">
      <alignment vertical="top" shrinkToFit="1"/>
    </xf>
    <xf numFmtId="0" fontId="18" fillId="0" borderId="0" xfId="0" applyNumberFormat="1" applyFont="1" applyFill="1" applyBorder="1" applyAlignment="1">
      <alignment vertical="top" shrinkToFit="1"/>
    </xf>
    <xf numFmtId="1" fontId="18" fillId="0" borderId="0" xfId="0" applyNumberFormat="1" applyFont="1" applyFill="1" applyBorder="1" applyAlignment="1">
      <alignment horizontal="center" vertical="top" shrinkToFit="1"/>
    </xf>
    <xf numFmtId="1" fontId="18" fillId="0" borderId="0" xfId="0" applyNumberFormat="1" applyFont="1" applyFill="1" applyBorder="1" applyAlignment="1">
      <alignment vertical="top" shrinkToFit="1"/>
    </xf>
    <xf numFmtId="0" fontId="23" fillId="0" borderId="0" xfId="0" applyFont="1" applyFill="1" applyBorder="1" applyAlignment="1">
      <alignment horizontal="left" vertical="top" wrapText="1" indent="1"/>
    </xf>
    <xf numFmtId="4" fontId="9" fillId="0" borderId="0" xfId="0" applyNumberFormat="1" applyFont="1" applyFill="1" applyBorder="1" applyAlignment="1">
      <alignment vertical="center"/>
    </xf>
    <xf numFmtId="4" fontId="9" fillId="0" borderId="0" xfId="0" applyNumberFormat="1" applyFont="1" applyFill="1" applyBorder="1">
      <alignment vertical="center"/>
    </xf>
    <xf numFmtId="0" fontId="9" fillId="0" borderId="0" xfId="0" applyFont="1" applyFill="1" applyBorder="1" applyAlignment="1">
      <alignment horizontal="left" wrapText="1"/>
    </xf>
    <xf numFmtId="178" fontId="0" fillId="0" borderId="1" xfId="0" applyNumberFormat="1" applyFont="1" applyBorder="1" applyAlignment="1">
      <alignment vertical="top"/>
    </xf>
    <xf numFmtId="1" fontId="16" fillId="0" borderId="0" xfId="0" applyNumberFormat="1" applyFont="1" applyFill="1" applyBorder="1" applyAlignment="1">
      <alignment horizontal="left" vertical="top" shrinkToFit="1"/>
    </xf>
    <xf numFmtId="2" fontId="16" fillId="0" borderId="0" xfId="0" applyNumberFormat="1" applyFont="1" applyFill="1" applyBorder="1" applyAlignment="1">
      <alignment horizontal="center" vertical="top" shrinkToFit="1"/>
    </xf>
    <xf numFmtId="0" fontId="23" fillId="0" borderId="0" xfId="0" applyFont="1" applyBorder="1" applyAlignment="1">
      <alignment horizontal="right" vertical="top"/>
    </xf>
    <xf numFmtId="0" fontId="10" fillId="0" borderId="0" xfId="0" applyFont="1" applyBorder="1" applyAlignment="1">
      <alignment vertical="top"/>
    </xf>
    <xf numFmtId="0" fontId="10" fillId="0" borderId="0" xfId="0" applyFont="1" applyBorder="1" applyAlignment="1">
      <alignment horizontal="right" vertical="top"/>
    </xf>
    <xf numFmtId="1" fontId="27" fillId="0" borderId="0" xfId="0" applyNumberFormat="1" applyFont="1" applyBorder="1" applyAlignment="1">
      <alignment horizontal="center" vertical="top" shrinkToFit="1"/>
    </xf>
    <xf numFmtId="0" fontId="9" fillId="0" borderId="0" xfId="0" applyNumberFormat="1" applyFont="1" applyBorder="1" applyAlignment="1">
      <alignment horizontal="center" vertical="top"/>
    </xf>
    <xf numFmtId="4" fontId="9" fillId="0" borderId="0" xfId="0" applyNumberFormat="1" applyFont="1" applyBorder="1" applyAlignment="1">
      <alignment horizontal="right" vertical="top"/>
    </xf>
    <xf numFmtId="3" fontId="9" fillId="0" borderId="0" xfId="0" applyNumberFormat="1" applyFont="1" applyBorder="1" applyAlignment="1">
      <alignment horizontal="right" vertical="top"/>
    </xf>
    <xf numFmtId="0" fontId="23" fillId="0" borderId="0" xfId="0" applyFont="1" applyBorder="1" applyAlignment="1">
      <alignment vertical="top" wrapText="1"/>
    </xf>
    <xf numFmtId="1" fontId="22" fillId="0" borderId="0" xfId="0" applyNumberFormat="1" applyFont="1" applyBorder="1" applyAlignment="1">
      <alignment horizontal="center" vertical="top" shrinkToFit="1"/>
    </xf>
    <xf numFmtId="0" fontId="16" fillId="0" borderId="0" xfId="0" applyFont="1" applyBorder="1" applyAlignment="1">
      <alignment vertical="top"/>
    </xf>
    <xf numFmtId="2" fontId="15" fillId="0" borderId="0" xfId="0" applyNumberFormat="1" applyFont="1" applyBorder="1" applyAlignment="1">
      <alignment vertical="top" shrinkToFit="1"/>
    </xf>
    <xf numFmtId="4" fontId="15" fillId="0" borderId="0" xfId="0" applyNumberFormat="1" applyFont="1" applyBorder="1" applyAlignment="1">
      <alignment vertical="top" shrinkToFit="1"/>
    </xf>
    <xf numFmtId="3" fontId="22" fillId="0" borderId="0" xfId="0" applyNumberFormat="1" applyFont="1" applyBorder="1" applyAlignment="1">
      <alignment vertical="top" shrinkToFit="1"/>
    </xf>
    <xf numFmtId="1" fontId="22" fillId="0" borderId="0" xfId="0" applyNumberFormat="1" applyFont="1" applyBorder="1" applyAlignment="1">
      <alignment vertical="top" shrinkToFit="1"/>
    </xf>
    <xf numFmtId="0" fontId="10" fillId="0" borderId="0" xfId="0" applyFont="1" applyBorder="1" applyAlignment="1">
      <alignment horizontal="center" vertical="top"/>
    </xf>
    <xf numFmtId="3" fontId="21" fillId="0" borderId="0" xfId="0" applyNumberFormat="1" applyFont="1" applyBorder="1" applyAlignment="1">
      <alignment vertical="center" shrinkToFit="1"/>
    </xf>
    <xf numFmtId="0" fontId="9" fillId="0" borderId="0" xfId="0" applyFont="1" applyBorder="1" applyAlignment="1">
      <alignment horizontal="left" vertical="top" wrapText="1"/>
    </xf>
    <xf numFmtId="0" fontId="22" fillId="0" borderId="0" xfId="0" applyFont="1" applyBorder="1" applyAlignment="1">
      <alignment vertical="top" wrapText="1"/>
    </xf>
    <xf numFmtId="0" fontId="51" fillId="0" borderId="0" xfId="0" applyFont="1" applyFill="1" applyBorder="1" applyAlignment="1">
      <alignment horizontal="center" vertical="top"/>
    </xf>
    <xf numFmtId="4" fontId="21" fillId="0" borderId="0" xfId="0" applyNumberFormat="1" applyFont="1" applyFill="1" applyBorder="1" applyAlignment="1">
      <alignment horizontal="center" vertical="top" shrinkToFit="1"/>
    </xf>
    <xf numFmtId="1" fontId="21" fillId="0" borderId="0" xfId="0" applyNumberFormat="1" applyFont="1" applyFill="1" applyBorder="1" applyAlignment="1">
      <alignment horizontal="left" vertical="top" shrinkToFit="1"/>
    </xf>
    <xf numFmtId="0" fontId="34" fillId="0" borderId="0" xfId="0" applyFont="1" applyFill="1" applyBorder="1" applyAlignment="1">
      <alignment horizontal="left"/>
    </xf>
    <xf numFmtId="1" fontId="21" fillId="0" borderId="0" xfId="0" applyNumberFormat="1" applyFont="1" applyFill="1" applyBorder="1" applyAlignment="1">
      <alignment horizontal="right" vertical="top" shrinkToFit="1"/>
    </xf>
    <xf numFmtId="1" fontId="21" fillId="0" borderId="0" xfId="0" applyNumberFormat="1" applyFont="1" applyBorder="1" applyAlignment="1">
      <alignment horizontal="right" vertical="top" shrinkToFit="1"/>
    </xf>
    <xf numFmtId="4" fontId="21" fillId="0" borderId="0" xfId="0" applyNumberFormat="1" applyFont="1" applyBorder="1" applyAlignment="1">
      <alignment horizontal="right" vertical="top" shrinkToFit="1"/>
    </xf>
    <xf numFmtId="0" fontId="16" fillId="0" borderId="0" xfId="0" applyFont="1" applyBorder="1" applyAlignment="1">
      <alignment horizontal="center" vertical="top"/>
    </xf>
    <xf numFmtId="2" fontId="21" fillId="0" borderId="0" xfId="0" applyNumberFormat="1" applyFont="1" applyBorder="1" applyAlignment="1">
      <alignment horizontal="left" vertical="top" shrinkToFit="1"/>
    </xf>
    <xf numFmtId="3" fontId="21" fillId="0" borderId="0" xfId="0" applyNumberFormat="1" applyFont="1" applyBorder="1" applyAlignment="1">
      <alignment horizontal="left" vertical="top" shrinkToFit="1"/>
    </xf>
    <xf numFmtId="0" fontId="16" fillId="0" borderId="0" xfId="0" applyFont="1" applyBorder="1" applyAlignment="1">
      <alignment vertical="center"/>
    </xf>
    <xf numFmtId="0" fontId="9" fillId="0" borderId="0" xfId="0" applyFont="1" applyBorder="1" applyAlignment="1">
      <alignment vertical="center"/>
    </xf>
    <xf numFmtId="0" fontId="23" fillId="0" borderId="0" xfId="0" applyFont="1" applyBorder="1" applyAlignment="1">
      <alignment horizontal="left" vertical="center"/>
    </xf>
    <xf numFmtId="0" fontId="23" fillId="0" borderId="0" xfId="0" applyFont="1" applyBorder="1" applyAlignment="1">
      <alignment horizontal="center" vertical="center"/>
    </xf>
    <xf numFmtId="0" fontId="23" fillId="0" borderId="0" xfId="0" applyFont="1" applyBorder="1" applyAlignment="1">
      <alignment horizontal="right" vertical="top" wrapText="1"/>
    </xf>
    <xf numFmtId="2" fontId="22" fillId="0" borderId="0" xfId="0" applyNumberFormat="1" applyFont="1" applyBorder="1" applyAlignment="1">
      <alignment horizontal="left" vertical="top" shrinkToFit="1"/>
    </xf>
    <xf numFmtId="4" fontId="22" fillId="0" borderId="0" xfId="0" applyNumberFormat="1" applyFont="1" applyBorder="1" applyAlignment="1">
      <alignment horizontal="left" vertical="top" shrinkToFit="1"/>
    </xf>
    <xf numFmtId="3" fontId="22" fillId="0" borderId="0" xfId="0" applyNumberFormat="1" applyFont="1" applyBorder="1" applyAlignment="1">
      <alignment horizontal="right" vertical="top" shrinkToFit="1"/>
    </xf>
    <xf numFmtId="1" fontId="22" fillId="0" borderId="0" xfId="0" applyNumberFormat="1" applyFont="1" applyBorder="1" applyAlignment="1">
      <alignment horizontal="left" vertical="top" shrinkToFit="1"/>
    </xf>
    <xf numFmtId="1" fontId="22" fillId="0" borderId="0" xfId="0" applyNumberFormat="1" applyFont="1" applyBorder="1" applyAlignment="1">
      <alignment vertical="center" shrinkToFit="1"/>
    </xf>
    <xf numFmtId="3" fontId="27" fillId="0" borderId="0" xfId="0" applyNumberFormat="1" applyFont="1" applyFill="1" applyBorder="1" applyAlignment="1">
      <alignment horizontal="right" vertical="top" shrinkToFit="1"/>
    </xf>
    <xf numFmtId="2" fontId="27" fillId="0" borderId="0" xfId="0" applyNumberFormat="1" applyFont="1" applyFill="1" applyBorder="1" applyAlignment="1">
      <alignment vertical="top" shrinkToFit="1"/>
    </xf>
    <xf numFmtId="3" fontId="27" fillId="0" borderId="0" xfId="0" applyNumberFormat="1" applyFont="1" applyFill="1" applyBorder="1" applyAlignment="1">
      <alignment horizontal="left" vertical="top" shrinkToFit="1"/>
    </xf>
    <xf numFmtId="0" fontId="5" fillId="0" borderId="1" xfId="0" applyFont="1" applyBorder="1" applyAlignment="1">
      <alignment horizontal="left" vertical="center"/>
    </xf>
    <xf numFmtId="0" fontId="5" fillId="0" borderId="1" xfId="0" applyFont="1" applyFill="1" applyBorder="1" applyAlignment="1">
      <alignment horizontal="right" vertical="center"/>
    </xf>
    <xf numFmtId="0" fontId="5" fillId="0" borderId="1" xfId="0" applyFont="1" applyBorder="1">
      <alignment vertical="center"/>
    </xf>
    <xf numFmtId="0" fontId="5" fillId="0" borderId="1" xfId="0" applyFont="1" applyBorder="1" applyAlignment="1">
      <alignment horizontal="right" vertical="center"/>
    </xf>
    <xf numFmtId="0" fontId="5" fillId="0" borderId="1" xfId="0" applyFont="1" applyBorder="1" applyAlignment="1">
      <alignment horizontal="center" vertical="center"/>
    </xf>
    <xf numFmtId="0" fontId="5" fillId="0" borderId="1" xfId="0" applyFont="1" applyFill="1" applyBorder="1" applyAlignment="1">
      <alignment horizontal="center" vertical="center"/>
    </xf>
    <xf numFmtId="0" fontId="5" fillId="0" borderId="0" xfId="0" applyFont="1">
      <alignment vertical="center"/>
    </xf>
    <xf numFmtId="0" fontId="5" fillId="2" borderId="1" xfId="0" applyFont="1" applyFill="1" applyBorder="1" applyAlignment="1">
      <alignment horizontal="left" vertical="center"/>
    </xf>
    <xf numFmtId="0" fontId="5" fillId="2" borderId="1" xfId="0" applyFont="1" applyFill="1" applyBorder="1" applyAlignment="1">
      <alignment horizontal="right" vertical="center"/>
    </xf>
    <xf numFmtId="0" fontId="5" fillId="2" borderId="1" xfId="0" applyFont="1" applyFill="1" applyBorder="1" applyAlignment="1">
      <alignment horizontal="center" vertical="center"/>
    </xf>
    <xf numFmtId="180" fontId="5" fillId="2" borderId="1" xfId="0" applyNumberFormat="1" applyFont="1" applyFill="1" applyBorder="1" applyAlignment="1">
      <alignment horizontal="right" vertical="center"/>
    </xf>
    <xf numFmtId="180" fontId="58" fillId="2" borderId="1" xfId="3" applyNumberFormat="1" applyFont="1" applyFill="1" applyBorder="1" applyAlignment="1">
      <alignment horizontal="right" vertical="center"/>
    </xf>
    <xf numFmtId="181" fontId="5" fillId="2" borderId="1" xfId="0" applyNumberFormat="1" applyFont="1" applyFill="1" applyBorder="1" applyAlignment="1">
      <alignment horizontal="center" vertical="center"/>
    </xf>
    <xf numFmtId="180" fontId="58" fillId="2" borderId="1" xfId="3" applyNumberFormat="1" applyFont="1" applyFill="1" applyBorder="1" applyAlignment="1">
      <alignment horizontal="center" vertical="center"/>
    </xf>
    <xf numFmtId="49" fontId="5" fillId="2" borderId="1" xfId="0" applyNumberFormat="1" applyFont="1" applyFill="1" applyBorder="1" applyAlignment="1">
      <alignment horizontal="right" vertical="top"/>
    </xf>
    <xf numFmtId="49" fontId="5" fillId="2" borderId="1" xfId="0" applyNumberFormat="1" applyFont="1" applyFill="1" applyBorder="1" applyAlignment="1">
      <alignment horizontal="center" vertical="top"/>
    </xf>
    <xf numFmtId="0" fontId="0" fillId="0" borderId="1" xfId="0" applyFont="1" applyBorder="1" applyAlignment="1">
      <alignment horizontal="left" vertical="center"/>
    </xf>
    <xf numFmtId="0" fontId="0" fillId="0" borderId="1" xfId="0" applyFont="1" applyFill="1" applyBorder="1" applyAlignment="1">
      <alignment horizontal="right" vertical="center"/>
    </xf>
    <xf numFmtId="0" fontId="6" fillId="0" borderId="1" xfId="1" applyFont="1" applyBorder="1">
      <alignment vertical="center"/>
    </xf>
    <xf numFmtId="49" fontId="0" fillId="0" borderId="1" xfId="0" applyNumberFormat="1" applyFont="1" applyFill="1" applyBorder="1" applyAlignment="1">
      <alignment vertical="top"/>
    </xf>
    <xf numFmtId="49" fontId="0" fillId="0" borderId="1" xfId="0" applyNumberFormat="1" applyFont="1" applyBorder="1" applyAlignment="1">
      <alignment vertical="top"/>
    </xf>
    <xf numFmtId="179" fontId="0" fillId="0" borderId="1" xfId="0" applyNumberFormat="1" applyFont="1" applyBorder="1" applyAlignment="1">
      <alignment horizontal="right" vertical="top"/>
    </xf>
    <xf numFmtId="179" fontId="58" fillId="0" borderId="1" xfId="3" applyNumberFormat="1" applyFont="1" applyBorder="1" applyAlignment="1">
      <alignment horizontal="right" vertical="top"/>
    </xf>
    <xf numFmtId="178" fontId="0" fillId="0" borderId="1" xfId="0" applyNumberFormat="1" applyFont="1" applyBorder="1" applyAlignment="1">
      <alignment horizontal="center" vertical="top"/>
    </xf>
    <xf numFmtId="178" fontId="0" fillId="0" borderId="1" xfId="0" applyNumberFormat="1" applyFont="1" applyFill="1" applyBorder="1" applyAlignment="1">
      <alignment horizontal="left" vertical="top"/>
    </xf>
    <xf numFmtId="0" fontId="0" fillId="0" borderId="1" xfId="0" applyFont="1" applyBorder="1" applyAlignment="1">
      <alignment horizontal="center" vertical="center"/>
    </xf>
    <xf numFmtId="179" fontId="0" fillId="0" borderId="1" xfId="0" applyNumberFormat="1" applyFont="1" applyBorder="1" applyAlignment="1">
      <alignment horizontal="center" vertical="top"/>
    </xf>
    <xf numFmtId="2" fontId="0" fillId="0" borderId="1" xfId="0" applyNumberFormat="1" applyFont="1" applyBorder="1" applyAlignment="1">
      <alignment horizontal="center" vertical="center"/>
    </xf>
    <xf numFmtId="0" fontId="0" fillId="0" borderId="1" xfId="0" applyNumberFormat="1" applyFont="1" applyFill="1" applyBorder="1" applyAlignment="1">
      <alignment horizontal="center" vertical="top"/>
    </xf>
    <xf numFmtId="179" fontId="58" fillId="0" borderId="1" xfId="3" applyNumberFormat="1" applyFont="1" applyBorder="1" applyAlignment="1">
      <alignment horizontal="center" vertical="top"/>
    </xf>
    <xf numFmtId="178" fontId="6" fillId="0" borderId="1" xfId="1" applyNumberFormat="1" applyFont="1" applyFill="1" applyBorder="1" applyAlignment="1">
      <alignment horizontal="right" vertical="top"/>
    </xf>
    <xf numFmtId="178" fontId="0" fillId="0" borderId="1" xfId="0" applyNumberFormat="1" applyFont="1" applyFill="1" applyBorder="1" applyAlignment="1">
      <alignment horizontal="center" vertical="top"/>
    </xf>
    <xf numFmtId="2" fontId="0" fillId="0" borderId="1" xfId="0" applyNumberFormat="1" applyFont="1" applyFill="1" applyBorder="1" applyAlignment="1">
      <alignment horizontal="center" vertical="center"/>
    </xf>
    <xf numFmtId="2" fontId="0" fillId="0" borderId="1" xfId="2" applyNumberFormat="1" applyFont="1" applyBorder="1" applyAlignment="1">
      <alignment horizontal="center" vertical="center"/>
    </xf>
    <xf numFmtId="0" fontId="0" fillId="0" borderId="0" xfId="0" applyFont="1">
      <alignment vertical="center"/>
    </xf>
    <xf numFmtId="0" fontId="0" fillId="0" borderId="1" xfId="0" applyFont="1" applyFill="1" applyBorder="1" applyAlignment="1">
      <alignment horizontal="center" vertical="center"/>
    </xf>
    <xf numFmtId="179" fontId="58" fillId="0" borderId="1" xfId="3" applyNumberFormat="1" applyFont="1" applyFill="1" applyBorder="1" applyAlignment="1">
      <alignment horizontal="center" vertical="top"/>
    </xf>
    <xf numFmtId="179" fontId="0" fillId="0" borderId="1" xfId="0" applyNumberFormat="1" applyFont="1" applyFill="1" applyBorder="1" applyAlignment="1">
      <alignment horizontal="right" vertical="top"/>
    </xf>
    <xf numFmtId="179" fontId="58" fillId="0" borderId="1" xfId="3" applyNumberFormat="1" applyFont="1" applyFill="1" applyBorder="1" applyAlignment="1">
      <alignment horizontal="right" vertical="top"/>
    </xf>
    <xf numFmtId="179" fontId="0" fillId="0" borderId="1" xfId="0" applyNumberFormat="1" applyFont="1" applyFill="1" applyBorder="1" applyAlignment="1">
      <alignment horizontal="center" vertical="top"/>
    </xf>
    <xf numFmtId="2" fontId="0" fillId="0" borderId="1" xfId="2" applyNumberFormat="1" applyFont="1" applyFill="1" applyBorder="1" applyAlignment="1">
      <alignment horizontal="center" vertical="center"/>
    </xf>
    <xf numFmtId="178" fontId="6" fillId="0" borderId="1" xfId="1" applyNumberFormat="1" applyFont="1" applyBorder="1" applyAlignment="1">
      <alignment horizontal="right" vertical="top"/>
    </xf>
    <xf numFmtId="0" fontId="0" fillId="0" borderId="1" xfId="0" applyFont="1" applyFill="1" applyBorder="1" applyAlignment="1">
      <alignment horizontal="left" vertical="center"/>
    </xf>
    <xf numFmtId="49" fontId="6" fillId="0" borderId="1" xfId="1" applyNumberFormat="1" applyFont="1" applyBorder="1" applyAlignment="1">
      <alignment vertical="top"/>
    </xf>
    <xf numFmtId="0" fontId="58" fillId="0" borderId="1" xfId="0" applyFont="1" applyBorder="1" applyAlignment="1">
      <alignment horizontal="left" vertical="center"/>
    </xf>
    <xf numFmtId="178" fontId="0" fillId="0" borderId="1" xfId="0" applyNumberFormat="1" applyFont="1" applyBorder="1" applyAlignment="1">
      <alignment horizontal="left" vertical="top"/>
    </xf>
    <xf numFmtId="0" fontId="5" fillId="0" borderId="1" xfId="0" applyFont="1" applyBorder="1" applyAlignment="1">
      <alignment horizontal="left"/>
    </xf>
    <xf numFmtId="0" fontId="62" fillId="0" borderId="1" xfId="0" applyFont="1" applyBorder="1" applyAlignment="1">
      <alignment horizontal="right" vertical="center"/>
    </xf>
    <xf numFmtId="178" fontId="6" fillId="0" borderId="1" xfId="1" applyNumberFormat="1" applyFont="1" applyFill="1" applyBorder="1" applyAlignment="1">
      <alignment vertical="top"/>
    </xf>
    <xf numFmtId="49" fontId="62" fillId="13" borderId="1" xfId="0" applyNumberFormat="1" applyFont="1" applyFill="1" applyBorder="1" applyAlignment="1">
      <alignment vertical="top"/>
    </xf>
    <xf numFmtId="14" fontId="5" fillId="0" borderId="1" xfId="0" applyNumberFormat="1" applyFont="1" applyBorder="1" applyAlignment="1">
      <alignment horizontal="center" vertical="center"/>
    </xf>
    <xf numFmtId="0" fontId="5" fillId="0" borderId="1" xfId="0" applyFont="1" applyBorder="1" applyAlignment="1">
      <alignment horizontal="center"/>
    </xf>
    <xf numFmtId="2" fontId="5" fillId="0" borderId="1" xfId="0" applyNumberFormat="1" applyFont="1" applyBorder="1" applyAlignment="1">
      <alignment horizontal="center"/>
    </xf>
    <xf numFmtId="0" fontId="6" fillId="0" borderId="1" xfId="1" applyFont="1" applyFill="1" applyBorder="1" applyAlignment="1">
      <alignment horizontal="right"/>
    </xf>
    <xf numFmtId="178" fontId="5" fillId="0" borderId="1" xfId="0" applyNumberFormat="1" applyFont="1" applyBorder="1" applyAlignment="1">
      <alignment horizontal="center" vertical="top"/>
    </xf>
    <xf numFmtId="0" fontId="62" fillId="0" borderId="1" xfId="0" applyFont="1" applyBorder="1" applyAlignment="1">
      <alignment horizontal="left" vertical="top"/>
    </xf>
    <xf numFmtId="178" fontId="62" fillId="0" borderId="1" xfId="0" applyNumberFormat="1" applyFont="1" applyBorder="1" applyAlignment="1">
      <alignment vertical="top"/>
    </xf>
    <xf numFmtId="20" fontId="5" fillId="0" borderId="1" xfId="0" applyNumberFormat="1" applyFont="1" applyBorder="1" applyAlignment="1">
      <alignment horizontal="left" vertical="center"/>
    </xf>
    <xf numFmtId="0" fontId="5" fillId="0" borderId="1" xfId="0" applyFont="1" applyBorder="1" applyAlignment="1">
      <alignment horizontal="right"/>
    </xf>
    <xf numFmtId="0" fontId="5" fillId="0" borderId="1" xfId="0" applyFont="1" applyBorder="1" applyAlignment="1"/>
    <xf numFmtId="16" fontId="5" fillId="0" borderId="1" xfId="0" applyNumberFormat="1" applyFont="1" applyBorder="1" applyAlignment="1">
      <alignment horizontal="left" vertical="center"/>
    </xf>
    <xf numFmtId="0" fontId="6" fillId="0" borderId="1" xfId="1" applyFont="1" applyBorder="1" applyAlignment="1">
      <alignment horizontal="right"/>
    </xf>
    <xf numFmtId="49" fontId="62" fillId="0" borderId="1" xfId="0" applyNumberFormat="1" applyFont="1" applyBorder="1">
      <alignment vertical="center"/>
    </xf>
    <xf numFmtId="49" fontId="5" fillId="0" borderId="1" xfId="0" applyNumberFormat="1" applyFont="1" applyBorder="1">
      <alignment vertical="center"/>
    </xf>
    <xf numFmtId="179" fontId="5" fillId="0" borderId="1" xfId="0" applyNumberFormat="1" applyFont="1" applyBorder="1" applyAlignment="1">
      <alignment horizontal="right" vertical="center"/>
    </xf>
    <xf numFmtId="179" fontId="5" fillId="0" borderId="1" xfId="0" applyNumberFormat="1" applyFont="1" applyBorder="1" applyAlignment="1">
      <alignment horizontal="center" vertical="center"/>
    </xf>
    <xf numFmtId="2" fontId="5" fillId="0" borderId="1" xfId="0" applyNumberFormat="1" applyFont="1" applyBorder="1" applyAlignment="1">
      <alignment horizontal="center" vertical="center"/>
    </xf>
    <xf numFmtId="178" fontId="5" fillId="0" borderId="1" xfId="0" applyNumberFormat="1" applyFont="1" applyBorder="1" applyAlignment="1">
      <alignment horizontal="center" vertical="center"/>
    </xf>
    <xf numFmtId="0" fontId="62" fillId="5" borderId="1" xfId="0" applyFont="1" applyFill="1" applyBorder="1" applyAlignment="1">
      <alignment horizontal="left"/>
    </xf>
    <xf numFmtId="0" fontId="5" fillId="5" borderId="1" xfId="0" applyFont="1" applyFill="1" applyBorder="1" applyAlignment="1">
      <alignment horizontal="center" vertical="center"/>
    </xf>
    <xf numFmtId="0" fontId="58" fillId="0" borderId="1" xfId="0" applyFont="1" applyBorder="1" applyAlignment="1">
      <alignment horizontal="right" vertical="center"/>
    </xf>
    <xf numFmtId="49" fontId="58" fillId="0" borderId="1" xfId="0" applyNumberFormat="1" applyFont="1" applyBorder="1" applyAlignment="1">
      <alignment vertical="top"/>
    </xf>
    <xf numFmtId="179" fontId="58" fillId="0" borderId="1" xfId="0" applyNumberFormat="1" applyFont="1" applyBorder="1" applyAlignment="1">
      <alignment horizontal="right" vertical="top"/>
    </xf>
    <xf numFmtId="14" fontId="58" fillId="0" borderId="1" xfId="0" applyNumberFormat="1" applyFont="1" applyBorder="1" applyAlignment="1">
      <alignment horizontal="center" vertical="center"/>
    </xf>
    <xf numFmtId="179" fontId="58" fillId="0" borderId="1" xfId="0" applyNumberFormat="1" applyFont="1" applyBorder="1" applyAlignment="1">
      <alignment horizontal="center" vertical="top"/>
    </xf>
    <xf numFmtId="2" fontId="58" fillId="0" borderId="1" xfId="0" applyNumberFormat="1" applyFont="1" applyBorder="1" applyAlignment="1">
      <alignment horizontal="center"/>
    </xf>
    <xf numFmtId="178" fontId="58" fillId="0" borderId="1" xfId="0" applyNumberFormat="1" applyFont="1" applyBorder="1" applyAlignment="1">
      <alignment horizontal="center" vertical="top"/>
    </xf>
    <xf numFmtId="49" fontId="5" fillId="13" borderId="1" xfId="0" applyNumberFormat="1" applyFont="1" applyFill="1" applyBorder="1" applyAlignment="1">
      <alignment vertical="top"/>
    </xf>
    <xf numFmtId="49" fontId="5" fillId="0" borderId="1" xfId="0" applyNumberFormat="1" applyFont="1" applyBorder="1" applyAlignment="1">
      <alignment vertical="top"/>
    </xf>
    <xf numFmtId="179" fontId="5" fillId="0" borderId="1" xfId="0" applyNumberFormat="1" applyFont="1" applyBorder="1" applyAlignment="1">
      <alignment horizontal="right" vertical="top"/>
    </xf>
    <xf numFmtId="179" fontId="5" fillId="0" borderId="1" xfId="0" applyNumberFormat="1" applyFont="1" applyBorder="1" applyAlignment="1">
      <alignment horizontal="center" vertical="top"/>
    </xf>
    <xf numFmtId="0" fontId="5" fillId="5" borderId="1" xfId="0" applyFont="1" applyFill="1" applyBorder="1" applyAlignment="1">
      <alignment horizontal="center"/>
    </xf>
    <xf numFmtId="2" fontId="155" fillId="0" borderId="1" xfId="0" applyNumberFormat="1" applyFont="1" applyBorder="1" applyAlignment="1">
      <alignment horizontal="center"/>
    </xf>
    <xf numFmtId="0" fontId="155" fillId="0" borderId="1" xfId="0" applyFont="1" applyBorder="1" applyAlignment="1">
      <alignment horizontal="center"/>
    </xf>
    <xf numFmtId="0" fontId="5" fillId="0" borderId="1" xfId="0" applyFont="1" applyFill="1" applyBorder="1" applyAlignment="1">
      <alignment horizontal="center"/>
    </xf>
    <xf numFmtId="14" fontId="5" fillId="0" borderId="1" xfId="0" applyNumberFormat="1" applyFont="1" applyBorder="1" applyAlignment="1">
      <alignment horizontal="center"/>
    </xf>
    <xf numFmtId="0" fontId="62" fillId="0" borderId="1" xfId="0" applyFont="1" applyBorder="1" applyAlignment="1">
      <alignment horizontal="left"/>
    </xf>
    <xf numFmtId="0" fontId="5" fillId="0" borderId="1" xfId="0" applyFont="1" applyFill="1" applyBorder="1" applyAlignment="1">
      <alignment horizontal="left"/>
    </xf>
    <xf numFmtId="0" fontId="62" fillId="0" borderId="1" xfId="0" applyFont="1" applyFill="1" applyBorder="1" applyAlignment="1">
      <alignment horizontal="right" vertical="center"/>
    </xf>
    <xf numFmtId="49" fontId="62" fillId="0" borderId="1" xfId="0" applyNumberFormat="1" applyFont="1" applyFill="1" applyBorder="1" applyAlignment="1">
      <alignment vertical="top"/>
    </xf>
    <xf numFmtId="0" fontId="5" fillId="5" borderId="1" xfId="0" applyFont="1" applyFill="1" applyBorder="1" applyAlignment="1">
      <alignment horizontal="left"/>
    </xf>
    <xf numFmtId="189" fontId="5" fillId="0" borderId="1" xfId="0" applyNumberFormat="1" applyFont="1" applyBorder="1" applyAlignment="1">
      <alignment horizontal="center"/>
    </xf>
    <xf numFmtId="49" fontId="58" fillId="13" borderId="1" xfId="0" applyNumberFormat="1" applyFont="1" applyFill="1" applyBorder="1" applyAlignment="1">
      <alignment vertical="top"/>
    </xf>
    <xf numFmtId="49" fontId="62" fillId="0" borderId="1" xfId="0" applyNumberFormat="1" applyFont="1" applyBorder="1" applyAlignment="1">
      <alignment horizontal="left" vertical="top"/>
    </xf>
    <xf numFmtId="49" fontId="62" fillId="0" borderId="1" xfId="0" applyNumberFormat="1" applyFont="1" applyBorder="1" applyAlignment="1">
      <alignment horizontal="right" vertical="top"/>
    </xf>
    <xf numFmtId="49" fontId="62" fillId="0" borderId="1" xfId="0" applyNumberFormat="1" applyFont="1" applyBorder="1" applyAlignment="1">
      <alignment horizontal="center" vertical="top"/>
    </xf>
    <xf numFmtId="188" fontId="5" fillId="0" borderId="1" xfId="0" applyNumberFormat="1" applyFont="1" applyBorder="1" applyAlignment="1">
      <alignment horizontal="center"/>
    </xf>
    <xf numFmtId="184" fontId="5" fillId="0" borderId="1" xfId="0" applyNumberFormat="1" applyFont="1" applyBorder="1" applyAlignment="1">
      <alignment horizontal="center"/>
    </xf>
    <xf numFmtId="0" fontId="6" fillId="0" borderId="1" xfId="1" applyFont="1" applyBorder="1" applyAlignment="1">
      <alignment horizontal="left" vertical="center"/>
    </xf>
    <xf numFmtId="49" fontId="5" fillId="0" borderId="1" xfId="0" applyNumberFormat="1" applyFont="1" applyBorder="1" applyAlignment="1">
      <alignment horizontal="left" vertical="center"/>
    </xf>
    <xf numFmtId="194" fontId="58" fillId="0" borderId="1" xfId="0" applyNumberFormat="1" applyFont="1" applyBorder="1" applyAlignment="1">
      <alignment horizontal="center" vertical="center"/>
    </xf>
    <xf numFmtId="178" fontId="58" fillId="0" borderId="1" xfId="0" applyNumberFormat="1" applyFont="1" applyBorder="1" applyAlignment="1">
      <alignment horizontal="left" vertical="center"/>
    </xf>
    <xf numFmtId="0" fontId="62" fillId="0" borderId="1" xfId="0" applyFont="1" applyBorder="1" applyAlignment="1">
      <alignment horizontal="left" vertical="center"/>
    </xf>
    <xf numFmtId="179" fontId="5" fillId="0" borderId="7" xfId="0" applyNumberFormat="1" applyFont="1" applyBorder="1" applyAlignment="1">
      <alignment horizontal="left" vertical="center"/>
    </xf>
    <xf numFmtId="0" fontId="5" fillId="0" borderId="0" xfId="0" applyFont="1" applyAlignment="1">
      <alignment horizontal="center" vertical="center"/>
    </xf>
    <xf numFmtId="179" fontId="5" fillId="0" borderId="1" xfId="0" applyNumberFormat="1" applyFont="1" applyBorder="1" applyAlignment="1">
      <alignment horizontal="left" vertical="center"/>
    </xf>
    <xf numFmtId="0" fontId="6" fillId="0" borderId="1" xfId="1" applyFont="1" applyBorder="1" applyAlignment="1">
      <alignment vertical="center"/>
    </xf>
    <xf numFmtId="0" fontId="6" fillId="0" borderId="7" xfId="1" applyFont="1" applyBorder="1" applyAlignment="1"/>
    <xf numFmtId="178" fontId="5" fillId="0" borderId="1" xfId="0" applyNumberFormat="1" applyFont="1" applyBorder="1" applyAlignment="1">
      <alignment horizontal="right" vertical="center"/>
    </xf>
    <xf numFmtId="20" fontId="58" fillId="0" borderId="1" xfId="0" applyNumberFormat="1" applyFont="1" applyBorder="1" applyAlignment="1">
      <alignment horizontal="left" vertical="center"/>
    </xf>
    <xf numFmtId="178" fontId="58" fillId="0" borderId="7" xfId="0" applyNumberFormat="1" applyFont="1" applyBorder="1" applyAlignment="1">
      <alignment horizontal="left" vertical="center"/>
    </xf>
    <xf numFmtId="4" fontId="5" fillId="0" borderId="1" xfId="0" applyNumberFormat="1" applyFont="1" applyBorder="1" applyAlignment="1">
      <alignment horizontal="center"/>
    </xf>
    <xf numFmtId="0" fontId="6" fillId="0" borderId="1" xfId="1" applyFont="1" applyBorder="1" applyAlignment="1">
      <alignment horizontal="left" vertical="center" wrapText="1"/>
    </xf>
    <xf numFmtId="195" fontId="58" fillId="0" borderId="1" xfId="0" applyNumberFormat="1" applyFont="1" applyBorder="1" applyAlignment="1">
      <alignment horizontal="left" vertical="center"/>
    </xf>
    <xf numFmtId="178" fontId="64" fillId="0" borderId="1" xfId="0" applyNumberFormat="1" applyFont="1" applyBorder="1" applyAlignment="1">
      <alignment horizontal="right" vertical="center"/>
    </xf>
    <xf numFmtId="0" fontId="5" fillId="0" borderId="0" xfId="0" applyFont="1" applyAlignment="1">
      <alignment horizontal="left" vertical="center"/>
    </xf>
    <xf numFmtId="179" fontId="5" fillId="5" borderId="1" xfId="0" applyNumberFormat="1" applyFont="1" applyFill="1" applyBorder="1" applyAlignment="1">
      <alignment horizontal="left" vertical="center"/>
    </xf>
    <xf numFmtId="49" fontId="58" fillId="0" borderId="1" xfId="0" applyNumberFormat="1" applyFont="1" applyBorder="1" applyAlignment="1">
      <alignment horizontal="left" vertical="center"/>
    </xf>
    <xf numFmtId="178" fontId="58" fillId="0" borderId="1" xfId="0" applyNumberFormat="1" applyFont="1" applyBorder="1" applyAlignment="1">
      <alignment horizontal="center" vertical="center"/>
    </xf>
    <xf numFmtId="0" fontId="6" fillId="0" borderId="1" xfId="1" applyFont="1" applyFill="1" applyBorder="1">
      <alignment vertical="center"/>
    </xf>
    <xf numFmtId="0" fontId="6" fillId="0" borderId="1" xfId="1" applyFont="1" applyBorder="1" applyAlignment="1">
      <alignment horizontal="right" vertical="center"/>
    </xf>
    <xf numFmtId="2" fontId="5" fillId="0" borderId="1" xfId="2" applyNumberFormat="1" applyFont="1" applyFill="1" applyBorder="1" applyAlignment="1">
      <alignment horizontal="center" vertical="center"/>
    </xf>
    <xf numFmtId="1" fontId="5" fillId="0" borderId="1" xfId="0" applyNumberFormat="1" applyFont="1" applyBorder="1" applyAlignment="1">
      <alignment horizontal="center" vertical="center"/>
    </xf>
    <xf numFmtId="0" fontId="5" fillId="0" borderId="1" xfId="0" applyFont="1" applyBorder="1" applyAlignment="1">
      <alignment horizontal="center" vertical="top"/>
    </xf>
    <xf numFmtId="2" fontId="5" fillId="0" borderId="1" xfId="0" applyNumberFormat="1" applyFont="1" applyBorder="1" applyAlignment="1">
      <alignment horizontal="center" vertical="top"/>
    </xf>
    <xf numFmtId="0" fontId="67" fillId="0" borderId="1" xfId="1" applyFont="1" applyFill="1" applyBorder="1">
      <alignment vertical="center"/>
    </xf>
    <xf numFmtId="0" fontId="58" fillId="0" borderId="1" xfId="0" applyFont="1" applyBorder="1" applyAlignment="1">
      <alignment horizontal="center" vertical="top"/>
    </xf>
    <xf numFmtId="2" fontId="58" fillId="0" borderId="1" xfId="0" applyNumberFormat="1" applyFont="1" applyBorder="1" applyAlignment="1">
      <alignment horizontal="center" vertical="top"/>
    </xf>
    <xf numFmtId="2" fontId="58" fillId="0" borderId="1" xfId="2" applyNumberFormat="1" applyFont="1" applyFill="1" applyBorder="1" applyAlignment="1">
      <alignment horizontal="center" vertical="center"/>
    </xf>
    <xf numFmtId="0" fontId="6" fillId="0" borderId="1" xfId="1" applyFont="1" applyFill="1" applyBorder="1" applyAlignment="1">
      <alignment horizontal="right" vertical="center"/>
    </xf>
    <xf numFmtId="0" fontId="5" fillId="0" borderId="0" xfId="0" applyFont="1" applyFill="1" applyAlignment="1">
      <alignment horizontal="right" vertical="center"/>
    </xf>
    <xf numFmtId="0" fontId="5" fillId="0" borderId="0" xfId="0" applyFont="1" applyAlignment="1">
      <alignment horizontal="right" vertical="center"/>
    </xf>
    <xf numFmtId="0" fontId="5" fillId="0" borderId="0" xfId="0" applyNumberFormat="1" applyFont="1" applyFill="1" applyAlignment="1">
      <alignment horizontal="center" vertical="center"/>
    </xf>
    <xf numFmtId="0" fontId="5" fillId="0" borderId="0" xfId="0" applyFont="1" applyFill="1" applyAlignment="1">
      <alignment horizontal="center" vertical="center"/>
    </xf>
    <xf numFmtId="0" fontId="0" fillId="0" borderId="1" xfId="0" applyFill="1" applyBorder="1" applyAlignment="1">
      <alignment horizontal="center" vertical="center"/>
    </xf>
    <xf numFmtId="0" fontId="0" fillId="15" borderId="1" xfId="0" applyFill="1" applyBorder="1" applyAlignment="1">
      <alignment horizontal="center" vertical="center"/>
    </xf>
    <xf numFmtId="0" fontId="5" fillId="15" borderId="1" xfId="0" applyFont="1" applyFill="1" applyBorder="1" applyAlignment="1">
      <alignment horizontal="center" vertical="center"/>
    </xf>
    <xf numFmtId="180" fontId="5" fillId="15" borderId="1" xfId="0" applyNumberFormat="1" applyFont="1" applyFill="1" applyBorder="1" applyAlignment="1">
      <alignment horizontal="center" vertical="center"/>
    </xf>
    <xf numFmtId="180" fontId="0" fillId="15" borderId="1" xfId="0" applyNumberFormat="1" applyFill="1" applyBorder="1" applyAlignment="1">
      <alignment horizontal="center" vertical="center"/>
    </xf>
    <xf numFmtId="181" fontId="0" fillId="15" borderId="1" xfId="0" applyNumberFormat="1" applyFill="1" applyBorder="1" applyAlignment="1">
      <alignment horizontal="center" vertical="center"/>
    </xf>
    <xf numFmtId="49" fontId="5" fillId="15" borderId="1" xfId="0" applyNumberFormat="1" applyFont="1" applyFill="1" applyBorder="1" applyAlignment="1">
      <alignment horizontal="center" vertical="top"/>
    </xf>
    <xf numFmtId="0" fontId="0" fillId="0" borderId="0" xfId="0" applyFill="1">
      <alignment vertical="center"/>
    </xf>
    <xf numFmtId="49" fontId="0" fillId="0" borderId="1" xfId="0" applyNumberFormat="1" applyFill="1" applyBorder="1" applyAlignment="1">
      <alignment horizontal="center" vertical="top"/>
    </xf>
    <xf numFmtId="179" fontId="0" fillId="0" borderId="1" xfId="0" applyNumberFormat="1" applyBorder="1" applyAlignment="1">
      <alignment horizontal="center" vertical="top"/>
    </xf>
    <xf numFmtId="196" fontId="5" fillId="0" borderId="1" xfId="0" applyNumberFormat="1" applyFont="1" applyBorder="1" applyAlignment="1">
      <alignment horizontal="center" vertical="top"/>
    </xf>
    <xf numFmtId="49" fontId="155" fillId="0" borderId="1" xfId="0" applyNumberFormat="1" applyFont="1" applyFill="1" applyBorder="1" applyAlignment="1">
      <alignment horizontal="center" vertical="top"/>
    </xf>
    <xf numFmtId="49" fontId="5" fillId="0" borderId="1" xfId="0" applyNumberFormat="1" applyFont="1" applyFill="1" applyBorder="1" applyAlignment="1">
      <alignment horizontal="center" vertical="top"/>
    </xf>
    <xf numFmtId="49" fontId="5" fillId="0" borderId="1" xfId="0" applyNumberFormat="1" applyFont="1" applyFill="1" applyBorder="1" applyAlignment="1">
      <alignment horizontal="center" vertical="center"/>
    </xf>
    <xf numFmtId="49" fontId="5" fillId="0" borderId="1" xfId="0" applyNumberFormat="1" applyFont="1" applyBorder="1" applyAlignment="1">
      <alignment horizontal="center" vertical="top"/>
    </xf>
    <xf numFmtId="0" fontId="0" fillId="0" borderId="0" xfId="0" applyFill="1" applyAlignment="1">
      <alignment horizontal="center" vertical="center"/>
    </xf>
    <xf numFmtId="0" fontId="0" fillId="0" borderId="0" xfId="0" applyNumberFormat="1" applyAlignment="1">
      <alignment horizontal="center" vertical="center"/>
    </xf>
    <xf numFmtId="0" fontId="0" fillId="0" borderId="1" xfId="0" applyBorder="1" applyAlignment="1">
      <alignment horizontal="center" vertical="center"/>
    </xf>
    <xf numFmtId="179" fontId="5" fillId="0" borderId="1" xfId="0" applyNumberFormat="1" applyFont="1" applyBorder="1" applyAlignment="1">
      <alignment horizontal="center" vertical="center"/>
    </xf>
    <xf numFmtId="0" fontId="5" fillId="0" borderId="1" xfId="0" applyFont="1" applyBorder="1" applyAlignment="1">
      <alignment horizontal="center" vertical="center"/>
    </xf>
    <xf numFmtId="1" fontId="62" fillId="0" borderId="0" xfId="0" applyNumberFormat="1" applyFont="1" applyAlignment="1">
      <alignment horizontal="center" vertical="center" shrinkToFit="1"/>
    </xf>
    <xf numFmtId="0" fontId="57" fillId="0" borderId="1" xfId="12" applyFont="1" applyBorder="1" applyAlignment="1">
      <alignment horizontal="center" vertical="center"/>
    </xf>
    <xf numFmtId="0" fontId="62" fillId="0" borderId="1" xfId="12" applyFont="1" applyBorder="1" applyAlignment="1">
      <alignment horizontal="center" vertical="center"/>
    </xf>
    <xf numFmtId="178" fontId="6" fillId="0" borderId="2" xfId="1" applyNumberFormat="1" applyBorder="1" applyAlignment="1">
      <alignment horizontal="center" vertical="center"/>
    </xf>
    <xf numFmtId="0" fontId="0" fillId="0" borderId="0" xfId="0" applyAlignment="1">
      <alignment horizontal="center" vertical="top"/>
    </xf>
    <xf numFmtId="193" fontId="0" fillId="15" borderId="1" xfId="0" applyNumberFormat="1" applyFill="1" applyBorder="1" applyAlignment="1">
      <alignment horizontal="center" vertical="center"/>
    </xf>
    <xf numFmtId="193" fontId="0" fillId="0" borderId="1" xfId="0" applyNumberFormat="1" applyBorder="1" applyAlignment="1">
      <alignment horizontal="center" vertical="top"/>
    </xf>
    <xf numFmtId="193" fontId="5" fillId="0" borderId="1" xfId="0" applyNumberFormat="1" applyFont="1" applyBorder="1" applyAlignment="1">
      <alignment horizontal="center" vertical="center"/>
    </xf>
    <xf numFmtId="193" fontId="5" fillId="0" borderId="1" xfId="0" applyNumberFormat="1" applyFont="1" applyBorder="1" applyAlignment="1">
      <alignment horizontal="center"/>
    </xf>
    <xf numFmtId="193" fontId="0" fillId="0" borderId="0" xfId="0" applyNumberFormat="1" applyAlignment="1">
      <alignment horizontal="center" vertical="center"/>
    </xf>
    <xf numFmtId="0" fontId="5" fillId="0" borderId="1" xfId="0" applyNumberFormat="1" applyFont="1" applyBorder="1" applyAlignment="1">
      <alignment horizontal="center"/>
    </xf>
    <xf numFmtId="179" fontId="62" fillId="0" borderId="2" xfId="0" applyNumberFormat="1" applyFont="1" applyBorder="1" applyAlignment="1">
      <alignment horizontal="center" vertical="top"/>
    </xf>
    <xf numFmtId="49" fontId="5" fillId="0" borderId="3" xfId="0" applyNumberFormat="1" applyFont="1" applyFill="1" applyBorder="1" applyAlignment="1">
      <alignment horizontal="center" vertical="top"/>
    </xf>
    <xf numFmtId="0" fontId="5" fillId="0" borderId="3" xfId="0" applyFont="1" applyBorder="1" applyAlignment="1">
      <alignment horizontal="center" vertical="top"/>
    </xf>
    <xf numFmtId="179" fontId="5" fillId="0" borderId="3" xfId="0" applyNumberFormat="1" applyFont="1" applyBorder="1" applyAlignment="1">
      <alignment horizontal="center" vertical="top"/>
    </xf>
    <xf numFmtId="196" fontId="5" fillId="0" borderId="3" xfId="0" applyNumberFormat="1" applyFont="1" applyBorder="1" applyAlignment="1">
      <alignment horizontal="center" vertical="top"/>
    </xf>
    <xf numFmtId="0" fontId="5" fillId="0" borderId="3" xfId="0" applyFont="1" applyBorder="1" applyAlignment="1">
      <alignment horizontal="center"/>
    </xf>
    <xf numFmtId="193" fontId="5" fillId="0" borderId="3" xfId="0" applyNumberFormat="1" applyFont="1" applyBorder="1" applyAlignment="1">
      <alignment horizontal="center"/>
    </xf>
    <xf numFmtId="2" fontId="5" fillId="0" borderId="3" xfId="0" applyNumberFormat="1" applyFont="1" applyBorder="1" applyAlignment="1">
      <alignment horizontal="center"/>
    </xf>
    <xf numFmtId="178" fontId="5" fillId="0" borderId="3" xfId="0" applyNumberFormat="1" applyFont="1" applyBorder="1" applyAlignment="1">
      <alignment horizontal="center" vertical="top"/>
    </xf>
    <xf numFmtId="49" fontId="62" fillId="0" borderId="0" xfId="0" applyNumberFormat="1" applyFont="1" applyBorder="1" applyAlignment="1">
      <alignment vertical="top"/>
    </xf>
    <xf numFmtId="0" fontId="5" fillId="0" borderId="0" xfId="0" applyFont="1" applyBorder="1" applyAlignment="1">
      <alignment horizontal="center"/>
    </xf>
    <xf numFmtId="2" fontId="5" fillId="0" borderId="0" xfId="0" applyNumberFormat="1" applyFont="1" applyBorder="1" applyAlignment="1">
      <alignment horizontal="center"/>
    </xf>
    <xf numFmtId="0" fontId="5" fillId="0" borderId="0" xfId="0" applyFont="1" applyBorder="1" applyAlignment="1">
      <alignment horizontal="right"/>
    </xf>
    <xf numFmtId="178" fontId="5" fillId="0" borderId="0" xfId="0" applyNumberFormat="1" applyFont="1" applyBorder="1" applyAlignment="1">
      <alignment horizontal="center" vertical="top"/>
    </xf>
    <xf numFmtId="0" fontId="58" fillId="0" borderId="0" xfId="0" applyFont="1" applyBorder="1" applyAlignment="1">
      <alignment horizontal="center"/>
    </xf>
    <xf numFmtId="0" fontId="62" fillId="0" borderId="0" xfId="0" applyFont="1" applyBorder="1" applyAlignment="1">
      <alignment horizontal="left" vertical="top"/>
    </xf>
    <xf numFmtId="0" fontId="5" fillId="0" borderId="0" xfId="0" applyFont="1" applyBorder="1" applyAlignment="1"/>
    <xf numFmtId="0" fontId="5" fillId="0" borderId="0" xfId="0" applyFont="1" applyBorder="1">
      <alignment vertical="center"/>
    </xf>
    <xf numFmtId="193" fontId="0" fillId="0" borderId="6" xfId="0" applyNumberFormat="1" applyBorder="1" applyAlignment="1">
      <alignment horizontal="center" vertical="top"/>
    </xf>
    <xf numFmtId="193" fontId="5" fillId="0" borderId="14" xfId="0" applyNumberFormat="1" applyFont="1" applyBorder="1" applyAlignment="1">
      <alignment horizontal="center" vertical="center"/>
    </xf>
    <xf numFmtId="49" fontId="62" fillId="0" borderId="1" xfId="0" applyNumberFormat="1" applyFont="1" applyFill="1" applyBorder="1" applyAlignment="1">
      <alignment horizontal="center" vertical="top"/>
    </xf>
    <xf numFmtId="178" fontId="62" fillId="0" borderId="1" xfId="0" applyNumberFormat="1" applyFont="1" applyBorder="1" applyAlignment="1">
      <alignment horizontal="center" vertical="top"/>
    </xf>
    <xf numFmtId="193" fontId="62" fillId="0" borderId="1" xfId="0" applyNumberFormat="1" applyFont="1" applyBorder="1" applyAlignment="1">
      <alignment horizontal="center" vertical="top"/>
    </xf>
    <xf numFmtId="178" fontId="6" fillId="0" borderId="13" xfId="1" applyNumberFormat="1" applyBorder="1" applyAlignment="1">
      <alignment horizontal="center" vertical="center"/>
    </xf>
    <xf numFmtId="0" fontId="6" fillId="0" borderId="1" xfId="1" applyBorder="1" applyAlignment="1">
      <alignment horizontal="center" vertical="center"/>
    </xf>
    <xf numFmtId="0" fontId="6" fillId="0" borderId="0" xfId="1" applyAlignment="1">
      <alignment horizontal="center" vertical="center"/>
    </xf>
    <xf numFmtId="178" fontId="6" fillId="0" borderId="1" xfId="1" applyNumberFormat="1" applyBorder="1" applyAlignment="1">
      <alignment horizontal="center" vertical="center"/>
    </xf>
    <xf numFmtId="0" fontId="0" fillId="0" borderId="1" xfId="0" applyBorder="1" applyAlignment="1">
      <alignment horizontal="center" vertical="center"/>
    </xf>
    <xf numFmtId="188" fontId="57" fillId="0" borderId="1" xfId="0" applyNumberFormat="1" applyFont="1" applyBorder="1" applyAlignment="1">
      <alignment horizontal="center" vertical="center"/>
    </xf>
    <xf numFmtId="184" fontId="57" fillId="0" borderId="1" xfId="0" applyNumberFormat="1" applyFont="1" applyBorder="1" applyAlignment="1">
      <alignment horizontal="center" vertical="center"/>
    </xf>
    <xf numFmtId="0" fontId="57" fillId="0" borderId="1" xfId="5" applyFont="1" applyFill="1" applyBorder="1" applyAlignment="1">
      <alignment horizontal="center" vertical="center"/>
    </xf>
    <xf numFmtId="178" fontId="6" fillId="0" borderId="7" xfId="1" applyNumberFormat="1" applyBorder="1" applyAlignment="1">
      <alignment horizontal="center" vertical="center"/>
    </xf>
    <xf numFmtId="178" fontId="6" fillId="0" borderId="1" xfId="1" applyNumberFormat="1" applyBorder="1" applyAlignment="1">
      <alignment horizontal="center" vertical="center" wrapText="1"/>
    </xf>
    <xf numFmtId="178" fontId="6" fillId="0" borderId="4" xfId="1" applyNumberFormat="1" applyBorder="1" applyAlignment="1">
      <alignment horizontal="center" vertical="center"/>
    </xf>
    <xf numFmtId="178" fontId="6" fillId="0" borderId="0" xfId="1" applyNumberFormat="1" applyAlignment="1">
      <alignment horizontal="center" vertical="center"/>
    </xf>
    <xf numFmtId="0" fontId="57" fillId="0" borderId="13" xfId="12"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right" vertical="center"/>
    </xf>
    <xf numFmtId="49" fontId="5" fillId="14" borderId="1" xfId="0" applyNumberFormat="1" applyFont="1" applyFill="1" applyBorder="1" applyAlignment="1">
      <alignment horizontal="left" vertical="center"/>
    </xf>
    <xf numFmtId="49" fontId="5" fillId="0" borderId="1" xfId="0" applyNumberFormat="1" applyFont="1" applyBorder="1" applyAlignment="1">
      <alignment horizontal="left" vertical="center"/>
    </xf>
    <xf numFmtId="179" fontId="5" fillId="0" borderId="1" xfId="0" applyNumberFormat="1" applyFont="1" applyBorder="1" applyAlignment="1">
      <alignment horizontal="right" vertical="center"/>
    </xf>
    <xf numFmtId="178" fontId="5" fillId="0" borderId="1" xfId="0" applyNumberFormat="1" applyFont="1" applyBorder="1" applyAlignment="1">
      <alignment horizontal="center" vertical="center"/>
    </xf>
    <xf numFmtId="179" fontId="5" fillId="0" borderId="1" xfId="0" applyNumberFormat="1" applyFont="1" applyBorder="1" applyAlignment="1">
      <alignment horizontal="center" vertical="center"/>
    </xf>
    <xf numFmtId="179" fontId="5" fillId="0" borderId="1" xfId="0" applyNumberFormat="1" applyFont="1" applyBorder="1" applyAlignment="1">
      <alignment horizontal="left" vertical="center"/>
    </xf>
    <xf numFmtId="178" fontId="58" fillId="0" borderId="1" xfId="0" applyNumberFormat="1" applyFont="1" applyBorder="1" applyAlignment="1">
      <alignment horizontal="center" vertical="center"/>
    </xf>
    <xf numFmtId="0" fontId="0" fillId="3" borderId="1" xfId="0" applyFill="1" applyBorder="1" applyAlignment="1">
      <alignment horizontal="center" vertical="center"/>
    </xf>
    <xf numFmtId="1" fontId="21" fillId="0" borderId="0" xfId="0" applyNumberFormat="1" applyFont="1" applyAlignment="1">
      <alignment horizontal="center" vertical="center" shrinkToFit="1"/>
    </xf>
    <xf numFmtId="0" fontId="16" fillId="0" borderId="0" xfId="0" applyFont="1" applyAlignment="1">
      <alignment horizontal="left" vertical="center"/>
    </xf>
    <xf numFmtId="1" fontId="21" fillId="0" borderId="0" xfId="0" applyNumberFormat="1" applyFont="1" applyAlignment="1">
      <alignment horizontal="center" vertical="top" shrinkToFit="1"/>
    </xf>
    <xf numFmtId="0" fontId="9" fillId="0" borderId="0" xfId="0" applyFont="1" applyAlignment="1">
      <alignment horizontal="left" vertical="top"/>
    </xf>
    <xf numFmtId="0" fontId="16" fillId="0" borderId="0" xfId="0" applyFont="1" applyAlignment="1">
      <alignment horizontal="left" vertical="top"/>
    </xf>
    <xf numFmtId="0" fontId="0" fillId="3" borderId="6" xfId="0" applyFill="1" applyBorder="1" applyAlignment="1">
      <alignment horizontal="center" vertical="center"/>
    </xf>
    <xf numFmtId="0" fontId="0" fillId="3" borderId="16" xfId="0" applyFill="1" applyBorder="1" applyAlignment="1">
      <alignment horizontal="center" vertical="center"/>
    </xf>
    <xf numFmtId="0" fontId="0" fillId="3" borderId="7" xfId="0" applyFill="1" applyBorder="1" applyAlignment="1">
      <alignment horizontal="center" vertical="center"/>
    </xf>
    <xf numFmtId="2" fontId="0" fillId="0" borderId="14" xfId="0" applyNumberFormat="1" applyBorder="1" applyAlignment="1">
      <alignment horizontal="center" vertical="center"/>
    </xf>
    <xf numFmtId="2" fontId="0" fillId="0" borderId="13" xfId="0" applyNumberFormat="1" applyBorder="1" applyAlignment="1">
      <alignment horizontal="center" vertical="center"/>
    </xf>
    <xf numFmtId="2" fontId="0" fillId="0" borderId="12" xfId="0" applyNumberFormat="1" applyBorder="1" applyAlignment="1">
      <alignment horizontal="center" vertical="center"/>
    </xf>
    <xf numFmtId="2" fontId="0" fillId="0" borderId="11" xfId="0" applyNumberFormat="1" applyBorder="1" applyAlignment="1">
      <alignment horizontal="center" vertical="center"/>
    </xf>
    <xf numFmtId="2" fontId="0" fillId="0" borderId="10" xfId="0" applyNumberFormat="1" applyBorder="1" applyAlignment="1">
      <alignment horizontal="center" vertical="center"/>
    </xf>
    <xf numFmtId="2" fontId="0" fillId="0" borderId="9" xfId="0" applyNumberFormat="1" applyBorder="1" applyAlignment="1">
      <alignment horizontal="center" vertical="center"/>
    </xf>
    <xf numFmtId="4" fontId="30" fillId="0" borderId="0" xfId="0" applyNumberFormat="1" applyFont="1" applyFill="1" applyBorder="1" applyAlignment="1">
      <alignment horizontal="left" vertical="center" indent="1" shrinkToFit="1"/>
    </xf>
    <xf numFmtId="4" fontId="30" fillId="0" borderId="0" xfId="0" applyNumberFormat="1" applyFont="1" applyFill="1" applyBorder="1" applyAlignment="1">
      <alignment horizontal="left" vertical="center" shrinkToFit="1"/>
    </xf>
    <xf numFmtId="0" fontId="30" fillId="0" borderId="0" xfId="0" applyFont="1" applyFill="1" applyBorder="1" applyAlignment="1">
      <alignment horizontal="center" vertical="center" wrapText="1"/>
    </xf>
    <xf numFmtId="0" fontId="154" fillId="3" borderId="1" xfId="0" applyFont="1" applyFill="1" applyBorder="1" applyAlignment="1">
      <alignment horizontal="center" vertical="center"/>
    </xf>
    <xf numFmtId="0" fontId="35" fillId="0" borderId="0" xfId="0" applyFont="1" applyFill="1" applyBorder="1" applyAlignment="1">
      <alignment horizontal="left" vertical="center"/>
    </xf>
    <xf numFmtId="0" fontId="35" fillId="0" borderId="0" xfId="0" applyFont="1" applyFill="1" applyBorder="1" applyAlignment="1">
      <alignment horizontal="center" vertical="top"/>
    </xf>
    <xf numFmtId="1" fontId="134" fillId="0" borderId="0" xfId="0" applyNumberFormat="1" applyFont="1" applyAlignment="1">
      <alignment horizontal="center" vertical="center" shrinkToFit="1"/>
    </xf>
    <xf numFmtId="0" fontId="58" fillId="0" borderId="1" xfId="12" applyFont="1" applyBorder="1" applyAlignment="1">
      <alignment horizontal="center" vertical="center" wrapText="1"/>
    </xf>
    <xf numFmtId="0" fontId="149" fillId="0" borderId="1" xfId="0" applyFont="1" applyBorder="1" applyAlignment="1">
      <alignment horizontal="center" vertical="center" wrapText="1"/>
    </xf>
    <xf numFmtId="0" fontId="57" fillId="0" borderId="1" xfId="12" applyFont="1" applyBorder="1" applyAlignment="1">
      <alignment horizontal="center" vertical="center" wrapText="1"/>
    </xf>
    <xf numFmtId="0" fontId="62" fillId="8" borderId="0" xfId="12" applyFont="1" applyFill="1" applyAlignment="1">
      <alignment horizontal="center" vertical="center"/>
    </xf>
    <xf numFmtId="0" fontId="62" fillId="0" borderId="1" xfId="12" applyFont="1" applyBorder="1" applyAlignment="1">
      <alignment horizontal="center" vertical="center"/>
    </xf>
    <xf numFmtId="2" fontId="62" fillId="0" borderId="1" xfId="12" applyNumberFormat="1" applyFont="1" applyBorder="1" applyAlignment="1">
      <alignment horizontal="center" vertical="center" shrinkToFit="1"/>
    </xf>
    <xf numFmtId="0" fontId="58" fillId="0" borderId="2" xfId="12" applyFont="1" applyBorder="1" applyAlignment="1">
      <alignment horizontal="center" vertical="center" wrapText="1"/>
    </xf>
    <xf numFmtId="0" fontId="58" fillId="0" borderId="4" xfId="12" applyFont="1" applyBorder="1" applyAlignment="1">
      <alignment horizontal="center" vertical="center" wrapText="1"/>
    </xf>
    <xf numFmtId="0" fontId="58" fillId="0" borderId="3" xfId="12" applyFont="1" applyBorder="1" applyAlignment="1">
      <alignment horizontal="center" vertical="center" wrapText="1"/>
    </xf>
    <xf numFmtId="184" fontId="62" fillId="0" borderId="2" xfId="12" applyNumberFormat="1" applyFont="1" applyBorder="1" applyAlignment="1">
      <alignment horizontal="center" vertical="center" shrinkToFit="1"/>
    </xf>
    <xf numFmtId="184" fontId="62" fillId="0" borderId="4" xfId="12" applyNumberFormat="1" applyFont="1" applyBorder="1" applyAlignment="1">
      <alignment horizontal="center" vertical="center" shrinkToFit="1"/>
    </xf>
    <xf numFmtId="184" fontId="62" fillId="0" borderId="3" xfId="12" applyNumberFormat="1" applyFont="1" applyBorder="1" applyAlignment="1">
      <alignment horizontal="center" vertical="center" shrinkToFit="1"/>
    </xf>
    <xf numFmtId="4" fontId="62" fillId="0" borderId="2" xfId="12" applyNumberFormat="1" applyFont="1" applyBorder="1" applyAlignment="1">
      <alignment horizontal="center" vertical="center" shrinkToFit="1"/>
    </xf>
    <xf numFmtId="4" fontId="62" fillId="0" borderId="4" xfId="12" applyNumberFormat="1" applyFont="1" applyBorder="1" applyAlignment="1">
      <alignment horizontal="center" vertical="center" shrinkToFit="1"/>
    </xf>
    <xf numFmtId="4" fontId="62" fillId="0" borderId="3" xfId="12" applyNumberFormat="1" applyFont="1" applyBorder="1" applyAlignment="1">
      <alignment horizontal="center" vertical="center" shrinkToFit="1"/>
    </xf>
    <xf numFmtId="0" fontId="57" fillId="0" borderId="14" xfId="12" applyFont="1" applyBorder="1" applyAlignment="1">
      <alignment horizontal="center" vertical="center" wrapText="1"/>
    </xf>
    <xf numFmtId="0" fontId="57" fillId="0" borderId="10" xfId="12" applyFont="1" applyBorder="1" applyAlignment="1">
      <alignment horizontal="center" vertical="center" wrapText="1"/>
    </xf>
    <xf numFmtId="0" fontId="57" fillId="0" borderId="1" xfId="0" applyFont="1" applyBorder="1" applyAlignment="1">
      <alignment horizontal="center" vertical="center" wrapText="1"/>
    </xf>
    <xf numFmtId="1" fontId="135" fillId="0" borderId="0" xfId="0" applyNumberFormat="1" applyFont="1" applyAlignment="1">
      <alignment horizontal="left" vertical="top" indent="1" shrinkToFit="1"/>
    </xf>
    <xf numFmtId="0" fontId="58" fillId="0" borderId="1" xfId="0" applyFont="1" applyBorder="1" applyAlignment="1">
      <alignment horizontal="center" vertical="center" wrapText="1"/>
    </xf>
    <xf numFmtId="0" fontId="0" fillId="0" borderId="0" xfId="0" applyAlignment="1">
      <alignment horizontal="left" vertical="center" wrapText="1"/>
    </xf>
    <xf numFmtId="1" fontId="135" fillId="0" borderId="0" xfId="0" applyNumberFormat="1" applyFont="1" applyAlignment="1">
      <alignment horizontal="left" vertical="center" indent="1" shrinkToFit="1"/>
    </xf>
    <xf numFmtId="1" fontId="135" fillId="0" borderId="0" xfId="0" applyNumberFormat="1" applyFont="1" applyAlignment="1">
      <alignment horizontal="center" vertical="center" shrinkToFit="1"/>
    </xf>
    <xf numFmtId="4" fontId="62" fillId="0" borderId="1" xfId="12" applyNumberFormat="1" applyFont="1" applyBorder="1" applyAlignment="1">
      <alignment horizontal="center" vertical="center" shrinkToFit="1"/>
    </xf>
    <xf numFmtId="0" fontId="57" fillId="0" borderId="1" xfId="12" applyFont="1" applyBorder="1" applyAlignment="1">
      <alignment horizontal="center" vertical="center"/>
    </xf>
    <xf numFmtId="0" fontId="57" fillId="0" borderId="2" xfId="12" applyFont="1" applyBorder="1" applyAlignment="1">
      <alignment horizontal="center" vertical="center" wrapText="1"/>
    </xf>
    <xf numFmtId="0" fontId="57" fillId="0" borderId="4" xfId="12" applyFont="1" applyBorder="1" applyAlignment="1">
      <alignment horizontal="center" vertical="center" wrapText="1"/>
    </xf>
    <xf numFmtId="0" fontId="57" fillId="0" borderId="3" xfId="12" applyFont="1" applyBorder="1" applyAlignment="1">
      <alignment horizontal="center" vertical="center" wrapText="1"/>
    </xf>
    <xf numFmtId="0" fontId="57" fillId="0" borderId="2" xfId="12" applyFont="1" applyBorder="1" applyAlignment="1">
      <alignment horizontal="center" vertical="center"/>
    </xf>
    <xf numFmtId="0" fontId="57" fillId="0" borderId="3" xfId="12" applyFont="1" applyBorder="1" applyAlignment="1">
      <alignment horizontal="center" vertical="center"/>
    </xf>
    <xf numFmtId="3" fontId="62" fillId="0" borderId="1" xfId="12" applyNumberFormat="1" applyFont="1" applyBorder="1" applyAlignment="1">
      <alignment horizontal="center" vertical="center" shrinkToFit="1"/>
    </xf>
    <xf numFmtId="0" fontId="57" fillId="8" borderId="1" xfId="12" applyFont="1" applyFill="1" applyBorder="1" applyAlignment="1">
      <alignment horizontal="center" vertical="center"/>
    </xf>
    <xf numFmtId="0" fontId="62" fillId="8" borderId="1" xfId="12" applyFont="1" applyFill="1" applyBorder="1" applyAlignment="1">
      <alignment horizontal="center" vertical="center"/>
    </xf>
    <xf numFmtId="2" fontId="62" fillId="0" borderId="2" xfId="12" applyNumberFormat="1" applyFont="1" applyBorder="1" applyAlignment="1">
      <alignment horizontal="center" vertical="center" shrinkToFit="1"/>
    </xf>
    <xf numFmtId="2" fontId="62" fillId="0" borderId="3" xfId="12" applyNumberFormat="1" applyFont="1" applyBorder="1" applyAlignment="1">
      <alignment horizontal="center" vertical="center" shrinkToFit="1"/>
    </xf>
    <xf numFmtId="0" fontId="57" fillId="0" borderId="4" xfId="12" applyFont="1" applyBorder="1" applyAlignment="1">
      <alignment horizontal="center" vertical="center"/>
    </xf>
    <xf numFmtId="3" fontId="62" fillId="0" borderId="2" xfId="12" applyNumberFormat="1" applyFont="1" applyBorder="1" applyAlignment="1">
      <alignment horizontal="center" vertical="center" shrinkToFit="1"/>
    </xf>
    <xf numFmtId="3" fontId="62" fillId="0" borderId="3" xfId="12" applyNumberFormat="1" applyFont="1" applyBorder="1" applyAlignment="1">
      <alignment horizontal="center" vertical="center" shrinkToFit="1"/>
    </xf>
    <xf numFmtId="1" fontId="137" fillId="0" borderId="0" xfId="0" applyNumberFormat="1" applyFont="1" applyAlignment="1">
      <alignment horizontal="center" vertical="center" shrinkToFit="1"/>
    </xf>
    <xf numFmtId="1" fontId="137" fillId="0" borderId="0" xfId="0" applyNumberFormat="1" applyFont="1" applyAlignment="1">
      <alignment horizontal="center" vertical="top" shrinkToFit="1"/>
    </xf>
    <xf numFmtId="3" fontId="62" fillId="0" borderId="4" xfId="12" applyNumberFormat="1" applyFont="1" applyBorder="1" applyAlignment="1">
      <alignment horizontal="center" vertical="center" shrinkToFit="1"/>
    </xf>
    <xf numFmtId="0" fontId="57" fillId="8" borderId="12" xfId="12" applyFont="1" applyFill="1" applyBorder="1" applyAlignment="1">
      <alignment horizontal="center" vertical="center"/>
    </xf>
    <xf numFmtId="0" fontId="57" fillId="8" borderId="11" xfId="12" applyFont="1" applyFill="1" applyBorder="1" applyAlignment="1">
      <alignment horizontal="center" vertical="center"/>
    </xf>
    <xf numFmtId="0" fontId="152" fillId="0" borderId="1" xfId="12" applyFont="1" applyBorder="1" applyAlignment="1">
      <alignment horizontal="center" vertical="center" wrapText="1"/>
    </xf>
    <xf numFmtId="2" fontId="62" fillId="8" borderId="1" xfId="12" applyNumberFormat="1" applyFont="1" applyFill="1" applyBorder="1" applyAlignment="1">
      <alignment horizontal="center" vertical="center" shrinkToFit="1"/>
    </xf>
    <xf numFmtId="0" fontId="149" fillId="0" borderId="2" xfId="0" applyFont="1" applyBorder="1" applyAlignment="1">
      <alignment horizontal="center" vertical="center" wrapText="1"/>
    </xf>
    <xf numFmtId="0" fontId="149" fillId="0" borderId="3" xfId="0" applyFont="1" applyBorder="1" applyAlignment="1">
      <alignment horizontal="center" vertical="center" wrapText="1"/>
    </xf>
    <xf numFmtId="0" fontId="149" fillId="0" borderId="4" xfId="0" applyFont="1" applyBorder="1" applyAlignment="1">
      <alignment horizontal="center" vertical="center" wrapText="1"/>
    </xf>
    <xf numFmtId="0" fontId="149" fillId="0" borderId="1" xfId="0" applyFont="1" applyBorder="1" applyAlignment="1">
      <alignment horizontal="center"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57" fillId="8" borderId="14" xfId="12" applyFont="1" applyFill="1" applyBorder="1" applyAlignment="1">
      <alignment horizontal="center" vertical="center"/>
    </xf>
    <xf numFmtId="0" fontId="57" fillId="8" borderId="13" xfId="12" applyFont="1" applyFill="1" applyBorder="1" applyAlignment="1">
      <alignment horizontal="center" vertical="center"/>
    </xf>
    <xf numFmtId="0" fontId="57" fillId="8" borderId="10" xfId="12" applyFont="1" applyFill="1" applyBorder="1" applyAlignment="1">
      <alignment horizontal="center" vertical="center"/>
    </xf>
    <xf numFmtId="0" fontId="57" fillId="8" borderId="9" xfId="12" applyFont="1" applyFill="1" applyBorder="1" applyAlignment="1">
      <alignment horizontal="center" vertical="center"/>
    </xf>
    <xf numFmtId="0" fontId="57" fillId="8" borderId="6" xfId="12" applyFont="1" applyFill="1" applyBorder="1" applyAlignment="1">
      <alignment horizontal="center" vertical="center"/>
    </xf>
    <xf numFmtId="0" fontId="57" fillId="8" borderId="16" xfId="12" applyFont="1" applyFill="1" applyBorder="1" applyAlignment="1">
      <alignment horizontal="center" vertical="center"/>
    </xf>
    <xf numFmtId="0" fontId="58" fillId="0" borderId="15" xfId="12" applyFont="1" applyBorder="1" applyAlignment="1">
      <alignment horizontal="center" vertical="center" wrapText="1"/>
    </xf>
    <xf numFmtId="0" fontId="57" fillId="10" borderId="6" xfId="12" applyFont="1" applyFill="1" applyBorder="1" applyAlignment="1">
      <alignment horizontal="center" vertical="center"/>
    </xf>
    <xf numFmtId="0" fontId="57" fillId="10" borderId="7" xfId="12" applyFont="1" applyFill="1" applyBorder="1" applyAlignment="1">
      <alignment horizontal="center" vertical="center"/>
    </xf>
    <xf numFmtId="0" fontId="57" fillId="8" borderId="24" xfId="12" applyFont="1" applyFill="1" applyBorder="1" applyAlignment="1">
      <alignment horizontal="center" vertical="center"/>
    </xf>
    <xf numFmtId="0" fontId="57" fillId="8" borderId="0" xfId="12" applyFont="1" applyFill="1" applyAlignment="1">
      <alignment horizontal="center" vertical="center"/>
    </xf>
    <xf numFmtId="0" fontId="58" fillId="0" borderId="19" xfId="12" applyFont="1" applyBorder="1" applyAlignment="1">
      <alignment horizontal="center" vertical="center" wrapText="1"/>
    </xf>
    <xf numFmtId="0" fontId="58" fillId="0" borderId="18" xfId="12" applyFont="1" applyBorder="1" applyAlignment="1">
      <alignment horizontal="center" vertical="center" wrapText="1"/>
    </xf>
    <xf numFmtId="0" fontId="58" fillId="0" borderId="17" xfId="12" applyFont="1" applyBorder="1" applyAlignment="1">
      <alignment horizontal="center" vertical="center" wrapText="1"/>
    </xf>
    <xf numFmtId="184" fontId="62" fillId="0" borderId="1" xfId="12" applyNumberFormat="1" applyFont="1" applyBorder="1" applyAlignment="1">
      <alignment horizontal="center" vertical="center" shrinkToFit="1"/>
    </xf>
    <xf numFmtId="3" fontId="57" fillId="0" borderId="1" xfId="12" applyNumberFormat="1" applyFont="1" applyBorder="1" applyAlignment="1">
      <alignment horizontal="center" vertical="center"/>
    </xf>
    <xf numFmtId="4" fontId="57" fillId="0" borderId="1" xfId="12" applyNumberFormat="1" applyFont="1" applyBorder="1" applyAlignment="1">
      <alignment horizontal="center" vertical="center"/>
    </xf>
    <xf numFmtId="2" fontId="57" fillId="0" borderId="0" xfId="12" applyNumberFormat="1" applyFont="1" applyAlignment="1">
      <alignment horizontal="center" vertical="center"/>
    </xf>
    <xf numFmtId="0" fontId="62" fillId="11" borderId="1" xfId="0" applyFont="1" applyFill="1" applyBorder="1" applyAlignment="1">
      <alignment horizontal="center" vertical="center"/>
    </xf>
    <xf numFmtId="3" fontId="62" fillId="0" borderId="19" xfId="12" applyNumberFormat="1" applyFont="1" applyBorder="1" applyAlignment="1">
      <alignment horizontal="center" vertical="center" shrinkToFit="1"/>
    </xf>
    <xf numFmtId="3" fontId="62" fillId="0" borderId="18" xfId="12" applyNumberFormat="1" applyFont="1" applyBorder="1" applyAlignment="1">
      <alignment horizontal="center" vertical="center" shrinkToFit="1"/>
    </xf>
    <xf numFmtId="3" fontId="62" fillId="0" borderId="17" xfId="12" applyNumberFormat="1" applyFont="1" applyBorder="1" applyAlignment="1">
      <alignment horizontal="center" vertical="center" shrinkToFit="1"/>
    </xf>
    <xf numFmtId="4" fontId="62" fillId="0" borderId="19" xfId="12" applyNumberFormat="1" applyFont="1" applyBorder="1" applyAlignment="1">
      <alignment horizontal="center" vertical="center" shrinkToFit="1"/>
    </xf>
    <xf numFmtId="4" fontId="62" fillId="0" borderId="18" xfId="12" applyNumberFormat="1" applyFont="1" applyBorder="1" applyAlignment="1">
      <alignment horizontal="center" vertical="center" shrinkToFit="1"/>
    </xf>
    <xf numFmtId="4" fontId="62" fillId="0" borderId="17" xfId="12" applyNumberFormat="1" applyFont="1" applyBorder="1" applyAlignment="1">
      <alignment horizontal="center" vertical="center" shrinkToFit="1"/>
    </xf>
    <xf numFmtId="3" fontId="62" fillId="0" borderId="1" xfId="0" applyNumberFormat="1" applyFont="1" applyBorder="1" applyAlignment="1">
      <alignment horizontal="center" vertical="center" shrinkToFit="1"/>
    </xf>
    <xf numFmtId="4" fontId="62" fillId="0" borderId="1" xfId="0" applyNumberFormat="1" applyFont="1" applyBorder="1" applyAlignment="1">
      <alignment horizontal="center" vertical="center" shrinkToFit="1"/>
    </xf>
    <xf numFmtId="0" fontId="58" fillId="0" borderId="2" xfId="0" applyFont="1" applyBorder="1" applyAlignment="1">
      <alignment horizontal="center" vertical="center" wrapText="1"/>
    </xf>
    <xf numFmtId="0" fontId="58" fillId="0" borderId="4" xfId="0" applyFont="1" applyBorder="1" applyAlignment="1">
      <alignment horizontal="center" vertical="center" wrapText="1"/>
    </xf>
    <xf numFmtId="0" fontId="58" fillId="0" borderId="3" xfId="0" applyFont="1" applyBorder="1" applyAlignment="1">
      <alignment horizontal="center" vertical="center" wrapText="1"/>
    </xf>
    <xf numFmtId="0" fontId="57" fillId="0" borderId="2" xfId="0" applyFont="1" applyBorder="1" applyAlignment="1">
      <alignment horizontal="center" vertical="center"/>
    </xf>
    <xf numFmtId="0" fontId="57" fillId="0" borderId="3" xfId="0" applyFont="1" applyBorder="1" applyAlignment="1">
      <alignment horizontal="center" vertical="center"/>
    </xf>
    <xf numFmtId="1" fontId="62" fillId="0" borderId="0" xfId="0" applyNumberFormat="1" applyFont="1" applyAlignment="1">
      <alignment horizontal="center" vertical="center" shrinkToFit="1"/>
    </xf>
    <xf numFmtId="0" fontId="57" fillId="8" borderId="0" xfId="0" applyFont="1" applyFill="1" applyAlignment="1">
      <alignment horizontal="center" vertical="center"/>
    </xf>
    <xf numFmtId="0" fontId="57" fillId="0" borderId="1" xfId="0" applyFont="1" applyBorder="1" applyAlignment="1">
      <alignment horizontal="center" vertical="center"/>
    </xf>
    <xf numFmtId="4" fontId="57" fillId="0" borderId="1" xfId="0" applyNumberFormat="1" applyFont="1" applyBorder="1" applyAlignment="1">
      <alignment horizontal="center" vertical="center" shrinkToFit="1"/>
    </xf>
    <xf numFmtId="3" fontId="57" fillId="0" borderId="1" xfId="0" applyNumberFormat="1" applyFont="1" applyBorder="1" applyAlignment="1">
      <alignment horizontal="center" vertical="center" shrinkToFit="1"/>
    </xf>
    <xf numFmtId="2" fontId="62" fillId="0" borderId="1" xfId="0" applyNumberFormat="1" applyFont="1" applyBorder="1" applyAlignment="1">
      <alignment horizontal="center" vertical="center" shrinkToFit="1"/>
    </xf>
    <xf numFmtId="0" fontId="58" fillId="0" borderId="19" xfId="0" applyFont="1" applyBorder="1" applyAlignment="1">
      <alignment horizontal="center" vertical="center" wrapText="1"/>
    </xf>
    <xf numFmtId="0" fontId="58" fillId="0" borderId="18" xfId="0" applyFont="1" applyBorder="1" applyAlignment="1">
      <alignment horizontal="center" vertical="center" wrapText="1"/>
    </xf>
    <xf numFmtId="0" fontId="58" fillId="0" borderId="17" xfId="0" applyFont="1" applyBorder="1" applyAlignment="1">
      <alignment horizontal="center" vertical="center" wrapText="1"/>
    </xf>
    <xf numFmtId="0" fontId="58" fillId="0" borderId="12" xfId="0" applyFont="1" applyBorder="1" applyAlignment="1">
      <alignment horizontal="center" vertical="center" wrapText="1"/>
    </xf>
    <xf numFmtId="4" fontId="62" fillId="0" borderId="12" xfId="0" applyNumberFormat="1" applyFont="1" applyBorder="1" applyAlignment="1">
      <alignment horizontal="center" vertical="center" shrinkToFit="1"/>
    </xf>
    <xf numFmtId="0" fontId="62" fillId="8" borderId="6" xfId="0" applyFont="1" applyFill="1" applyBorder="1" applyAlignment="1">
      <alignment horizontal="center" vertical="center"/>
    </xf>
    <xf numFmtId="0" fontId="62" fillId="8" borderId="7" xfId="0" applyFont="1" applyFill="1" applyBorder="1" applyAlignment="1">
      <alignment horizontal="center" vertical="center"/>
    </xf>
    <xf numFmtId="0" fontId="62" fillId="11" borderId="6" xfId="0" applyFont="1" applyFill="1" applyBorder="1" applyAlignment="1">
      <alignment horizontal="center" vertical="center"/>
    </xf>
    <xf numFmtId="0" fontId="62" fillId="11" borderId="7" xfId="0" applyFont="1" applyFill="1" applyBorder="1" applyAlignment="1">
      <alignment horizontal="center" vertical="center"/>
    </xf>
    <xf numFmtId="0" fontId="62" fillId="12" borderId="1" xfId="0" applyFont="1" applyFill="1" applyBorder="1" applyAlignment="1">
      <alignment horizontal="center" vertical="center"/>
    </xf>
    <xf numFmtId="0" fontId="58" fillId="3" borderId="6" xfId="0" applyFont="1" applyFill="1" applyBorder="1" applyAlignment="1">
      <alignment horizontal="center" vertical="center"/>
    </xf>
    <xf numFmtId="0" fontId="58" fillId="3" borderId="7" xfId="0" applyFont="1" applyFill="1" applyBorder="1" applyAlignment="1">
      <alignment horizontal="center" vertical="center"/>
    </xf>
    <xf numFmtId="0" fontId="57" fillId="3" borderId="6" xfId="0" applyFont="1" applyFill="1" applyBorder="1" applyAlignment="1">
      <alignment horizontal="center" vertical="center"/>
    </xf>
    <xf numFmtId="0" fontId="57" fillId="3" borderId="7" xfId="0" applyFont="1" applyFill="1" applyBorder="1" applyAlignment="1">
      <alignment horizontal="center" vertical="center"/>
    </xf>
    <xf numFmtId="2" fontId="66" fillId="0" borderId="2" xfId="10" applyNumberFormat="1" applyFont="1" applyBorder="1" applyAlignment="1">
      <alignment horizontal="center" vertical="center"/>
    </xf>
    <xf numFmtId="2" fontId="66" fillId="0" borderId="3" xfId="10" applyNumberFormat="1" applyFont="1" applyBorder="1" applyAlignment="1">
      <alignment horizontal="center" vertical="center"/>
    </xf>
    <xf numFmtId="2" fontId="40" fillId="0" borderId="1" xfId="10" applyNumberFormat="1" applyFont="1" applyBorder="1" applyAlignment="1">
      <alignment horizontal="center" vertical="center"/>
    </xf>
    <xf numFmtId="0" fontId="58" fillId="0" borderId="2" xfId="10" applyFont="1" applyBorder="1" applyAlignment="1">
      <alignment horizontal="center" vertical="center"/>
    </xf>
    <xf numFmtId="0" fontId="58" fillId="0" borderId="3" xfId="10" applyFont="1" applyBorder="1" applyAlignment="1">
      <alignment horizontal="center" vertical="center"/>
    </xf>
    <xf numFmtId="2" fontId="66" fillId="0" borderId="1" xfId="10" applyNumberFormat="1" applyFont="1" applyBorder="1" applyAlignment="1">
      <alignment horizontal="center" vertical="center"/>
    </xf>
    <xf numFmtId="0" fontId="58" fillId="0" borderId="4" xfId="10" applyFont="1" applyBorder="1" applyAlignment="1">
      <alignment horizontal="center" vertical="center"/>
    </xf>
    <xf numFmtId="2" fontId="65" fillId="0" borderId="1" xfId="10" applyNumberFormat="1" applyFont="1" applyBorder="1" applyAlignment="1">
      <alignment horizontal="center" vertical="center"/>
    </xf>
    <xf numFmtId="2" fontId="65" fillId="0" borderId="2" xfId="10" applyNumberFormat="1" applyFont="1" applyBorder="1" applyAlignment="1">
      <alignment horizontal="center" vertical="center"/>
    </xf>
    <xf numFmtId="2" fontId="65" fillId="0" borderId="3" xfId="10" applyNumberFormat="1" applyFont="1" applyBorder="1" applyAlignment="1">
      <alignment horizontal="center" vertical="center"/>
    </xf>
    <xf numFmtId="2" fontId="65" fillId="0" borderId="4" xfId="10" applyNumberFormat="1" applyFont="1" applyBorder="1" applyAlignment="1">
      <alignment horizontal="center" vertical="center"/>
    </xf>
    <xf numFmtId="0" fontId="57" fillId="0" borderId="2" xfId="10" applyFont="1" applyBorder="1" applyAlignment="1">
      <alignment horizontal="center" vertical="center"/>
    </xf>
    <xf numFmtId="0" fontId="57" fillId="0" borderId="4" xfId="10" applyFont="1" applyBorder="1" applyAlignment="1">
      <alignment horizontal="center" vertical="center"/>
    </xf>
    <xf numFmtId="0" fontId="57" fillId="0" borderId="3" xfId="10" applyFont="1" applyBorder="1" applyAlignment="1">
      <alignment horizontal="center" vertical="center"/>
    </xf>
    <xf numFmtId="0" fontId="58" fillId="0" borderId="1" xfId="10" applyFont="1" applyBorder="1" applyAlignment="1">
      <alignment horizontal="center" vertical="center"/>
    </xf>
    <xf numFmtId="2" fontId="66" fillId="0" borderId="4" xfId="10" applyNumberFormat="1" applyFont="1" applyBorder="1" applyAlignment="1">
      <alignment horizontal="center" vertical="center"/>
    </xf>
    <xf numFmtId="0" fontId="58" fillId="0" borderId="0" xfId="10" applyFont="1" applyAlignment="1">
      <alignment horizontal="center" vertical="center"/>
    </xf>
    <xf numFmtId="0" fontId="58" fillId="0" borderId="11" xfId="10" applyFont="1" applyBorder="1" applyAlignment="1">
      <alignment horizontal="center" vertical="center"/>
    </xf>
    <xf numFmtId="0" fontId="57" fillId="0" borderId="11" xfId="10" applyFont="1" applyBorder="1" applyAlignment="1">
      <alignment horizontal="center" vertical="center"/>
    </xf>
    <xf numFmtId="0" fontId="57" fillId="0" borderId="0" xfId="10" applyFont="1" applyAlignment="1">
      <alignment horizontal="center" vertical="center"/>
    </xf>
    <xf numFmtId="0" fontId="57" fillId="0" borderId="1" xfId="10" applyFont="1" applyBorder="1" applyAlignment="1">
      <alignment horizontal="center" vertical="center"/>
    </xf>
    <xf numFmtId="2" fontId="58" fillId="0" borderId="1" xfId="10" applyNumberFormat="1" applyFont="1" applyBorder="1" applyAlignment="1">
      <alignment horizontal="center" vertical="center"/>
    </xf>
    <xf numFmtId="4" fontId="7" fillId="0" borderId="2" xfId="10" applyNumberFormat="1" applyFont="1" applyBorder="1" applyAlignment="1">
      <alignment horizontal="center" vertical="center"/>
    </xf>
    <xf numFmtId="4" fontId="7" fillId="0" borderId="4" xfId="10" applyNumberFormat="1" applyFont="1" applyBorder="1" applyAlignment="1">
      <alignment horizontal="center" vertical="center"/>
    </xf>
    <xf numFmtId="4" fontId="7" fillId="0" borderId="3" xfId="10" applyNumberFormat="1" applyFont="1" applyBorder="1" applyAlignment="1">
      <alignment horizontal="center" vertical="center"/>
    </xf>
    <xf numFmtId="4" fontId="40" fillId="0" borderId="2" xfId="11" applyNumberFormat="1" applyFont="1" applyBorder="1" applyAlignment="1">
      <alignment horizontal="center" vertical="center"/>
    </xf>
    <xf numFmtId="4" fontId="40" fillId="0" borderId="4" xfId="11" applyNumberFormat="1" applyFont="1" applyBorder="1" applyAlignment="1">
      <alignment horizontal="center" vertical="center"/>
    </xf>
    <xf numFmtId="4" fontId="40" fillId="0" borderId="3" xfId="11" applyNumberFormat="1" applyFont="1" applyBorder="1" applyAlignment="1">
      <alignment horizontal="center" vertical="center"/>
    </xf>
    <xf numFmtId="2" fontId="40" fillId="0" borderId="2" xfId="10" applyNumberFormat="1" applyFont="1" applyBorder="1" applyAlignment="1">
      <alignment horizontal="center" vertical="center"/>
    </xf>
    <xf numFmtId="2" fontId="40" fillId="0" borderId="4" xfId="10" applyNumberFormat="1" applyFont="1" applyBorder="1" applyAlignment="1">
      <alignment horizontal="center" vertical="center"/>
    </xf>
    <xf numFmtId="2" fontId="40" fillId="0" borderId="3" xfId="10" applyNumberFormat="1" applyFont="1" applyBorder="1" applyAlignment="1">
      <alignment horizontal="center" vertical="center"/>
    </xf>
    <xf numFmtId="179" fontId="57" fillId="0" borderId="2" xfId="10" applyNumberFormat="1" applyFont="1" applyBorder="1" applyAlignment="1">
      <alignment horizontal="center" vertical="center"/>
    </xf>
    <xf numFmtId="179" fontId="57" fillId="0" borderId="3" xfId="10" applyNumberFormat="1" applyFont="1" applyBorder="1" applyAlignment="1">
      <alignment horizontal="center" vertical="center"/>
    </xf>
    <xf numFmtId="179" fontId="57" fillId="0" borderId="4" xfId="10" applyNumberFormat="1" applyFont="1" applyBorder="1" applyAlignment="1">
      <alignment horizontal="center" vertical="center"/>
    </xf>
    <xf numFmtId="49" fontId="57" fillId="0" borderId="2" xfId="10" applyNumberFormat="1" applyFont="1" applyBorder="1" applyAlignment="1">
      <alignment horizontal="center" vertical="center"/>
    </xf>
    <xf numFmtId="49" fontId="57" fillId="0" borderId="4" xfId="10" applyNumberFormat="1" applyFont="1" applyBorder="1" applyAlignment="1">
      <alignment horizontal="center" vertical="center"/>
    </xf>
    <xf numFmtId="49" fontId="57" fillId="0" borderId="3" xfId="10" applyNumberFormat="1" applyFont="1" applyBorder="1" applyAlignment="1">
      <alignment horizontal="center" vertical="center"/>
    </xf>
    <xf numFmtId="0" fontId="58" fillId="0" borderId="6" xfId="10" applyFont="1" applyBorder="1" applyAlignment="1">
      <alignment horizontal="center" vertical="center"/>
    </xf>
    <xf numFmtId="0" fontId="58" fillId="0" borderId="7" xfId="10" applyFont="1" applyBorder="1" applyAlignment="1">
      <alignment horizontal="center" vertical="center"/>
    </xf>
    <xf numFmtId="178" fontId="57" fillId="0" borderId="2" xfId="10" applyNumberFormat="1" applyFont="1" applyBorder="1" applyAlignment="1">
      <alignment horizontal="center" vertical="center"/>
    </xf>
    <xf numFmtId="178" fontId="57" fillId="0" borderId="4" xfId="10" applyNumberFormat="1" applyFont="1" applyBorder="1" applyAlignment="1">
      <alignment horizontal="center" vertical="center"/>
    </xf>
    <xf numFmtId="178" fontId="57" fillId="0" borderId="3" xfId="10" applyNumberFormat="1" applyFont="1" applyBorder="1" applyAlignment="1">
      <alignment horizontal="center" vertical="center"/>
    </xf>
    <xf numFmtId="2" fontId="65" fillId="0" borderId="6" xfId="10" applyNumberFormat="1" applyFont="1" applyBorder="1" applyAlignment="1">
      <alignment horizontal="center" vertical="center"/>
    </xf>
    <xf numFmtId="2" fontId="65" fillId="0" borderId="7" xfId="10" applyNumberFormat="1" applyFont="1" applyBorder="1" applyAlignment="1">
      <alignment horizontal="center" vertical="center"/>
    </xf>
    <xf numFmtId="2" fontId="65" fillId="0" borderId="0" xfId="10" applyNumberFormat="1" applyFont="1" applyAlignment="1">
      <alignment horizontal="center" vertical="center"/>
    </xf>
    <xf numFmtId="0" fontId="57" fillId="4" borderId="1" xfId="10" applyFont="1" applyFill="1" applyBorder="1" applyAlignment="1">
      <alignment horizontal="center" vertical="center"/>
    </xf>
    <xf numFmtId="21" fontId="7" fillId="0" borderId="1" xfId="10" applyNumberFormat="1" applyFont="1" applyBorder="1" applyAlignment="1">
      <alignment horizontal="center" vertical="center"/>
    </xf>
    <xf numFmtId="178" fontId="64" fillId="0" borderId="2" xfId="10" applyNumberFormat="1" applyFont="1" applyBorder="1" applyAlignment="1">
      <alignment horizontal="center" vertical="center"/>
    </xf>
    <xf numFmtId="178" fontId="64" fillId="0" borderId="3" xfId="10" applyNumberFormat="1" applyFont="1" applyBorder="1" applyAlignment="1">
      <alignment horizontal="center" vertical="center"/>
    </xf>
    <xf numFmtId="2" fontId="65" fillId="0" borderId="16" xfId="10" applyNumberFormat="1" applyFont="1" applyBorder="1" applyAlignment="1">
      <alignment horizontal="center" vertical="center"/>
    </xf>
    <xf numFmtId="2" fontId="57" fillId="0" borderId="2" xfId="10" applyNumberFormat="1" applyFont="1" applyBorder="1" applyAlignment="1">
      <alignment horizontal="center" vertical="center"/>
    </xf>
    <xf numFmtId="2" fontId="57" fillId="0" borderId="3" xfId="10" applyNumberFormat="1" applyFont="1" applyBorder="1" applyAlignment="1">
      <alignment horizontal="center" vertical="center"/>
    </xf>
    <xf numFmtId="2" fontId="57" fillId="0" borderId="4" xfId="10" applyNumberFormat="1" applyFont="1" applyBorder="1" applyAlignment="1">
      <alignment horizontal="center" vertical="center"/>
    </xf>
    <xf numFmtId="2" fontId="7" fillId="0" borderId="2" xfId="10" applyNumberFormat="1" applyFont="1" applyBorder="1" applyAlignment="1">
      <alignment horizontal="center" vertical="center"/>
    </xf>
    <xf numFmtId="2" fontId="7" fillId="0" borderId="4" xfId="10" applyNumberFormat="1" applyFont="1" applyBorder="1" applyAlignment="1">
      <alignment horizontal="center" vertical="center"/>
    </xf>
    <xf numFmtId="2" fontId="7" fillId="0" borderId="3" xfId="10" applyNumberFormat="1" applyFont="1" applyBorder="1" applyAlignment="1">
      <alignment horizontal="center" vertical="center"/>
    </xf>
    <xf numFmtId="2" fontId="58" fillId="0" borderId="6" xfId="10" applyNumberFormat="1" applyFont="1" applyBorder="1" applyAlignment="1">
      <alignment horizontal="center" vertical="center"/>
    </xf>
    <xf numFmtId="2" fontId="58" fillId="0" borderId="7" xfId="10" applyNumberFormat="1" applyFont="1" applyBorder="1" applyAlignment="1">
      <alignment horizontal="center" vertical="center"/>
    </xf>
    <xf numFmtId="179" fontId="57" fillId="0" borderId="2" xfId="10" applyNumberFormat="1" applyFont="1" applyBorder="1" applyAlignment="1">
      <alignment horizontal="left" vertical="center"/>
    </xf>
    <xf numFmtId="179" fontId="57" fillId="0" borderId="3" xfId="10" applyNumberFormat="1" applyFont="1" applyBorder="1" applyAlignment="1">
      <alignment horizontal="left" vertical="center"/>
    </xf>
    <xf numFmtId="0" fontId="45" fillId="0" borderId="0" xfId="0" applyFont="1" applyAlignment="1">
      <alignment horizontal="center" vertical="center"/>
    </xf>
    <xf numFmtId="0" fontId="45" fillId="0" borderId="0" xfId="0" applyFont="1" applyAlignment="1">
      <alignment horizontal="right" vertical="center"/>
    </xf>
    <xf numFmtId="4" fontId="45" fillId="0" borderId="0" xfId="0" applyNumberFormat="1" applyFont="1" applyAlignment="1">
      <alignment horizontal="left" vertical="center"/>
    </xf>
    <xf numFmtId="0" fontId="89" fillId="0" borderId="0" xfId="0" applyFont="1" applyAlignment="1">
      <alignment horizontal="center" vertical="center" wrapText="1"/>
    </xf>
    <xf numFmtId="0" fontId="24" fillId="0" borderId="0" xfId="0" applyFont="1" applyAlignment="1">
      <alignment horizontal="center" vertical="center"/>
    </xf>
    <xf numFmtId="0" fontId="24" fillId="0" borderId="0" xfId="0" applyFont="1" applyAlignment="1">
      <alignment horizontal="right" vertical="center"/>
    </xf>
    <xf numFmtId="0" fontId="24" fillId="0" borderId="0" xfId="0" applyFont="1">
      <alignment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7" xfId="0" applyBorder="1" applyAlignment="1">
      <alignment horizontal="center" vertical="center"/>
    </xf>
    <xf numFmtId="2" fontId="0" fillId="0" borderId="6" xfId="0" applyNumberFormat="1" applyBorder="1" applyAlignment="1">
      <alignment horizontal="center" vertical="center"/>
    </xf>
    <xf numFmtId="2" fontId="0" fillId="0" borderId="16" xfId="0" applyNumberFormat="1" applyBorder="1" applyAlignment="1">
      <alignment horizontal="center" vertical="center"/>
    </xf>
    <xf numFmtId="2" fontId="0" fillId="0" borderId="7" xfId="0" applyNumberFormat="1" applyBorder="1" applyAlignment="1">
      <alignment horizontal="center" vertical="center"/>
    </xf>
    <xf numFmtId="1" fontId="0" fillId="0" borderId="6" xfId="0" applyNumberFormat="1" applyBorder="1" applyAlignment="1">
      <alignment horizontal="center" vertical="center"/>
    </xf>
    <xf numFmtId="1" fontId="0" fillId="0" borderId="16" xfId="0" applyNumberFormat="1" applyBorder="1" applyAlignment="1">
      <alignment horizontal="center" vertical="center"/>
    </xf>
    <xf numFmtId="1" fontId="0" fillId="0" borderId="7" xfId="0" applyNumberFormat="1" applyBorder="1" applyAlignment="1">
      <alignment horizontal="center" vertical="center"/>
    </xf>
  </cellXfs>
  <cellStyles count="27">
    <cellStyle name="Comma 2" xfId="6" xr:uid="{00000000-0005-0000-0000-000000000000}"/>
    <cellStyle name="Comma 2 2" xfId="11" xr:uid="{00000000-0005-0000-0000-000001000000}"/>
    <cellStyle name="Currency 2" xfId="9" xr:uid="{00000000-0005-0000-0000-000002000000}"/>
    <cellStyle name="Currency 2 2" xfId="13" xr:uid="{00000000-0005-0000-0000-000003000000}"/>
    <cellStyle name="Hyperlink 2" xfId="5" xr:uid="{00000000-0005-0000-0000-000007000000}"/>
    <cellStyle name="Normal 2" xfId="3" xr:uid="{00000000-0005-0000-0000-000009000000}"/>
    <cellStyle name="Normal 2 2" xfId="14" xr:uid="{00000000-0005-0000-0000-00000A000000}"/>
    <cellStyle name="Normal 2 3" xfId="18" xr:uid="{00000000-0005-0000-0000-00000B000000}"/>
    <cellStyle name="Normal 3" xfId="4" xr:uid="{00000000-0005-0000-0000-00000C000000}"/>
    <cellStyle name="Normal 3 2" xfId="10" xr:uid="{00000000-0005-0000-0000-00000D000000}"/>
    <cellStyle name="Normal 4" xfId="8" xr:uid="{00000000-0005-0000-0000-00000E000000}"/>
    <cellStyle name="Normal 4 2" xfId="12" xr:uid="{00000000-0005-0000-0000-00000F000000}"/>
    <cellStyle name="Normal 4 3" xfId="17" xr:uid="{00000000-0005-0000-0000-000010000000}"/>
    <cellStyle name="Normal 5" xfId="19" xr:uid="{00000000-0005-0000-0000-000011000000}"/>
    <cellStyle name="Percent 2" xfId="7" xr:uid="{00000000-0005-0000-0000-000013000000}"/>
    <cellStyle name="Percent 2 2" xfId="15" xr:uid="{00000000-0005-0000-0000-000014000000}"/>
    <cellStyle name="Percent 2 2 2" xfId="20" xr:uid="{00000000-0005-0000-0000-000015000000}"/>
    <cellStyle name="Percent 2 3" xfId="21" xr:uid="{00000000-0005-0000-0000-000016000000}"/>
    <cellStyle name="Percent 3" xfId="22" xr:uid="{00000000-0005-0000-0000-000017000000}"/>
    <cellStyle name="Percent 4" xfId="23" xr:uid="{00000000-0005-0000-0000-000018000000}"/>
    <cellStyle name="Percent 5" xfId="24" xr:uid="{00000000-0005-0000-0000-000019000000}"/>
    <cellStyle name="百分比" xfId="2" builtinId="5"/>
    <cellStyle name="常规" xfId="0" builtinId="0"/>
    <cellStyle name="超链接" xfId="1" builtinId="8"/>
    <cellStyle name="普通 2" xfId="16" xr:uid="{00000000-0005-0000-0000-00001A000000}"/>
    <cellStyle name="已访问的超链接" xfId="25" builtinId="9" hidden="1"/>
    <cellStyle name="已访问的超链接" xfId="26" builtinId="9" hidden="1"/>
  </cellStyles>
  <dxfs count="0"/>
  <tableStyles count="0" defaultTableStyle="TableStyleMedium2" defaultPivotStyle="PivotStyleLight16"/>
  <colors>
    <mruColors>
      <color rgb="FFF5D4E2"/>
      <color rgb="FFFEF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tatic.cninfo.com.cn/finalpage/2017-10-31/1204098608.PDF" TargetMode="External"/><Relationship Id="rId299" Type="http://schemas.openxmlformats.org/officeDocument/2006/relationships/hyperlink" Target="http://static.cninfo.com.cn/finalpage/2016-05-04/1202287780.PDF" TargetMode="External"/><Relationship Id="rId21" Type="http://schemas.openxmlformats.org/officeDocument/2006/relationships/hyperlink" Target="http://data.eastmoney.com/notices/detail/002132/AN201610110021804309,JUU2JTgxJTkyJUU2JTk4JTlGJUU3JUE3JTkxJUU2JThBJTgw.html" TargetMode="External"/><Relationship Id="rId63" Type="http://schemas.openxmlformats.org/officeDocument/2006/relationships/hyperlink" Target="http://static.cninfo.com.cn/finalpage/2017-09-19/1203981960.PDF" TargetMode="External"/><Relationship Id="rId159" Type="http://schemas.openxmlformats.org/officeDocument/2006/relationships/hyperlink" Target="http://data.eastmoney.com/notices/detail/000903/AN201612190200519679,JUU0JUJBJTkxJUU1JTg2JTg1JUU1JThBJUE4JUU1JThBJTlC.html" TargetMode="External"/><Relationship Id="rId324" Type="http://schemas.openxmlformats.org/officeDocument/2006/relationships/hyperlink" Target="http://static.cninfo.com.cn/finalpage/2016-05-13/1202321406.PDF" TargetMode="External"/><Relationship Id="rId366" Type="http://schemas.openxmlformats.org/officeDocument/2006/relationships/hyperlink" Target="http://static.cninfo.com.cn/finalpage/2017-06-24/1203644172.PDF" TargetMode="External"/><Relationship Id="rId531" Type="http://schemas.openxmlformats.org/officeDocument/2006/relationships/hyperlink" Target="http://static.cninfo.com.cn/finalpage/2017-09-06/1203938593.PDF" TargetMode="External"/><Relationship Id="rId573" Type="http://schemas.openxmlformats.org/officeDocument/2006/relationships/hyperlink" Target="http://data.eastmoney.com/notices/detail/300113/AN201604050014231146,JUU5JUExJUJBJUU3JUJEJTkxJUU3JUE3JTkxJUU2JThBJTgw.html" TargetMode="External"/><Relationship Id="rId629" Type="http://schemas.openxmlformats.org/officeDocument/2006/relationships/hyperlink" Target="http://static.cninfo.com.cn/finalpage/2017-01-26/1203056221.PDF" TargetMode="External"/><Relationship Id="rId170" Type="http://schemas.openxmlformats.org/officeDocument/2006/relationships/hyperlink" Target="http://data.eastmoney.com/notices/detail/600336/AN201612300223567981,JUU2JUJFJUIzJUU2JTlGJUFGJUU3JThFJTlC.html" TargetMode="External"/><Relationship Id="rId226" Type="http://schemas.openxmlformats.org/officeDocument/2006/relationships/hyperlink" Target="http://www.cninfo.com.cn/new/disclosure/detail?plate=szse&amp;orgId=9900018893&amp;stockCode=002568&amp;announcementId=1204220587&amp;announcementTime=2017-12-13%2008:00" TargetMode="External"/><Relationship Id="rId433" Type="http://schemas.openxmlformats.org/officeDocument/2006/relationships/hyperlink" Target="http://static.cninfo.com.cn/finalpage/2016-08-03/1202532215.PDF" TargetMode="External"/><Relationship Id="rId268" Type="http://schemas.openxmlformats.org/officeDocument/2006/relationships/hyperlink" Target="http://static.cninfo.com.cn/finalpage/2017-05-03/1203470042.PDF" TargetMode="External"/><Relationship Id="rId475" Type="http://schemas.openxmlformats.org/officeDocument/2006/relationships/hyperlink" Target="http://static.cninfo.com.cn/finalpage/2017-08-21/1203835410.PDF" TargetMode="External"/><Relationship Id="rId640" Type="http://schemas.openxmlformats.org/officeDocument/2006/relationships/hyperlink" Target="http://static.cninfo.com.cn/finalpage/2017-04-10/1203274259.PDF" TargetMode="External"/><Relationship Id="rId32" Type="http://schemas.openxmlformats.org/officeDocument/2006/relationships/hyperlink" Target="http://data.eastmoney.com/notices/detail/002226/AN201610180021906800,JUU2JUIxJTlGJUU1JThEJTk3JUU1JThDJTk2JUU1JUI3JUE1.html" TargetMode="External"/><Relationship Id="rId74" Type="http://schemas.openxmlformats.org/officeDocument/2006/relationships/hyperlink" Target="http://static.cninfo.com.cn/finalpage/2017-10-10/1204020929.PDF" TargetMode="External"/><Relationship Id="rId128" Type="http://schemas.openxmlformats.org/officeDocument/2006/relationships/hyperlink" Target="http://pdf.dfcfw.com/pdf/H2_AN201609060017512520_1.pdf" TargetMode="External"/><Relationship Id="rId335" Type="http://schemas.openxmlformats.org/officeDocument/2006/relationships/hyperlink" Target="http://static.cninfo.com.cn/finalpage/2017-06-15/1203616329.PDF" TargetMode="External"/><Relationship Id="rId377" Type="http://schemas.openxmlformats.org/officeDocument/2006/relationships/hyperlink" Target="http://static.cninfo.com.cn/finalpage/2017-07-04/1203677847.PDF" TargetMode="External"/><Relationship Id="rId500" Type="http://schemas.openxmlformats.org/officeDocument/2006/relationships/hyperlink" Target="http://static.cninfo.com.cn/finalpage/2016-09-03/1202672480.PDF" TargetMode="External"/><Relationship Id="rId542" Type="http://schemas.openxmlformats.org/officeDocument/2006/relationships/hyperlink" Target="http://static.cninfo.com.cn/finalpage/2017-09-11/1203960065.PDF" TargetMode="External"/><Relationship Id="rId584" Type="http://schemas.openxmlformats.org/officeDocument/2006/relationships/hyperlink" Target="http://data.eastmoney.com/notices/detail/601555/AN201601210013220650,JUU0JUI4JTlDJUU1JTkwJUI0JUU4JUFGJTgxJUU1JTg4JUI4.html" TargetMode="External"/><Relationship Id="rId5" Type="http://schemas.openxmlformats.org/officeDocument/2006/relationships/hyperlink" Target="http://pdf.dfcfw.com/pdf/H2_AN201609200017681744_1.pdf" TargetMode="External"/><Relationship Id="rId181" Type="http://schemas.openxmlformats.org/officeDocument/2006/relationships/hyperlink" Target="http://data.eastmoney.com/notices/detail/600309/AN201701170273850641,JUU0JUI4JTg3JUU1JThEJThFJUU1JThDJTk2JUU1JUFEJUE2.html" TargetMode="External"/><Relationship Id="rId237" Type="http://schemas.openxmlformats.org/officeDocument/2006/relationships/hyperlink" Target="http://www.cninfo.com.cn/new/disclosure/detail?plate=szse&amp;orgId=9900023753&amp;stockCode=002770&amp;announcementId=1204249557&amp;announcementTime=2017-12-24%2008:00" TargetMode="External"/><Relationship Id="rId402" Type="http://schemas.openxmlformats.org/officeDocument/2006/relationships/hyperlink" Target="http://static.cninfo.com.cn/finalpage/2017-07-17/1203708969.PDF" TargetMode="External"/><Relationship Id="rId279" Type="http://schemas.openxmlformats.org/officeDocument/2006/relationships/hyperlink" Target="http://static.cninfo.com.cn/finalpage/2017-05-04/1203474410.PDF" TargetMode="External"/><Relationship Id="rId444" Type="http://schemas.openxmlformats.org/officeDocument/2006/relationships/hyperlink" Target="http://static.cninfo.com.cn/finalpage/2017-08-14/1203790399.PDF" TargetMode="External"/><Relationship Id="rId486" Type="http://schemas.openxmlformats.org/officeDocument/2006/relationships/hyperlink" Target="http://static.cninfo.com.cn/finalpage/2016-08-25/1202613768.PDF" TargetMode="External"/><Relationship Id="rId651" Type="http://schemas.openxmlformats.org/officeDocument/2006/relationships/hyperlink" Target="http://static.cninfo.com.cn/finalpage/2017-05-24/1203565992.PDF" TargetMode="External"/><Relationship Id="rId43" Type="http://schemas.openxmlformats.org/officeDocument/2006/relationships/hyperlink" Target="http://data.eastmoney.com/notices/detail/002130/AN201610270031027129,JUU2JUIyJTgzJUU1JUIwJTk0JUU2JUEwJUI4JUU2JTlEJTkw.html" TargetMode="External"/><Relationship Id="rId139" Type="http://schemas.openxmlformats.org/officeDocument/2006/relationships/hyperlink" Target="http://data.eastmoney.com/notices/detail/002776/AN201611170106970772,JUU2JTlGJThGJUU1JUEwJUExJUU5JUJFJTk5.html" TargetMode="External"/><Relationship Id="rId290" Type="http://schemas.openxmlformats.org/officeDocument/2006/relationships/hyperlink" Target="http://static.cninfo.com.cn/finalpage/2016-05-13/1202318482.PDF" TargetMode="External"/><Relationship Id="rId304" Type="http://schemas.openxmlformats.org/officeDocument/2006/relationships/hyperlink" Target="http://static.cninfo.com.cn/finalpage/2016-05-25/1202338585.PDF" TargetMode="External"/><Relationship Id="rId346" Type="http://schemas.openxmlformats.org/officeDocument/2006/relationships/hyperlink" Target="http://static.cninfo.com.cn/finalpage/2017-06-23/1203641601.PDF" TargetMode="External"/><Relationship Id="rId388" Type="http://schemas.openxmlformats.org/officeDocument/2006/relationships/hyperlink" Target="http://static.cninfo.com.cn/finalpage/2017-07-14/1203707225.PDF" TargetMode="External"/><Relationship Id="rId511" Type="http://schemas.openxmlformats.org/officeDocument/2006/relationships/hyperlink" Target="http://static.cninfo.com.cn/finalpage/2017-09-01/1203920739.PDF" TargetMode="External"/><Relationship Id="rId553" Type="http://schemas.openxmlformats.org/officeDocument/2006/relationships/hyperlink" Target="http://static.cninfo.com.cn/finalpage/2016-09-22/1202716932.PDF" TargetMode="External"/><Relationship Id="rId609" Type="http://schemas.openxmlformats.org/officeDocument/2006/relationships/hyperlink" Target="http://data.eastmoney.com/notices/detail/300250/AN201604050014237363,JUU1JTg4JTlEJUU3JTgxJUI1JUU0JUJGJUExJUU2JTgxJUFG.html" TargetMode="External"/><Relationship Id="rId85" Type="http://schemas.openxmlformats.org/officeDocument/2006/relationships/hyperlink" Target="http://static.cninfo.com.cn/finalpage/2017-10-12/1204030631.PDF" TargetMode="External"/><Relationship Id="rId150" Type="http://schemas.openxmlformats.org/officeDocument/2006/relationships/hyperlink" Target="http://data.eastmoney.com/notices/detail/600072/AN201612080171150312,JUU0JUI4JUFEJUU4JTg4JUI5JUU3JUE3JTkxJUU2JThBJTgw.html" TargetMode="External"/><Relationship Id="rId192" Type="http://schemas.openxmlformats.org/officeDocument/2006/relationships/hyperlink" Target="http://data.eastmoney.com/notices/detail/300003/AN201612280219680813,JUU0JUI5JTkwJUU2JTk5JUFFJUU1JThDJUJCJUU3JTk2JTk3.html" TargetMode="External"/><Relationship Id="rId206" Type="http://schemas.openxmlformats.org/officeDocument/2006/relationships/hyperlink" Target="http://www.cninfo.com.cn/new/disclosure/detail?plate=sse&amp;orgId=gssh0600258&amp;stockCode=600258&amp;announcementId=1204295965&amp;announcementTime=2018-01-01%2008:00" TargetMode="External"/><Relationship Id="rId413" Type="http://schemas.openxmlformats.org/officeDocument/2006/relationships/hyperlink" Target="http://static.cninfo.com.cn/finalpage/2016-07-20/1202489590.PDF" TargetMode="External"/><Relationship Id="rId595" Type="http://schemas.openxmlformats.org/officeDocument/2006/relationships/hyperlink" Target="http://data.eastmoney.com/notices/detail/002462/AN201602280013638296,JUU1JTk4JTg5JUU0JUJBJThCJUU1JUEwJTgy.html" TargetMode="External"/><Relationship Id="rId248" Type="http://schemas.openxmlformats.org/officeDocument/2006/relationships/hyperlink" Target="http://www.cninfo.com.cn/new/disclosure/detail?plate=szse&amp;orgId=9900004262&amp;stockCode=002217&amp;announcementId=1204312570&amp;announcementTime=2018-01-08%2008:00" TargetMode="External"/><Relationship Id="rId455" Type="http://schemas.openxmlformats.org/officeDocument/2006/relationships/hyperlink" Target="http://static.cninfo.com.cn/finalpage/2016-08-18/1202576523.PDF" TargetMode="External"/><Relationship Id="rId497" Type="http://schemas.openxmlformats.org/officeDocument/2006/relationships/hyperlink" Target="http://static.cninfo.com.cn/finalpage/2017-08-25/1203866617.PDF" TargetMode="External"/><Relationship Id="rId620" Type="http://schemas.openxmlformats.org/officeDocument/2006/relationships/hyperlink" Target="http://static.cninfo.com.cn/finalpage/2017-01-18/1203023184.PDF" TargetMode="External"/><Relationship Id="rId662" Type="http://schemas.openxmlformats.org/officeDocument/2006/relationships/hyperlink" Target="http://static.cninfo.com.cn/finalpage/2017-04-20/1203332578.PDF" TargetMode="External"/><Relationship Id="rId12" Type="http://schemas.openxmlformats.org/officeDocument/2006/relationships/hyperlink" Target="http://data.eastmoney.com/notices/detail/300382/AN201609090017573211,JUU2JTk2JUFGJUU4JThFJUIxJUU1JTg1JThC.html" TargetMode="External"/><Relationship Id="rId108" Type="http://schemas.openxmlformats.org/officeDocument/2006/relationships/hyperlink" Target="http://static.cninfo.com.cn/finalpage/2017-10-26/1204069613.PDF" TargetMode="External"/><Relationship Id="rId315" Type="http://schemas.openxmlformats.org/officeDocument/2006/relationships/hyperlink" Target="http://static.cninfo.com.cn/finalpage/2016-06-03/1202353519.PDF" TargetMode="External"/><Relationship Id="rId357" Type="http://schemas.openxmlformats.org/officeDocument/2006/relationships/hyperlink" Target="http://static.cninfo.com.cn/finalpage/2017-06-21/1203634137.PDF" TargetMode="External"/><Relationship Id="rId522" Type="http://schemas.openxmlformats.org/officeDocument/2006/relationships/hyperlink" Target="http://static.cninfo.com.cn/finalpage/2016-09-10/1202692136.PDF" TargetMode="External"/><Relationship Id="rId54" Type="http://schemas.openxmlformats.org/officeDocument/2006/relationships/hyperlink" Target="http://data.eastmoney.com/notices/detail/300316/AN201610280034178207,JUU2JTk5JUI2JUU3JTlCJTlCJUU2JTlDJUJBJUU3JTk0JUI1.html" TargetMode="External"/><Relationship Id="rId96" Type="http://schemas.openxmlformats.org/officeDocument/2006/relationships/hyperlink" Target="http://static.cninfo.com.cn/finalpage/2017-10-17/1204046213.PDF" TargetMode="External"/><Relationship Id="rId161" Type="http://schemas.openxmlformats.org/officeDocument/2006/relationships/hyperlink" Target="http://data.eastmoney.com/notices/detail/600169/AN201612210205557493,JUU1JUE0JUFBJUU1JThFJTlGJUU5JTg3JThEJUU1JUI3JUE1.html" TargetMode="External"/><Relationship Id="rId217" Type="http://schemas.openxmlformats.org/officeDocument/2006/relationships/hyperlink" Target="http://www.cninfo.com.cn/new/disclosure/detail?plate=szse&amp;orgId=9900022707&amp;stockCode=002675&amp;announcementId=1204174588&amp;announcementTime=2017-11-28%2008:00" TargetMode="External"/><Relationship Id="rId399" Type="http://schemas.openxmlformats.org/officeDocument/2006/relationships/hyperlink" Target="http://static.cninfo.com.cn/finalpage/2016-07-15/1202474310.PDF" TargetMode="External"/><Relationship Id="rId564" Type="http://schemas.openxmlformats.org/officeDocument/2006/relationships/hyperlink" Target="http://static.cninfo.com.cn/finalpage/2017-09-18/1203979396.PDF" TargetMode="External"/><Relationship Id="rId259" Type="http://schemas.openxmlformats.org/officeDocument/2006/relationships/hyperlink" Target="http://www.cninfo.com.cn/new/disclosure/detail?plate=szse&amp;orgId=9900008269&amp;stockCode=300003&amp;announcementId=1203036620&amp;announcementTime=2017-01-20%2008:00" TargetMode="External"/><Relationship Id="rId424" Type="http://schemas.openxmlformats.org/officeDocument/2006/relationships/hyperlink" Target="http://static.cninfo.com.cn/finalpage/2017-08-04/1203759292.PDF" TargetMode="External"/><Relationship Id="rId466" Type="http://schemas.openxmlformats.org/officeDocument/2006/relationships/hyperlink" Target="http://static.cninfo.com.cn/finalpage/2017-09-01/1203920335.PDF" TargetMode="External"/><Relationship Id="rId631" Type="http://schemas.openxmlformats.org/officeDocument/2006/relationships/hyperlink" Target="http://static.cninfo.com.cn/finalpage/2017-02-23/1203100346.PDF" TargetMode="External"/><Relationship Id="rId23" Type="http://schemas.openxmlformats.org/officeDocument/2006/relationships/hyperlink" Target="http://data.eastmoney.com/notices/detail/002169/AN201610100021793220,JUU2JTk5JUJBJUU1JTg1JTg5JUU3JTk0JUI1JUU2JUIwJTk0.html" TargetMode="External"/><Relationship Id="rId119" Type="http://schemas.openxmlformats.org/officeDocument/2006/relationships/hyperlink" Target="http://static.cninfo.com.cn/finalpage/2017-11-03/1204109339.PDF" TargetMode="External"/><Relationship Id="rId270" Type="http://schemas.openxmlformats.org/officeDocument/2006/relationships/hyperlink" Target="http://static.cninfo.com.cn/finalpage/2017-05-08/1203485456.PDF" TargetMode="External"/><Relationship Id="rId326" Type="http://schemas.openxmlformats.org/officeDocument/2006/relationships/hyperlink" Target="http://static.cninfo.com.cn/finalpage/2016-06-13/1202363392.PDF" TargetMode="External"/><Relationship Id="rId533" Type="http://schemas.openxmlformats.org/officeDocument/2006/relationships/hyperlink" Target="http://static.cninfo.com.cn/finalpage/2016-07-09/1202462673.PDF" TargetMode="External"/><Relationship Id="rId65" Type="http://schemas.openxmlformats.org/officeDocument/2006/relationships/hyperlink" Target="http://static.cninfo.com.cn/finalpage/2017-09-19/1203981721.PDF" TargetMode="External"/><Relationship Id="rId130" Type="http://schemas.openxmlformats.org/officeDocument/2006/relationships/hyperlink" Target="https://notice.eastmoney.com/pdffile/web/H2_AN201609270017755081_1.pdf" TargetMode="External"/><Relationship Id="rId368" Type="http://schemas.openxmlformats.org/officeDocument/2006/relationships/hyperlink" Target="http://static.cninfo.com.cn/finalpage/2016-07-02/1202445031.PDF" TargetMode="External"/><Relationship Id="rId575" Type="http://schemas.openxmlformats.org/officeDocument/2006/relationships/hyperlink" Target="http://data.eastmoney.com/notices/detail/002139/AN201604110014310099,JUU2JThCJTkzJUU5JTgyJUE2JUU4JTgyJUExJUU0JUJCJUJE.html" TargetMode="External"/><Relationship Id="rId172" Type="http://schemas.openxmlformats.org/officeDocument/2006/relationships/hyperlink" Target="http://data.eastmoney.com/notices/detail/000875/AN201612300223477895,JUU1JTkwJTg5JUU3JTk0JUI1JUU4JTgyJUExJUU0JUJCJUJE.html" TargetMode="External"/><Relationship Id="rId228" Type="http://schemas.openxmlformats.org/officeDocument/2006/relationships/hyperlink" Target="http://www.cninfo.com.cn/new/disclosure/detail?plate=sse&amp;orgId=9900013088&amp;stockCode=601000&amp;announcementId=1204218100&amp;announcementTime=2017-12-12%2008:00" TargetMode="External"/><Relationship Id="rId435" Type="http://schemas.openxmlformats.org/officeDocument/2006/relationships/hyperlink" Target="http://static.cninfo.com.cn/finalpage/2016-07-27/1202507211.PDF" TargetMode="External"/><Relationship Id="rId477" Type="http://schemas.openxmlformats.org/officeDocument/2006/relationships/hyperlink" Target="http://static.cninfo.com.cn/finalpage/2017-08-21/1203811662.PDF" TargetMode="External"/><Relationship Id="rId600" Type="http://schemas.openxmlformats.org/officeDocument/2006/relationships/hyperlink" Target="http://data.eastmoney.com/notices/detail/300197/AN201603180013935425,JUU5JTkzJTgxJUU2JUIxJTg5JUU3JTk0JTlGJUU2JTgwJTgx.html" TargetMode="External"/><Relationship Id="rId642" Type="http://schemas.openxmlformats.org/officeDocument/2006/relationships/hyperlink" Target="http://static.cninfo.com.cn/finalpage/2017-03-28/1203210850.PDF" TargetMode="External"/><Relationship Id="rId281" Type="http://schemas.openxmlformats.org/officeDocument/2006/relationships/hyperlink" Target="http://static.cninfo.com.cn/finalpage/2017-05-05/1203476050.PDF" TargetMode="External"/><Relationship Id="rId337" Type="http://schemas.openxmlformats.org/officeDocument/2006/relationships/hyperlink" Target="http://static.cninfo.com.cn/finalpage/2017-06-20/1203630675.PDF" TargetMode="External"/><Relationship Id="rId502" Type="http://schemas.openxmlformats.org/officeDocument/2006/relationships/hyperlink" Target="http://static.cninfo.com.cn/finalpage/2016-08-23/1202599568.PDF" TargetMode="External"/><Relationship Id="rId34" Type="http://schemas.openxmlformats.org/officeDocument/2006/relationships/hyperlink" Target="http://data.eastmoney.com/notices/detail/300458/AN201610180021906989,JUU1JTg1JUE4JUU1JUJGJTk3JUU3JUE3JTkxJUU2JThBJTgw.html" TargetMode="External"/><Relationship Id="rId76" Type="http://schemas.openxmlformats.org/officeDocument/2006/relationships/hyperlink" Target="http://static.cninfo.com.cn/finalpage/2017-09-27/1204004737.PDF" TargetMode="External"/><Relationship Id="rId141" Type="http://schemas.openxmlformats.org/officeDocument/2006/relationships/hyperlink" Target="http://data.eastmoney.com/notices/detail/002605/AN201611220120854698,JUU1JUE3JTlBJUU4JUFFJUIwJUU3JUE3JTkxJUU2JThBJTgw.html" TargetMode="External"/><Relationship Id="rId379" Type="http://schemas.openxmlformats.org/officeDocument/2006/relationships/hyperlink" Target="http://static.cninfo.com.cn/finalpage/2017-07-04/1203678075.PDF" TargetMode="External"/><Relationship Id="rId544" Type="http://schemas.openxmlformats.org/officeDocument/2006/relationships/hyperlink" Target="http://static.cninfo.com.cn/finalpage/2017-09-11/1203964393.PDF" TargetMode="External"/><Relationship Id="rId586" Type="http://schemas.openxmlformats.org/officeDocument/2006/relationships/hyperlink" Target="http://data.eastmoney.com/notices/detail/000977/AN201601260013277878,JUU2JUI1JUFBJUU2JUJEJUFFJUU0JUJGJUExJUU2JTgxJUFG.html" TargetMode="External"/><Relationship Id="rId7" Type="http://schemas.openxmlformats.org/officeDocument/2006/relationships/hyperlink" Target="http://data.eastmoney.com/notices/detail/300412/AN201609130017615023,JUU4JUJGJUE2JUU1JThEJTk3JUU3JUE3JTkxJUU2JThBJTgw.html" TargetMode="External"/><Relationship Id="rId183" Type="http://schemas.openxmlformats.org/officeDocument/2006/relationships/hyperlink" Target="http://data.eastmoney.com/notices/detail/300425/AN201612300223544483,JUU0JUI4JUFEJUU1JUJCJUJBJUU3JThFJUFGJUU4JTgzJUJE.html" TargetMode="External"/><Relationship Id="rId239" Type="http://schemas.openxmlformats.org/officeDocument/2006/relationships/hyperlink" Target="http://www.cninfo.com.cn/new/disclosure/detail?plate=sse&amp;orgId=gssh0600960&amp;stockCode=600960&amp;announcementId=1204249996&amp;announcementTime=2017-12-22%2008:00" TargetMode="External"/><Relationship Id="rId390" Type="http://schemas.openxmlformats.org/officeDocument/2006/relationships/hyperlink" Target="http://static.cninfo.com.cn/finalpage/2017-07-13/1203699901.PDF" TargetMode="External"/><Relationship Id="rId404" Type="http://schemas.openxmlformats.org/officeDocument/2006/relationships/hyperlink" Target="http://static.cninfo.com.cn/finalpage/2017-07-20/1203716597.PDF" TargetMode="External"/><Relationship Id="rId446" Type="http://schemas.openxmlformats.org/officeDocument/2006/relationships/hyperlink" Target="http://static.cninfo.com.cn/finalpage/2017-08-09/1203773742.PDF" TargetMode="External"/><Relationship Id="rId611" Type="http://schemas.openxmlformats.org/officeDocument/2006/relationships/hyperlink" Target="http://data.eastmoney.com/notices/detail/000735/AN201604110014307394,JUU3JUJEJTk3JTIwJUU3JTg5JTlCJTIwJUU1JUIxJUIx.html" TargetMode="External"/><Relationship Id="rId653" Type="http://schemas.openxmlformats.org/officeDocument/2006/relationships/hyperlink" Target="http://static.cninfo.com.cn/finalpage/2017-04-11/1203275429.PDF" TargetMode="External"/><Relationship Id="rId250" Type="http://schemas.openxmlformats.org/officeDocument/2006/relationships/hyperlink" Target="http://www.cninfo.com.cn/new/disclosure/detail?plate=sse&amp;orgId=gssh0600309&amp;stockCode=600309&amp;announcementId=1204319051&amp;announcementTime=2018-01-10%2008:00" TargetMode="External"/><Relationship Id="rId292" Type="http://schemas.openxmlformats.org/officeDocument/2006/relationships/hyperlink" Target="http://static.cninfo.com.cn/finalpage/2017-05-19/1203536321.PDF" TargetMode="External"/><Relationship Id="rId306" Type="http://schemas.openxmlformats.org/officeDocument/2006/relationships/hyperlink" Target="http://static.cninfo.com.cn/finalpage/2016-05-26/1202339137.PDF" TargetMode="External"/><Relationship Id="rId488" Type="http://schemas.openxmlformats.org/officeDocument/2006/relationships/hyperlink" Target="http://static.cninfo.com.cn/finalpage/2016-09-01/1202666103.PDF" TargetMode="External"/><Relationship Id="rId45" Type="http://schemas.openxmlformats.org/officeDocument/2006/relationships/hyperlink" Target="http://data.eastmoney.com/notices/detail/002374/AN201610310042233218,JUU0JUI4JUJEJUU5JUI5JThGJUU4JTgyJUExJUU0JUJCJUJE.html" TargetMode="External"/><Relationship Id="rId87" Type="http://schemas.openxmlformats.org/officeDocument/2006/relationships/hyperlink" Target="http://static.cninfo.com.cn/finalpage/2017-10-10/1204020926.PDF" TargetMode="External"/><Relationship Id="rId110" Type="http://schemas.openxmlformats.org/officeDocument/2006/relationships/hyperlink" Target="http://static.cninfo.com.cn/finalpage/2017-10-27/1204079429.PDF" TargetMode="External"/><Relationship Id="rId348" Type="http://schemas.openxmlformats.org/officeDocument/2006/relationships/hyperlink" Target="http://static.cninfo.com.cn/finalpage/2016-06-01/1202351500.PDF" TargetMode="External"/><Relationship Id="rId513" Type="http://schemas.openxmlformats.org/officeDocument/2006/relationships/hyperlink" Target="http://static.cninfo.com.cn/finalpage/2017-08-30/1203895115.PDF" TargetMode="External"/><Relationship Id="rId555" Type="http://schemas.openxmlformats.org/officeDocument/2006/relationships/hyperlink" Target="http://static.cninfo.com.cn/finalpage/2016-09-19/1202704367.PDF" TargetMode="External"/><Relationship Id="rId597" Type="http://schemas.openxmlformats.org/officeDocument/2006/relationships/hyperlink" Target="http://data.eastmoney.com/notices/detail/002657/AN201603060013789555,JUU0JUI4JUFEJUU3JUE3JTkxJUU5JTg3JTkxJUU4JUI0JUEy.html" TargetMode="External"/><Relationship Id="rId152" Type="http://schemas.openxmlformats.org/officeDocument/2006/relationships/hyperlink" Target="http://data.eastmoney.com/notices/detail/300248/AN201611290136669273,JUU2JTk2JUIwJUU1JUJDJTgwJUU2JTk5JUFF.html" TargetMode="External"/><Relationship Id="rId194" Type="http://schemas.openxmlformats.org/officeDocument/2006/relationships/hyperlink" Target="http://data.eastmoney.com/notices/detail/000519/AN201701240290159762,JUU0JUI4JUFEJUU1JTg1JUI1JUU3JUJBJUEyJUU3JUFFJUFE.html" TargetMode="External"/><Relationship Id="rId208" Type="http://schemas.openxmlformats.org/officeDocument/2006/relationships/hyperlink" Target="http://www.cninfo.com.cn/new/disclosure/detail?plate=szse&amp;orgId=9900004648&amp;stockCode=002239&amp;announcementId=1204131834&amp;announcementTime=2017-11-12%2008:00" TargetMode="External"/><Relationship Id="rId415" Type="http://schemas.openxmlformats.org/officeDocument/2006/relationships/hyperlink" Target="http://static.cninfo.com.cn/finalpage/2016-07-28/1202511390.PDF" TargetMode="External"/><Relationship Id="rId457" Type="http://schemas.openxmlformats.org/officeDocument/2006/relationships/hyperlink" Target="http://static.cninfo.com.cn/finalpage/2016-08-23/1202599338.PDF" TargetMode="External"/><Relationship Id="rId622" Type="http://schemas.openxmlformats.org/officeDocument/2006/relationships/hyperlink" Target="http://static.cninfo.com.cn/finalpage/2017-01-26/1203056329.PDF" TargetMode="External"/><Relationship Id="rId261" Type="http://schemas.openxmlformats.org/officeDocument/2006/relationships/hyperlink" Target="http://www.cninfo.com.cn/new/disclosure/detail?plate=sse&amp;orgId=gssh0600967&amp;stockCode=600967&amp;announcementId=1204390381&amp;announcementTime=2018-02-02%2008:00" TargetMode="External"/><Relationship Id="rId499" Type="http://schemas.openxmlformats.org/officeDocument/2006/relationships/hyperlink" Target="http://static.cninfo.com.cn/finalpage/2017-08-25/1203864318.PDF" TargetMode="External"/><Relationship Id="rId664" Type="http://schemas.openxmlformats.org/officeDocument/2006/relationships/hyperlink" Target="http://static.cninfo.com.cn/finalpage/2017-05-05/1203476447.PDF" TargetMode="External"/><Relationship Id="rId14" Type="http://schemas.openxmlformats.org/officeDocument/2006/relationships/hyperlink" Target="http://data.eastmoney.com/notices/detail/000536/AN201609290019986639,JUU1JThEJThFJUU2JTk4JUEwJUU3JUE3JTkxJUU2JThBJTgw.html" TargetMode="External"/><Relationship Id="rId56" Type="http://schemas.openxmlformats.org/officeDocument/2006/relationships/hyperlink" Target="http://data.eastmoney.com/notices/detail/002494/AN201611080074075480,JUU1JThEJThFJUU2JTk2JUFGJUU4JTgyJUExJUU0JUJCJUJE.html" TargetMode="External"/><Relationship Id="rId317" Type="http://schemas.openxmlformats.org/officeDocument/2006/relationships/hyperlink" Target="http://static.cninfo.com.cn/finalpage/2017-06-02/1203579730.PDF" TargetMode="External"/><Relationship Id="rId359" Type="http://schemas.openxmlformats.org/officeDocument/2006/relationships/hyperlink" Target="http://static.cninfo.com.cn/finalpage/2017-06-27/1203649047.PDF" TargetMode="External"/><Relationship Id="rId524" Type="http://schemas.openxmlformats.org/officeDocument/2006/relationships/hyperlink" Target="http://static.cninfo.com.cn/finalpage/2016-08-29/1202649659.PDF" TargetMode="External"/><Relationship Id="rId566" Type="http://schemas.openxmlformats.org/officeDocument/2006/relationships/hyperlink" Target="http://static.cninfo.com.cn/finalpage/2017-09-16/1203980120.PDF" TargetMode="External"/><Relationship Id="rId98" Type="http://schemas.openxmlformats.org/officeDocument/2006/relationships/hyperlink" Target="http://static.cninfo.com.cn/finalpage/2017-10-19/1204054370.PDF" TargetMode="External"/><Relationship Id="rId121" Type="http://schemas.openxmlformats.org/officeDocument/2006/relationships/hyperlink" Target="http://static.cninfo.com.cn/finalpage/2016-11-08/1202820187.PDF" TargetMode="External"/><Relationship Id="rId163" Type="http://schemas.openxmlformats.org/officeDocument/2006/relationships/hyperlink" Target="http://data.eastmoney.com/notices/detail/002344/AN201612210205983381,JUU2JUI1JUI3JUU1JUFFJTgxJUU3JTlBJUFFJUU1JTlGJThF.html" TargetMode="External"/><Relationship Id="rId219" Type="http://schemas.openxmlformats.org/officeDocument/2006/relationships/hyperlink" Target="http://www.cninfo.com.cn/new/disclosure/detail?plate=szse&amp;orgId=9900021727&amp;stockCode=300324&amp;announcementId=1204196011&amp;announcementTime=2017-12-05%2008:00" TargetMode="External"/><Relationship Id="rId370" Type="http://schemas.openxmlformats.org/officeDocument/2006/relationships/hyperlink" Target="http://static.cninfo.com.cn/finalpage/2016-07-04/1202445080.PDF" TargetMode="External"/><Relationship Id="rId426" Type="http://schemas.openxmlformats.org/officeDocument/2006/relationships/hyperlink" Target="http://static.cninfo.com.cn/finalpage/2017-07-27/1203736324.PDF" TargetMode="External"/><Relationship Id="rId633" Type="http://schemas.openxmlformats.org/officeDocument/2006/relationships/hyperlink" Target="http://static.cninfo.com.cn/finalpage/2017-02-27/1203106633.PDF" TargetMode="External"/><Relationship Id="rId230" Type="http://schemas.openxmlformats.org/officeDocument/2006/relationships/hyperlink" Target="http://www.cninfo.com.cn/new/disclosure/detail?plate=szse&amp;orgId=gssz0000903&amp;stockCode=000903&amp;announcementId=1204242293&amp;announcementTime=2017-12-20%2008:00" TargetMode="External"/><Relationship Id="rId468" Type="http://schemas.openxmlformats.org/officeDocument/2006/relationships/hyperlink" Target="http://static.cninfo.com.cn/finalpage/2017-08-18/1203808392.PDF" TargetMode="External"/><Relationship Id="rId25" Type="http://schemas.openxmlformats.org/officeDocument/2006/relationships/hyperlink" Target="http://data.eastmoney.com/notices/detail/300142/AN201610120021827689,JUU2JUIyJTgzJUU2JUEzJUFFJUU3JTk0JTlGJUU3JTg5JUE5.html" TargetMode="External"/><Relationship Id="rId67" Type="http://schemas.openxmlformats.org/officeDocument/2006/relationships/hyperlink" Target="http://static.cninfo.com.cn/finalpage/2017-09-19/1203982094.PDF" TargetMode="External"/><Relationship Id="rId272" Type="http://schemas.openxmlformats.org/officeDocument/2006/relationships/hyperlink" Target="http://static.cninfo.com.cn/finalpage/2017-05-04/1203474001.PDF" TargetMode="External"/><Relationship Id="rId328" Type="http://schemas.openxmlformats.org/officeDocument/2006/relationships/hyperlink" Target="http://static.cninfo.com.cn/finalpage/2016-06-14/1202367053.PDF" TargetMode="External"/><Relationship Id="rId535" Type="http://schemas.openxmlformats.org/officeDocument/2006/relationships/hyperlink" Target="http://img2.gtimg.com/finance/hs/pdf/2016/05/13/1202321407.PDF" TargetMode="External"/><Relationship Id="rId577" Type="http://schemas.openxmlformats.org/officeDocument/2006/relationships/hyperlink" Target="http://data.eastmoney.com/notices/detail/002617/AN201604140014357425,JUU5JTlDJUIyJUU3JUFDJTkxJUU3JUE3JTkxJUU2JThBJTgw.html" TargetMode="External"/><Relationship Id="rId132" Type="http://schemas.openxmlformats.org/officeDocument/2006/relationships/hyperlink" Target="http://pdf.dfcfw.com/pdf/H2_AN201610210021960284_1.pdf" TargetMode="External"/><Relationship Id="rId174" Type="http://schemas.openxmlformats.org/officeDocument/2006/relationships/hyperlink" Target="http://data.eastmoney.com/notices/detail/601618/AN201701100256474708,JUU0JUI4JUFEJUU1JTlCJUJEJUU0JUI4JUFEJUU1JTg2JUI2.html" TargetMode="External"/><Relationship Id="rId381" Type="http://schemas.openxmlformats.org/officeDocument/2006/relationships/hyperlink" Target="http://static.cninfo.com.cn/finalpage/2017-07-07/1203685654.PDF" TargetMode="External"/><Relationship Id="rId602" Type="http://schemas.openxmlformats.org/officeDocument/2006/relationships/hyperlink" Target="http://data.eastmoney.com/notices/detail/300182/AN201603220014023681,JUU2JThEJUI3JUU2JTg4JTkwJUU4JTgyJUExJUU0JUJCJUJE.html" TargetMode="External"/><Relationship Id="rId241" Type="http://schemas.openxmlformats.org/officeDocument/2006/relationships/hyperlink" Target="http://www.cninfo.com.cn/new/disclosure/detail?plate=szse&amp;orgId=gssz0000555&amp;stockCode=000555&amp;announcementId=1204336219&amp;announcementTime=2018-01-16%2008:00" TargetMode="External"/><Relationship Id="rId437" Type="http://schemas.openxmlformats.org/officeDocument/2006/relationships/hyperlink" Target="http://static.cninfo.com.cn/finalpage/2016-08-09/1202546231.PDF" TargetMode="External"/><Relationship Id="rId479" Type="http://schemas.openxmlformats.org/officeDocument/2006/relationships/hyperlink" Target="http://static.cninfo.com.cn/finalpage/2017-08-30/1203894685.PDF" TargetMode="External"/><Relationship Id="rId644" Type="http://schemas.openxmlformats.org/officeDocument/2006/relationships/hyperlink" Target="http://static.cninfo.com.cn/finalpage/2017-03-28/1203210420.PDF" TargetMode="External"/><Relationship Id="rId36" Type="http://schemas.openxmlformats.org/officeDocument/2006/relationships/hyperlink" Target="http://pdf.dfcfw.com/pdf/H2_AN201610200021946764_1.pdf" TargetMode="External"/><Relationship Id="rId283" Type="http://schemas.openxmlformats.org/officeDocument/2006/relationships/hyperlink" Target="http://static.cninfo.com.cn/finalpage/2017-05-06/1203482072.PDF" TargetMode="External"/><Relationship Id="rId339" Type="http://schemas.openxmlformats.org/officeDocument/2006/relationships/hyperlink" Target="http://static.cninfo.com.cn/finalpage/2017-06-17/1203624683.PDF" TargetMode="External"/><Relationship Id="rId490" Type="http://schemas.openxmlformats.org/officeDocument/2006/relationships/hyperlink" Target="http://static.cninfo.com.cn/finalpage/2016-08-31/1202658238.PDF" TargetMode="External"/><Relationship Id="rId504" Type="http://schemas.openxmlformats.org/officeDocument/2006/relationships/hyperlink" Target="http://static.cninfo.com.cn/finalpage/2016-09-07/1202679542.PDF" TargetMode="External"/><Relationship Id="rId546" Type="http://schemas.openxmlformats.org/officeDocument/2006/relationships/hyperlink" Target="http://static.cninfo.com.cn/finalpage/2017-09-11/1203959760.PDF" TargetMode="External"/><Relationship Id="rId78" Type="http://schemas.openxmlformats.org/officeDocument/2006/relationships/hyperlink" Target="http://static.cninfo.com.cn/finalpage/2016-09-27/1202731175.PDF" TargetMode="External"/><Relationship Id="rId101" Type="http://schemas.openxmlformats.org/officeDocument/2006/relationships/hyperlink" Target="http://static.cninfo.com.cn/finalpage/2017-10-19/1204052281.PDF" TargetMode="External"/><Relationship Id="rId143" Type="http://schemas.openxmlformats.org/officeDocument/2006/relationships/hyperlink" Target="http://data.eastmoney.com/notices/detail/000939/AN201611300139862445,KlNUJUU1JTg3JUFGJUU4JUJGJUFB.html" TargetMode="External"/><Relationship Id="rId185" Type="http://schemas.openxmlformats.org/officeDocument/2006/relationships/hyperlink" Target="http://data.eastmoney.com/notices/detail/000862/AN201701160272025633,JUU5JTkzJUI2JUU2JTk4JTlGJUU4JTgzJUJEJUU2JUJBJTkw.html" TargetMode="External"/><Relationship Id="rId350" Type="http://schemas.openxmlformats.org/officeDocument/2006/relationships/hyperlink" Target="http://static.cninfo.com.cn/finalpage/2016-06-22/1202380830.PDF" TargetMode="External"/><Relationship Id="rId406" Type="http://schemas.openxmlformats.org/officeDocument/2006/relationships/hyperlink" Target="http://static.cninfo.com.cn/finalpage/2017-07-20/1203716179.PDF" TargetMode="External"/><Relationship Id="rId588" Type="http://schemas.openxmlformats.org/officeDocument/2006/relationships/hyperlink" Target="http://data.eastmoney.com/notices/detail/002195/AN201602010013345239,JUU0JUJBJThDJUU0JUI4JTg5JUU1JTlCJTlCJUU0JUJBJTk0.html" TargetMode="External"/><Relationship Id="rId9" Type="http://schemas.openxmlformats.org/officeDocument/2006/relationships/hyperlink" Target="http://data.eastmoney.com/notices/detail/000683/AN201609270017755387,JUU4JUJGJTlDJUU1JTg1JUI0JUU4JTgzJUJEJUU2JUJBJTkw.html" TargetMode="External"/><Relationship Id="rId210" Type="http://schemas.openxmlformats.org/officeDocument/2006/relationships/hyperlink" Target="http://www.cninfo.com.cn/new/disclosure/detail?plate=szse&amp;orgId=9900004605&amp;stockCode=002235&amp;announcementId=1204136390&amp;announcementTime=2017-11-13%2008:00" TargetMode="External"/><Relationship Id="rId392" Type="http://schemas.openxmlformats.org/officeDocument/2006/relationships/hyperlink" Target="http://static.cninfo.com.cn/finalpage/2017-07-12/1203694806.PDF" TargetMode="External"/><Relationship Id="rId448" Type="http://schemas.openxmlformats.org/officeDocument/2006/relationships/hyperlink" Target="http://static.cninfo.com.cn/finalpage/2017-08-15/1203795886.PDF" TargetMode="External"/><Relationship Id="rId613" Type="http://schemas.openxmlformats.org/officeDocument/2006/relationships/hyperlink" Target="http://data.eastmoney.com/notices/detail/300304/AN201604110014308027,JUU0JUJBJTkxJUU2JTg0JThGJUU3JTk0JUI1JUU2JUIwJTk0.html" TargetMode="External"/><Relationship Id="rId655" Type="http://schemas.openxmlformats.org/officeDocument/2006/relationships/hyperlink" Target="http://static.cninfo.com.cn/finalpage/2017-04-13/1203290945.PDF" TargetMode="External"/><Relationship Id="rId252" Type="http://schemas.openxmlformats.org/officeDocument/2006/relationships/hyperlink" Target="http://www.cninfo.com.cn/new/disclosure/detail?plate=szse&amp;orgId=9900004895&amp;stockCode=002250&amp;announcementId=1204331873&amp;announcementTime=2018-01-15%2008:00" TargetMode="External"/><Relationship Id="rId294" Type="http://schemas.openxmlformats.org/officeDocument/2006/relationships/hyperlink" Target="http://static.cninfo.com.cn/finalpage/2017-05-15/1203519953.PDF" TargetMode="External"/><Relationship Id="rId308" Type="http://schemas.openxmlformats.org/officeDocument/2006/relationships/hyperlink" Target="http://static.cninfo.com.cn/finalpage/2016-05-24/1202337110.PDF" TargetMode="External"/><Relationship Id="rId515" Type="http://schemas.openxmlformats.org/officeDocument/2006/relationships/hyperlink" Target="http://static.cninfo.com.cn/finalpage/2016-08-31/1202656163.PDF" TargetMode="External"/><Relationship Id="rId47" Type="http://schemas.openxmlformats.org/officeDocument/2006/relationships/hyperlink" Target="http://data.eastmoney.com/notices/detail/300422/AN201609290019911886,JUU1JThEJTlBJUU0JUI4JTk2JUU3JUE3JTkx.html" TargetMode="External"/><Relationship Id="rId89" Type="http://schemas.openxmlformats.org/officeDocument/2006/relationships/hyperlink" Target="http://static.cninfo.com.cn/finalpage/2017-10-12/1204030203.PDF" TargetMode="External"/><Relationship Id="rId112" Type="http://schemas.openxmlformats.org/officeDocument/2006/relationships/hyperlink" Target="http://static.cninfo.com.cn/finalpage/2017-10-30/1204084934.PDF" TargetMode="External"/><Relationship Id="rId154" Type="http://schemas.openxmlformats.org/officeDocument/2006/relationships/hyperlink" Target="http://data.eastmoney.com/notices/detail/600633/AN201612200202558405,JUU2JUI1JTk5JUU2JTk1JUIwJUU2JTk2JTg3JUU1JThDJTk2.html" TargetMode="External"/><Relationship Id="rId361" Type="http://schemas.openxmlformats.org/officeDocument/2006/relationships/hyperlink" Target="http://static.cninfo.com.cn/finalpage/2017-06-23/1203641305.PDF" TargetMode="External"/><Relationship Id="rId557" Type="http://schemas.openxmlformats.org/officeDocument/2006/relationships/hyperlink" Target="http://static.cninfo.com.cn/finalpage/2016-09-22/1202717345.PDF" TargetMode="External"/><Relationship Id="rId599" Type="http://schemas.openxmlformats.org/officeDocument/2006/relationships/hyperlink" Target="http://data.eastmoney.com/notices/detail/300253/AN201603030013763586,JUU1JThEJUFCJUU1JUFFJTgxJUU1JTgxJUE1JUU1JUJBJUI3.html" TargetMode="External"/><Relationship Id="rId196" Type="http://schemas.openxmlformats.org/officeDocument/2006/relationships/hyperlink" Target="http://data.eastmoney.com/notices/detail/300352/AN201611020049200720,JUU1JThDJTk3JUU0JUJGJUExJUU2JUJBJTkw.html" TargetMode="External"/><Relationship Id="rId417" Type="http://schemas.openxmlformats.org/officeDocument/2006/relationships/hyperlink" Target="http://static.cninfo.com.cn/finalpage/2016-08-02/1202525637.PDF" TargetMode="External"/><Relationship Id="rId459" Type="http://schemas.openxmlformats.org/officeDocument/2006/relationships/hyperlink" Target="http://static.cninfo.com.cn/finalpage/2016-08-18/1202577277.PDF" TargetMode="External"/><Relationship Id="rId624" Type="http://schemas.openxmlformats.org/officeDocument/2006/relationships/hyperlink" Target="http://static.cninfo.com.cn/finalpage/2017-03-17/1203168797.PDF" TargetMode="External"/><Relationship Id="rId666" Type="http://schemas.openxmlformats.org/officeDocument/2006/relationships/hyperlink" Target="http://static.cninfo.com.cn/finalpage/2017-05-05/1203475616.PDF" TargetMode="External"/><Relationship Id="rId16" Type="http://schemas.openxmlformats.org/officeDocument/2006/relationships/hyperlink" Target="http://data.eastmoney.com/notices/detail/002194/AN201609270017756122,JUU2JUFEJUE2JUU2JUIxJTg5JUU1JTg3JUExJUU4JUIwJUI3.html" TargetMode="External"/><Relationship Id="rId221" Type="http://schemas.openxmlformats.org/officeDocument/2006/relationships/hyperlink" Target="http://www.cninfo.com.cn/new/disclosure/detail?plate=sse&amp;orgId=gssh0600114&amp;stockCode=600114&amp;announcementId=1204185225&amp;announcementTime=2017-12-01%2008:00" TargetMode="External"/><Relationship Id="rId263" Type="http://schemas.openxmlformats.org/officeDocument/2006/relationships/hyperlink" Target="http://data.eastmoney.com/notices/detail/300425/AN201612300223544483,JUU0JUI4JUFEJUU1JUJCJUJBJUU3JThFJUFGJUU4JTgzJUJE.html" TargetMode="External"/><Relationship Id="rId319" Type="http://schemas.openxmlformats.org/officeDocument/2006/relationships/hyperlink" Target="http://static.cninfo.com.cn/finalpage/2017-06-06/1203590172.PDF" TargetMode="External"/><Relationship Id="rId470" Type="http://schemas.openxmlformats.org/officeDocument/2006/relationships/hyperlink" Target="http://static.cninfo.com.cn/finalpage/2017-08-22/1203835873.PDF" TargetMode="External"/><Relationship Id="rId526" Type="http://schemas.openxmlformats.org/officeDocument/2006/relationships/hyperlink" Target="http://static.cninfo.com.cn/finalpage/2016-09-07/1202679863.PDF" TargetMode="External"/><Relationship Id="rId58" Type="http://schemas.openxmlformats.org/officeDocument/2006/relationships/hyperlink" Target="http://pdf.dfcfw.com/pdf/H2_AN201611100080908890_1.pdf" TargetMode="External"/><Relationship Id="rId123" Type="http://schemas.openxmlformats.org/officeDocument/2006/relationships/hyperlink" Target="http://static.cninfo.com.cn/finalpage/2017-11-10/1204128837.PDF" TargetMode="External"/><Relationship Id="rId330" Type="http://schemas.openxmlformats.org/officeDocument/2006/relationships/hyperlink" Target="http://static.cninfo.com.cn/finalpage/2016-06-15/1202370169.PDF" TargetMode="External"/><Relationship Id="rId568" Type="http://schemas.openxmlformats.org/officeDocument/2006/relationships/hyperlink" Target="http://static.cninfo.com.cn/finalpage/2017-09-15/1203976127.PDF" TargetMode="External"/><Relationship Id="rId165" Type="http://schemas.openxmlformats.org/officeDocument/2006/relationships/hyperlink" Target="http://data.eastmoney.com/notices/detail/300319/AN201612190200345334,JUU5JUJBJUE2JUU2JThEJUI3JUU3JUE3JTkxJUU2JThBJTgw.html" TargetMode="External"/><Relationship Id="rId372" Type="http://schemas.openxmlformats.org/officeDocument/2006/relationships/hyperlink" Target="http://static.cninfo.com.cn/finalpage/2016-07-04/1202445442.PDF" TargetMode="External"/><Relationship Id="rId428" Type="http://schemas.openxmlformats.org/officeDocument/2006/relationships/hyperlink" Target="http://static.cninfo.com.cn/finalpage/2017-07-28/1203739636.PDF" TargetMode="External"/><Relationship Id="rId635" Type="http://schemas.openxmlformats.org/officeDocument/2006/relationships/hyperlink" Target="http://static.cninfo.com.cn/finalpage/2017-03-06/1203130276.PDF" TargetMode="External"/><Relationship Id="rId232" Type="http://schemas.openxmlformats.org/officeDocument/2006/relationships/hyperlink" Target="http://www.cninfo.com.cn/new/disclosure/detail?plate=sse&amp;orgId=gssh0600169&amp;stockCode=600169&amp;announcementId=1204237063&amp;announcementTime=2017-12-18%2008:00" TargetMode="External"/><Relationship Id="rId274" Type="http://schemas.openxmlformats.org/officeDocument/2006/relationships/hyperlink" Target="http://static.cninfo.com.cn/finalpage/2017-05-05/1203475821.PDF" TargetMode="External"/><Relationship Id="rId481" Type="http://schemas.openxmlformats.org/officeDocument/2006/relationships/hyperlink" Target="http://static.cninfo.com.cn/finalpage/2017-08-21/1203835620.PDF" TargetMode="External"/><Relationship Id="rId27" Type="http://schemas.openxmlformats.org/officeDocument/2006/relationships/hyperlink" Target="http://data.eastmoney.com/notices/detail/002626/AN201610130021841505,JUU5JTg3JTkxJUU4JUJFJUJFJUU1JUE4JTgx.html" TargetMode="External"/><Relationship Id="rId69" Type="http://schemas.openxmlformats.org/officeDocument/2006/relationships/hyperlink" Target="http://static.cninfo.com.cn/finalpage/2017-10-25/1204064774.PDF" TargetMode="External"/><Relationship Id="rId134" Type="http://schemas.openxmlformats.org/officeDocument/2006/relationships/hyperlink" Target="http://data.eastmoney.com/notices/detail/002235/AN201611150099253049,JUU1JUFFJTg5JUU1JUE2JUFFJUU4JTgyJUExJUU0JUJCJUJE.html" TargetMode="External"/><Relationship Id="rId537" Type="http://schemas.openxmlformats.org/officeDocument/2006/relationships/hyperlink" Target="http://static.cninfo.com.cn/finalpage/2016-09-08/1202685403.PDF" TargetMode="External"/><Relationship Id="rId579" Type="http://schemas.openxmlformats.org/officeDocument/2006/relationships/hyperlink" Target="http://data.eastmoney.com/notices/detail/000887/AN201604280014597041,JUU0JUI4JUFEJUU5JUJDJThFJUU4JTgyJUExJUU0JUJCJUJE.html" TargetMode="External"/><Relationship Id="rId80" Type="http://schemas.openxmlformats.org/officeDocument/2006/relationships/hyperlink" Target="http://static.cninfo.com.cn/finalpage/2017-09-28/1204007220.PDF" TargetMode="External"/><Relationship Id="rId176" Type="http://schemas.openxmlformats.org/officeDocument/2006/relationships/hyperlink" Target="http://data.eastmoney.com/notices/detail/002093/AN201701030233236914,JUU1JTlCJUJEJUU4JTg0JTg5JUU3JUE3JTkxJUU2JThBJTgw.html" TargetMode="External"/><Relationship Id="rId341" Type="http://schemas.openxmlformats.org/officeDocument/2006/relationships/hyperlink" Target="http://static.cninfo.com.cn/finalpage/2017-06-16/1203618321.PDF" TargetMode="External"/><Relationship Id="rId383" Type="http://schemas.openxmlformats.org/officeDocument/2006/relationships/hyperlink" Target="http://static.cninfo.com.cn/finalpage/2017-07-07/1203686470.PDF" TargetMode="External"/><Relationship Id="rId439" Type="http://schemas.openxmlformats.org/officeDocument/2006/relationships/hyperlink" Target="http://static.cninfo.com.cn/finalpage/2016-08-10/1202551248.PDF" TargetMode="External"/><Relationship Id="rId590" Type="http://schemas.openxmlformats.org/officeDocument/2006/relationships/hyperlink" Target="http://data.eastmoney.com/notices/detail/300409/AN201601270013287757,JUU5JTgxJTkzJUU2JUIwJThGJUU2JThBJTgwJUU2JTlDJUFG.html" TargetMode="External"/><Relationship Id="rId604" Type="http://schemas.openxmlformats.org/officeDocument/2006/relationships/hyperlink" Target="http://data.eastmoney.com/notices/detail/600393/AN201603310014178483,JUU3JUIyJUE0JUU2JUIzJUIwJUU4JTgyJUExJUU0JUJCJUJE.html" TargetMode="External"/><Relationship Id="rId646" Type="http://schemas.openxmlformats.org/officeDocument/2006/relationships/hyperlink" Target="http://static.cninfo.com.cn/finalpage/2017-03-30/1203224596.PDF" TargetMode="External"/><Relationship Id="rId201" Type="http://schemas.openxmlformats.org/officeDocument/2006/relationships/hyperlink" Target="http://www.cninfo.com.cn/new/disclosure/detail?plate=szse&amp;orgId=9900009149&amp;stockCode=300247&amp;announcementId=1204183843&amp;announcementTime=2017-12-03%2008:00" TargetMode="External"/><Relationship Id="rId243" Type="http://schemas.openxmlformats.org/officeDocument/2006/relationships/hyperlink" Target="http://www.cninfo.com.cn/new/disclosure/detail?plate=sse&amp;orgId=gssh0600699&amp;stockCode=600699&amp;announcementId=1204273313&amp;announcementTime=2017-12-27%2008:00" TargetMode="External"/><Relationship Id="rId285" Type="http://schemas.openxmlformats.org/officeDocument/2006/relationships/hyperlink" Target="http://static.cninfo.com.cn/finalpage/2017-05-09/1203486132.PDF" TargetMode="External"/><Relationship Id="rId450" Type="http://schemas.openxmlformats.org/officeDocument/2006/relationships/hyperlink" Target="http://static.cninfo.com.cn/finalpage/2017-08-11/1203785165.PDF" TargetMode="External"/><Relationship Id="rId506" Type="http://schemas.openxmlformats.org/officeDocument/2006/relationships/hyperlink" Target="http://static.cninfo.com.cn/finalpage/2016-09-03/1202673417.PDF" TargetMode="External"/><Relationship Id="rId38" Type="http://schemas.openxmlformats.org/officeDocument/2006/relationships/hyperlink" Target="http://data.eastmoney.com/notices/detail/300184/AN201610240022291003,JUU1JThBJTlCJUU2JUJBJTkwJUU0JUJGJUExJUU2JTgxJUFG.html" TargetMode="External"/><Relationship Id="rId103" Type="http://schemas.openxmlformats.org/officeDocument/2006/relationships/hyperlink" Target="http://static.cninfo.com.cn/finalpage/2017-10-20/1204054214.PDF" TargetMode="External"/><Relationship Id="rId310" Type="http://schemas.openxmlformats.org/officeDocument/2006/relationships/hyperlink" Target="http://static.cninfo.com.cn/finalpage/2016-06-01/1202349350.PDF" TargetMode="External"/><Relationship Id="rId492" Type="http://schemas.openxmlformats.org/officeDocument/2006/relationships/hyperlink" Target="http://static.cninfo.com.cn/finalpage/2016-09-01/1202666245.PDF" TargetMode="External"/><Relationship Id="rId548" Type="http://schemas.openxmlformats.org/officeDocument/2006/relationships/hyperlink" Target="http://static.cninfo.com.cn/finalpage/2016-09-14/1202699263.PDF" TargetMode="External"/><Relationship Id="rId91" Type="http://schemas.openxmlformats.org/officeDocument/2006/relationships/hyperlink" Target="http://static.cninfo.com.cn/finalpage/2017-10-11/1204030228.PDF" TargetMode="External"/><Relationship Id="rId145" Type="http://schemas.openxmlformats.org/officeDocument/2006/relationships/hyperlink" Target="http://data.eastmoney.com/notices/detail/300247/AN201612020148414678,JUU4JTlFJThEJUU2JThEJUI3JUU1JTgxJUE1JUU1JUJBJUI3.html" TargetMode="External"/><Relationship Id="rId187" Type="http://schemas.openxmlformats.org/officeDocument/2006/relationships/hyperlink" Target="http://data.eastmoney.com/notices/detail/002040/AN201612300223637246,JUU1JThEJTk3JTIwJUU0JUJBJUFDJTIwJUU2JUI4JUFG.html" TargetMode="External"/><Relationship Id="rId352" Type="http://schemas.openxmlformats.org/officeDocument/2006/relationships/hyperlink" Target="http://static.cninfo.com.cn/finalpage/2016-06-24/1202394283.PDF" TargetMode="External"/><Relationship Id="rId394" Type="http://schemas.openxmlformats.org/officeDocument/2006/relationships/hyperlink" Target="http://static.cninfo.com.cn/finalpage/2017-07-13/1203700300.PDF" TargetMode="External"/><Relationship Id="rId408" Type="http://schemas.openxmlformats.org/officeDocument/2006/relationships/hyperlink" Target="http://static.cninfo.com.cn/finalpage/2017-07-21/1203722496.PDF" TargetMode="External"/><Relationship Id="rId615" Type="http://schemas.openxmlformats.org/officeDocument/2006/relationships/hyperlink" Target="http://data.eastmoney.com/notices/detail/000690/AN201604240014507459,JUU1JUFFJTlEJUU2JTk2JUIwJUU4JTgzJUJEJUU2JUJBJTkw.html" TargetMode="External"/><Relationship Id="rId212" Type="http://schemas.openxmlformats.org/officeDocument/2006/relationships/hyperlink" Target="http://www.cninfo.com.cn/new/disclosure/detail?plate=szse&amp;orgId=gssz0000901&amp;stockCode=000901&amp;announcementId=1204144921&amp;announcementTime=2017-11-16%2008:00" TargetMode="External"/><Relationship Id="rId254" Type="http://schemas.openxmlformats.org/officeDocument/2006/relationships/hyperlink" Target="http://www.cninfo.com.cn/new/disclosure/detail?plate=sse&amp;orgId=gssh0600104&amp;stockCode=600104&amp;announcementId=1204326998&amp;announcementTime=2018-01-12%2008:00" TargetMode="External"/><Relationship Id="rId657" Type="http://schemas.openxmlformats.org/officeDocument/2006/relationships/hyperlink" Target="http://static.cninfo.com.cn/finalpage/2017-04-18/1203313040.PDF" TargetMode="External"/><Relationship Id="rId49" Type="http://schemas.openxmlformats.org/officeDocument/2006/relationships/hyperlink" Target="http://data.eastmoney.com/notices/detail/000656/AN201611010045108251,JUU5JTg3JTkxJUU3JUE3JTkxJUU4JTgyJUExJUU0JUJCJUJE.html" TargetMode="External"/><Relationship Id="rId114" Type="http://schemas.openxmlformats.org/officeDocument/2006/relationships/hyperlink" Target="http://static.cninfo.com.cn/finalpage/2017-10-31/1204096898.PDF" TargetMode="External"/><Relationship Id="rId296" Type="http://schemas.openxmlformats.org/officeDocument/2006/relationships/hyperlink" Target="http://static.cninfo.com.cn/finalpage/2017-05-11/1203492464.PDF" TargetMode="External"/><Relationship Id="rId461" Type="http://schemas.openxmlformats.org/officeDocument/2006/relationships/hyperlink" Target="http://static.cninfo.com.cn/finalpage/2016-08-18/1202577399.PDF" TargetMode="External"/><Relationship Id="rId517" Type="http://schemas.openxmlformats.org/officeDocument/2006/relationships/hyperlink" Target="http://static.cninfo.com.cn/finalpage/2017-09-01/1203921512.PDF" TargetMode="External"/><Relationship Id="rId559" Type="http://schemas.openxmlformats.org/officeDocument/2006/relationships/hyperlink" Target="http://static.cninfo.com.cn/finalpage/2016-09-22/1202716698.PDF" TargetMode="External"/><Relationship Id="rId60" Type="http://schemas.openxmlformats.org/officeDocument/2006/relationships/hyperlink" Target="http://data.eastmoney.com/notices/detail/002303/AN201611100081072868,JUU3JUJFJThFJUU3JTlCJTg4JUU2JUEzJUFF.html" TargetMode="External"/><Relationship Id="rId156" Type="http://schemas.openxmlformats.org/officeDocument/2006/relationships/hyperlink" Target="http://data.eastmoney.com/notices/detail/600531/AN201612190200398041,JUU4JUIxJUFCJUU1JTg1JTg5JUU5JTg3JTkxJUU5JTkzJTg1.html" TargetMode="External"/><Relationship Id="rId198" Type="http://schemas.openxmlformats.org/officeDocument/2006/relationships/hyperlink" Target="http://data.eastmoney.com/notices/detail/002717/AN201612220209034343,JUU1JUIyJUFEJUU1JThEJTk3JUU4JTgyJUExJUU0JUJCJUJE.html" TargetMode="External"/><Relationship Id="rId321" Type="http://schemas.openxmlformats.org/officeDocument/2006/relationships/hyperlink" Target="http://static.cninfo.com.cn/finalpage/2017-06-01/1203577432.PDF" TargetMode="External"/><Relationship Id="rId363" Type="http://schemas.openxmlformats.org/officeDocument/2006/relationships/hyperlink" Target="http://static.cninfo.com.cn/finalpage/2017-06-27/1203649232.PDF" TargetMode="External"/><Relationship Id="rId419" Type="http://schemas.openxmlformats.org/officeDocument/2006/relationships/hyperlink" Target="http://static.cninfo.com.cn/finalpage/2016-07-27/1202507156.PDF" TargetMode="External"/><Relationship Id="rId570" Type="http://schemas.openxmlformats.org/officeDocument/2006/relationships/hyperlink" Target="http://data.eastmoney.com/notices/detail/002249/AN201602030013381797,JUU1JUE0JUE3JUU2JUI0JThCJUU3JTk0JUI1JUU2JTlDJUJB.html" TargetMode="External"/><Relationship Id="rId626" Type="http://schemas.openxmlformats.org/officeDocument/2006/relationships/hyperlink" Target="http://static.cninfo.com.cn/finalpage/2017-01-25/1203051608.PDF" TargetMode="External"/><Relationship Id="rId223" Type="http://schemas.openxmlformats.org/officeDocument/2006/relationships/hyperlink" Target="http://www.cninfo.com.cn/new/disclosure/detail?plate=sse&amp;orgId=gssh0600072&amp;stockCode=600072&amp;announcementId=1204185273&amp;announcementTime=2017-12-01%2008:00" TargetMode="External"/><Relationship Id="rId430" Type="http://schemas.openxmlformats.org/officeDocument/2006/relationships/hyperlink" Target="http://static.cninfo.com.cn/finalpage/2017-07-27/1203736232.PDF" TargetMode="External"/><Relationship Id="rId668" Type="http://schemas.openxmlformats.org/officeDocument/2006/relationships/hyperlink" Target="http://static.cninfo.com.cn/finalpage/2017-02-14/1203080129.PDF" TargetMode="External"/><Relationship Id="rId18" Type="http://schemas.openxmlformats.org/officeDocument/2006/relationships/hyperlink" Target="http://data.eastmoney.com/notices/detail/603077/AN201610130021838673,JUU1JTkyJThDJUU5JTgyJUE2JUU3JTk0JTlGJUU3JTg5JUE5.html" TargetMode="External"/><Relationship Id="rId39" Type="http://schemas.openxmlformats.org/officeDocument/2006/relationships/hyperlink" Target="http://data.eastmoney.com/notices/detail/300012/AN201610120021826888,JUU1JThEJThFJUU2JUI1JThCJUU2JUEzJTgwJUU2JUI1JThC.html" TargetMode="External"/><Relationship Id="rId265" Type="http://schemas.openxmlformats.org/officeDocument/2006/relationships/hyperlink" Target="http://static.cninfo.com.cn/finalpage/2017-04-26/1203387626.PDF" TargetMode="External"/><Relationship Id="rId286" Type="http://schemas.openxmlformats.org/officeDocument/2006/relationships/hyperlink" Target="http://static.cninfo.com.cn/finalpage/2016-05-14/1202322013.PDF" TargetMode="External"/><Relationship Id="rId451" Type="http://schemas.openxmlformats.org/officeDocument/2006/relationships/hyperlink" Target="http://static.cninfo.com.cn/finalpage/2016-08-18/1202576115.PDF" TargetMode="External"/><Relationship Id="rId472" Type="http://schemas.openxmlformats.org/officeDocument/2006/relationships/hyperlink" Target="http://static.cninfo.com.cn/finalpage/2016-08-15/1202565681.PDF" TargetMode="External"/><Relationship Id="rId493" Type="http://schemas.openxmlformats.org/officeDocument/2006/relationships/hyperlink" Target="http://static.cninfo.com.cn/finalpage/2017-08-24/1203857581.PDF" TargetMode="External"/><Relationship Id="rId507" Type="http://schemas.openxmlformats.org/officeDocument/2006/relationships/hyperlink" Target="http://static.cninfo.com.cn/finalpage/2017-08-26/1203872306.PDF" TargetMode="External"/><Relationship Id="rId528" Type="http://schemas.openxmlformats.org/officeDocument/2006/relationships/hyperlink" Target="http://static.cninfo.com.cn/finalpage/2016-09-10/1202689970.PDF" TargetMode="External"/><Relationship Id="rId549" Type="http://schemas.openxmlformats.org/officeDocument/2006/relationships/hyperlink" Target="http://static.cninfo.com.cn/finalpage/2016-09-19/1202704306.PDF" TargetMode="External"/><Relationship Id="rId50" Type="http://schemas.openxmlformats.org/officeDocument/2006/relationships/hyperlink" Target="http://pdf.dfcfw.com/pdf/H2_AN201611070072304045_1.pdf" TargetMode="External"/><Relationship Id="rId104" Type="http://schemas.openxmlformats.org/officeDocument/2006/relationships/hyperlink" Target="http://static.cninfo.com.cn/finalpage/2017-10-23/1204056809.PDF" TargetMode="External"/><Relationship Id="rId125" Type="http://schemas.openxmlformats.org/officeDocument/2006/relationships/hyperlink" Target="http://static.cninfo.com.cn/finalpage/2017-11-10/1204129280.PDF" TargetMode="External"/><Relationship Id="rId146" Type="http://schemas.openxmlformats.org/officeDocument/2006/relationships/hyperlink" Target="http://data.eastmoney.com/notices/detail/002669/AN201612040158525214,JUU1JUJBJUI3JUU4JUJFJUJFJUU2JTk2JUIwJUU2JTlEJTkw.html" TargetMode="External"/><Relationship Id="rId167" Type="http://schemas.openxmlformats.org/officeDocument/2006/relationships/hyperlink" Target="http://data.eastmoney.com/notices/detail/002770/AN201612260219282605,JUU3JUE3JTkxJUU4JUJGJUFBJUU0JUI5JUIzJUU0JUI4JTlB.html" TargetMode="External"/><Relationship Id="rId188" Type="http://schemas.openxmlformats.org/officeDocument/2006/relationships/hyperlink" Target="http://data.eastmoney.com/notices/detail/300099/AN201612270219305795,JUU3JUIyJUJFJUU1JTg3JTg2JUU0JUJGJUExJUU2JTgxJUFG.html" TargetMode="External"/><Relationship Id="rId311" Type="http://schemas.openxmlformats.org/officeDocument/2006/relationships/hyperlink" Target="http://static.cninfo.com.cn/finalpage/2017-05-24/1203560354.PDF" TargetMode="External"/><Relationship Id="rId332" Type="http://schemas.openxmlformats.org/officeDocument/2006/relationships/hyperlink" Target="http://static.cninfo.com.cn/finalpage/2016-06-22/1202380310.PDF" TargetMode="External"/><Relationship Id="rId353" Type="http://schemas.openxmlformats.org/officeDocument/2006/relationships/hyperlink" Target="http://static.cninfo.com.cn/finalpage/2017-06-26/1203643391.PDF" TargetMode="External"/><Relationship Id="rId374" Type="http://schemas.openxmlformats.org/officeDocument/2006/relationships/hyperlink" Target="http://static.cninfo.com.cn/finalpage/2016-07-07/1202456286.PDF" TargetMode="External"/><Relationship Id="rId395" Type="http://schemas.openxmlformats.org/officeDocument/2006/relationships/hyperlink" Target="http://static.cninfo.com.cn/finalpage/2016-07-15/1202475286.PDF" TargetMode="External"/><Relationship Id="rId409" Type="http://schemas.openxmlformats.org/officeDocument/2006/relationships/hyperlink" Target="http://static.cninfo.com.cn/finalpage/2016-07-15/1202475208.PDF" TargetMode="External"/><Relationship Id="rId560" Type="http://schemas.openxmlformats.org/officeDocument/2006/relationships/hyperlink" Target="http://static.cninfo.com.cn/finalpage/2017-09-14/1203972462.PDF" TargetMode="External"/><Relationship Id="rId581" Type="http://schemas.openxmlformats.org/officeDocument/2006/relationships/hyperlink" Target="http://data.eastmoney.com/notices/detail/002380/AN201604170014390887,JUU3JUE3JTkxJUU4JUJGJTlDJUU2JTk5JUJBJUU2JTg1JUE3.html" TargetMode="External"/><Relationship Id="rId71" Type="http://schemas.openxmlformats.org/officeDocument/2006/relationships/hyperlink" Target="http://static.cninfo.com.cn/finalpage/2017-09-25/1203998864.PDF" TargetMode="External"/><Relationship Id="rId92" Type="http://schemas.openxmlformats.org/officeDocument/2006/relationships/hyperlink" Target="http://static.cninfo.com.cn/finalpage/2017-10-13/1204033452.PDF" TargetMode="External"/><Relationship Id="rId213" Type="http://schemas.openxmlformats.org/officeDocument/2006/relationships/hyperlink" Target="http://www.cninfo.com.cn/new/disclosure/detail?plate=szse&amp;orgId=gssz0000807&amp;stockCode=000807&amp;announcementId=1204144948&amp;announcementTime=2017-11-16%2008:00" TargetMode="External"/><Relationship Id="rId234" Type="http://schemas.openxmlformats.org/officeDocument/2006/relationships/hyperlink" Target="http://www.cninfo.com.cn/new/disclosure/detail?plate=szse&amp;orgId=9900010329&amp;stockCode=002344&amp;announcementId=1204343186&amp;announcementTime=2018-01-18%2008:00" TargetMode="External"/><Relationship Id="rId420" Type="http://schemas.openxmlformats.org/officeDocument/2006/relationships/hyperlink" Target="http://static.cninfo.com.cn/finalpage/2017-07-26/1203735956.PDF" TargetMode="External"/><Relationship Id="rId616" Type="http://schemas.openxmlformats.org/officeDocument/2006/relationships/hyperlink" Target="http://data.eastmoney.com/notices/detail/300343/AN201604250014524361,JUU4JTgxJTk0JUU1JTg4JTlCJUU4JTgyJUExJUU0JUJCJUJE.html" TargetMode="External"/><Relationship Id="rId637" Type="http://schemas.openxmlformats.org/officeDocument/2006/relationships/hyperlink" Target="http://static.cninfo.com.cn/finalpage/2016-03-11/1202039238.PDF" TargetMode="External"/><Relationship Id="rId658" Type="http://schemas.openxmlformats.org/officeDocument/2006/relationships/hyperlink" Target="http://static.cninfo.com.cn/finalpage/2017-04-21/1203343407.PDF" TargetMode="External"/><Relationship Id="rId2" Type="http://schemas.openxmlformats.org/officeDocument/2006/relationships/hyperlink" Target="http://pdf.dfcfw.com/pdf/H2_AN201609200017683139_1.pdf" TargetMode="External"/><Relationship Id="rId29" Type="http://schemas.openxmlformats.org/officeDocument/2006/relationships/hyperlink" Target="http://data.eastmoney.com/notices/detail/002155/AN201610130021842518,JUU2JUI5JTk2JUU1JThEJTk3JUU5JUJCJTg0JUU5JTg3JTkx.html" TargetMode="External"/><Relationship Id="rId255" Type="http://schemas.openxmlformats.org/officeDocument/2006/relationships/hyperlink" Target="http://www.cninfo.com.cn/new/disclosure/detail?plate=szse&amp;orgId=gssz0002040&amp;stockCode=002040&amp;announcementId=1204336158&amp;announcementTime=2018-01-16%2008:00" TargetMode="External"/><Relationship Id="rId276" Type="http://schemas.openxmlformats.org/officeDocument/2006/relationships/hyperlink" Target="http://static.cninfo.com.cn/finalpage/2016-05-06/1202299915.PDF" TargetMode="External"/><Relationship Id="rId297" Type="http://schemas.openxmlformats.org/officeDocument/2006/relationships/hyperlink" Target="http://static.cninfo.com.cn/finalpage/2016-05-17/1202326043.PDF" TargetMode="External"/><Relationship Id="rId441" Type="http://schemas.openxmlformats.org/officeDocument/2006/relationships/hyperlink" Target="http://static.cninfo.com.cn/finalpage/2016-08-08/1202548004.PDF" TargetMode="External"/><Relationship Id="rId462" Type="http://schemas.openxmlformats.org/officeDocument/2006/relationships/hyperlink" Target="http://static.cninfo.com.cn/finalpage/2017-08-16/1203800829.PDF" TargetMode="External"/><Relationship Id="rId483" Type="http://schemas.openxmlformats.org/officeDocument/2006/relationships/hyperlink" Target="http://static.cninfo.com.cn/finalpage/2017-08-23/1203847615.PDF" TargetMode="External"/><Relationship Id="rId518" Type="http://schemas.openxmlformats.org/officeDocument/2006/relationships/hyperlink" Target="http://static.cninfo.com.cn/finalpage/2016-09-02/1202670264.PDF" TargetMode="External"/><Relationship Id="rId539" Type="http://schemas.openxmlformats.org/officeDocument/2006/relationships/hyperlink" Target="http://static.cninfo.com.cn/finalpage/2016-09-08/1202683957.PDF" TargetMode="External"/><Relationship Id="rId40" Type="http://schemas.openxmlformats.org/officeDocument/2006/relationships/hyperlink" Target="http://data.eastmoney.com/notices/detail/002609/AN201610240022322095,JUU2JThEJUI3JUU5JUExJUJBJUU3JUE3JTkxJUU2JThBJTgw.html" TargetMode="External"/><Relationship Id="rId115" Type="http://schemas.openxmlformats.org/officeDocument/2006/relationships/hyperlink" Target="http://static.cninfo.com.cn/finalpage/2017-11-01/1204102749.PDF" TargetMode="External"/><Relationship Id="rId136" Type="http://schemas.openxmlformats.org/officeDocument/2006/relationships/hyperlink" Target="http://pdf.dfcfw.com/pdf/H2_AN201610260027558319_1.pdf" TargetMode="External"/><Relationship Id="rId157" Type="http://schemas.openxmlformats.org/officeDocument/2006/relationships/hyperlink" Target="http://data.eastmoney.com/notices/detail/601000/AN201612190200334268,JUU1JTk0JTkwJUU1JUIxJUIxJUU2JUI4JUFG.html" TargetMode="External"/><Relationship Id="rId178" Type="http://schemas.openxmlformats.org/officeDocument/2006/relationships/hyperlink" Target="http://data.eastmoney.com/notices/detail/600258/AN201701090254831449,JUU5JUE2JTk2JUU2JTk3JTg1JUU5JTg1JTkyJUU1JUJBJTk3.html" TargetMode="External"/><Relationship Id="rId301" Type="http://schemas.openxmlformats.org/officeDocument/2006/relationships/hyperlink" Target="http://static.cninfo.com.cn/finalpage/2017-05-25/1203566149.PDF" TargetMode="External"/><Relationship Id="rId322" Type="http://schemas.openxmlformats.org/officeDocument/2006/relationships/hyperlink" Target="http://static.cninfo.com.cn/finalpage/2016-05-27/1202341002.PDF" TargetMode="External"/><Relationship Id="rId343" Type="http://schemas.openxmlformats.org/officeDocument/2006/relationships/hyperlink" Target="http://static.cninfo.com.cn/finalpage/2016-06-15/1202368081.PDF" TargetMode="External"/><Relationship Id="rId364" Type="http://schemas.openxmlformats.org/officeDocument/2006/relationships/hyperlink" Target="http://static.cninfo.com.cn/finalpage/2016-07-05/1202448960.PDF" TargetMode="External"/><Relationship Id="rId550" Type="http://schemas.openxmlformats.org/officeDocument/2006/relationships/hyperlink" Target="http://static.cninfo.com.cn/finalpage/2017-09-19/1203981195.PDF" TargetMode="External"/><Relationship Id="rId61" Type="http://schemas.openxmlformats.org/officeDocument/2006/relationships/hyperlink" Target="http://static.cninfo.com.cn/finalpage/2017-09-20/1203987732.PDF" TargetMode="External"/><Relationship Id="rId82" Type="http://schemas.openxmlformats.org/officeDocument/2006/relationships/hyperlink" Target="http://static.cninfo.com.cn/finalpage/2017-09-28/1204007345.PDF" TargetMode="External"/><Relationship Id="rId199" Type="http://schemas.openxmlformats.org/officeDocument/2006/relationships/hyperlink" Target="http://data.eastmoney.com/notices/detail/300352/AN201611100081187916,JUU1JThDJTk3JUU0JUJGJUExJUU2JUJBJTkw.html" TargetMode="External"/><Relationship Id="rId203" Type="http://schemas.openxmlformats.org/officeDocument/2006/relationships/hyperlink" Target="http://data.eastmoney.com/notices/detail/300248/AN201612050159829610,JUU2JTk2JUIwJUU1JUJDJTgwJUU2JTk5JUFF.html" TargetMode="External"/><Relationship Id="rId385" Type="http://schemas.openxmlformats.org/officeDocument/2006/relationships/hyperlink" Target="http://static.cninfo.com.cn/finalpage/2016-05-10/1202313415.PDF" TargetMode="External"/><Relationship Id="rId571" Type="http://schemas.openxmlformats.org/officeDocument/2006/relationships/hyperlink" Target="http://data.eastmoney.com/notices/detail/600756/AN201602220013567147,JUU2JUI1JUFBJUU2JUJEJUFFJUU4JUJEJUFGJUU0JUJCJUI2.html" TargetMode="External"/><Relationship Id="rId592" Type="http://schemas.openxmlformats.org/officeDocument/2006/relationships/hyperlink" Target="http://data.eastmoney.com/notices/detail/002280/AN201602010013345724,JUU4JTgxJTk0JUU3JUJCJTlDJUU0JUJBJTkyJUU1JThBJUE4.html" TargetMode="External"/><Relationship Id="rId606" Type="http://schemas.openxmlformats.org/officeDocument/2006/relationships/hyperlink" Target="http://data.eastmoney.com/notices/detail/300180/AN201603170013919761,JUU1JThEJThFJUU1JUIzJUIwJUU4JUI2JTg1JUU3JUJBJUE0.html" TargetMode="External"/><Relationship Id="rId627" Type="http://schemas.openxmlformats.org/officeDocument/2006/relationships/hyperlink" Target="http://static.cninfo.com.cn/finalpage/2017-02-07/1203068089.PDF" TargetMode="External"/><Relationship Id="rId648" Type="http://schemas.openxmlformats.org/officeDocument/2006/relationships/hyperlink" Target="http://static.cninfo.com.cn/finalpage/2017-03-31/1203237098.PDF" TargetMode="External"/><Relationship Id="rId19" Type="http://schemas.openxmlformats.org/officeDocument/2006/relationships/hyperlink" Target="http://data.eastmoney.com/notices/detail/601198/AN201610170021887326,JUU0JUI4JTlDJUU1JTg1JUI0JUU4JUFGJTgxJUU1JTg4JUI4.html" TargetMode="External"/><Relationship Id="rId224" Type="http://schemas.openxmlformats.org/officeDocument/2006/relationships/hyperlink" Target="http://www.cninfo.com.cn/new/disclosure/detail?plate=szse&amp;orgId=9900004894&amp;stockCode=002251&amp;announcementId=1204194736&amp;announcementTime=2017-12-05%2008:00" TargetMode="External"/><Relationship Id="rId245" Type="http://schemas.openxmlformats.org/officeDocument/2006/relationships/hyperlink" Target="http://www.cninfo.com.cn/new/disclosure/detail?plate=szse&amp;orgId=gssz0000426&amp;stockCode=000426&amp;announcementId=1204304683&amp;announcementTime=2018-01-04%2008:00" TargetMode="External"/><Relationship Id="rId266" Type="http://schemas.openxmlformats.org/officeDocument/2006/relationships/hyperlink" Target="http://static.cninfo.com.cn/finalpage/2016-05-04/1202287976.PDF" TargetMode="External"/><Relationship Id="rId287" Type="http://schemas.openxmlformats.org/officeDocument/2006/relationships/hyperlink" Target="http://static.cninfo.com.cn/finalpage/2017-05-10/1203488178.PDF" TargetMode="External"/><Relationship Id="rId410" Type="http://schemas.openxmlformats.org/officeDocument/2006/relationships/hyperlink" Target="http://static.cninfo.com.cn/finalpage/2017-07-22/1203726197.PDF" TargetMode="External"/><Relationship Id="rId431" Type="http://schemas.openxmlformats.org/officeDocument/2006/relationships/hyperlink" Target="http://static.cninfo.com.cn/finalpage/2016-08-05/1202539847.PDF" TargetMode="External"/><Relationship Id="rId452" Type="http://schemas.openxmlformats.org/officeDocument/2006/relationships/hyperlink" Target="http://static.cninfo.com.cn/finalpage/2017-08-11/1203785480.PDF" TargetMode="External"/><Relationship Id="rId473" Type="http://schemas.openxmlformats.org/officeDocument/2006/relationships/hyperlink" Target="http://static.cninfo.com.cn/finalpage/2017-08-17/1203806148.PDF" TargetMode="External"/><Relationship Id="rId494" Type="http://schemas.openxmlformats.org/officeDocument/2006/relationships/hyperlink" Target="http://static.cninfo.com.cn/finalpage/2016-08-26/1202618686.PDF" TargetMode="External"/><Relationship Id="rId508" Type="http://schemas.openxmlformats.org/officeDocument/2006/relationships/hyperlink" Target="http://static.cninfo.com.cn/finalpage/2016-09-06/1202675895.PDF" TargetMode="External"/><Relationship Id="rId529" Type="http://schemas.openxmlformats.org/officeDocument/2006/relationships/hyperlink" Target="http://static.cninfo.com.cn/finalpage/2017-09-02/1203925286.PDF" TargetMode="External"/><Relationship Id="rId30" Type="http://schemas.openxmlformats.org/officeDocument/2006/relationships/hyperlink" Target="http://data.eastmoney.com/notices/detail/000703/AN201610170021883073,JUU2JTgxJTkyJUU5JTgwJUI4JUU3JTlGJUIzJUU1JThDJTk2.html" TargetMode="External"/><Relationship Id="rId105" Type="http://schemas.openxmlformats.org/officeDocument/2006/relationships/hyperlink" Target="http://static.cninfo.com.cn/finalpage/2016-10-24/1202781250.PDF" TargetMode="External"/><Relationship Id="rId126" Type="http://schemas.openxmlformats.org/officeDocument/2006/relationships/hyperlink" Target="http://static.cninfo.com.cn/finalpage/2017-11-10/1204128897.PDF" TargetMode="External"/><Relationship Id="rId147" Type="http://schemas.openxmlformats.org/officeDocument/2006/relationships/hyperlink" Target="http://data.eastmoney.com/notices/detail/600114/AN201612080170727649,JUU0JUI4JTlDJUU3JTlEJUE2JUU4JTgyJUExJUU0JUJCJUJE.html" TargetMode="External"/><Relationship Id="rId168" Type="http://schemas.openxmlformats.org/officeDocument/2006/relationships/hyperlink" Target="http://data.eastmoney.com/notices/detail/600438/AN201612290220403677,JUU5JTgwJTlBJUU1JUE4JTgxJUU4JTgyJUExJUU0JUJCJUJE.html" TargetMode="External"/><Relationship Id="rId312" Type="http://schemas.openxmlformats.org/officeDocument/2006/relationships/hyperlink" Target="http://static.cninfo.com.cn/finalpage/2016-06-02/1202350572.PDF" TargetMode="External"/><Relationship Id="rId333" Type="http://schemas.openxmlformats.org/officeDocument/2006/relationships/hyperlink" Target="http://static.cninfo.com.cn/finalpage/2017-06-13/1203611832.PDF" TargetMode="External"/><Relationship Id="rId354" Type="http://schemas.openxmlformats.org/officeDocument/2006/relationships/hyperlink" Target="http://static.cninfo.com.cn/finalpage/2016-06-29/1202431726.PDF" TargetMode="External"/><Relationship Id="rId540" Type="http://schemas.openxmlformats.org/officeDocument/2006/relationships/hyperlink" Target="http://static.cninfo.com.cn/finalpage/2017-09-12/1203964222.PDF" TargetMode="External"/><Relationship Id="rId51" Type="http://schemas.openxmlformats.org/officeDocument/2006/relationships/hyperlink" Target="http://data.eastmoney.com/notices/detail/002073/AN201611020049571784,JUU4JUJEJUFGJUU2JThFJUE3JUU4JTgyJUExJUU0JUJCJUJE.html" TargetMode="External"/><Relationship Id="rId72" Type="http://schemas.openxmlformats.org/officeDocument/2006/relationships/hyperlink" Target="http://static.cninfo.com.cn/finalpage/2017-10-09/1204014387.PDF" TargetMode="External"/><Relationship Id="rId93" Type="http://schemas.openxmlformats.org/officeDocument/2006/relationships/hyperlink" Target="http://static.cninfo.com.cn/finalpage/2017-10-12/1204030117.PDF" TargetMode="External"/><Relationship Id="rId189" Type="http://schemas.openxmlformats.org/officeDocument/2006/relationships/hyperlink" Target="http://data.eastmoney.com/notices/detail/002171/AN201701180276278201,JUU2JUE1JTlBJUU2JUIxJTlGJUU2JTk2JUIwJUU2JTlEJTkw.html" TargetMode="External"/><Relationship Id="rId375" Type="http://schemas.openxmlformats.org/officeDocument/2006/relationships/hyperlink" Target="http://static.cninfo.com.cn/finalpage/2017-07-05/1203682585.PDF" TargetMode="External"/><Relationship Id="rId396" Type="http://schemas.openxmlformats.org/officeDocument/2006/relationships/hyperlink" Target="http://static.cninfo.com.cn/finalpage/2017-07-13/1203699836.PDF" TargetMode="External"/><Relationship Id="rId561" Type="http://schemas.openxmlformats.org/officeDocument/2006/relationships/hyperlink" Target="http://static.cninfo.com.cn/finalpage/2016-09-14/1202699977.PDF" TargetMode="External"/><Relationship Id="rId582" Type="http://schemas.openxmlformats.org/officeDocument/2006/relationships/hyperlink" Target="http://data.eastmoney.com/notices/detail/000046/AN201601280013305353,JUU2JUIzJTlCJUU2JUI1JUI3JUU2JThFJUE3JUU4JTgyJUEx.html" TargetMode="External"/><Relationship Id="rId617" Type="http://schemas.openxmlformats.org/officeDocument/2006/relationships/hyperlink" Target="http://data.eastmoney.com/notices/detail/300287/AN201604250014524510,JUU5JUEzJTlFJUU1JTg4JUE5JUU0JUJGJUEx.html" TargetMode="External"/><Relationship Id="rId638" Type="http://schemas.openxmlformats.org/officeDocument/2006/relationships/hyperlink" Target="http://static.cninfo.com.cn/finalpage/2017-03-16/1203168145.PDF" TargetMode="External"/><Relationship Id="rId659" Type="http://schemas.openxmlformats.org/officeDocument/2006/relationships/hyperlink" Target="http://static.cninfo.com.cn/finalpage/2017-04-18/1203313609.PDF" TargetMode="External"/><Relationship Id="rId3" Type="http://schemas.openxmlformats.org/officeDocument/2006/relationships/hyperlink" Target="http://pdf.dfcfw.com/pdf/H2_AN201609130017615853_1.pdf" TargetMode="External"/><Relationship Id="rId214" Type="http://schemas.openxmlformats.org/officeDocument/2006/relationships/hyperlink" Target="http://www.cninfo.com.cn/new/disclosure/detail?plate=szse&amp;orgId=9900023611&amp;stockCode=002776&amp;announcementId=1204151048&amp;announcementTime=2017-11-19%2008:00" TargetMode="External"/><Relationship Id="rId235" Type="http://schemas.openxmlformats.org/officeDocument/2006/relationships/hyperlink" Target="http://www.cninfo.com.cn/new/disclosure/detail?plate=szse&amp;orgId=9900023171&amp;stockCode=002717&amp;announcementId=1204297905&amp;announcementTime=2018-01-02%2008:00" TargetMode="External"/><Relationship Id="rId256" Type="http://schemas.openxmlformats.org/officeDocument/2006/relationships/hyperlink" Target="http://www.cninfo.com.cn/new/disclosure/detail?plate=szse&amp;orgId=9900003622&amp;stockCode=002171&amp;announcementId=1204343044&amp;announcementTime=2018-01-18%2008:00" TargetMode="External"/><Relationship Id="rId277" Type="http://schemas.openxmlformats.org/officeDocument/2006/relationships/hyperlink" Target="http://static.cninfo.com.cn/finalpage/2017-05-16/1203520151.PDF" TargetMode="External"/><Relationship Id="rId298" Type="http://schemas.openxmlformats.org/officeDocument/2006/relationships/hyperlink" Target="http://static.cninfo.com.cn/finalpage/2017-05-17/1203525878.PDF" TargetMode="External"/><Relationship Id="rId400" Type="http://schemas.openxmlformats.org/officeDocument/2006/relationships/hyperlink" Target="http://static.cninfo.com.cn/finalpage/2017-07-17/1203707698.PDF" TargetMode="External"/><Relationship Id="rId421" Type="http://schemas.openxmlformats.org/officeDocument/2006/relationships/hyperlink" Target="http://static.cninfo.com.cn/finalpage/2016-07-29/1202514038.PDF" TargetMode="External"/><Relationship Id="rId442" Type="http://schemas.openxmlformats.org/officeDocument/2006/relationships/hyperlink" Target="http://static.cninfo.com.cn/finalpage/2017-09-11/1203964460.PDF" TargetMode="External"/><Relationship Id="rId463" Type="http://schemas.openxmlformats.org/officeDocument/2006/relationships/hyperlink" Target="http://static.cninfo.com.cn/finalpage/2016-08-23/1202601086.PDF" TargetMode="External"/><Relationship Id="rId484" Type="http://schemas.openxmlformats.org/officeDocument/2006/relationships/hyperlink" Target="http://static.cninfo.com.cn/finalpage/2016-08-31/1202656707.PDF" TargetMode="External"/><Relationship Id="rId519" Type="http://schemas.openxmlformats.org/officeDocument/2006/relationships/hyperlink" Target="http://static.cninfo.com.cn/finalpage/2017-09-04/1203925077.PDF" TargetMode="External"/><Relationship Id="rId116" Type="http://schemas.openxmlformats.org/officeDocument/2006/relationships/hyperlink" Target="http://static.cninfo.com.cn/finalpage/2017-10-31/1204096814.PDF" TargetMode="External"/><Relationship Id="rId137" Type="http://schemas.openxmlformats.org/officeDocument/2006/relationships/hyperlink" Target="http://data.eastmoney.com/notices/detail/300367/AN201611170106709559,JUU0JUI4JTlDJUU2JTk2JUI5JUU3JUJEJTkxJUU1JThBJTlC.html" TargetMode="External"/><Relationship Id="rId158" Type="http://schemas.openxmlformats.org/officeDocument/2006/relationships/hyperlink" Target="http://data.eastmoney.com/notices/detail/600771/AN201612220209211677,JUU1JUI5JUJGJUU4JUFBJTg5JUU4JUJGJTlD.html" TargetMode="External"/><Relationship Id="rId302" Type="http://schemas.openxmlformats.org/officeDocument/2006/relationships/hyperlink" Target="http://static.cninfo.com.cn/finalpage/2016-05-27/1202341630.PDF" TargetMode="External"/><Relationship Id="rId323" Type="http://schemas.openxmlformats.org/officeDocument/2006/relationships/hyperlink" Target="http://static.cninfo.com.cn/finalpage/2016-06-06/1202357342.PDF" TargetMode="External"/><Relationship Id="rId344" Type="http://schemas.openxmlformats.org/officeDocument/2006/relationships/hyperlink" Target="http://static.cninfo.com.cn/finalpage/2016-06-22/1202381119.PDF" TargetMode="External"/><Relationship Id="rId530" Type="http://schemas.openxmlformats.org/officeDocument/2006/relationships/hyperlink" Target="http://static.cninfo.com.cn/finalpage/2016-09-08/1202684054.PDF" TargetMode="External"/><Relationship Id="rId20" Type="http://schemas.openxmlformats.org/officeDocument/2006/relationships/hyperlink" Target="http://data.eastmoney.com/notices/detail/002298/AN201610100021790351,JUU0JUI4JUFEJUU3JTk0JUI1JUU1JTg1JUI0JUU1JThGJTkx.html" TargetMode="External"/><Relationship Id="rId41" Type="http://schemas.openxmlformats.org/officeDocument/2006/relationships/hyperlink" Target="http://data.eastmoney.com/notices/detail/002170/AN201610260027378690,JUU4JThBJUFEJUU3JTk0JUIwJUU4JTgyJUExJUU0JUJCJUJE.html" TargetMode="External"/><Relationship Id="rId62" Type="http://schemas.openxmlformats.org/officeDocument/2006/relationships/hyperlink" Target="http://static.cninfo.com.cn/finalpage/2017-09-21/1203989437.PDF" TargetMode="External"/><Relationship Id="rId83" Type="http://schemas.openxmlformats.org/officeDocument/2006/relationships/hyperlink" Target="http://static.cninfo.com.cn/finalpage/2017-09-30/1204014516.PDF" TargetMode="External"/><Relationship Id="rId179" Type="http://schemas.openxmlformats.org/officeDocument/2006/relationships/hyperlink" Target="http://data.eastmoney.com/notices/detail/002217/AN201701090254868812,JUU1JTkwJTg4JUU1JThBJTlCJUU2JUIzJUIw.html" TargetMode="External"/><Relationship Id="rId365" Type="http://schemas.openxmlformats.org/officeDocument/2006/relationships/hyperlink" Target="http://static.cninfo.com.cn/finalpage/2017-06-27/1203649718.PDF" TargetMode="External"/><Relationship Id="rId386" Type="http://schemas.openxmlformats.org/officeDocument/2006/relationships/hyperlink" Target="http://static.cninfo.com.cn/finalpage/2016-07-09/1202460862.PDF" TargetMode="External"/><Relationship Id="rId551" Type="http://schemas.openxmlformats.org/officeDocument/2006/relationships/hyperlink" Target="http://static.cninfo.com.cn/finalpage/2016-09-14/1202699296.PDF" TargetMode="External"/><Relationship Id="rId572" Type="http://schemas.openxmlformats.org/officeDocument/2006/relationships/hyperlink" Target="http://data.eastmoney.com/notices/detail/300377/AN201603230014046195,JUU4JUI1JUEyJUU2JTk3JUI2JUU4JTgzJTlD.html" TargetMode="External"/><Relationship Id="rId593" Type="http://schemas.openxmlformats.org/officeDocument/2006/relationships/hyperlink" Target="http://data.eastmoney.com/notices/detail/000701/AN201602240013593769,JUU1JThFJUE2JUU5JTk3JUE4JUU0JUJGJUExJUU4JUJFJUJF.html" TargetMode="External"/><Relationship Id="rId607" Type="http://schemas.openxmlformats.org/officeDocument/2006/relationships/hyperlink" Target="http://data.eastmoney.com/notices/detail/002722/AN201604040014216407,JUU5JTg3JTkxJUU4JUJEJUFFJUU4JTgyJUExJUU0JUJCJUJE.html" TargetMode="External"/><Relationship Id="rId628" Type="http://schemas.openxmlformats.org/officeDocument/2006/relationships/hyperlink" Target="http://static.cninfo.com.cn/finalpage/2017-01-25/1203050722.PDF" TargetMode="External"/><Relationship Id="rId649" Type="http://schemas.openxmlformats.org/officeDocument/2006/relationships/hyperlink" Target="http://static.cninfo.com.cn/finalpage/2017-04-06/1203251106.PDF" TargetMode="External"/><Relationship Id="rId190" Type="http://schemas.openxmlformats.org/officeDocument/2006/relationships/hyperlink" Target="http://data.eastmoney.com/notices/detail/000767/AN201701190279656871,JUU2JUJDJUIzJUU2JUIzJUJEJUU3JTk0JUI1JUU1JThBJTlC.html" TargetMode="External"/><Relationship Id="rId204" Type="http://schemas.openxmlformats.org/officeDocument/2006/relationships/hyperlink" Target="http://www.cninfo.com.cn/new/disclosure/detail?plate=szse&amp;orgId=9900018728&amp;stockCode=300366&amp;announcementId=1204232541&amp;announcementTime=2017-12-15%2008:00" TargetMode="External"/><Relationship Id="rId225" Type="http://schemas.openxmlformats.org/officeDocument/2006/relationships/hyperlink" Target="http://www.cninfo.com.cn/new/disclosure/detail?plate=sse&amp;orgId=gssh0600633&amp;stockCode=600633&amp;announcementId=1204217950&amp;announcementTime=2017-12-12%2008:00" TargetMode="External"/><Relationship Id="rId246" Type="http://schemas.openxmlformats.org/officeDocument/2006/relationships/hyperlink" Target="http://www.cninfo.com.cn/new/disclosure/detail?plate=szse&amp;orgId=9900001583&amp;stockCode=002093&amp;announcementId=1204302188&amp;announcementTime=2018-01-03%2008:00" TargetMode="External"/><Relationship Id="rId267" Type="http://schemas.openxmlformats.org/officeDocument/2006/relationships/hyperlink" Target="http://static.cninfo.com.cn/finalpage/2016-05-06/1202299509.PDF" TargetMode="External"/><Relationship Id="rId288" Type="http://schemas.openxmlformats.org/officeDocument/2006/relationships/hyperlink" Target="http://static.cninfo.com.cn/finalpage/2016-05-14/1202322181.PDF" TargetMode="External"/><Relationship Id="rId411" Type="http://schemas.openxmlformats.org/officeDocument/2006/relationships/hyperlink" Target="http://static.cninfo.com.cn/finalpage/2016-07-29/1202514379.PDF" TargetMode="External"/><Relationship Id="rId432" Type="http://schemas.openxmlformats.org/officeDocument/2006/relationships/hyperlink" Target="http://static.cninfo.com.cn/finalpage/2017-07-31/1203743082.PDF" TargetMode="External"/><Relationship Id="rId453" Type="http://schemas.openxmlformats.org/officeDocument/2006/relationships/hyperlink" Target="http://static.cninfo.com.cn/finalpage/2017-08-15/1203795883.PDF" TargetMode="External"/><Relationship Id="rId474" Type="http://schemas.openxmlformats.org/officeDocument/2006/relationships/hyperlink" Target="http://static.cninfo.com.cn/finalpage/2016-08-03/1202534727.PDF" TargetMode="External"/><Relationship Id="rId509" Type="http://schemas.openxmlformats.org/officeDocument/2006/relationships/hyperlink" Target="http://static.cninfo.com.cn/finalpage/2017-08-26/1203873190.PDF" TargetMode="External"/><Relationship Id="rId660" Type="http://schemas.openxmlformats.org/officeDocument/2006/relationships/hyperlink" Target="http://static.cninfo.com.cn/finalpage/2017-04-14/1203300138.PDF" TargetMode="External"/><Relationship Id="rId106" Type="http://schemas.openxmlformats.org/officeDocument/2006/relationships/hyperlink" Target="http://static.cninfo.com.cn/finalpage/2017-10-25/1204064776.PDF" TargetMode="External"/><Relationship Id="rId127" Type="http://schemas.openxmlformats.org/officeDocument/2006/relationships/hyperlink" Target="http://static.cninfo.com.cn/finalpage/2017-11-13/1204131821.PDF" TargetMode="External"/><Relationship Id="rId313" Type="http://schemas.openxmlformats.org/officeDocument/2006/relationships/hyperlink" Target="http://static.cninfo.com.cn/finalpage/2017-06-08/1203602763.PDF" TargetMode="External"/><Relationship Id="rId495" Type="http://schemas.openxmlformats.org/officeDocument/2006/relationships/hyperlink" Target="http://static.cninfo.com.cn/finalpage/2017-08-25/1203864214.PDF" TargetMode="External"/><Relationship Id="rId10" Type="http://schemas.openxmlformats.org/officeDocument/2006/relationships/hyperlink" Target="http://data.eastmoney.com/notices/detail/002110/AN201609280017953830,JUU0JUI4JTg5JUU5JTkyJUEyJUU5JTk3JUJEJUU1JTg1JTg5.html" TargetMode="External"/><Relationship Id="rId31" Type="http://schemas.openxmlformats.org/officeDocument/2006/relationships/hyperlink" Target="http://data.eastmoney.com/notices/detail/300421/AN201610120021826883,JUU1JThBJTlCJUU2JTk4JTlGJUU4JTgyJUExJUU0JUJCJUJE.html" TargetMode="External"/><Relationship Id="rId52" Type="http://schemas.openxmlformats.org/officeDocument/2006/relationships/hyperlink" Target="http://data.eastmoney.com/notices/detail/600676/AN201611110086069003,JUU0JUJBJUE0JUU4JUJGJTkwJUU4JTgyJUExJUU0JUJCJUJE.html" TargetMode="External"/><Relationship Id="rId73" Type="http://schemas.openxmlformats.org/officeDocument/2006/relationships/hyperlink" Target="http://static.cninfo.com.cn/finalpage/2016-09-28/1202730760.PDF" TargetMode="External"/><Relationship Id="rId94" Type="http://schemas.openxmlformats.org/officeDocument/2006/relationships/hyperlink" Target="http://static.cninfo.com.cn/finalpage/2017-10-13/1204039909.PDF" TargetMode="External"/><Relationship Id="rId148" Type="http://schemas.openxmlformats.org/officeDocument/2006/relationships/hyperlink" Target="http://data.eastmoney.com/notices/detail/603555/AN201612080170646733,JUU4JUI0JUI1JUU0JUJBJUJBJUU5JUI4JTlG.html" TargetMode="External"/><Relationship Id="rId169" Type="http://schemas.openxmlformats.org/officeDocument/2006/relationships/hyperlink" Target="http://pdf.dfcfw.com/pdf/H2_AN201701030233247340_1.pdf" TargetMode="External"/><Relationship Id="rId334" Type="http://schemas.openxmlformats.org/officeDocument/2006/relationships/hyperlink" Target="http://static.cninfo.com.cn/finalpage/2016-06-24/1202393477.PDF" TargetMode="External"/><Relationship Id="rId355" Type="http://schemas.openxmlformats.org/officeDocument/2006/relationships/hyperlink" Target="http://static.cninfo.com.cn/finalpage/2017-06-22/1203638122.PDF" TargetMode="External"/><Relationship Id="rId376" Type="http://schemas.openxmlformats.org/officeDocument/2006/relationships/hyperlink" Target="http://static.cninfo.com.cn/finalpage/2016-07-11/1202463409.PDF" TargetMode="External"/><Relationship Id="rId397" Type="http://schemas.openxmlformats.org/officeDocument/2006/relationships/hyperlink" Target="http://static.cninfo.com.cn/finalpage/2016-07-15/1202476782.PDF" TargetMode="External"/><Relationship Id="rId520" Type="http://schemas.openxmlformats.org/officeDocument/2006/relationships/hyperlink" Target="http://static.cninfo.com.cn/finalpage/2016-09-08/1202683877.PDF" TargetMode="External"/><Relationship Id="rId541" Type="http://schemas.openxmlformats.org/officeDocument/2006/relationships/hyperlink" Target="http://static.cninfo.com.cn/finalpage/2016-09-12/1202691052.PDF" TargetMode="External"/><Relationship Id="rId562" Type="http://schemas.openxmlformats.org/officeDocument/2006/relationships/hyperlink" Target="http://static.cninfo.com.cn/finalpage/2017-09-18/1203978861.PDF" TargetMode="External"/><Relationship Id="rId583" Type="http://schemas.openxmlformats.org/officeDocument/2006/relationships/hyperlink" Target="http://data.eastmoney.com/notices/detail/300236/AN201604150014377774,JUU0JUI4JThBJUU2JUI1JUI3JUU2JTk2JUIwJUU5JTk4JUIz.html" TargetMode="External"/><Relationship Id="rId618" Type="http://schemas.openxmlformats.org/officeDocument/2006/relationships/hyperlink" Target="http://data.eastmoney.com/notices/detail/300055/AN201604200014445569,JUU0JUI4JTg3JUU5JTgyJUE2JUU4JUJFJUJF.html" TargetMode="External"/><Relationship Id="rId639" Type="http://schemas.openxmlformats.org/officeDocument/2006/relationships/hyperlink" Target="http://static.cninfo.com.cn/finalpage/2017-03-22/1203183411.PDF" TargetMode="External"/><Relationship Id="rId4" Type="http://schemas.openxmlformats.org/officeDocument/2006/relationships/hyperlink" Target="http://pdf.dfcfw.com/pdf/H2_AN201609230017721986_1.pdf" TargetMode="External"/><Relationship Id="rId180" Type="http://schemas.openxmlformats.org/officeDocument/2006/relationships/hyperlink" Target="http://data.eastmoney.com/notices/detail/000851/AN201701090254850625,JUU5JUFCJTk4JUU5JUI4JUJGJUU4JTgyJUExJUU0JUJCJUJE.html" TargetMode="External"/><Relationship Id="rId215" Type="http://schemas.openxmlformats.org/officeDocument/2006/relationships/hyperlink" Target="http://www.cninfo.com.cn/new/disclosure/detail?plate=szse&amp;orgId=9900002002&amp;stockCode=002108&amp;announcementId=1204144604&amp;announcementTime=2017-11-16%2008:00" TargetMode="External"/><Relationship Id="rId236" Type="http://schemas.openxmlformats.org/officeDocument/2006/relationships/hyperlink" Target="http://www.cninfo.com.cn/new/disclosure/detail?plate=szse&amp;orgId=gssz0000065&amp;stockCode=000065&amp;announcementId=1204250698&amp;announcementTime=2017-12-22%2008:00" TargetMode="External"/><Relationship Id="rId257" Type="http://schemas.openxmlformats.org/officeDocument/2006/relationships/hyperlink" Target="http://www.cninfo.com.cn/new/disclosure/detail?plate=szse&amp;orgId=gssz0000767&amp;stockCode=000767&amp;announcementId=1204359541&amp;announcementTime=2018-01-24%2008:00" TargetMode="External"/><Relationship Id="rId278" Type="http://schemas.openxmlformats.org/officeDocument/2006/relationships/hyperlink" Target="http://static.cninfo.com.cn/finalpage/2016-05-12/1202316816.PDF" TargetMode="External"/><Relationship Id="rId401" Type="http://schemas.openxmlformats.org/officeDocument/2006/relationships/hyperlink" Target="http://static.cninfo.com.cn/finalpage/2016-07-23/1202499761.PDF" TargetMode="External"/><Relationship Id="rId422" Type="http://schemas.openxmlformats.org/officeDocument/2006/relationships/hyperlink" Target="http://static.cninfo.com.cn/finalpage/2017-07-28/1203739177.PDF" TargetMode="External"/><Relationship Id="rId443" Type="http://schemas.openxmlformats.org/officeDocument/2006/relationships/hyperlink" Target="http://static.cninfo.com.cn/finalpage/2016-08-12/1202559288.PDF" TargetMode="External"/><Relationship Id="rId464" Type="http://schemas.openxmlformats.org/officeDocument/2006/relationships/hyperlink" Target="http://static.cninfo.com.cn/finalpage/2017-08-14/1203792015.PDF" TargetMode="External"/><Relationship Id="rId650" Type="http://schemas.openxmlformats.org/officeDocument/2006/relationships/hyperlink" Target="http://static.cninfo.com.cn/finalpage/2016-04-06/1202139007.PDF" TargetMode="External"/><Relationship Id="rId303" Type="http://schemas.openxmlformats.org/officeDocument/2006/relationships/hyperlink" Target="http://static.cninfo.com.cn/finalpage/2017-05-23/1203556567.PDF" TargetMode="External"/><Relationship Id="rId485" Type="http://schemas.openxmlformats.org/officeDocument/2006/relationships/hyperlink" Target="http://static.cninfo.com.cn/finalpage/2017-08-22/1203836629.PDF" TargetMode="External"/><Relationship Id="rId42" Type="http://schemas.openxmlformats.org/officeDocument/2006/relationships/hyperlink" Target="http://data.eastmoney.com/notices/detail/300134/AN201610100021791228,JUU1JUE0JUE3JUU1JUFGJThDJUU3JUE3JTkxJUU2JThBJTgw.html" TargetMode="External"/><Relationship Id="rId84" Type="http://schemas.openxmlformats.org/officeDocument/2006/relationships/hyperlink" Target="http://static.cninfo.com.cn/finalpage/2017-10-09/1204016243.PDF" TargetMode="External"/><Relationship Id="rId138" Type="http://schemas.openxmlformats.org/officeDocument/2006/relationships/hyperlink" Target="http://data.eastmoney.com/notices/detail/000807/AN201611170106761478,JUU0JUJBJTkxJUU5JTkzJTlEJUU4JTgyJUExJUU0JUJCJUJE.html" TargetMode="External"/><Relationship Id="rId345" Type="http://schemas.openxmlformats.org/officeDocument/2006/relationships/hyperlink" Target="http://static.cninfo.com.cn/finalpage/2017-06-21/1203634079.PDF" TargetMode="External"/><Relationship Id="rId387" Type="http://schemas.openxmlformats.org/officeDocument/2006/relationships/hyperlink" Target="http://static.cninfo.com.cn/finalpage/2016-07-04/1202448891.PDF" TargetMode="External"/><Relationship Id="rId510" Type="http://schemas.openxmlformats.org/officeDocument/2006/relationships/hyperlink" Target="http://static.cninfo.com.cn/finalpage/2016-08-31/1202656911.PDF" TargetMode="External"/><Relationship Id="rId552" Type="http://schemas.openxmlformats.org/officeDocument/2006/relationships/hyperlink" Target="http://static.cninfo.com.cn/finalpage/2017-09-15/1203975656.PDF" TargetMode="External"/><Relationship Id="rId594" Type="http://schemas.openxmlformats.org/officeDocument/2006/relationships/hyperlink" Target="http://data.eastmoney.com/notices/detail/002590/AN201602230013579561,JUU0JUI4JTg3JUU1JUFFJTg5JUU3JUE3JTkxJUU2JThBJTgw.html" TargetMode="External"/><Relationship Id="rId608" Type="http://schemas.openxmlformats.org/officeDocument/2006/relationships/hyperlink" Target="http://data.eastmoney.com/notices/detail/002441/AN201604050014234970,JUU0JUJDJTk3JUU0JUI4JTlBJUU4JUJFJUJF.html" TargetMode="External"/><Relationship Id="rId191" Type="http://schemas.openxmlformats.org/officeDocument/2006/relationships/hyperlink" Target="http://data.eastmoney.com/notices/detail/002501/AN201701190279680834,KlNUJUU1JTg4JUE5JUU2JUJBJTkw.html" TargetMode="External"/><Relationship Id="rId205" Type="http://schemas.openxmlformats.org/officeDocument/2006/relationships/hyperlink" Target="http://data.eastmoney.com/notices/detail/300319/AN201612220209026117,JUU5JUJBJUE2JUU2JThEJUI3JUU3JUE3JTkxJUU2JThBJTgw.html" TargetMode="External"/><Relationship Id="rId247" Type="http://schemas.openxmlformats.org/officeDocument/2006/relationships/hyperlink" Target="http://www.cninfo.com.cn/new/disclosure/detail?plate=szse&amp;orgId=9900003434&amp;stockCode=002157&amp;announcementId=1204309952&amp;announcementTime=2018-01-07%2008:00" TargetMode="External"/><Relationship Id="rId412" Type="http://schemas.openxmlformats.org/officeDocument/2006/relationships/hyperlink" Target="http://static.cninfo.com.cn/finalpage/2017-07-21/1203722750.PDF" TargetMode="External"/><Relationship Id="rId107" Type="http://schemas.openxmlformats.org/officeDocument/2006/relationships/hyperlink" Target="http://static.cninfo.com.cn/finalpage/2017-10-24/1204060847.PDF" TargetMode="External"/><Relationship Id="rId289" Type="http://schemas.openxmlformats.org/officeDocument/2006/relationships/hyperlink" Target="http://static.cninfo.com.cn/finalpage/2017-05-06/1203482784.PDF" TargetMode="External"/><Relationship Id="rId454" Type="http://schemas.openxmlformats.org/officeDocument/2006/relationships/hyperlink" Target="http://static.cninfo.com.cn/finalpage/2016-08-17/1202571100.PDF" TargetMode="External"/><Relationship Id="rId496" Type="http://schemas.openxmlformats.org/officeDocument/2006/relationships/hyperlink" Target="http://static.cninfo.com.cn/finalpage/2016-09-02/1202668724.PDF" TargetMode="External"/><Relationship Id="rId661" Type="http://schemas.openxmlformats.org/officeDocument/2006/relationships/hyperlink" Target="http://static.cninfo.com.cn/finalpage/2017-04-20/1203332754.PDF" TargetMode="External"/><Relationship Id="rId11" Type="http://schemas.openxmlformats.org/officeDocument/2006/relationships/hyperlink" Target="http://data.eastmoney.com/notices/detail/600864/AN201610100021789365,JUU1JTkzJTg4JUU2JThBJTk1JUU4JTgyJUExJUU0JUJCJUJE.html" TargetMode="External"/><Relationship Id="rId53" Type="http://schemas.openxmlformats.org/officeDocument/2006/relationships/hyperlink" Target="http://pdf.dfcfw.com/pdf/H2_AN201611080074305104_1.pdf" TargetMode="External"/><Relationship Id="rId149" Type="http://schemas.openxmlformats.org/officeDocument/2006/relationships/hyperlink" Target="http://data.eastmoney.com/notices/detail/300053/AN201612060162823875,JUU2JUFDJUE3JUU2JUFGJTk0JUU3JTg5JUI5.html" TargetMode="External"/><Relationship Id="rId314" Type="http://schemas.openxmlformats.org/officeDocument/2006/relationships/hyperlink" Target="http://static.cninfo.com.cn/finalpage/2017-06-02/1203579071.PDF" TargetMode="External"/><Relationship Id="rId356" Type="http://schemas.openxmlformats.org/officeDocument/2006/relationships/hyperlink" Target="http://static.cninfo.com.cn/finalpage/2016-06-30/1202438139.PDF" TargetMode="External"/><Relationship Id="rId398" Type="http://schemas.openxmlformats.org/officeDocument/2006/relationships/hyperlink" Target="http://static.cninfo.com.cn/finalpage/2017-07-17/1203707496.PDF" TargetMode="External"/><Relationship Id="rId521" Type="http://schemas.openxmlformats.org/officeDocument/2006/relationships/hyperlink" Target="http://static.cninfo.com.cn/finalpage/2017-08-31/1203910233.PDF" TargetMode="External"/><Relationship Id="rId563" Type="http://schemas.openxmlformats.org/officeDocument/2006/relationships/hyperlink" Target="http://static.cninfo.com.cn/finalpage/2016-09-19/1202704721.PDF" TargetMode="External"/><Relationship Id="rId619" Type="http://schemas.openxmlformats.org/officeDocument/2006/relationships/hyperlink" Target="http://static.cninfo.com.cn/finalpage/2017-01-14/1203015165.PDF" TargetMode="External"/><Relationship Id="rId95" Type="http://schemas.openxmlformats.org/officeDocument/2006/relationships/hyperlink" Target="http://static.cninfo.com.cn/finalpage/2017-10-16/1204039477.PDF" TargetMode="External"/><Relationship Id="rId160" Type="http://schemas.openxmlformats.org/officeDocument/2006/relationships/hyperlink" Target="http://pdf.dfcfw.com/pdf/H2_AN201612220209308937_1.pdf" TargetMode="External"/><Relationship Id="rId216" Type="http://schemas.openxmlformats.org/officeDocument/2006/relationships/hyperlink" Target="http://www.cninfo.com.cn/new/disclosure/detail?plate=szse&amp;orgId=9900021171&amp;stockCode=002605&amp;announcementId=1204163525&amp;announcementTime=2017-11-23%2008:00" TargetMode="External"/><Relationship Id="rId423" Type="http://schemas.openxmlformats.org/officeDocument/2006/relationships/hyperlink" Target="http://static.cninfo.com.cn/finalpage/2016-07-29/1202513836.PDF" TargetMode="External"/><Relationship Id="rId258" Type="http://schemas.openxmlformats.org/officeDocument/2006/relationships/hyperlink" Target="http://www.cninfo.com.cn/new/disclosure/detail?plate=szse&amp;orgId=9900015790&amp;stockCode=002501&amp;announcementId=1204428376&amp;announcementTime=2018-02-22%2008:00" TargetMode="External"/><Relationship Id="rId465" Type="http://schemas.openxmlformats.org/officeDocument/2006/relationships/hyperlink" Target="http://static.cninfo.com.cn/finalpage/2016-08-19/1202582012.PDF" TargetMode="External"/><Relationship Id="rId630" Type="http://schemas.openxmlformats.org/officeDocument/2006/relationships/hyperlink" Target="http://static.cninfo.com.cn/finalpage/2017-01-25/1203050823.PDF" TargetMode="External"/><Relationship Id="rId22" Type="http://schemas.openxmlformats.org/officeDocument/2006/relationships/hyperlink" Target="http://data.eastmoney.com/notices/detail/000949/AN201610110021804883,JUU2JTk2JUIwJUU0JUI5JUExJUU1JThDJTk2JUU3JUJBJUE0.html" TargetMode="External"/><Relationship Id="rId64" Type="http://schemas.openxmlformats.org/officeDocument/2006/relationships/hyperlink" Target="http://static.cninfo.com.cn/finalpage/2017-09-15/1203975750.PDF" TargetMode="External"/><Relationship Id="rId118" Type="http://schemas.openxmlformats.org/officeDocument/2006/relationships/hyperlink" Target="http://static.cninfo.com.cn/finalpage/2017-11-03/1204108807.PDF" TargetMode="External"/><Relationship Id="rId325" Type="http://schemas.openxmlformats.org/officeDocument/2006/relationships/hyperlink" Target="http://static.cninfo.com.cn/finalpage/2016-05-23/1202332834.PDF" TargetMode="External"/><Relationship Id="rId367" Type="http://schemas.openxmlformats.org/officeDocument/2006/relationships/hyperlink" Target="http://static.cninfo.com.cn/finalpage/2016-07-02/1202445057.PDF" TargetMode="External"/><Relationship Id="rId532" Type="http://schemas.openxmlformats.org/officeDocument/2006/relationships/hyperlink" Target="http://static.cninfo.com.cn/finalpage/2016-07-08/1202458721.PDF" TargetMode="External"/><Relationship Id="rId574" Type="http://schemas.openxmlformats.org/officeDocument/2006/relationships/hyperlink" Target="http://data.eastmoney.com/notices/detail/600177/AN201604130014341096,JUU5JTlCJTg1JUU2JTg4JTg4JUU1JUIwJTk0.html" TargetMode="External"/><Relationship Id="rId171" Type="http://schemas.openxmlformats.org/officeDocument/2006/relationships/hyperlink" Target="http://data.eastmoney.com/notices/detail/000555/AN201612270219310225,JUU3JUE1JTlFJUU1JUI3JTlFJUU0JUJGJUExJUU2JTgxJUFG.html" TargetMode="External"/><Relationship Id="rId227" Type="http://schemas.openxmlformats.org/officeDocument/2006/relationships/hyperlink" Target="http://www.cninfo.com.cn/new/disclosure/detail?plate=sse&amp;orgId=gssh0600531&amp;stockCode=600531&amp;announcementId=1204214502&amp;announcementTime=2017-12-11%2008:00" TargetMode="External"/><Relationship Id="rId269" Type="http://schemas.openxmlformats.org/officeDocument/2006/relationships/hyperlink" Target="http://static.cninfo.com.cn/finalpage/2016-05-03/1202287432.PDF" TargetMode="External"/><Relationship Id="rId434" Type="http://schemas.openxmlformats.org/officeDocument/2006/relationships/hyperlink" Target="http://static.cninfo.com.cn/finalpage/2017-08-01/1203744735.PDF" TargetMode="External"/><Relationship Id="rId476" Type="http://schemas.openxmlformats.org/officeDocument/2006/relationships/hyperlink" Target="http://static.cninfo.com.cn/finalpage/2016-08-19/1202581595.PDF" TargetMode="External"/><Relationship Id="rId641" Type="http://schemas.openxmlformats.org/officeDocument/2006/relationships/hyperlink" Target="http://static.cninfo.com.cn/finalpage/2017-03-24/1203190030.PDF" TargetMode="External"/><Relationship Id="rId33" Type="http://schemas.openxmlformats.org/officeDocument/2006/relationships/hyperlink" Target="http://data.eastmoney.com/notices/detail/002221/AN201610190021926690,JUU0JUI4JTlDJUU1JThEJThFJUU4JTgzJUJEJUU2JUJBJTkw.html" TargetMode="External"/><Relationship Id="rId129" Type="http://schemas.openxmlformats.org/officeDocument/2006/relationships/hyperlink" Target="http://pdf.dfcfw.com/pdf/H2_AN201609060017512520_1.pdf" TargetMode="External"/><Relationship Id="rId280" Type="http://schemas.openxmlformats.org/officeDocument/2006/relationships/hyperlink" Target="http://static.cninfo.com.cn/finalpage/2016-05-12/1202316904.PDF" TargetMode="External"/><Relationship Id="rId336" Type="http://schemas.openxmlformats.org/officeDocument/2006/relationships/hyperlink" Target="http://static.cninfo.com.cn/finalpage/2016-06-17/1202372304.PDF" TargetMode="External"/><Relationship Id="rId501" Type="http://schemas.openxmlformats.org/officeDocument/2006/relationships/hyperlink" Target="http://static.cninfo.com.cn/finalpage/2017-08-26/1203873867.PDF" TargetMode="External"/><Relationship Id="rId543" Type="http://schemas.openxmlformats.org/officeDocument/2006/relationships/hyperlink" Target="http://static.cninfo.com.cn/finalpage/2016-09-07/1202684211.PDF" TargetMode="External"/><Relationship Id="rId75" Type="http://schemas.openxmlformats.org/officeDocument/2006/relationships/hyperlink" Target="http://static.cninfo.com.cn/finalpage/2017-10-10/1204020929.PDF" TargetMode="External"/><Relationship Id="rId140" Type="http://schemas.openxmlformats.org/officeDocument/2006/relationships/hyperlink" Target="http://data.eastmoney.com/notices/detail/002108/AN201611170106698762,JUU2JUIyJUE3JUU1JUI3JTlFJUU2JTk4JThFJUU3JThGJUEw.html" TargetMode="External"/><Relationship Id="rId182" Type="http://schemas.openxmlformats.org/officeDocument/2006/relationships/hyperlink" Target="http://data.eastmoney.com/notices/detail/000909/AN201701120262561904,JUU2JTk1JUIwJUU2JUJBJTkwJUU3JUE3JTkxJUU2JThBJTgw.html" TargetMode="External"/><Relationship Id="rId378" Type="http://schemas.openxmlformats.org/officeDocument/2006/relationships/hyperlink" Target="http://static.cninfo.com.cn/finalpage/2016-07-12/1202466460.PDF" TargetMode="External"/><Relationship Id="rId403" Type="http://schemas.openxmlformats.org/officeDocument/2006/relationships/hyperlink" Target="http://static.cninfo.com.cn/finalpage/2016-07-23/1202501617.PDF" TargetMode="External"/><Relationship Id="rId585" Type="http://schemas.openxmlformats.org/officeDocument/2006/relationships/hyperlink" Target="http://data.eastmoney.com/notices/detail/600468/AN201601270013289839,JUU3JTk5JUJFJUU1JTg4JUE5JUU3JTk0JUI1JUU2JUIwJTk0.html" TargetMode="External"/><Relationship Id="rId6" Type="http://schemas.openxmlformats.org/officeDocument/2006/relationships/hyperlink" Target="http://data.eastmoney.com/notices/detail/300089/AN201609220017709945,JUU2JTk2JTg3JUU1JThDJTk2JUU5JTk1JUJGJUU1JTlGJThF.html" TargetMode="External"/><Relationship Id="rId238" Type="http://schemas.openxmlformats.org/officeDocument/2006/relationships/hyperlink" Target="http://www.cninfo.com.cn/new/disclosure/detail?plate=sse&amp;orgId=gssh0600438&amp;stockCode=600438&amp;announcementId=1204254343&amp;announcementTime=2017-12-25%2008:00" TargetMode="External"/><Relationship Id="rId445" Type="http://schemas.openxmlformats.org/officeDocument/2006/relationships/hyperlink" Target="http://static.cninfo.com.cn/finalpage/2016-08-17/1202571812.PDF" TargetMode="External"/><Relationship Id="rId487" Type="http://schemas.openxmlformats.org/officeDocument/2006/relationships/hyperlink" Target="http://static.cninfo.com.cn/finalpage/2017-08-29/1203886970.PDF" TargetMode="External"/><Relationship Id="rId610" Type="http://schemas.openxmlformats.org/officeDocument/2006/relationships/hyperlink" Target="http://data.eastmoney.com/notices/detail/002706/AN201604050014237295,JUU4JTg5JUFGJUU0JUJGJUExJUU3JTk0JUI1JUU1JTk5JUE4.html" TargetMode="External"/><Relationship Id="rId652" Type="http://schemas.openxmlformats.org/officeDocument/2006/relationships/hyperlink" Target="http://static.cninfo.com.cn/finalpage/2017-04-08/1203264068.PDF" TargetMode="External"/><Relationship Id="rId291" Type="http://schemas.openxmlformats.org/officeDocument/2006/relationships/hyperlink" Target="http://static.cninfo.com.cn/finalpage/2016-05-13/1202319315.PDF" TargetMode="External"/><Relationship Id="rId305" Type="http://schemas.openxmlformats.org/officeDocument/2006/relationships/hyperlink" Target="http://static.cninfo.com.cn/finalpage/2017-05-31/1203577012.PDF" TargetMode="External"/><Relationship Id="rId347" Type="http://schemas.openxmlformats.org/officeDocument/2006/relationships/hyperlink" Target="http://static.cninfo.com.cn/finalpage/2016-06-21/1202376145.PDF" TargetMode="External"/><Relationship Id="rId512" Type="http://schemas.openxmlformats.org/officeDocument/2006/relationships/hyperlink" Target="http://static.cninfo.com.cn/finalpage/2016-08-26/1202619578.PDF" TargetMode="External"/><Relationship Id="rId44" Type="http://schemas.openxmlformats.org/officeDocument/2006/relationships/hyperlink" Target="http://data.eastmoney.com/notices/detail/300252/AN201610160021869938,JUU5JTg3JTkxJUU0JUJGJUExJUU4JUFGJUJB.html" TargetMode="External"/><Relationship Id="rId86" Type="http://schemas.openxmlformats.org/officeDocument/2006/relationships/hyperlink" Target="http://static.cninfo.com.cn/finalpage/2017-10-12/1204030483.PDF" TargetMode="External"/><Relationship Id="rId151" Type="http://schemas.openxmlformats.org/officeDocument/2006/relationships/hyperlink" Target="http://data.eastmoney.com/notices/detail/002251/AN201612060162790047,JUU2JUFEJUE1JTIwJUU2JUFEJUE1JTIwJUU5JUFCJTk4.html" TargetMode="External"/><Relationship Id="rId389" Type="http://schemas.openxmlformats.org/officeDocument/2006/relationships/hyperlink" Target="http://static.cninfo.com.cn/finalpage/2016-07-14/1202469772.PDF" TargetMode="External"/><Relationship Id="rId554" Type="http://schemas.openxmlformats.org/officeDocument/2006/relationships/hyperlink" Target="http://static.cninfo.com.cn/finalpage/2017-09-14/1203972458.PDF" TargetMode="External"/><Relationship Id="rId596" Type="http://schemas.openxmlformats.org/officeDocument/2006/relationships/hyperlink" Target="http://data.eastmoney.com/notices/detail/601599/AN201603040013777711,JUU5JUI5JUJGJUU2JUI4JUFGJUU2JTk2JTg3JUU1JThDJTk2.html" TargetMode="External"/><Relationship Id="rId193" Type="http://schemas.openxmlformats.org/officeDocument/2006/relationships/hyperlink" Target="http://data.eastmoney.com/notices/detail/300161/AN201701200282675286,JUU1JThEJThFJUU0JUI4JUFEJUU2JTk1JUIwJUU2JThFJUE3.html" TargetMode="External"/><Relationship Id="rId207" Type="http://schemas.openxmlformats.org/officeDocument/2006/relationships/hyperlink" Target="http://www.cninfo.com.cn/new/disclosure/detail?plate=szse&amp;orgId=9900012452&amp;stockCode=300099&amp;announcementId=1204332344&amp;announcementTime=2018-01-15%2008:00" TargetMode="External"/><Relationship Id="rId249" Type="http://schemas.openxmlformats.org/officeDocument/2006/relationships/hyperlink" Target="http://www.cninfo.com.cn/new/disclosure/detail?plate=szse&amp;orgId=gssz0000851&amp;stockCode=000851&amp;announcementId=1204332012&amp;announcementTime=2018-01-15%2008:00" TargetMode="External"/><Relationship Id="rId414" Type="http://schemas.openxmlformats.org/officeDocument/2006/relationships/hyperlink" Target="http://static.cninfo.com.cn/finalpage/2017-07-21/1203726395.PDF" TargetMode="External"/><Relationship Id="rId456" Type="http://schemas.openxmlformats.org/officeDocument/2006/relationships/hyperlink" Target="http://static.cninfo.com.cn/finalpage/2017-08-15/1203797286.PDF" TargetMode="External"/><Relationship Id="rId498" Type="http://schemas.openxmlformats.org/officeDocument/2006/relationships/hyperlink" Target="http://static.cninfo.com.cn/finalpage/2016-08-29/1202629947.PDF" TargetMode="External"/><Relationship Id="rId621" Type="http://schemas.openxmlformats.org/officeDocument/2006/relationships/hyperlink" Target="http://static.cninfo.com.cn/finalpage/2017-01-19/1203026900.PDF" TargetMode="External"/><Relationship Id="rId663" Type="http://schemas.openxmlformats.org/officeDocument/2006/relationships/hyperlink" Target="http://static.cninfo.com.cn/finalpage/2017-04-25/1203373474.PDF" TargetMode="External"/><Relationship Id="rId13" Type="http://schemas.openxmlformats.org/officeDocument/2006/relationships/hyperlink" Target="http://data.eastmoney.com/notices/detail/002414/AN201609260017741688,JUU5JUFCJTk4JUU1JUJFJUI3JUU3JUJBJUEyJUU1JUE0JTk2.html" TargetMode="External"/><Relationship Id="rId109" Type="http://schemas.openxmlformats.org/officeDocument/2006/relationships/hyperlink" Target="http://static.cninfo.com.cn/finalpage/2016-10-26/1202785938.PDF" TargetMode="External"/><Relationship Id="rId260" Type="http://schemas.openxmlformats.org/officeDocument/2006/relationships/hyperlink" Target="http://www.cninfo.com.cn/new/disclosure/detail?plate=szse&amp;orgId=gssz0000519&amp;stockCode=000519&amp;announcementId=1204372498&amp;announcementTime=2018-01-29%2008:00" TargetMode="External"/><Relationship Id="rId316" Type="http://schemas.openxmlformats.org/officeDocument/2006/relationships/hyperlink" Target="http://static.cninfo.com.cn/finalpage/2016-06-09/1202364359.PDF" TargetMode="External"/><Relationship Id="rId523" Type="http://schemas.openxmlformats.org/officeDocument/2006/relationships/hyperlink" Target="http://static.cninfo.com.cn/finalpage/2017-09-06/1203938603.PDF" TargetMode="External"/><Relationship Id="rId55" Type="http://schemas.openxmlformats.org/officeDocument/2006/relationships/hyperlink" Target="http://data.eastmoney.com/notices/detail/002310/AN201611090077040483,JUU0JUI4JTlDJUU2JTk2JUI5JUU1JTlCJUFEJUU2JTlFJTk3.html" TargetMode="External"/><Relationship Id="rId97" Type="http://schemas.openxmlformats.org/officeDocument/2006/relationships/hyperlink" Target="http://static.cninfo.com.cn/finalpage/2017-10-25/1204064611.PDF" TargetMode="External"/><Relationship Id="rId120" Type="http://schemas.openxmlformats.org/officeDocument/2006/relationships/hyperlink" Target="http://static.cninfo.com.cn/finalpage/2017-11-07/1204114205.PDF" TargetMode="External"/><Relationship Id="rId358" Type="http://schemas.openxmlformats.org/officeDocument/2006/relationships/hyperlink" Target="http://static.cninfo.com.cn/finalpage/2016-06-24/1202394305.PDF" TargetMode="External"/><Relationship Id="rId565" Type="http://schemas.openxmlformats.org/officeDocument/2006/relationships/hyperlink" Target="http://static.cninfo.com.cn/finalpage/2016-09-23/1202719753.PDF" TargetMode="External"/><Relationship Id="rId162" Type="http://schemas.openxmlformats.org/officeDocument/2006/relationships/hyperlink" Target="http://data.eastmoney.com/notices/detail/300349/AN201612190200343470,JUU5JTg3JTkxJUU1JThEJUExJUU2JTk5JUJBJUU4JTgzJUJE.html" TargetMode="External"/><Relationship Id="rId218" Type="http://schemas.openxmlformats.org/officeDocument/2006/relationships/hyperlink" Target="http://www.cninfo.com.cn/new/disclosure/detail?plate=szse&amp;orgId=gssz0000939&amp;stockCode=000939&amp;announcementId=1204232751&amp;announcementTime=2017-12-15%2008:00" TargetMode="External"/><Relationship Id="rId425" Type="http://schemas.openxmlformats.org/officeDocument/2006/relationships/hyperlink" Target="http://static.cninfo.com.cn/finalpage/2016-07-28/1202511268.PDF" TargetMode="External"/><Relationship Id="rId467" Type="http://schemas.openxmlformats.org/officeDocument/2006/relationships/hyperlink" Target="http://static.cninfo.com.cn/finalpage/2016-08-19/1202581854.PDF" TargetMode="External"/><Relationship Id="rId632" Type="http://schemas.openxmlformats.org/officeDocument/2006/relationships/hyperlink" Target="http://static.cninfo.com.cn/finalpage/2017-02-27/1203106731.PDF" TargetMode="External"/><Relationship Id="rId271" Type="http://schemas.openxmlformats.org/officeDocument/2006/relationships/hyperlink" Target="http://static.cninfo.com.cn/finalpage/2016-05-04/1202287819.PDF" TargetMode="External"/><Relationship Id="rId24" Type="http://schemas.openxmlformats.org/officeDocument/2006/relationships/hyperlink" Target="http://data.eastmoney.com/notices/detail/600200/AN201610140021860995,JUU2JUIxJTlGJUU4JThCJThGJUU1JTkwJUI0JUU0JUI4JUFE.html" TargetMode="External"/><Relationship Id="rId66" Type="http://schemas.openxmlformats.org/officeDocument/2006/relationships/hyperlink" Target="http://static.cninfo.com.cn/finalpage/2017-09-28/1204007137.PDF" TargetMode="External"/><Relationship Id="rId131" Type="http://schemas.openxmlformats.org/officeDocument/2006/relationships/hyperlink" Target="http://pdf.dfcfw.com/pdf/H2_AN201609250017732097_1.pdf" TargetMode="External"/><Relationship Id="rId327" Type="http://schemas.openxmlformats.org/officeDocument/2006/relationships/hyperlink" Target="http://static.cninfo.com.cn/finalpage/2017-06-13/1203610955.PDF" TargetMode="External"/><Relationship Id="rId369" Type="http://schemas.openxmlformats.org/officeDocument/2006/relationships/hyperlink" Target="http://static.cninfo.com.cn/finalpage/2017-06-30/1203664327.PDF" TargetMode="External"/><Relationship Id="rId534" Type="http://schemas.openxmlformats.org/officeDocument/2006/relationships/hyperlink" Target="http://img2.gtimg.com/finance/hs/pdf/2017/07/13/1203700063.PDF" TargetMode="External"/><Relationship Id="rId576" Type="http://schemas.openxmlformats.org/officeDocument/2006/relationships/hyperlink" Target="http://data.eastmoney.com/notices/detail/002027/AN201604130014342553,JUU1JTg4JTg2JUU0JUJDJTk3JUU0JUJDJUEwJUU1JUFBJTky.html" TargetMode="External"/><Relationship Id="rId173" Type="http://schemas.openxmlformats.org/officeDocument/2006/relationships/hyperlink" Target="http://data.eastmoney.com/notices/detail/600699/AN201701050242383504,JUU1JTlEJTg3JUU4JTgzJTlDJUU3JTk0JUI1JUU1JUFEJTkw.html" TargetMode="External"/><Relationship Id="rId229" Type="http://schemas.openxmlformats.org/officeDocument/2006/relationships/hyperlink" Target="http://www.cninfo.com.cn/new/disclosure/detail?plate=sse&amp;orgId=gssh0600771&amp;stockCode=600771&amp;announcementId=1204232848&amp;announcementTime=2017-12-15%2008:00" TargetMode="External"/><Relationship Id="rId380" Type="http://schemas.openxmlformats.org/officeDocument/2006/relationships/hyperlink" Target="http://static.cninfo.com.cn/finalpage/2016-07-07/1202455564.PDF" TargetMode="External"/><Relationship Id="rId436" Type="http://schemas.openxmlformats.org/officeDocument/2006/relationships/hyperlink" Target="http://static.cninfo.com.cn/finalpage/2018-02-06/1204399151.PDF" TargetMode="External"/><Relationship Id="rId601" Type="http://schemas.openxmlformats.org/officeDocument/2006/relationships/hyperlink" Target="http://data.eastmoney.com/notices/detail/002610/AN201603200013947778,JUU3JTg4JUIxJUU1JUJBJUI3JUU3JUE3JTkxJUU2JThBJTgw.html" TargetMode="External"/><Relationship Id="rId643" Type="http://schemas.openxmlformats.org/officeDocument/2006/relationships/hyperlink" Target="http://static.cninfo.com.cn/finalpage/2017-03-25/1203197308.PDF" TargetMode="External"/><Relationship Id="rId240" Type="http://schemas.openxmlformats.org/officeDocument/2006/relationships/hyperlink" Target="http://www.cninfo.com.cn/new/disclosure/detail?plate=sse&amp;orgId=gssh0600336&amp;stockCode=600336&amp;announcementId=1204249951&amp;announcementTime=2017-12-22%2008:00" TargetMode="External"/><Relationship Id="rId478" Type="http://schemas.openxmlformats.org/officeDocument/2006/relationships/hyperlink" Target="http://static.cninfo.com.cn/finalpage/2016-08-23/1202599586.PDF" TargetMode="External"/><Relationship Id="rId35" Type="http://schemas.openxmlformats.org/officeDocument/2006/relationships/hyperlink" Target="http://data.eastmoney.com/notices/detail/600515/AN201610250024633930,JUU2JUI1JUI3JUU4JTg4JUFBJUU1JTlGJUJBJUU3JUExJTgw.html" TargetMode="External"/><Relationship Id="rId77" Type="http://schemas.openxmlformats.org/officeDocument/2006/relationships/hyperlink" Target="http://static.cninfo.com.cn/finalpage/2017-09-26/1203999347.PDF" TargetMode="External"/><Relationship Id="rId100" Type="http://schemas.openxmlformats.org/officeDocument/2006/relationships/hyperlink" Target="http://static.cninfo.com.cn/finalpage/2017-10-19/1204052199.PDF" TargetMode="External"/><Relationship Id="rId282" Type="http://schemas.openxmlformats.org/officeDocument/2006/relationships/hyperlink" Target="http://static.cninfo.com.cn/finalpage/2016-04-20/1202203812.PDF" TargetMode="External"/><Relationship Id="rId338" Type="http://schemas.openxmlformats.org/officeDocument/2006/relationships/hyperlink" Target="http://static.cninfo.com.cn/finalpage/2016-06-17/1202372654.PDF" TargetMode="External"/><Relationship Id="rId503" Type="http://schemas.openxmlformats.org/officeDocument/2006/relationships/hyperlink" Target="http://static.cninfo.com.cn/finalpage/2017-08-29/1203887926.PDF" TargetMode="External"/><Relationship Id="rId545" Type="http://schemas.openxmlformats.org/officeDocument/2006/relationships/hyperlink" Target="http://static.cninfo.com.cn/finalpage/2016-09-12/1202689867.PDF" TargetMode="External"/><Relationship Id="rId587" Type="http://schemas.openxmlformats.org/officeDocument/2006/relationships/hyperlink" Target="http://data.eastmoney.com/notices/detail/600876/AN201602030013383255,JUU2JUI0JTlCJUU5JTk4JUIzJUU3JThFJUJCJUU3JTkyJTgz.html" TargetMode="External"/><Relationship Id="rId8" Type="http://schemas.openxmlformats.org/officeDocument/2006/relationships/hyperlink" Target="http://data.eastmoney.com/notices/detail/000408/AN201609270017755605,JUU4JTk3JThGJUU2JUEwJUJDJUU2JThFJUE3JUU4JTgyJUEx.html" TargetMode="External"/><Relationship Id="rId142" Type="http://schemas.openxmlformats.org/officeDocument/2006/relationships/hyperlink" Target="http://data.eastmoney.com/notices/detail/002675/AN201611280134901557,JUU0JUI4JTlDJUU4JUFGJTlBJUU4JThEJUFGJUU0JUI4JTlB.html" TargetMode="External"/><Relationship Id="rId184" Type="http://schemas.openxmlformats.org/officeDocument/2006/relationships/hyperlink" Target="http://data.eastmoney.com/notices/detail/002250/AN201701160272035028,JUU4JTgxJTk0JUU1JThDJTk2JUU3JUE3JTkxJUU2JThBJTgw.html" TargetMode="External"/><Relationship Id="rId391" Type="http://schemas.openxmlformats.org/officeDocument/2006/relationships/hyperlink" Target="http://static.cninfo.com.cn/finalpage/2016-07-19/1202480345.PDF" TargetMode="External"/><Relationship Id="rId405" Type="http://schemas.openxmlformats.org/officeDocument/2006/relationships/hyperlink" Target="http://static.cninfo.com.cn/finalpage/2016-07-21/1202492741.PDF" TargetMode="External"/><Relationship Id="rId447" Type="http://schemas.openxmlformats.org/officeDocument/2006/relationships/hyperlink" Target="http://static.cninfo.com.cn/finalpage/2016-08-12/1202559312.PDF" TargetMode="External"/><Relationship Id="rId612" Type="http://schemas.openxmlformats.org/officeDocument/2006/relationships/hyperlink" Target="http://data.eastmoney.com/notices/detail/300388/AN201604080014291325,JUU1JTlCJUJEJUU3JUE1JUFGJUU3JThFJUFGJUU0JUJGJTlE.html" TargetMode="External"/><Relationship Id="rId251" Type="http://schemas.openxmlformats.org/officeDocument/2006/relationships/hyperlink" Target="http://www.cninfo.com.cn/new/disclosure/detail?plate=szse&amp;orgId=gssz0000909&amp;stockCode=000909&amp;announcementId=36533668&amp;announcementTime=2008-01-08%2014:30" TargetMode="External"/><Relationship Id="rId489" Type="http://schemas.openxmlformats.org/officeDocument/2006/relationships/hyperlink" Target="http://static.cninfo.com.cn/finalpage/2017-08-24/1203857365.PDF" TargetMode="External"/><Relationship Id="rId654" Type="http://schemas.openxmlformats.org/officeDocument/2006/relationships/hyperlink" Target="http://static.cninfo.com.cn/finalpage/2017-04-11/1203274914.PDF" TargetMode="External"/><Relationship Id="rId46" Type="http://schemas.openxmlformats.org/officeDocument/2006/relationships/hyperlink" Target="http://data.eastmoney.com/notices/detail/300213/AN201610310042211572,JUU0JUJEJUIzJUU4JUFFJUFGJUU5JUEzJTlFJUU5JUI4JUJG.html" TargetMode="External"/><Relationship Id="rId293" Type="http://schemas.openxmlformats.org/officeDocument/2006/relationships/hyperlink" Target="http://static.cninfo.com.cn/finalpage/2016-05-13/1202320634.PDF" TargetMode="External"/><Relationship Id="rId307" Type="http://schemas.openxmlformats.org/officeDocument/2006/relationships/hyperlink" Target="http://static.cninfo.com.cn/finalpage/2017-05-26/1203568202.PDF" TargetMode="External"/><Relationship Id="rId349" Type="http://schemas.openxmlformats.org/officeDocument/2006/relationships/hyperlink" Target="http://static.cninfo.com.cn/finalpage/2017-06-22/1203638177.PDF" TargetMode="External"/><Relationship Id="rId514" Type="http://schemas.openxmlformats.org/officeDocument/2006/relationships/hyperlink" Target="http://static.cninfo.com.cn/finalpage/2016-08-23/1202599822.PDF" TargetMode="External"/><Relationship Id="rId556" Type="http://schemas.openxmlformats.org/officeDocument/2006/relationships/hyperlink" Target="http://static.cninfo.com.cn/finalpage/2017-09-15/1203975296.PDF" TargetMode="External"/><Relationship Id="rId88" Type="http://schemas.openxmlformats.org/officeDocument/2006/relationships/hyperlink" Target="http://static.cninfo.com.cn/finalpage/2017-10-17/1204045647.PDF" TargetMode="External"/><Relationship Id="rId111" Type="http://schemas.openxmlformats.org/officeDocument/2006/relationships/hyperlink" Target="http://static.cninfo.com.cn/finalpage/2017-10-27/1204080496.PDF" TargetMode="External"/><Relationship Id="rId153" Type="http://schemas.openxmlformats.org/officeDocument/2006/relationships/hyperlink" Target="http://data.eastmoney.com/notices/detail/300366/AN201612080171009373,JUU1JTg4JTlCJUU2JTg0JThGJUU0JUJGJUExJUU2JTgxJUFG.html" TargetMode="External"/><Relationship Id="rId195" Type="http://schemas.openxmlformats.org/officeDocument/2006/relationships/hyperlink" Target="http://data.eastmoney.com/notices/detail/600967/AN201702090331666594,JUU1JTg2JTg1JUU4JTkyJTk5JUU0JUI4JTgwJUU2JTlDJUJB.html" TargetMode="External"/><Relationship Id="rId209" Type="http://schemas.openxmlformats.org/officeDocument/2006/relationships/hyperlink" Target="http://www.cninfo.com.cn/new/disclosure/detail?plate=szse&amp;orgId=9900003402&amp;stockCode=002150&amp;announcementId=1204131835&amp;announcementTime=2017-11-12%2008:00" TargetMode="External"/><Relationship Id="rId360" Type="http://schemas.openxmlformats.org/officeDocument/2006/relationships/hyperlink" Target="http://static.cninfo.com.cn/finalpage/2016-06-30/1202438341.PDF" TargetMode="External"/><Relationship Id="rId416" Type="http://schemas.openxmlformats.org/officeDocument/2006/relationships/hyperlink" Target="http://static.cninfo.com.cn/finalpage/2017-08-04/1203759759.PDF" TargetMode="External"/><Relationship Id="rId598" Type="http://schemas.openxmlformats.org/officeDocument/2006/relationships/hyperlink" Target="http://data.eastmoney.com/notices/detail/000791/AN201603070013795488,JUU3JTk0JTk4JUU4JTgyJTgzJUU3JTk0JUI1JUU2JThBJTk1.html" TargetMode="External"/><Relationship Id="rId220" Type="http://schemas.openxmlformats.org/officeDocument/2006/relationships/hyperlink" Target="http://www.cninfo.com.cn/new/disclosure/detail?plate=szse&amp;orgId=9900022368&amp;stockCode=002669&amp;announcementId=1204178284&amp;announcementTime=2017-11-30%2008:00" TargetMode="External"/><Relationship Id="rId458" Type="http://schemas.openxmlformats.org/officeDocument/2006/relationships/hyperlink" Target="http://static.cninfo.com.cn/finalpage/2017-08-15/1203797041.PDF" TargetMode="External"/><Relationship Id="rId623" Type="http://schemas.openxmlformats.org/officeDocument/2006/relationships/hyperlink" Target="http://static.cninfo.com.cn/finalpage/2017-02-09/1203070728.PDF" TargetMode="External"/><Relationship Id="rId665" Type="http://schemas.openxmlformats.org/officeDocument/2006/relationships/hyperlink" Target="http://static.cninfo.com.cn/finalpage/2017-05-05/1203475946.PDF" TargetMode="External"/><Relationship Id="rId15" Type="http://schemas.openxmlformats.org/officeDocument/2006/relationships/hyperlink" Target="http://data.eastmoney.com/notices/detail/300262/AN201609260017740644,JUU1JUI3JUI0JUU1JUFFJTg5JUU2JUIwJUI0JUU1JThBJUEx.html" TargetMode="External"/><Relationship Id="rId57" Type="http://schemas.openxmlformats.org/officeDocument/2006/relationships/hyperlink" Target="http://pdf.dfcfw.com/pdf/H2_AN201611090077205902_1.pdf" TargetMode="External"/><Relationship Id="rId262" Type="http://schemas.openxmlformats.org/officeDocument/2006/relationships/hyperlink" Target="http://data.eastmoney.com/notices/detail/300495/AN201612230212978647,JUU3JUJFJThFJUU1JUIwJTlBJUU3JTk0JTlGJUU2JTgwJTgx.html" TargetMode="External"/><Relationship Id="rId318" Type="http://schemas.openxmlformats.org/officeDocument/2006/relationships/hyperlink" Target="http://static.cninfo.com.cn/finalpage/2016-06-07/1202358086.PDF" TargetMode="External"/><Relationship Id="rId525" Type="http://schemas.openxmlformats.org/officeDocument/2006/relationships/hyperlink" Target="http://static.cninfo.com.cn/finalpage/2017-09-06/1203937898.PDF" TargetMode="External"/><Relationship Id="rId567" Type="http://schemas.openxmlformats.org/officeDocument/2006/relationships/hyperlink" Target="http://static.cninfo.com.cn/finalpage/2016-09-23/1202720009.PDF" TargetMode="External"/><Relationship Id="rId99" Type="http://schemas.openxmlformats.org/officeDocument/2006/relationships/hyperlink" Target="http://static.cninfo.com.cn/finalpage/2017-10-18/1204049202.PDF" TargetMode="External"/><Relationship Id="rId122" Type="http://schemas.openxmlformats.org/officeDocument/2006/relationships/hyperlink" Target="http://static.cninfo.com.cn/finalpage/2017-11-10/1204129109.PDF" TargetMode="External"/><Relationship Id="rId164" Type="http://schemas.openxmlformats.org/officeDocument/2006/relationships/hyperlink" Target="http://data.eastmoney.com/notices/detail/300495/AN201612230212978647,JUU3JUJFJThFJUU1JUIwJTlBJUU3JTk0JTlGJUU2JTgwJTgx.html" TargetMode="External"/><Relationship Id="rId371" Type="http://schemas.openxmlformats.org/officeDocument/2006/relationships/hyperlink" Target="http://static.cninfo.com.cn/finalpage/2017-06-30/1203664200.PDF" TargetMode="External"/><Relationship Id="rId427" Type="http://schemas.openxmlformats.org/officeDocument/2006/relationships/hyperlink" Target="http://static.cninfo.com.cn/finalpage/2016-07-28/1202511319.PDF" TargetMode="External"/><Relationship Id="rId469" Type="http://schemas.openxmlformats.org/officeDocument/2006/relationships/hyperlink" Target="http://static.cninfo.com.cn/finalpage/2016-08-19/1202581839.PDF" TargetMode="External"/><Relationship Id="rId634" Type="http://schemas.openxmlformats.org/officeDocument/2006/relationships/hyperlink" Target="http://static.cninfo.com.cn/finalpage/2017-02-23/1203100470.PDF" TargetMode="External"/><Relationship Id="rId26" Type="http://schemas.openxmlformats.org/officeDocument/2006/relationships/hyperlink" Target="http://data.eastmoney.com/notices/detail/000521/AN201610120021829005,JUU5JTk1JUJGJUU4JTk5JUI5JUU3JUJFJThFJUU4JThGJUIx.html" TargetMode="External"/><Relationship Id="rId231" Type="http://schemas.openxmlformats.org/officeDocument/2006/relationships/hyperlink" Target="http://www.cninfo.com.cn/new/disclosure/detail?plate=sse&amp;orgId=9900023781&amp;stockCode=603799&amp;announcementId=1204233014&amp;announcementTime=2017-12-15%2008:00" TargetMode="External"/><Relationship Id="rId273" Type="http://schemas.openxmlformats.org/officeDocument/2006/relationships/hyperlink" Target="http://static.cninfo.com.cn/finalpage/2016-05-05/1202294813.PDF" TargetMode="External"/><Relationship Id="rId329" Type="http://schemas.openxmlformats.org/officeDocument/2006/relationships/hyperlink" Target="http://static.cninfo.com.cn/finalpage/2017-06-14/1203613515.PDF" TargetMode="External"/><Relationship Id="rId480" Type="http://schemas.openxmlformats.org/officeDocument/2006/relationships/hyperlink" Target="http://static.cninfo.com.cn/finalpage/2016-07-22/1202500180.PDF" TargetMode="External"/><Relationship Id="rId536" Type="http://schemas.openxmlformats.org/officeDocument/2006/relationships/hyperlink" Target="http://img2.gtimg.com/finance/hs/pdf/2016/05/13/1202318484.PDF" TargetMode="External"/><Relationship Id="rId68" Type="http://schemas.openxmlformats.org/officeDocument/2006/relationships/hyperlink" Target="http://static.cninfo.com.cn/finalpage/2017-09-22/1203994654.PDF" TargetMode="External"/><Relationship Id="rId133" Type="http://schemas.openxmlformats.org/officeDocument/2006/relationships/hyperlink" Target="http://pdf.dfcfw.com/pdf/H2_AN201611140096756718_1.pdf" TargetMode="External"/><Relationship Id="rId175" Type="http://schemas.openxmlformats.org/officeDocument/2006/relationships/hyperlink" Target="http://data.eastmoney.com/notices/detail/000426/AN201701040236901657,JUU1JTg1JUI0JUU0JUI4JTlBJUU3JTlGJUJGJUU0JUI4JTlB.html" TargetMode="External"/><Relationship Id="rId340" Type="http://schemas.openxmlformats.org/officeDocument/2006/relationships/hyperlink" Target="http://static.cninfo.com.cn/finalpage/2016-06-07/1202360870.PDF" TargetMode="External"/><Relationship Id="rId578" Type="http://schemas.openxmlformats.org/officeDocument/2006/relationships/hyperlink" Target="http://data.eastmoney.com/notices/detail/000961/AN201604180014402803,JUU0JUI4JUFEJUU1JThEJTk3JUU1JUJCJUJBJUU4JUFFJUJF.html" TargetMode="External"/><Relationship Id="rId200" Type="http://schemas.openxmlformats.org/officeDocument/2006/relationships/hyperlink" Target="http://www.cninfo.com.cn/new/disclosure/detail?plate=szse&amp;orgId=9900022562&amp;stockCode=300367&amp;announcementId=1204171724&amp;announcementTime=2017-11-27%2008:00" TargetMode="External"/><Relationship Id="rId382" Type="http://schemas.openxmlformats.org/officeDocument/2006/relationships/hyperlink" Target="http://static.cninfo.com.cn/finalpage/2016-07-07/1202455782.PDF" TargetMode="External"/><Relationship Id="rId438" Type="http://schemas.openxmlformats.org/officeDocument/2006/relationships/hyperlink" Target="http://static.cninfo.com.cn/finalpage/2016-08-09/1202546247.PDF" TargetMode="External"/><Relationship Id="rId603" Type="http://schemas.openxmlformats.org/officeDocument/2006/relationships/hyperlink" Target="http://data.eastmoney.com/notices/detail/002176/AN201603220014027930,JUU2JUIxJTlGJUU3JTg5JUI5JUU3JTk0JUI1JUU2JTlDJUJB.html" TargetMode="External"/><Relationship Id="rId645" Type="http://schemas.openxmlformats.org/officeDocument/2006/relationships/hyperlink" Target="http://static.cninfo.com.cn/finalpage/2017-03-27/1203194043.PDF" TargetMode="External"/><Relationship Id="rId242" Type="http://schemas.openxmlformats.org/officeDocument/2006/relationships/hyperlink" Target="http://www.cninfo.com.cn/new/disclosure/detail?plate=szse&amp;orgId=gssz0000875&amp;stockCode=000875&amp;announcementId=1204304640&amp;announcementTime=2018-01-04%2008:00" TargetMode="External"/><Relationship Id="rId284" Type="http://schemas.openxmlformats.org/officeDocument/2006/relationships/hyperlink" Target="http://static.cninfo.com.cn/finalpage/2016-05-14/1202322240.PDF" TargetMode="External"/><Relationship Id="rId491" Type="http://schemas.openxmlformats.org/officeDocument/2006/relationships/hyperlink" Target="http://static.cninfo.com.cn/finalpage/2017-08-24/1203857397.PDF" TargetMode="External"/><Relationship Id="rId505" Type="http://schemas.openxmlformats.org/officeDocument/2006/relationships/hyperlink" Target="http://static.cninfo.com.cn/finalpage/2017-08-26/1203874052.PDF" TargetMode="External"/><Relationship Id="rId37" Type="http://schemas.openxmlformats.org/officeDocument/2006/relationships/hyperlink" Target="http://pdf.dfcfw.com/pdf/H2_AN201610200021943640_1.pdf" TargetMode="External"/><Relationship Id="rId79" Type="http://schemas.openxmlformats.org/officeDocument/2006/relationships/hyperlink" Target="http://static.cninfo.com.cn/finalpage/2017-09-27/1204004792.PDF" TargetMode="External"/><Relationship Id="rId102" Type="http://schemas.openxmlformats.org/officeDocument/2006/relationships/hyperlink" Target="http://static.cninfo.com.cn/finalpage/2017-10-19/1204052750.PDF" TargetMode="External"/><Relationship Id="rId144" Type="http://schemas.openxmlformats.org/officeDocument/2006/relationships/hyperlink" Target="http://data.eastmoney.com/notices/detail/300324/AN201611230123509052,JUU2JTk3JThCJUU2JTlFJTgxJUU0JUJGJUExJUU2JTgxJUFG.html" TargetMode="External"/><Relationship Id="rId547" Type="http://schemas.openxmlformats.org/officeDocument/2006/relationships/hyperlink" Target="http://static.cninfo.com.cn/finalpage/2016-09-14/1202699264.PDF" TargetMode="External"/><Relationship Id="rId589" Type="http://schemas.openxmlformats.org/officeDocument/2006/relationships/hyperlink" Target="http://data.eastmoney.com/notices/detail/600328/AN201602040013400640,JUU1JTg1JUIwJUU1JUE0JUFBJUU1JUFFJTlFJUU0JUI4JTlB.html" TargetMode="External"/><Relationship Id="rId90" Type="http://schemas.openxmlformats.org/officeDocument/2006/relationships/hyperlink" Target="http://static.cninfo.com.cn/finalpage/2017-10-10/1204020997.PDF" TargetMode="External"/><Relationship Id="rId186" Type="http://schemas.openxmlformats.org/officeDocument/2006/relationships/hyperlink" Target="http://data.eastmoney.com/notices/detail/600104/AN201701200282570940,JUU0JUI4JThBJUU2JUIxJUJEJUU5JTlCJTg2JUU1JTlCJUEy.html" TargetMode="External"/><Relationship Id="rId351" Type="http://schemas.openxmlformats.org/officeDocument/2006/relationships/hyperlink" Target="http://static.cninfo.com.cn/finalpage/2017-06-22/1203638276.PDF" TargetMode="External"/><Relationship Id="rId393" Type="http://schemas.openxmlformats.org/officeDocument/2006/relationships/hyperlink" Target="http://static.cninfo.com.cn/finalpage/2016-07-14/1202470000.PDF" TargetMode="External"/><Relationship Id="rId407" Type="http://schemas.openxmlformats.org/officeDocument/2006/relationships/hyperlink" Target="http://static.cninfo.com.cn/finalpage/2016-07-22/1202496983.PDF" TargetMode="External"/><Relationship Id="rId449" Type="http://schemas.openxmlformats.org/officeDocument/2006/relationships/hyperlink" Target="http://static.cninfo.com.cn/finalpage/2016-08-12/1202559861.PDF" TargetMode="External"/><Relationship Id="rId614" Type="http://schemas.openxmlformats.org/officeDocument/2006/relationships/hyperlink" Target="http://data.eastmoney.com/notices/detail/002546/AN201604200014445583,JUU2JTk2JUIwJUU4JTgxJTk0JUU3JTk0JUI1JUU1JUFEJTkw.html" TargetMode="External"/><Relationship Id="rId656" Type="http://schemas.openxmlformats.org/officeDocument/2006/relationships/hyperlink" Target="http://static.cninfo.com.cn/finalpage/2016-04-16/1202186886.PDF" TargetMode="External"/><Relationship Id="rId211" Type="http://schemas.openxmlformats.org/officeDocument/2006/relationships/hyperlink" Target="http://www.cninfo.com.cn/new/disclosure/detail?plate=szse&amp;orgId=9900016929&amp;stockCode=002537&amp;announcementId=1204144750&amp;announcementTime=2017-11-16%2008:00" TargetMode="External"/><Relationship Id="rId253" Type="http://schemas.openxmlformats.org/officeDocument/2006/relationships/hyperlink" Target="http://www.cninfo.com.cn/new/disclosure/detail?plate=szse&amp;orgId=gssz0000862&amp;stockCode=000862&amp;announcementId=1204357285&amp;announcementTime=2018-01-23%2008:00" TargetMode="External"/><Relationship Id="rId295" Type="http://schemas.openxmlformats.org/officeDocument/2006/relationships/hyperlink" Target="http://static.cninfo.com.cn/finalpage/2016-05-14/1202321606.PDF" TargetMode="External"/><Relationship Id="rId309" Type="http://schemas.openxmlformats.org/officeDocument/2006/relationships/hyperlink" Target="http://static.cninfo.com.cn/finalpage/2017-06-01/1203577003.PDF" TargetMode="External"/><Relationship Id="rId460" Type="http://schemas.openxmlformats.org/officeDocument/2006/relationships/hyperlink" Target="http://static.cninfo.com.cn/finalpage/2017-08-17/1203806138.PDF" TargetMode="External"/><Relationship Id="rId516" Type="http://schemas.openxmlformats.org/officeDocument/2006/relationships/hyperlink" Target="http://static.cninfo.com.cn/finalpage/2016-09-07/1202679997.PDF" TargetMode="External"/><Relationship Id="rId48" Type="http://schemas.openxmlformats.org/officeDocument/2006/relationships/hyperlink" Target="http://data.eastmoney.com/notices/detail/002517/AN201611010045037778,JUU2JTgxJUJBJUU4JThCJUIxJUU3JUJEJTkxJUU3JUJCJTlD.html" TargetMode="External"/><Relationship Id="rId113" Type="http://schemas.openxmlformats.org/officeDocument/2006/relationships/hyperlink" Target="http://static.cninfo.com.cn/finalpage/2017-11-08/1204122724.PDF" TargetMode="External"/><Relationship Id="rId320" Type="http://schemas.openxmlformats.org/officeDocument/2006/relationships/hyperlink" Target="http://static.cninfo.com.cn/finalpage/2016-06-14/1202366026.PDF" TargetMode="External"/><Relationship Id="rId558" Type="http://schemas.openxmlformats.org/officeDocument/2006/relationships/hyperlink" Target="http://static.cninfo.com.cn/finalpage/2017-09-16/1203978875.PDF" TargetMode="External"/><Relationship Id="rId155" Type="http://schemas.openxmlformats.org/officeDocument/2006/relationships/hyperlink" Target="http://data.eastmoney.com/notices/detail/002568/AN201612140186310498,JUU3JTk5JUJFJUU2JUI2JUE2JUU4JTgyJUExJUU0JUJCJUJE.html" TargetMode="External"/><Relationship Id="rId197" Type="http://schemas.openxmlformats.org/officeDocument/2006/relationships/hyperlink" Target="http://data.eastmoney.com/notices/detail/002239/AN201611140096560826,JUU1JUE1JUE1JUU3JTg5JUI5JUU0JUJEJUIz.html" TargetMode="External"/><Relationship Id="rId362" Type="http://schemas.openxmlformats.org/officeDocument/2006/relationships/hyperlink" Target="http://static.cninfo.com.cn/finalpage/2016-07-01/1202442072.PDF" TargetMode="External"/><Relationship Id="rId418" Type="http://schemas.openxmlformats.org/officeDocument/2006/relationships/hyperlink" Target="http://static.cninfo.com.cn/finalpage/2017-08-04/1203759820.PDF" TargetMode="External"/><Relationship Id="rId625" Type="http://schemas.openxmlformats.org/officeDocument/2006/relationships/hyperlink" Target="http://static.cninfo.com.cn/finalpage/2017-01-24/1203043092.PDF" TargetMode="External"/><Relationship Id="rId222" Type="http://schemas.openxmlformats.org/officeDocument/2006/relationships/hyperlink" Target="http://www.cninfo.com.cn/new/disclosure/detail?plate=sse&amp;orgId=9900023248&amp;stockCode=603555&amp;announcementId=1204177320&amp;announcementTime=2017-11-29%2008:00" TargetMode="External"/><Relationship Id="rId264" Type="http://schemas.openxmlformats.org/officeDocument/2006/relationships/hyperlink" Target="http://data.eastmoney.com/notices/detail/300161/AN201701200282675286,JUU1JThEJThFJUU0JUI4JUFEJUU2JTk1JUIwJUU2JThFJUE3.html" TargetMode="External"/><Relationship Id="rId471" Type="http://schemas.openxmlformats.org/officeDocument/2006/relationships/hyperlink" Target="http://static.cninfo.com.cn/finalpage/2017-06-05/1203586838.PDF" TargetMode="External"/><Relationship Id="rId667" Type="http://schemas.openxmlformats.org/officeDocument/2006/relationships/hyperlink" Target="http://static.cninfo.com.cn/finalpage/2016-04-29/1202264126.PDF" TargetMode="External"/><Relationship Id="rId17" Type="http://schemas.openxmlformats.org/officeDocument/2006/relationships/hyperlink" Target="http://data.eastmoney.com/notices/detail/600410/AN201610130021842615,JUU1JThEJThFJUU4JTgzJTlDJUU1JUE0JUE5JUU2JTg4JTkw.html" TargetMode="External"/><Relationship Id="rId59" Type="http://schemas.openxmlformats.org/officeDocument/2006/relationships/hyperlink" Target="http://pdf.dfcfw.com/pdf/H2_AN201611100081434864_1.pdf" TargetMode="External"/><Relationship Id="rId124" Type="http://schemas.openxmlformats.org/officeDocument/2006/relationships/hyperlink" Target="http://static.cninfo.com.cn/finalpage/2017-11-09/1204125822.PDF" TargetMode="External"/><Relationship Id="rId527" Type="http://schemas.openxmlformats.org/officeDocument/2006/relationships/hyperlink" Target="http://static.cninfo.com.cn/finalpage/2017-09-05/1203931867.PDF" TargetMode="External"/><Relationship Id="rId569" Type="http://schemas.openxmlformats.org/officeDocument/2006/relationships/hyperlink" Target="http://pdf.dfcfw.com/pdf/H2_AN201601220013248453_1.pdf" TargetMode="External"/><Relationship Id="rId70" Type="http://schemas.openxmlformats.org/officeDocument/2006/relationships/hyperlink" Target="http://static.cninfo.com.cn/finalpage/2016-09-22/1202720077.PDF" TargetMode="External"/><Relationship Id="rId166" Type="http://schemas.openxmlformats.org/officeDocument/2006/relationships/hyperlink" Target="http://data.eastmoney.com/notices/detail/000065/AN201612260219283883,JUU1JThDJTk3JUU2JTk2JUI5JUU1JTlCJUJEJUU5JTk5JTg1.html" TargetMode="External"/><Relationship Id="rId331" Type="http://schemas.openxmlformats.org/officeDocument/2006/relationships/hyperlink" Target="http://static.cninfo.com.cn/finalpage/2017-05-19/1203544557.PDF" TargetMode="External"/><Relationship Id="rId373" Type="http://schemas.openxmlformats.org/officeDocument/2006/relationships/hyperlink" Target="http://static.cninfo.com.cn/finalpage/2017-07-04/1203677355.PDF" TargetMode="External"/><Relationship Id="rId429" Type="http://schemas.openxmlformats.org/officeDocument/2006/relationships/hyperlink" Target="http://static.cninfo.com.cn/finalpage/2016-07-29/1202513827.PDF" TargetMode="External"/><Relationship Id="rId580" Type="http://schemas.openxmlformats.org/officeDocument/2006/relationships/hyperlink" Target="http://data.eastmoney.com/notices/detail/002292/AN201603270014092818,JUU1JUE1JUE1JUU5JUEzJTlFJUU1JUE4JUIxJUU0JUI5JTkw.html" TargetMode="External"/><Relationship Id="rId636" Type="http://schemas.openxmlformats.org/officeDocument/2006/relationships/hyperlink" Target="http://static.cninfo.com.cn/finalpage/2017-03-13/1203149834.PDF" TargetMode="External"/><Relationship Id="rId1" Type="http://schemas.openxmlformats.org/officeDocument/2006/relationships/hyperlink" Target="http://pdf.dfcfw.com/pdf/H2_AN201609270017755075_1.pdf" TargetMode="External"/><Relationship Id="rId233" Type="http://schemas.openxmlformats.org/officeDocument/2006/relationships/hyperlink" Target="http://www.cninfo.com.cn/new/disclosure/detail?plate=szse&amp;orgId=9900022219&amp;stockCode=300349&amp;announcementId=1204242819&amp;announcementTime=2017-12-20%2008:00" TargetMode="External"/><Relationship Id="rId440" Type="http://schemas.openxmlformats.org/officeDocument/2006/relationships/hyperlink" Target="http://static.cninfo.com.cn/finalpage/2017-08-10/1203778604.PDF" TargetMode="External"/><Relationship Id="rId28" Type="http://schemas.openxmlformats.org/officeDocument/2006/relationships/hyperlink" Target="http://data.eastmoney.com/notices/detail/300259/AN201609260017740522,JUU2JTk2JUIwJUU1JUE0JUE5JUU3JUE3JTkxJUU2JThBJTgw.html" TargetMode="External"/><Relationship Id="rId275" Type="http://schemas.openxmlformats.org/officeDocument/2006/relationships/hyperlink" Target="http://static.cninfo.com.cn/finalpage/2016-05-07/1202303193.PDF" TargetMode="External"/><Relationship Id="rId300" Type="http://schemas.openxmlformats.org/officeDocument/2006/relationships/hyperlink" Target="http://static.cninfo.com.cn/finalpage/2017-05-19/1203536881.PDF" TargetMode="External"/><Relationship Id="rId482" Type="http://schemas.openxmlformats.org/officeDocument/2006/relationships/hyperlink" Target="http://static.cninfo.com.cn/finalpage/2016-08-25/1202613668.PDF" TargetMode="External"/><Relationship Id="rId538" Type="http://schemas.openxmlformats.org/officeDocument/2006/relationships/hyperlink" Target="http://static.cninfo.com.cn/finalpage/2017-09-07/1203943622.PDF" TargetMode="External"/><Relationship Id="rId81" Type="http://schemas.openxmlformats.org/officeDocument/2006/relationships/hyperlink" Target="http://static.cninfo.com.cn/finalpage/2017-09-29/1204012049.PDF" TargetMode="External"/><Relationship Id="rId135" Type="http://schemas.openxmlformats.org/officeDocument/2006/relationships/hyperlink" Target="http://pdf.dfcfw.com/pdf/H2_AN201611160102707184_1.pdf" TargetMode="External"/><Relationship Id="rId177" Type="http://schemas.openxmlformats.org/officeDocument/2006/relationships/hyperlink" Target="http://data.eastmoney.com/notices/detail/002157/AN201701080253951358,JUU2JUFEJUEzJUU5JTgyJUE2JUU3JUE3JTkxJUU2JThBJTgw.html" TargetMode="External"/><Relationship Id="rId342" Type="http://schemas.openxmlformats.org/officeDocument/2006/relationships/hyperlink" Target="http://static.cninfo.com.cn/finalpage/2016-06-15/1202368081.PDF" TargetMode="External"/><Relationship Id="rId384" Type="http://schemas.openxmlformats.org/officeDocument/2006/relationships/hyperlink" Target="http://static.cninfo.com.cn/finalpage/2016-07-08/1202458723.PDF" TargetMode="External"/><Relationship Id="rId591" Type="http://schemas.openxmlformats.org/officeDocument/2006/relationships/hyperlink" Target="http://data.eastmoney.com/notices/detail/002444/AN201602010013343675,JUU1JUI3JUE4JUU2JTk4JTlGJUU3JUE3JTkxJUU2JThBJTgw.html" TargetMode="External"/><Relationship Id="rId605" Type="http://schemas.openxmlformats.org/officeDocument/2006/relationships/hyperlink" Target="http://data.eastmoney.com/notices/detail/002244/AN201603290014122014,JUU2JUJCJUE4JUU2JUIxJTlGJUU5JTlCJTg2JUU1JTlCJUEy.html" TargetMode="External"/><Relationship Id="rId202" Type="http://schemas.openxmlformats.org/officeDocument/2006/relationships/hyperlink" Target="http://data.eastmoney.com/notices/detail/300053/AN201612060162823874,JUU2JUFDJUE3JUU2JUFGJTk0JUU3JTg5JUI5.html" TargetMode="External"/><Relationship Id="rId244" Type="http://schemas.openxmlformats.org/officeDocument/2006/relationships/hyperlink" Target="http://www.cninfo.com.cn/new/disclosure/detail?plate=sse&amp;orgId=9900008087&amp;stockCode=601618&amp;announcementId=1204298973&amp;announcementTime=2018-01-02%2008:00" TargetMode="External"/><Relationship Id="rId647" Type="http://schemas.openxmlformats.org/officeDocument/2006/relationships/hyperlink" Target="http://static.cninfo.com.cn/finalpage/2017-03-31/1203236605.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ata.eastmoney.com/notices/detail/600328/AN201602040013400640,JUU1JTg1JUIwJUU1JUE0JUFBJUU1JUFFJTlFJUU0JUI4JTlB.html" TargetMode="External"/><Relationship Id="rId13" Type="http://schemas.openxmlformats.org/officeDocument/2006/relationships/hyperlink" Target="http://static.cninfo.com.cn/finalpage/2016-01-28/1201950088.PDF" TargetMode="External"/><Relationship Id="rId18" Type="http://schemas.openxmlformats.org/officeDocument/2006/relationships/hyperlink" Target="http://data.eastmoney.com/notices/detail/300409/AN201601270013287757,JUU5JTgxJTkzJUU2JUIwJThGJUU2JThBJTgwJUU2JTlDJUFG.html" TargetMode="External"/><Relationship Id="rId3" Type="http://schemas.openxmlformats.org/officeDocument/2006/relationships/hyperlink" Target="http://data.eastmoney.com/notices/detail/601555/AN201601210013220650,JUU0JUI4JTlDJUU1JTkwJUI0JUU4JUFGJTgxJUU1JTg4JUI4.html" TargetMode="External"/><Relationship Id="rId7" Type="http://schemas.openxmlformats.org/officeDocument/2006/relationships/hyperlink" Target="http://data.eastmoney.com/notices/detail/002195/AN201602010013345239,JUU0JUJBJThDJUU0JUI4JTg5JUU1JTlCJTlCJUU0JUJBJTk0.html" TargetMode="External"/><Relationship Id="rId12" Type="http://schemas.openxmlformats.org/officeDocument/2006/relationships/hyperlink" Target="http://pdf.dfcfw.com/pdf/H2_AN201601220013248453_1.pdf" TargetMode="External"/><Relationship Id="rId17" Type="http://schemas.openxmlformats.org/officeDocument/2006/relationships/hyperlink" Target="http://data.eastmoney.com/notices/detail/600328/AN201602040013400640,JUU1JTg1JUIwJUU1JUE0JUFBJUU1JUFFJTlFJUU0JUI4JTlB.html" TargetMode="External"/><Relationship Id="rId2" Type="http://schemas.openxmlformats.org/officeDocument/2006/relationships/hyperlink" Target="http://data.eastmoney.com/notices/detail/000046/AN201601280013305353,JUU2JUIzJTlCJUU2JUI1JUI3JUU2JThFJUE3JUU4JTgyJUEx.html" TargetMode="External"/><Relationship Id="rId16" Type="http://schemas.openxmlformats.org/officeDocument/2006/relationships/hyperlink" Target="http://data.eastmoney.com/notices/detail/600876/AN201602030013383255,JUU2JUI0JTlCJUU5JTk4JUIzJUU3JThFJUJCJUU3JTkyJTgz.html" TargetMode="External"/><Relationship Id="rId20" Type="http://schemas.openxmlformats.org/officeDocument/2006/relationships/hyperlink" Target="http://data.eastmoney.com/notices/detail/002195/AN201602010013345239,JUU0JUJBJThDJUU0JUI4JTg5JUU1JTlCJTlCJUU0JUJBJTk0.html" TargetMode="External"/><Relationship Id="rId1" Type="http://schemas.openxmlformats.org/officeDocument/2006/relationships/hyperlink" Target="http://pdf.dfcfw.com/pdf/H2_AN201601220013248453_1.pdf" TargetMode="External"/><Relationship Id="rId6" Type="http://schemas.openxmlformats.org/officeDocument/2006/relationships/hyperlink" Target="http://data.eastmoney.com/notices/detail/600876/AN201602030013383255,JUU2JUI0JTlCJUU5JTk4JUIzJUU3JThFJUJCJUU3JTkyJTgz.html" TargetMode="External"/><Relationship Id="rId11" Type="http://schemas.openxmlformats.org/officeDocument/2006/relationships/hyperlink" Target="http://data.eastmoney.com/notices/detail/601555/AN201601210013220650,JUU0JUI4JTlDJUU1JTkwJUI0JUU4JUFGJTgxJUU1JTg4JUI4.html" TargetMode="External"/><Relationship Id="rId5" Type="http://schemas.openxmlformats.org/officeDocument/2006/relationships/hyperlink" Target="http://data.eastmoney.com/notices/detail/000977/AN201601260013277878,JUU2JUI1JUFBJUU2JUJEJUFFJUU0JUJGJUExJUU2JTgxJUFG.html" TargetMode="External"/><Relationship Id="rId15" Type="http://schemas.openxmlformats.org/officeDocument/2006/relationships/hyperlink" Target="http://static.cninfo.com.cn/finalpage/2016-01-29/1201952399.PDF" TargetMode="External"/><Relationship Id="rId10" Type="http://schemas.openxmlformats.org/officeDocument/2006/relationships/hyperlink" Target="http://data.eastmoney.com/notices/detail/002444/AN201602010013343675,JUU1JUI3JUE4JUU2JTk4JTlGJUU3JUE3JTkxJUU2JThBJTgw.html" TargetMode="External"/><Relationship Id="rId19" Type="http://schemas.openxmlformats.org/officeDocument/2006/relationships/hyperlink" Target="http://data.eastmoney.com/notices/detail/002444/AN201602010013343675,JUU1JUI3JUE4JUU2JTk4JTlGJUU3JUE3JTkxJUU2JThBJTgw.html" TargetMode="External"/><Relationship Id="rId4" Type="http://schemas.openxmlformats.org/officeDocument/2006/relationships/hyperlink" Target="http://data.eastmoney.com/notices/detail/600468/AN201601270013289839,JUU3JTk5JUJFJUU1JTg4JUE5JUU3JTk0JUI1JUU2JUIwJTk0.html" TargetMode="External"/><Relationship Id="rId9" Type="http://schemas.openxmlformats.org/officeDocument/2006/relationships/hyperlink" Target="http://data.eastmoney.com/notices/detail/300409/AN201601270013287757,JUU5JTgxJTkzJUU2JUIwJThGJUU2JThBJTgwJUU2JTlDJUFG.html" TargetMode="External"/><Relationship Id="rId14" Type="http://schemas.openxmlformats.org/officeDocument/2006/relationships/hyperlink" Target="http://data.eastmoney.com/notices/detail/000977/AN201601260013277878,JUU2JUI1JUFBJUU2JUJEJUFFJUU0JUJGJUExJUU2JTgxJUFG.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ata.eastmoney.com/notices/detail/000701/AN201602240013593769,JUU1JThFJUE2JUU5JTk3JUE4JUU0JUJGJUExJUU4JUJFJUJF.html" TargetMode="External"/><Relationship Id="rId3" Type="http://schemas.openxmlformats.org/officeDocument/2006/relationships/hyperlink" Target="http://data.eastmoney.com/notices/detail/002280/AN201602010013345724,JUU4JTgxJTk0JUU3JUJCJTlDJUU0JUJBJTkyJUU1JThBJUE4.html" TargetMode="External"/><Relationship Id="rId7" Type="http://schemas.openxmlformats.org/officeDocument/2006/relationships/hyperlink" Target="http://data.eastmoney.com/notices/detail/000791/AN201603070013795488,JUU3JTk0JTk4JUU4JTgyJTgzJUU3JTk0JUI1JUU2JThBJTk1.html" TargetMode="External"/><Relationship Id="rId2" Type="http://schemas.openxmlformats.org/officeDocument/2006/relationships/hyperlink" Target="http://data.eastmoney.com/notices/detail/600756/AN201602220013567147,JUU2JUI1JUFBJUU2JUJEJUFFJUU4JUJEJUFGJUU0JUJCJUI2.html" TargetMode="External"/><Relationship Id="rId1" Type="http://schemas.openxmlformats.org/officeDocument/2006/relationships/hyperlink" Target="http://data.eastmoney.com/notices/detail/002249/AN201602030013381797,JUU1JUE0JUE3JUU2JUI0JThCJUU3JTk0JUI1JUU2JTlDJUJB.html" TargetMode="External"/><Relationship Id="rId6" Type="http://schemas.openxmlformats.org/officeDocument/2006/relationships/hyperlink" Target="http://data.eastmoney.com/notices/detail/600756/AN201602220013567147,JUU2JUI1JUFBJUU2JUJEJUFFJUU4JUJEJUFGJUU0JUJCJUI2.html" TargetMode="External"/><Relationship Id="rId5" Type="http://schemas.openxmlformats.org/officeDocument/2006/relationships/hyperlink" Target="http://data.eastmoney.com/notices/detail/002249/AN201602030013381797,JUU1JUE0JUE3JUU2JUI0JThCJUU3JTk0JUI1JUU2JTlDJUJB.html" TargetMode="External"/><Relationship Id="rId4" Type="http://schemas.openxmlformats.org/officeDocument/2006/relationships/hyperlink" Target="http://data.eastmoney.com/notices/detail/002280/AN201602010013345724,JUU4JTgxJTk0JUU3JUJCJTlDJUU0JUJBJTkyJUU1JThBJUE4.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data.eastmoney.com/notices/detail/300180/AN201603170013919761,JUU1JThEJThFJUU1JUIzJUIwJUU4JUI2JTg1JUU3JUJBJUE0.html" TargetMode="External"/><Relationship Id="rId13" Type="http://schemas.openxmlformats.org/officeDocument/2006/relationships/hyperlink" Target="http://data.eastmoney.com/notices/detail/002610/AN201603200013947778,JUU3JTg4JUIxJUU1JUJBJUI3JUU3JUE3JTkxJUU2JThBJTgw.html" TargetMode="External"/><Relationship Id="rId18" Type="http://schemas.openxmlformats.org/officeDocument/2006/relationships/hyperlink" Target="http://data.eastmoney.com/notices/detail/002244/AN201603290014122014,JUU2JUJCJUE4JUU2JUIxJTlGJUU5JTlCJTg2JUU1JTlCJUEy.html" TargetMode="External"/><Relationship Id="rId3" Type="http://schemas.openxmlformats.org/officeDocument/2006/relationships/hyperlink" Target="http://data.eastmoney.com/notices/detail/002610/AN201603200013947778,JUU3JTg4JUIxJUU1JUJBJUI3JUU3JUE3JTkxJUU2JThBJTgw.html" TargetMode="External"/><Relationship Id="rId7" Type="http://schemas.openxmlformats.org/officeDocument/2006/relationships/hyperlink" Target="http://data.eastmoney.com/notices/detail/002244/AN201603290014122014,JUU2JUJCJUE4JUU2JUIxJTlGJUU5JTlCJTg2JUU1JTlCJUEy.html" TargetMode="External"/><Relationship Id="rId12" Type="http://schemas.openxmlformats.org/officeDocument/2006/relationships/hyperlink" Target="http://data.eastmoney.com/notices/detail/300197/AN201603180013935425,JUU5JTkzJTgxJUU2JUIxJTg5JUU3JTk0JTlGJUU2JTgwJTgx.html" TargetMode="External"/><Relationship Id="rId17" Type="http://schemas.openxmlformats.org/officeDocument/2006/relationships/hyperlink" Target="http://data.eastmoney.com/notices/detail/600393/AN201603310014178483,JUU3JUIyJUE0JUU2JUIzJUIwJUU4JTgyJUExJUU0JUJCJUJE.html" TargetMode="External"/><Relationship Id="rId2" Type="http://schemas.openxmlformats.org/officeDocument/2006/relationships/hyperlink" Target="http://data.eastmoney.com/notices/detail/300197/AN201603180013935425,JUU5JTkzJTgxJUU2JUIxJTg5JUU3JTk0JTlGJUU2JTgwJTgx.html" TargetMode="External"/><Relationship Id="rId16" Type="http://schemas.openxmlformats.org/officeDocument/2006/relationships/hyperlink" Target="http://data.eastmoney.com/notices/detail/002292/AN201603270014092818,JUU1JUE1JUE1JUU5JUEzJTlFJUU1JUE4JUIxJUU0JUI5JTkw.html" TargetMode="External"/><Relationship Id="rId20" Type="http://schemas.openxmlformats.org/officeDocument/2006/relationships/hyperlink" Target="http://data.eastmoney.com/notices/detail/002722/AN201604040014216407,JUU5JTg3JTkxJUU4JUJEJUFFJUU4JTgyJUExJUU0JUJCJUJE.html" TargetMode="External"/><Relationship Id="rId1" Type="http://schemas.openxmlformats.org/officeDocument/2006/relationships/hyperlink" Target="http://data.eastmoney.com/notices/detail/002292/AN201603270014092818,JUU1JUE1JUE1JUU5JUEzJTlFJUU1JUE4JUIxJUU0JUI5JTkw.html" TargetMode="External"/><Relationship Id="rId6" Type="http://schemas.openxmlformats.org/officeDocument/2006/relationships/hyperlink" Target="http://data.eastmoney.com/notices/detail/600393/AN201603310014178483,JUU3JUIyJUE0JUU2JUIzJUIwJUU4JTgyJUExJUU0JUJCJUJE.html" TargetMode="External"/><Relationship Id="rId11" Type="http://schemas.openxmlformats.org/officeDocument/2006/relationships/hyperlink" Target="http://data.eastmoney.com/notices/detail/002441/AN201604050014234970,JUU0JUJDJTk3JUU0JUI4JTlBJUU4JUJFJUJF.html" TargetMode="External"/><Relationship Id="rId5" Type="http://schemas.openxmlformats.org/officeDocument/2006/relationships/hyperlink" Target="http://data.eastmoney.com/notices/detail/002176/AN201603220014027930,JUU2JUIxJTlGJUU3JTg5JUI5JUU3JTk0JUI1JUU2JTlDJUJB.html" TargetMode="External"/><Relationship Id="rId15" Type="http://schemas.openxmlformats.org/officeDocument/2006/relationships/hyperlink" Target="http://data.eastmoney.com/notices/detail/002176/AN201603220014027930,JUU2JUIxJTlGJUU3JTg5JUI5JUU3JTk0JUI1JUU2JTlDJUJB.html" TargetMode="External"/><Relationship Id="rId10" Type="http://schemas.openxmlformats.org/officeDocument/2006/relationships/hyperlink" Target="http://data.eastmoney.com/notices/detail/002441/AN201604050014234970,JUU0JUJDJTk3JUU0JUI4JTlBJUU4JUJFJUJF.html" TargetMode="External"/><Relationship Id="rId19" Type="http://schemas.openxmlformats.org/officeDocument/2006/relationships/hyperlink" Target="http://data.eastmoney.com/notices/detail/300180/AN201603170013919761,JUU1JThEJThFJUU1JUIzJUIwJUU4JUI2JTg1JUU3JUJBJUE0.html" TargetMode="External"/><Relationship Id="rId4" Type="http://schemas.openxmlformats.org/officeDocument/2006/relationships/hyperlink" Target="http://data.eastmoney.com/notices/detail/300182/AN201603220014023681,JUU2JThEJUI3JUU2JTg4JTkwJUU4JTgyJUExJUU0JUJCJUJE.html" TargetMode="External"/><Relationship Id="rId9" Type="http://schemas.openxmlformats.org/officeDocument/2006/relationships/hyperlink" Target="http://data.eastmoney.com/notices/detail/002722/AN201604040014216407,JUU5JTg3JTkxJUU4JUJEJUFFJUU4JTgyJUExJUU0JUJCJUJE.html" TargetMode="External"/><Relationship Id="rId14" Type="http://schemas.openxmlformats.org/officeDocument/2006/relationships/hyperlink" Target="http://data.eastmoney.com/notices/detail/300182/AN201603220014023681,JUU2JThEJUI3JUU2JTg4JTkwJUU4JTgyJUExJUU0JUJCJUJE.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data.eastmoney.com/notices/detail/300377/AN201603230014046195,JUU4JUI1JUEyJUU2JTk3JUI2JUU4JTgzJTlD.html" TargetMode="External"/><Relationship Id="rId13" Type="http://schemas.openxmlformats.org/officeDocument/2006/relationships/hyperlink" Target="http://data.eastmoney.com/notices/detail/300236/AN201604150014377774,JUU0JUI4JThBJUU2JUI1JUI3JUU2JTk2JUIwJUU5JTk4JUIz.html" TargetMode="External"/><Relationship Id="rId18" Type="http://schemas.openxmlformats.org/officeDocument/2006/relationships/hyperlink" Target="http://data.eastmoney.com/notices/detail/002706/AN201604050014237295,JUU4JTg5JUFGJUU0JUJGJUExJUU3JTk0JUI1JUU1JTk5JUE4.html" TargetMode="External"/><Relationship Id="rId3" Type="http://schemas.openxmlformats.org/officeDocument/2006/relationships/hyperlink" Target="http://data.eastmoney.com/notices/detail/600177/AN201604130014341096,JUU5JTlCJTg1JUU2JTg4JTg4JUU1JUIwJTk0.html" TargetMode="External"/><Relationship Id="rId7" Type="http://schemas.openxmlformats.org/officeDocument/2006/relationships/hyperlink" Target="http://data.eastmoney.com/notices/detail/300236/AN201604150014377774,JUU0JUI4JThBJUU2JUI1JUI3JUU2JTk2JUIwJUU5JTk4JUIz.html" TargetMode="External"/><Relationship Id="rId12" Type="http://schemas.openxmlformats.org/officeDocument/2006/relationships/hyperlink" Target="http://data.eastmoney.com/notices/detail/002027/AN201604130014342553,JUU1JTg4JTg2JUU0JUJDJTk3JUU0JUJDJUEwJUU1JUFBJTky.html" TargetMode="External"/><Relationship Id="rId17" Type="http://schemas.openxmlformats.org/officeDocument/2006/relationships/hyperlink" Target="http://data.eastmoney.com/notices/detail/000735/AN201604110014307394,JUU3JUJEJTk3JTIwJUU3JTg5JTlCJTIwJUU1JUIxJUIx.html" TargetMode="External"/><Relationship Id="rId2" Type="http://schemas.openxmlformats.org/officeDocument/2006/relationships/hyperlink" Target="http://data.eastmoney.com/notices/detail/300113/AN201604050014231146,JUU5JUExJUJBJUU3JUJEJTkxJUU3JUE3JTkxJUU2JThBJTgw.html" TargetMode="External"/><Relationship Id="rId16" Type="http://schemas.openxmlformats.org/officeDocument/2006/relationships/hyperlink" Target="http://data.eastmoney.com/notices/detail/002706/AN201604050014237295,JUU4JTg5JUFGJUU0JUJGJUExJUU3JTk0JUI1JUU1JTk5JUE4.html" TargetMode="External"/><Relationship Id="rId1" Type="http://schemas.openxmlformats.org/officeDocument/2006/relationships/hyperlink" Target="http://data.eastmoney.com/notices/detail/300377/AN201603230014046195,JUU4JUI1JUEyJUU2JTk3JUI2JUU4JTgzJTlD.html" TargetMode="External"/><Relationship Id="rId6" Type="http://schemas.openxmlformats.org/officeDocument/2006/relationships/hyperlink" Target="http://data.eastmoney.com/notices/detail/002380/AN201604170014390887,JUU3JUE3JTkxJUU4JUJGJTlDJUU2JTk5JUJBJUU2JTg1JUE3.html" TargetMode="External"/><Relationship Id="rId11" Type="http://schemas.openxmlformats.org/officeDocument/2006/relationships/hyperlink" Target="http://data.eastmoney.com/notices/detail/002139/AN201604110014310099,JUU2JThCJTkzJUU5JTgyJUE2JUU4JTgyJUExJUU0JUJCJUJE.html" TargetMode="External"/><Relationship Id="rId5" Type="http://schemas.openxmlformats.org/officeDocument/2006/relationships/hyperlink" Target="http://data.eastmoney.com/notices/detail/002027/AN201604130014342553,JUU1JTg4JTg2JUU0JUJDJTk3JUU0JUJDJUEwJUU1JUFBJTky.html" TargetMode="External"/><Relationship Id="rId15" Type="http://schemas.openxmlformats.org/officeDocument/2006/relationships/hyperlink" Target="http://data.eastmoney.com/notices/detail/300250/AN201604050014237363,JUU1JTg4JTlEJUU3JTgxJUI1JUU0JUJGJUExJUU2JTgxJUFG.html" TargetMode="External"/><Relationship Id="rId10" Type="http://schemas.openxmlformats.org/officeDocument/2006/relationships/hyperlink" Target="http://data.eastmoney.com/notices/detail/600177/AN201604130014341096,JUU5JTlCJTg1JUU2JTg4JTg4JUU1JUIwJTk0.html" TargetMode="External"/><Relationship Id="rId19" Type="http://schemas.openxmlformats.org/officeDocument/2006/relationships/hyperlink" Target="http://data.eastmoney.com/notices/detail/000735/AN201604110014307394,JUU3JUJEJTk3JTIwJUU3JTg5JTlCJTIwJUU1JUIxJUIx.html" TargetMode="External"/><Relationship Id="rId4" Type="http://schemas.openxmlformats.org/officeDocument/2006/relationships/hyperlink" Target="http://data.eastmoney.com/notices/detail/002139/AN201604110014310099,JUU2JThCJTkzJUU5JTgyJUE2JUU4JTgyJUExJUU0JUJCJUJE.html" TargetMode="External"/><Relationship Id="rId9" Type="http://schemas.openxmlformats.org/officeDocument/2006/relationships/hyperlink" Target="http://data.eastmoney.com/notices/detail/300113/AN201604050014231146,JUU5JUExJUJBJUU3JUJEJTkxJUU3JUE3JTkxJUU2JThBJTgw.html" TargetMode="External"/><Relationship Id="rId14" Type="http://schemas.openxmlformats.org/officeDocument/2006/relationships/hyperlink" Target="http://data.eastmoney.com/notices/detail/002380/AN201604170014390887,JUU3JUE3JTkxJUU4JUJGJTlDJUU2JTk5JUJBJUU2JTg1JUE3.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data.eastmoney.com/notices/detail/300343/AN201604250014524361,JUU4JTgxJTk0JUU1JTg4JTlCJUU4JTgyJUExJUU0JUJCJUJE.html" TargetMode="External"/><Relationship Id="rId13" Type="http://schemas.openxmlformats.org/officeDocument/2006/relationships/hyperlink" Target="http://data.eastmoney.com/notices/detail/300388/AN201604080014291325,JUU1JTlCJUJEJUU3JUE1JUFGJUU3JThFJUFGJUU0JUJGJTlE.html" TargetMode="External"/><Relationship Id="rId18" Type="http://schemas.openxmlformats.org/officeDocument/2006/relationships/hyperlink" Target="http://data.eastmoney.com/notices/detail/300287/AN201604250014524510,JUU5JUEzJTlFJUU1JTg4JUE5JUU0JUJGJUEx.html" TargetMode="External"/><Relationship Id="rId3" Type="http://schemas.openxmlformats.org/officeDocument/2006/relationships/hyperlink" Target="http://data.eastmoney.com/notices/detail/000887/AN201604280014597041,JUU0JUI4JUFEJUU5JUJDJThFJUU4JTgyJUExJUU0JUJCJUJE.html" TargetMode="External"/><Relationship Id="rId7" Type="http://schemas.openxmlformats.org/officeDocument/2006/relationships/hyperlink" Target="http://data.eastmoney.com/notices/detail/000690/AN201604240014507459,JUU1JUFFJTlEJUU2JTk2JUIwJUU4JTgzJUJEJUU2JUJBJTkw.html" TargetMode="External"/><Relationship Id="rId12" Type="http://schemas.openxmlformats.org/officeDocument/2006/relationships/hyperlink" Target="http://data.eastmoney.com/notices/detail/000961/AN201604180014402803,JUU0JUI4JUFEJUU1JThEJTk3JUU1JUJCJUJBJUU4JUFFJUJF.html" TargetMode="External"/><Relationship Id="rId17" Type="http://schemas.openxmlformats.org/officeDocument/2006/relationships/hyperlink" Target="http://data.eastmoney.com/notices/detail/300343/AN201604250014524361,JUU4JTgxJTk0JUU1JTg4JTlCJUU4JTgyJUExJUU0JUJCJUJE.html" TargetMode="External"/><Relationship Id="rId2" Type="http://schemas.openxmlformats.org/officeDocument/2006/relationships/hyperlink" Target="http://data.eastmoney.com/notices/detail/000961/AN201604180014402803,JUU0JUI4JUFEJUU1JThEJTk3JUU1JUJCJUJBJUU4JUFFJUJF.html" TargetMode="External"/><Relationship Id="rId16" Type="http://schemas.openxmlformats.org/officeDocument/2006/relationships/hyperlink" Target="http://data.eastmoney.com/notices/detail/000690/AN201604240014507459,JUU1JUFFJTlEJUU2JTk2JUIwJUU4JTgzJUJEJUU2JUJBJTkw.html" TargetMode="External"/><Relationship Id="rId20" Type="http://schemas.openxmlformats.org/officeDocument/2006/relationships/hyperlink" Target="http://data.eastmoney.com/notices/detail/300055/AN201604200014445569,JUU0JUI4JTg3JUU5JTgyJUE2JUU4JUJFJUJF.html" TargetMode="External"/><Relationship Id="rId1" Type="http://schemas.openxmlformats.org/officeDocument/2006/relationships/hyperlink" Target="http://data.eastmoney.com/notices/detail/002617/AN201604140014357425,JUU5JTlDJUIyJUU3JUFDJTkxJUU3JUE3JTkxJUU2JThBJTgw.html" TargetMode="External"/><Relationship Id="rId6" Type="http://schemas.openxmlformats.org/officeDocument/2006/relationships/hyperlink" Target="http://data.eastmoney.com/notices/detail/002546/AN201604200014445583,JUU2JTk2JUIwJUU4JTgxJTk0JUU3JTk0JUI1JUU1JUFEJTkw.html" TargetMode="External"/><Relationship Id="rId11" Type="http://schemas.openxmlformats.org/officeDocument/2006/relationships/hyperlink" Target="http://data.eastmoney.com/notices/detail/002617/AN201604140014357425,JUU5JTlDJUIyJUU3JUFDJTkxJUU3JUE3JTkxJUU2JThBJTgw.html" TargetMode="External"/><Relationship Id="rId5" Type="http://schemas.openxmlformats.org/officeDocument/2006/relationships/hyperlink" Target="http://data.eastmoney.com/notices/detail/300304/AN201604110014308027,JUU0JUJBJTkxJUU2JTg0JThGJUU3JTk0JUI1JUU2JUIwJTk0.html" TargetMode="External"/><Relationship Id="rId15" Type="http://schemas.openxmlformats.org/officeDocument/2006/relationships/hyperlink" Target="http://data.eastmoney.com/notices/detail/002546/AN201604200014445583,JUU2JTk2JUIwJUU4JTgxJTk0JUU3JTk0JUI1JUU1JUFEJTkw.html" TargetMode="External"/><Relationship Id="rId10" Type="http://schemas.openxmlformats.org/officeDocument/2006/relationships/hyperlink" Target="http://data.eastmoney.com/notices/detail/300055/AN201604200014445569,JUU0JUI4JTg3JUU5JTgyJUE2JUU4JUJFJUJF.html" TargetMode="External"/><Relationship Id="rId19" Type="http://schemas.openxmlformats.org/officeDocument/2006/relationships/hyperlink" Target="http://data.eastmoney.com/notices/detail/000887/AN201604280014597041,JUU0JUI4JUFEJUU5JUJDJThFJUU4JTgyJUExJUU0JUJCJUJE.html" TargetMode="External"/><Relationship Id="rId4" Type="http://schemas.openxmlformats.org/officeDocument/2006/relationships/hyperlink" Target="http://data.eastmoney.com/notices/detail/300388/AN201604080014291325,JUU1JTlCJUJEJUU3JUE1JUFGJUU3JThFJUFGJUU0JUJGJTlE.html" TargetMode="External"/><Relationship Id="rId9" Type="http://schemas.openxmlformats.org/officeDocument/2006/relationships/hyperlink" Target="http://data.eastmoney.com/notices/detail/300287/AN201604250014524510,JUU5JUEzJTlFJUU1JTg4JUE5JUU0JUJGJUEx.html" TargetMode="External"/><Relationship Id="rId14" Type="http://schemas.openxmlformats.org/officeDocument/2006/relationships/hyperlink" Target="http://data.eastmoney.com/notices/detail/300304/AN201604110014308027,JUU0JUJBJTkxJUU2JTg0JThGJUU3JTk0JUI1JUU2JUIwJTk0.html"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tatic.cninfo.com.cn/finalpage/2016-09-08/1202684054.PDF" TargetMode="External"/><Relationship Id="rId117" Type="http://schemas.openxmlformats.org/officeDocument/2006/relationships/hyperlink" Target="http://static.cninfo.com.cn/finalpage/2016-09-14/1202699264.PDF" TargetMode="External"/><Relationship Id="rId21" Type="http://schemas.openxmlformats.org/officeDocument/2006/relationships/hyperlink" Target="http://static.cninfo.com.cn/finalpage/2017-05-04/1203474001.PDF" TargetMode="External"/><Relationship Id="rId42" Type="http://schemas.openxmlformats.org/officeDocument/2006/relationships/hyperlink" Target="http://static.cninfo.com.cn/finalpage/2016-05-24/1202337110.PDF" TargetMode="External"/><Relationship Id="rId47" Type="http://schemas.openxmlformats.org/officeDocument/2006/relationships/hyperlink" Target="http://static.cninfo.com.cn/finalpage/2016-06-07/1202358086.PDF" TargetMode="External"/><Relationship Id="rId63" Type="http://schemas.openxmlformats.org/officeDocument/2006/relationships/hyperlink" Target="http://static.cninfo.com.cn/finalpage/2016-06-29/1202431726.PDF" TargetMode="External"/><Relationship Id="rId68" Type="http://schemas.openxmlformats.org/officeDocument/2006/relationships/hyperlink" Target="http://static.cninfo.com.cn/finalpage/2016-07-05/1202448960.PDF" TargetMode="External"/><Relationship Id="rId84" Type="http://schemas.openxmlformats.org/officeDocument/2006/relationships/hyperlink" Target="http://static.cninfo.com.cn/finalpage/2016-07-14/1202470000.PDF" TargetMode="External"/><Relationship Id="rId89" Type="http://schemas.openxmlformats.org/officeDocument/2006/relationships/hyperlink" Target="http://static.cninfo.com.cn/finalpage/2016-07-22/1202496983.PDF" TargetMode="External"/><Relationship Id="rId112" Type="http://schemas.openxmlformats.org/officeDocument/2006/relationships/hyperlink" Target="http://static.cninfo.com.cn/finalpage/2016-08-23/1202599338.PDF" TargetMode="External"/><Relationship Id="rId133" Type="http://schemas.openxmlformats.org/officeDocument/2006/relationships/hyperlink" Target="http://static.cninfo.com.cn/finalpage/2016-07-22/1202500180.PDF" TargetMode="External"/><Relationship Id="rId138" Type="http://schemas.openxmlformats.org/officeDocument/2006/relationships/hyperlink" Target="http://static.cninfo.com.cn/finalpage/2016-08-31/1202658238.PDF" TargetMode="External"/><Relationship Id="rId154" Type="http://schemas.openxmlformats.org/officeDocument/2006/relationships/hyperlink" Target="http://static.cninfo.com.cn/finalpage/2016-09-10/1202692136.PDF" TargetMode="External"/><Relationship Id="rId159" Type="http://schemas.openxmlformats.org/officeDocument/2006/relationships/hyperlink" Target="http://static.cninfo.com.cn/finalpage/2016-09-12/1202691052.PDF" TargetMode="External"/><Relationship Id="rId16" Type="http://schemas.openxmlformats.org/officeDocument/2006/relationships/hyperlink" Target="http://static.cninfo.com.cn/finalpage/2016-05-14/1202322181.PDF" TargetMode="External"/><Relationship Id="rId107" Type="http://schemas.openxmlformats.org/officeDocument/2006/relationships/hyperlink" Target="http://static.cninfo.com.cn/finalpage/2016-08-17/1202571812.PDF" TargetMode="External"/><Relationship Id="rId11" Type="http://schemas.openxmlformats.org/officeDocument/2006/relationships/hyperlink" Target="http://static.cninfo.com.cn/finalpage/2016-05-04/1202287976.PDF" TargetMode="External"/><Relationship Id="rId32" Type="http://schemas.openxmlformats.org/officeDocument/2006/relationships/hyperlink" Target="http://static.cninfo.com.cn/finalpage/2016-05-13/1202319315.PDF" TargetMode="External"/><Relationship Id="rId37" Type="http://schemas.openxmlformats.org/officeDocument/2006/relationships/hyperlink" Target="http://static.cninfo.com.cn/finalpage/2016-05-04/1202287780.PDF" TargetMode="External"/><Relationship Id="rId53" Type="http://schemas.openxmlformats.org/officeDocument/2006/relationships/hyperlink" Target="http://static.cninfo.com.cn/finalpage/2016-06-22/1202380310.PDF" TargetMode="External"/><Relationship Id="rId58" Type="http://schemas.openxmlformats.org/officeDocument/2006/relationships/hyperlink" Target="http://static.cninfo.com.cn/finalpage/2016-06-22/1202381119.PDF" TargetMode="External"/><Relationship Id="rId74" Type="http://schemas.openxmlformats.org/officeDocument/2006/relationships/hyperlink" Target="http://static.cninfo.com.cn/finalpage/2016-07-11/1202463409.PDF" TargetMode="External"/><Relationship Id="rId79" Type="http://schemas.openxmlformats.org/officeDocument/2006/relationships/hyperlink" Target="http://static.cninfo.com.cn/finalpage/2016-05-10/1202313415.PDF" TargetMode="External"/><Relationship Id="rId102" Type="http://schemas.openxmlformats.org/officeDocument/2006/relationships/hyperlink" Target="http://static.cninfo.com.cn/finalpage/2016-07-27/1202507211.PDF" TargetMode="External"/><Relationship Id="rId123" Type="http://schemas.openxmlformats.org/officeDocument/2006/relationships/hyperlink" Target="http://static.cninfo.com.cn/finalpage/2016-09-22/1202716698.PDF" TargetMode="External"/><Relationship Id="rId128" Type="http://schemas.openxmlformats.org/officeDocument/2006/relationships/hyperlink" Target="http://static.cninfo.com.cn/finalpage/2016-08-19/1202581839.PDF" TargetMode="External"/><Relationship Id="rId144" Type="http://schemas.openxmlformats.org/officeDocument/2006/relationships/hyperlink" Target="http://static.cninfo.com.cn/finalpage/2016-08-23/1202599568.PDF" TargetMode="External"/><Relationship Id="rId149" Type="http://schemas.openxmlformats.org/officeDocument/2006/relationships/hyperlink" Target="http://static.cninfo.com.cn/finalpage/2016-08-26/1202619578.PDF" TargetMode="External"/><Relationship Id="rId5" Type="http://schemas.openxmlformats.org/officeDocument/2006/relationships/hyperlink" Target="http://static.cninfo.com.cn/finalpage/2016-08-19/1202582012.PDF" TargetMode="External"/><Relationship Id="rId90" Type="http://schemas.openxmlformats.org/officeDocument/2006/relationships/hyperlink" Target="http://static.cninfo.com.cn/finalpage/2016-07-15/1202475208.PDF" TargetMode="External"/><Relationship Id="rId95" Type="http://schemas.openxmlformats.org/officeDocument/2006/relationships/hyperlink" Target="http://static.cninfo.com.cn/finalpage/2016-07-27/1202507156.PDF" TargetMode="External"/><Relationship Id="rId160" Type="http://schemas.openxmlformats.org/officeDocument/2006/relationships/hyperlink" Target="http://static.cninfo.com.cn/finalpage/2016-09-07/1202684211.PDF" TargetMode="External"/><Relationship Id="rId22" Type="http://schemas.openxmlformats.org/officeDocument/2006/relationships/hyperlink" Target="http://static.cninfo.com.cn/finalpage/2017-05-05/1203475821.PDF" TargetMode="External"/><Relationship Id="rId27" Type="http://schemas.openxmlformats.org/officeDocument/2006/relationships/hyperlink" Target="http://static.cninfo.com.cn/finalpage/2016-05-12/1202316904.PDF" TargetMode="External"/><Relationship Id="rId43" Type="http://schemas.openxmlformats.org/officeDocument/2006/relationships/hyperlink" Target="http://static.cninfo.com.cn/finalpage/2016-06-01/1202349350.PDF" TargetMode="External"/><Relationship Id="rId48" Type="http://schemas.openxmlformats.org/officeDocument/2006/relationships/hyperlink" Target="http://static.cninfo.com.cn/finalpage/2016-06-14/1202366026.PDF" TargetMode="External"/><Relationship Id="rId64" Type="http://schemas.openxmlformats.org/officeDocument/2006/relationships/hyperlink" Target="http://static.cninfo.com.cn/finalpage/2016-06-30/1202438139.PDF" TargetMode="External"/><Relationship Id="rId69" Type="http://schemas.openxmlformats.org/officeDocument/2006/relationships/hyperlink" Target="http://static.cninfo.com.cn/finalpage/2016-07-02/1202445057.PDF" TargetMode="External"/><Relationship Id="rId113" Type="http://schemas.openxmlformats.org/officeDocument/2006/relationships/hyperlink" Target="http://static.cninfo.com.cn/finalpage/2016-08-18/1202577277.PDF" TargetMode="External"/><Relationship Id="rId118" Type="http://schemas.openxmlformats.org/officeDocument/2006/relationships/hyperlink" Target="http://static.cninfo.com.cn/finalpage/2016-09-19/1202704306.PDF" TargetMode="External"/><Relationship Id="rId134" Type="http://schemas.openxmlformats.org/officeDocument/2006/relationships/hyperlink" Target="http://static.cninfo.com.cn/finalpage/2016-08-25/1202613668.PDF" TargetMode="External"/><Relationship Id="rId139" Type="http://schemas.openxmlformats.org/officeDocument/2006/relationships/hyperlink" Target="http://static.cninfo.com.cn/finalpage/2016-09-01/1202666245.PDF" TargetMode="External"/><Relationship Id="rId80" Type="http://schemas.openxmlformats.org/officeDocument/2006/relationships/hyperlink" Target="http://static.cninfo.com.cn/finalpage/2016-07-09/1202460862.PDF" TargetMode="External"/><Relationship Id="rId85" Type="http://schemas.openxmlformats.org/officeDocument/2006/relationships/hyperlink" Target="http://static.cninfo.com.cn/finalpage/2016-07-15/1202475286.PDF" TargetMode="External"/><Relationship Id="rId150" Type="http://schemas.openxmlformats.org/officeDocument/2006/relationships/hyperlink" Target="http://static.cninfo.com.cn/finalpage/2016-08-23/1202599822.PDF" TargetMode="External"/><Relationship Id="rId155" Type="http://schemas.openxmlformats.org/officeDocument/2006/relationships/hyperlink" Target="http://static.cninfo.com.cn/finalpage/2016-08-29/1202649659.PDF" TargetMode="External"/><Relationship Id="rId12" Type="http://schemas.openxmlformats.org/officeDocument/2006/relationships/hyperlink" Target="http://static.cninfo.com.cn/finalpage/2017-05-03/1203470042.PDF" TargetMode="External"/><Relationship Id="rId17" Type="http://schemas.openxmlformats.org/officeDocument/2006/relationships/hyperlink" Target="http://static.cninfo.com.cn/finalpage/2017-07-21/1203722750.PDF" TargetMode="External"/><Relationship Id="rId33" Type="http://schemas.openxmlformats.org/officeDocument/2006/relationships/hyperlink" Target="http://static.cninfo.com.cn/finalpage/2016-05-13/1202320634.PDF" TargetMode="External"/><Relationship Id="rId38" Type="http://schemas.openxmlformats.org/officeDocument/2006/relationships/hyperlink" Target="http://static.cninfo.com.cn/finalpage/2016-05-23/1202332832.PDF" TargetMode="External"/><Relationship Id="rId59" Type="http://schemas.openxmlformats.org/officeDocument/2006/relationships/hyperlink" Target="http://static.cninfo.com.cn/finalpage/2016-06-21/1202376145.PDF" TargetMode="External"/><Relationship Id="rId103" Type="http://schemas.openxmlformats.org/officeDocument/2006/relationships/hyperlink" Target="http://static.cninfo.com.cn/finalpage/2016-08-09/1202546231.PDF" TargetMode="External"/><Relationship Id="rId108" Type="http://schemas.openxmlformats.org/officeDocument/2006/relationships/hyperlink" Target="http://static.cninfo.com.cn/finalpage/2016-08-12/1202559312.PDF" TargetMode="External"/><Relationship Id="rId124" Type="http://schemas.openxmlformats.org/officeDocument/2006/relationships/hyperlink" Target="http://static.cninfo.com.cn/finalpage/2016-09-14/1202699977.PDF" TargetMode="External"/><Relationship Id="rId129" Type="http://schemas.openxmlformats.org/officeDocument/2006/relationships/hyperlink" Target="http://static.cninfo.com.cn/finalpage/2016-08-15/1202565681.PDF" TargetMode="External"/><Relationship Id="rId20" Type="http://schemas.openxmlformats.org/officeDocument/2006/relationships/hyperlink" Target="http://static.cninfo.com.cn/finalpage/2016-05-05/1202294813.PDF" TargetMode="External"/><Relationship Id="rId41" Type="http://schemas.openxmlformats.org/officeDocument/2006/relationships/hyperlink" Target="http://static.cninfo.com.cn/finalpage/2016-05-26/1202339137.PDF" TargetMode="External"/><Relationship Id="rId54" Type="http://schemas.openxmlformats.org/officeDocument/2006/relationships/hyperlink" Target="http://static.cninfo.com.cn/finalpage/2016-06-24/1202393477.PDF" TargetMode="External"/><Relationship Id="rId62" Type="http://schemas.openxmlformats.org/officeDocument/2006/relationships/hyperlink" Target="http://static.cninfo.com.cn/finalpage/2016-06-24/1202394283.PDF" TargetMode="External"/><Relationship Id="rId70" Type="http://schemas.openxmlformats.org/officeDocument/2006/relationships/hyperlink" Target="http://static.cninfo.com.cn/finalpage/2016-07-02/1202445031.PDF" TargetMode="External"/><Relationship Id="rId75" Type="http://schemas.openxmlformats.org/officeDocument/2006/relationships/hyperlink" Target="http://static.cninfo.com.cn/finalpage/2016-07-12/1202466460.PDF" TargetMode="External"/><Relationship Id="rId83" Type="http://schemas.openxmlformats.org/officeDocument/2006/relationships/hyperlink" Target="http://static.cninfo.com.cn/finalpage/2016-07-19/1202480345.PDF" TargetMode="External"/><Relationship Id="rId88" Type="http://schemas.openxmlformats.org/officeDocument/2006/relationships/hyperlink" Target="http://static.cninfo.com.cn/finalpage/2016-07-21/1202492741.PDF" TargetMode="External"/><Relationship Id="rId91" Type="http://schemas.openxmlformats.org/officeDocument/2006/relationships/hyperlink" Target="http://static.cninfo.com.cn/finalpage/2016-07-29/1202514379.PDF" TargetMode="External"/><Relationship Id="rId96" Type="http://schemas.openxmlformats.org/officeDocument/2006/relationships/hyperlink" Target="http://static.cninfo.com.cn/finalpage/2016-07-29/1202514038.PDF" TargetMode="External"/><Relationship Id="rId111" Type="http://schemas.openxmlformats.org/officeDocument/2006/relationships/hyperlink" Target="http://static.cninfo.com.cn/finalpage/2016-08-18/1202576523.PDF" TargetMode="External"/><Relationship Id="rId132" Type="http://schemas.openxmlformats.org/officeDocument/2006/relationships/hyperlink" Target="http://static.cninfo.com.cn/finalpage/2016-08-23/1202599586.PDF" TargetMode="External"/><Relationship Id="rId140" Type="http://schemas.openxmlformats.org/officeDocument/2006/relationships/hyperlink" Target="http://static.cninfo.com.cn/finalpage/2016-08-26/1202618686.PDF" TargetMode="External"/><Relationship Id="rId145" Type="http://schemas.openxmlformats.org/officeDocument/2006/relationships/hyperlink" Target="http://static.cninfo.com.cn/finalpage/2016-09-07/1202679542.PDF" TargetMode="External"/><Relationship Id="rId153" Type="http://schemas.openxmlformats.org/officeDocument/2006/relationships/hyperlink" Target="http://static.cninfo.com.cn/finalpage/2016-09-08/1202683877.PDF" TargetMode="External"/><Relationship Id="rId161" Type="http://schemas.openxmlformats.org/officeDocument/2006/relationships/hyperlink" Target="http://static.cninfo.com.cn/finalpage/2016-09-12/1202689867.PDF" TargetMode="External"/><Relationship Id="rId1" Type="http://schemas.openxmlformats.org/officeDocument/2006/relationships/hyperlink" Target="http://static.cninfo.com.cn/finalpage/2016-06-17/1202372304.PDF" TargetMode="External"/><Relationship Id="rId6" Type="http://schemas.openxmlformats.org/officeDocument/2006/relationships/hyperlink" Target="http://static.cninfo.com.cn/finalpage/2017-09-01/1203920335.PDF" TargetMode="External"/><Relationship Id="rId15" Type="http://schemas.openxmlformats.org/officeDocument/2006/relationships/hyperlink" Target="http://static.cninfo.com.cn/finalpage/2017-06-05/1203586838.PDF" TargetMode="External"/><Relationship Id="rId23" Type="http://schemas.openxmlformats.org/officeDocument/2006/relationships/hyperlink" Target="http://static.cninfo.com.cn/finalpage/2016-07-23/1202499761.PDF" TargetMode="External"/><Relationship Id="rId28" Type="http://schemas.openxmlformats.org/officeDocument/2006/relationships/hyperlink" Target="http://static.cninfo.com.cn/finalpage/2016-04-20/1202203812.PDF" TargetMode="External"/><Relationship Id="rId36" Type="http://schemas.openxmlformats.org/officeDocument/2006/relationships/hyperlink" Target="http://static.cninfo.com.cn/finalpage/2016-05-17/1202326043.PDF" TargetMode="External"/><Relationship Id="rId49" Type="http://schemas.openxmlformats.org/officeDocument/2006/relationships/hyperlink" Target="http://static.cninfo.com.cn/finalpage/2016-05-27/1202341002.PDF" TargetMode="External"/><Relationship Id="rId57" Type="http://schemas.openxmlformats.org/officeDocument/2006/relationships/hyperlink" Target="http://static.cninfo.com.cn/finalpage/2016-06-15/1202368081.PDF" TargetMode="External"/><Relationship Id="rId106" Type="http://schemas.openxmlformats.org/officeDocument/2006/relationships/hyperlink" Target="http://static.cninfo.com.cn/finalpage/2016-08-12/1202559288.PDF" TargetMode="External"/><Relationship Id="rId114" Type="http://schemas.openxmlformats.org/officeDocument/2006/relationships/hyperlink" Target="http://static.cninfo.com.cn/finalpage/2016-08-18/1202577399.PDF" TargetMode="External"/><Relationship Id="rId119" Type="http://schemas.openxmlformats.org/officeDocument/2006/relationships/hyperlink" Target="http://static.cninfo.com.cn/finalpage/2016-09-14/1202699296.PDF" TargetMode="External"/><Relationship Id="rId127" Type="http://schemas.openxmlformats.org/officeDocument/2006/relationships/hyperlink" Target="http://static.cninfo.com.cn/finalpage/2016-09-23/1202720009.PDF" TargetMode="External"/><Relationship Id="rId10" Type="http://schemas.openxmlformats.org/officeDocument/2006/relationships/hyperlink" Target="http://static.cninfo.com.cn/finalpage/2016-05-06/1202299509.PDF" TargetMode="External"/><Relationship Id="rId31" Type="http://schemas.openxmlformats.org/officeDocument/2006/relationships/hyperlink" Target="http://static.cninfo.com.cn/finalpage/2016-05-13/1202318482.PDF" TargetMode="External"/><Relationship Id="rId44" Type="http://schemas.openxmlformats.org/officeDocument/2006/relationships/hyperlink" Target="http://static.cninfo.com.cn/finalpage/2016-06-02/1202350572.PDF" TargetMode="External"/><Relationship Id="rId52" Type="http://schemas.openxmlformats.org/officeDocument/2006/relationships/hyperlink" Target="http://static.cninfo.com.cn/finalpage/2016-06-15/1202370169.PDF" TargetMode="External"/><Relationship Id="rId60" Type="http://schemas.openxmlformats.org/officeDocument/2006/relationships/hyperlink" Target="http://static.cninfo.com.cn/finalpage/2016-06-01/1202351500.PDF" TargetMode="External"/><Relationship Id="rId65" Type="http://schemas.openxmlformats.org/officeDocument/2006/relationships/hyperlink" Target="http://static.cninfo.com.cn/finalpage/2016-06-24/1202394305.PDF" TargetMode="External"/><Relationship Id="rId73" Type="http://schemas.openxmlformats.org/officeDocument/2006/relationships/hyperlink" Target="http://static.cninfo.com.cn/finalpage/2016-07-07/1202456286.PDF" TargetMode="External"/><Relationship Id="rId78" Type="http://schemas.openxmlformats.org/officeDocument/2006/relationships/hyperlink" Target="http://static.cninfo.com.cn/finalpage/2016-07-08/1202458723.PDF" TargetMode="External"/><Relationship Id="rId81" Type="http://schemas.openxmlformats.org/officeDocument/2006/relationships/hyperlink" Target="http://static.cninfo.com.cn/finalpage/2016-07-04/1202448891.PDF" TargetMode="External"/><Relationship Id="rId86" Type="http://schemas.openxmlformats.org/officeDocument/2006/relationships/hyperlink" Target="http://static.cninfo.com.cn/finalpage/2016-07-15/1202476782.PDF" TargetMode="External"/><Relationship Id="rId94" Type="http://schemas.openxmlformats.org/officeDocument/2006/relationships/hyperlink" Target="http://static.cninfo.com.cn/finalpage/2016-08-02/1202525637.PDF" TargetMode="External"/><Relationship Id="rId99" Type="http://schemas.openxmlformats.org/officeDocument/2006/relationships/hyperlink" Target="http://static.cninfo.com.cn/finalpage/2016-07-28/1202511319.PDF" TargetMode="External"/><Relationship Id="rId101" Type="http://schemas.openxmlformats.org/officeDocument/2006/relationships/hyperlink" Target="http://static.cninfo.com.cn/finalpage/2016-08-03/1202532215.PDF" TargetMode="External"/><Relationship Id="rId122" Type="http://schemas.openxmlformats.org/officeDocument/2006/relationships/hyperlink" Target="http://static.cninfo.com.cn/finalpage/2016-09-22/1202717345.PDF" TargetMode="External"/><Relationship Id="rId130" Type="http://schemas.openxmlformats.org/officeDocument/2006/relationships/hyperlink" Target="http://static.cninfo.com.cn/finalpage/2016-08-03/1202534727.PDF" TargetMode="External"/><Relationship Id="rId135" Type="http://schemas.openxmlformats.org/officeDocument/2006/relationships/hyperlink" Target="http://static.cninfo.com.cn/finalpage/2016-08-31/1202656707.PDF" TargetMode="External"/><Relationship Id="rId143" Type="http://schemas.openxmlformats.org/officeDocument/2006/relationships/hyperlink" Target="http://static.cninfo.com.cn/finalpage/2016-09-03/1202672480.PDF" TargetMode="External"/><Relationship Id="rId148" Type="http://schemas.openxmlformats.org/officeDocument/2006/relationships/hyperlink" Target="http://static.cninfo.com.cn/finalpage/2016-08-31/1202656911.PDF" TargetMode="External"/><Relationship Id="rId151" Type="http://schemas.openxmlformats.org/officeDocument/2006/relationships/hyperlink" Target="http://static.cninfo.com.cn/finalpage/2016-09-07/1202679997.PDF" TargetMode="External"/><Relationship Id="rId156" Type="http://schemas.openxmlformats.org/officeDocument/2006/relationships/hyperlink" Target="http://static.cninfo.com.cn/finalpage/2016-09-07/1202679863.PDF" TargetMode="External"/><Relationship Id="rId4" Type="http://schemas.openxmlformats.org/officeDocument/2006/relationships/hyperlink" Target="http://static.cninfo.com.cn/finalpage/2017-07-27/1203736232.PDF" TargetMode="External"/><Relationship Id="rId9" Type="http://schemas.openxmlformats.org/officeDocument/2006/relationships/hyperlink" Target="http://static.cninfo.com.cn/finalpage/2017-04-26/1203387626.PDF" TargetMode="External"/><Relationship Id="rId13" Type="http://schemas.openxmlformats.org/officeDocument/2006/relationships/hyperlink" Target="http://static.cninfo.com.cn/finalpage/2016-05-03/1202287432.PDF" TargetMode="External"/><Relationship Id="rId18" Type="http://schemas.openxmlformats.org/officeDocument/2006/relationships/hyperlink" Target="http://static.cninfo.com.cn/finalpage/2016-05-04/1202287819.PDF" TargetMode="External"/><Relationship Id="rId39" Type="http://schemas.openxmlformats.org/officeDocument/2006/relationships/hyperlink" Target="http://static.cninfo.com.cn/finalpage/2016-05-27/1202341630.PDF" TargetMode="External"/><Relationship Id="rId109" Type="http://schemas.openxmlformats.org/officeDocument/2006/relationships/hyperlink" Target="http://static.cninfo.com.cn/finalpage/2016-08-12/1202559861.PDF" TargetMode="External"/><Relationship Id="rId34" Type="http://schemas.openxmlformats.org/officeDocument/2006/relationships/hyperlink" Target="http://static.cninfo.com.cn/finalpage/2016-05-13/1202321406.PDF" TargetMode="External"/><Relationship Id="rId50" Type="http://schemas.openxmlformats.org/officeDocument/2006/relationships/hyperlink" Target="http://static.cninfo.com.cn/finalpage/2016-06-13/1202363392.PDF" TargetMode="External"/><Relationship Id="rId55" Type="http://schemas.openxmlformats.org/officeDocument/2006/relationships/hyperlink" Target="http://static.cninfo.com.cn/finalpage/2016-06-17/1202372654.PDF" TargetMode="External"/><Relationship Id="rId76" Type="http://schemas.openxmlformats.org/officeDocument/2006/relationships/hyperlink" Target="http://static.cninfo.com.cn/finalpage/2016-07-07/1202455564.PDF" TargetMode="External"/><Relationship Id="rId97" Type="http://schemas.openxmlformats.org/officeDocument/2006/relationships/hyperlink" Target="http://static.cninfo.com.cn/finalpage/2016-07-29/1202513836.PDF" TargetMode="External"/><Relationship Id="rId104" Type="http://schemas.openxmlformats.org/officeDocument/2006/relationships/hyperlink" Target="http://static.cninfo.com.cn/finalpage/2016-08-10/1202551248.PDF" TargetMode="External"/><Relationship Id="rId120" Type="http://schemas.openxmlformats.org/officeDocument/2006/relationships/hyperlink" Target="http://static.cninfo.com.cn/finalpage/2016-09-22/1202716932.PDF" TargetMode="External"/><Relationship Id="rId125" Type="http://schemas.openxmlformats.org/officeDocument/2006/relationships/hyperlink" Target="http://static.cninfo.com.cn/finalpage/2016-09-19/1202704721.PDF" TargetMode="External"/><Relationship Id="rId141" Type="http://schemas.openxmlformats.org/officeDocument/2006/relationships/hyperlink" Target="http://static.cninfo.com.cn/finalpage/2016-09-02/1202668724.PDF" TargetMode="External"/><Relationship Id="rId146" Type="http://schemas.openxmlformats.org/officeDocument/2006/relationships/hyperlink" Target="http://static.cninfo.com.cn/finalpage/2016-09-03/1202673417.PDF" TargetMode="External"/><Relationship Id="rId7" Type="http://schemas.openxmlformats.org/officeDocument/2006/relationships/hyperlink" Target="http://static.cninfo.com.cn/finalpage/2017-05-04/1203474001.PDF" TargetMode="External"/><Relationship Id="rId71" Type="http://schemas.openxmlformats.org/officeDocument/2006/relationships/hyperlink" Target="http://static.cninfo.com.cn/finalpage/2016-07-04/1202445080.PDF" TargetMode="External"/><Relationship Id="rId92" Type="http://schemas.openxmlformats.org/officeDocument/2006/relationships/hyperlink" Target="http://static.cninfo.com.cn/finalpage/2016-07-20/1202489590.PDF" TargetMode="External"/><Relationship Id="rId2" Type="http://schemas.openxmlformats.org/officeDocument/2006/relationships/hyperlink" Target="http://static.cninfo.com.cn/finalpage/2017-06-20/1203630675.PDF" TargetMode="External"/><Relationship Id="rId29" Type="http://schemas.openxmlformats.org/officeDocument/2006/relationships/hyperlink" Target="http://static.cninfo.com.cn/finalpage/2016-05-14/1202322240.PDF" TargetMode="External"/><Relationship Id="rId24" Type="http://schemas.openxmlformats.org/officeDocument/2006/relationships/hyperlink" Target="http://static.cninfo.com.cn/finalpage/2016-08-17/1202571100.PDF" TargetMode="External"/><Relationship Id="rId40" Type="http://schemas.openxmlformats.org/officeDocument/2006/relationships/hyperlink" Target="http://static.cninfo.com.cn/finalpage/2016-05-25/1202338585.PDF" TargetMode="External"/><Relationship Id="rId45" Type="http://schemas.openxmlformats.org/officeDocument/2006/relationships/hyperlink" Target="http://static.cninfo.com.cn/finalpage/2016-06-03/1202353519.PDF" TargetMode="External"/><Relationship Id="rId66" Type="http://schemas.openxmlformats.org/officeDocument/2006/relationships/hyperlink" Target="http://static.cninfo.com.cn/finalpage/2016-06-30/1202438341.PDF" TargetMode="External"/><Relationship Id="rId87" Type="http://schemas.openxmlformats.org/officeDocument/2006/relationships/hyperlink" Target="http://static.cninfo.com.cn/finalpage/2016-07-15/1202474310.PDF" TargetMode="External"/><Relationship Id="rId110" Type="http://schemas.openxmlformats.org/officeDocument/2006/relationships/hyperlink" Target="http://static.cninfo.com.cn/finalpage/2016-08-18/1202576115.PDF" TargetMode="External"/><Relationship Id="rId115" Type="http://schemas.openxmlformats.org/officeDocument/2006/relationships/hyperlink" Target="http://static.cninfo.com.cn/finalpage/2016-08-23/1202601086.PDF" TargetMode="External"/><Relationship Id="rId131" Type="http://schemas.openxmlformats.org/officeDocument/2006/relationships/hyperlink" Target="http://static.cninfo.com.cn/finalpage/2016-08-19/1202581595.PDF" TargetMode="External"/><Relationship Id="rId136" Type="http://schemas.openxmlformats.org/officeDocument/2006/relationships/hyperlink" Target="http://static.cninfo.com.cn/finalpage/2016-08-25/1202613768.PDF" TargetMode="External"/><Relationship Id="rId157" Type="http://schemas.openxmlformats.org/officeDocument/2006/relationships/hyperlink" Target="http://static.cninfo.com.cn/finalpage/2016-09-08/1202685403.PDF" TargetMode="External"/><Relationship Id="rId61" Type="http://schemas.openxmlformats.org/officeDocument/2006/relationships/hyperlink" Target="http://static.cninfo.com.cn/finalpage/2016-06-22/1202380830.PDF" TargetMode="External"/><Relationship Id="rId82" Type="http://schemas.openxmlformats.org/officeDocument/2006/relationships/hyperlink" Target="http://static.cninfo.com.cn/finalpage/2016-07-14/1202469772.PDF" TargetMode="External"/><Relationship Id="rId152" Type="http://schemas.openxmlformats.org/officeDocument/2006/relationships/hyperlink" Target="http://static.cninfo.com.cn/finalpage/2016-09-02/1202670264.PDF" TargetMode="External"/><Relationship Id="rId19" Type="http://schemas.openxmlformats.org/officeDocument/2006/relationships/hyperlink" Target="http://static.cninfo.com.cn/finalpage/2016-05-07/1202303193.PDF" TargetMode="External"/><Relationship Id="rId14" Type="http://schemas.openxmlformats.org/officeDocument/2006/relationships/hyperlink" Target="http://static.cninfo.com.cn/finalpage/2017-05-08/1203485456.PDF" TargetMode="External"/><Relationship Id="rId30" Type="http://schemas.openxmlformats.org/officeDocument/2006/relationships/hyperlink" Target="http://static.cninfo.com.cn/finalpage/2016-05-14/1202322013.PDF" TargetMode="External"/><Relationship Id="rId35" Type="http://schemas.openxmlformats.org/officeDocument/2006/relationships/hyperlink" Target="http://static.cninfo.com.cn/finalpage/2016-05-14/1202321606.PDF" TargetMode="External"/><Relationship Id="rId56" Type="http://schemas.openxmlformats.org/officeDocument/2006/relationships/hyperlink" Target="http://static.cninfo.com.cn/finalpage/2016-06-07/1202360870.PDF" TargetMode="External"/><Relationship Id="rId77" Type="http://schemas.openxmlformats.org/officeDocument/2006/relationships/hyperlink" Target="http://static.cninfo.com.cn/finalpage/2016-07-07/1202455782.PDF" TargetMode="External"/><Relationship Id="rId100" Type="http://schemas.openxmlformats.org/officeDocument/2006/relationships/hyperlink" Target="http://static.cninfo.com.cn/finalpage/2016-08-05/1202539847.PDF" TargetMode="External"/><Relationship Id="rId105" Type="http://schemas.openxmlformats.org/officeDocument/2006/relationships/hyperlink" Target="http://static.cninfo.com.cn/finalpage/2016-08-08/1202548004.PDF" TargetMode="External"/><Relationship Id="rId126" Type="http://schemas.openxmlformats.org/officeDocument/2006/relationships/hyperlink" Target="http://static.cninfo.com.cn/finalpage/2016-09-23/1202719753.PDF" TargetMode="External"/><Relationship Id="rId147" Type="http://schemas.openxmlformats.org/officeDocument/2006/relationships/hyperlink" Target="http://static.cninfo.com.cn/finalpage/2016-09-06/1202675895.PDF" TargetMode="External"/><Relationship Id="rId8" Type="http://schemas.openxmlformats.org/officeDocument/2006/relationships/hyperlink" Target="http://static.cninfo.com.cn/finalpage/2017-05-05/1203476050.PDF" TargetMode="External"/><Relationship Id="rId51" Type="http://schemas.openxmlformats.org/officeDocument/2006/relationships/hyperlink" Target="http://static.cninfo.com.cn/finalpage/2016-06-14/1202367053.PDF" TargetMode="External"/><Relationship Id="rId72" Type="http://schemas.openxmlformats.org/officeDocument/2006/relationships/hyperlink" Target="http://static.cninfo.com.cn/finalpage/2016-07-04/1202445442.PDF" TargetMode="External"/><Relationship Id="rId93" Type="http://schemas.openxmlformats.org/officeDocument/2006/relationships/hyperlink" Target="http://static.cninfo.com.cn/finalpage/2016-07-28/1202511390.PDF" TargetMode="External"/><Relationship Id="rId98" Type="http://schemas.openxmlformats.org/officeDocument/2006/relationships/hyperlink" Target="http://static.cninfo.com.cn/finalpage/2016-07-28/1202511268.PDF" TargetMode="External"/><Relationship Id="rId121" Type="http://schemas.openxmlformats.org/officeDocument/2006/relationships/hyperlink" Target="http://static.cninfo.com.cn/finalpage/2016-09-19/1202704367.PDF" TargetMode="External"/><Relationship Id="rId142" Type="http://schemas.openxmlformats.org/officeDocument/2006/relationships/hyperlink" Target="http://static.cninfo.com.cn/finalpage/2016-08-29/1202629947.PDF" TargetMode="External"/><Relationship Id="rId3" Type="http://schemas.openxmlformats.org/officeDocument/2006/relationships/hyperlink" Target="http://static.cninfo.com.cn/finalpage/2016-07-29/1202513827.PDF" TargetMode="External"/><Relationship Id="rId25" Type="http://schemas.openxmlformats.org/officeDocument/2006/relationships/hyperlink" Target="http://static.cninfo.com.cn/finalpage/2016-09-10/1202689970.PDF" TargetMode="External"/><Relationship Id="rId46" Type="http://schemas.openxmlformats.org/officeDocument/2006/relationships/hyperlink" Target="http://static.cninfo.com.cn/finalpage/2016-06-09/1202364359.PDF" TargetMode="External"/><Relationship Id="rId67" Type="http://schemas.openxmlformats.org/officeDocument/2006/relationships/hyperlink" Target="http://static.cninfo.com.cn/finalpage/2016-07-01/1202442072.PDF" TargetMode="External"/><Relationship Id="rId116" Type="http://schemas.openxmlformats.org/officeDocument/2006/relationships/hyperlink" Target="http://static.cninfo.com.cn/finalpage/2016-08-19/1202581854.PDF" TargetMode="External"/><Relationship Id="rId137" Type="http://schemas.openxmlformats.org/officeDocument/2006/relationships/hyperlink" Target="http://static.cninfo.com.cn/finalpage/2016-09-01/1202666103.PDF" TargetMode="External"/><Relationship Id="rId158" Type="http://schemas.openxmlformats.org/officeDocument/2006/relationships/hyperlink" Target="http://static.cninfo.com.cn/finalpage/2016-09-08/1202683957.PDF"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pdf.dfcfw.com/pdf/H2_AN201609220017709945_1.pdf" TargetMode="External"/><Relationship Id="rId3" Type="http://schemas.openxmlformats.org/officeDocument/2006/relationships/hyperlink" Target="http://pdf.dfcfw.com/pdf/H2_AN201609200017681744_1.pdf" TargetMode="External"/><Relationship Id="rId7" Type="http://schemas.openxmlformats.org/officeDocument/2006/relationships/hyperlink" Target="http://pdf.dfcfw.com/pdf/H2_AN201609250017732097_1.pdf" TargetMode="External"/><Relationship Id="rId2" Type="http://schemas.openxmlformats.org/officeDocument/2006/relationships/hyperlink" Target="http://pdf.dfcfw.com/pdf/H2_AN201609230017721989_1.pdf" TargetMode="External"/><Relationship Id="rId1" Type="http://schemas.openxmlformats.org/officeDocument/2006/relationships/hyperlink" Target="http://pdf.dfcfw.com/pdf/H2_AN201609130017615853_1.pdf" TargetMode="External"/><Relationship Id="rId6" Type="http://schemas.openxmlformats.org/officeDocument/2006/relationships/hyperlink" Target="http://pdf.dfcfw.com/pdf/H2_AN201609060017512520_1.pdf" TargetMode="External"/><Relationship Id="rId5" Type="http://schemas.openxmlformats.org/officeDocument/2006/relationships/hyperlink" Target="http://data.eastmoney.com/notices/detail/002746/AN201609200017683146,JUU0JUJCJTk5JUU1JTlEJTlCJUU4JTgyJUExJUU0JUJCJUJE.html" TargetMode="External"/><Relationship Id="rId10" Type="http://schemas.openxmlformats.org/officeDocument/2006/relationships/hyperlink" Target="https://notice.eastmoney.com/pdffile/web/H2_AN201609270017755081_1.pdf" TargetMode="External"/><Relationship Id="rId4" Type="http://schemas.openxmlformats.org/officeDocument/2006/relationships/hyperlink" Target="http://pdf.dfcfw.com/pdf/H2_AN201609270017755075_1.pdf" TargetMode="External"/><Relationship Id="rId9" Type="http://schemas.openxmlformats.org/officeDocument/2006/relationships/hyperlink" Target="http://pdf.dfcfw.com/pdf/H2_AN201609060017512520_1.pdf"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pdf.dfcfw.com/pdf/H2_AN201609290019986639_1.pdf" TargetMode="External"/><Relationship Id="rId3" Type="http://schemas.openxmlformats.org/officeDocument/2006/relationships/hyperlink" Target="http://pdf.dfcfw.com/pdf/H2_AN201609270017755387_1.pdf" TargetMode="External"/><Relationship Id="rId7" Type="http://schemas.openxmlformats.org/officeDocument/2006/relationships/hyperlink" Target="http://pdf.dfcfw.com/pdf/H2_AN201609260017741688_1.pdf" TargetMode="External"/><Relationship Id="rId2" Type="http://schemas.openxmlformats.org/officeDocument/2006/relationships/hyperlink" Target="http://pdf.dfcfw.com/pdf/H2_AN201609270017755605_1.pdf" TargetMode="External"/><Relationship Id="rId1" Type="http://schemas.openxmlformats.org/officeDocument/2006/relationships/hyperlink" Target="http://pdf.dfcfw.com/pdf/H2_AN201609130017615023_1.pdf" TargetMode="External"/><Relationship Id="rId6" Type="http://schemas.openxmlformats.org/officeDocument/2006/relationships/hyperlink" Target="http://pdf.dfcfw.com/pdf/H2_AN201609090017573211_1.pdf" TargetMode="External"/><Relationship Id="rId5" Type="http://schemas.openxmlformats.org/officeDocument/2006/relationships/hyperlink" Target="http://pdf.dfcfw.com/pdf/H2_AN201610100021789365_1.pdf" TargetMode="External"/><Relationship Id="rId10" Type="http://schemas.openxmlformats.org/officeDocument/2006/relationships/hyperlink" Target="http://pdf.dfcfw.com/pdf/H2_AN201609270017756122_1.pdf" TargetMode="External"/><Relationship Id="rId4" Type="http://schemas.openxmlformats.org/officeDocument/2006/relationships/hyperlink" Target="http://pdf.dfcfw.com/pdf/H2_AN201609280017953830_1.pdf" TargetMode="External"/><Relationship Id="rId9" Type="http://schemas.openxmlformats.org/officeDocument/2006/relationships/hyperlink" Target="http://pdf.dfcfw.com/pdf/H2_AN201609260017740644_1.pdf"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pdf.dfcfw.com/pdf/H2_AN201610140021860995_1.pdf" TargetMode="External"/><Relationship Id="rId3" Type="http://schemas.openxmlformats.org/officeDocument/2006/relationships/hyperlink" Target="http://data.eastmoney.com/notices/detail/601198/AN201610170021887326,JUU0JUI4JTlDJUU1JTg1JUI0JUU4JUFGJTgxJUU1JTg4JUI4.html" TargetMode="External"/><Relationship Id="rId7" Type="http://schemas.openxmlformats.org/officeDocument/2006/relationships/hyperlink" Target="http://pdf.dfcfw.com/pdf/H2_AN201610100021793220_1.pdf" TargetMode="External"/><Relationship Id="rId2" Type="http://schemas.openxmlformats.org/officeDocument/2006/relationships/hyperlink" Target="http://data.eastmoney.com/notices/detail/603077/AN201610130021838673,JUU1JTkyJThDJUU5JTgyJUE2JUU3JTk0JTlGJUU3JTg5JUE5.html" TargetMode="External"/><Relationship Id="rId1" Type="http://schemas.openxmlformats.org/officeDocument/2006/relationships/hyperlink" Target="http://pdf.dfcfw.com/pdf/H2_AN201610130021842615_1.pdf" TargetMode="External"/><Relationship Id="rId6" Type="http://schemas.openxmlformats.org/officeDocument/2006/relationships/hyperlink" Target="http://pdf.dfcfw.com/pdf/H2_AN201610110021804883_1.pdf" TargetMode="External"/><Relationship Id="rId5" Type="http://schemas.openxmlformats.org/officeDocument/2006/relationships/hyperlink" Target="http://pdf.dfcfw.com/pdf/H2_AN201610110021804309_1.pdf" TargetMode="External"/><Relationship Id="rId10" Type="http://schemas.openxmlformats.org/officeDocument/2006/relationships/hyperlink" Target="http://pdf.dfcfw.com/pdf/H2_AN201610120021829005_1.pdf" TargetMode="External"/><Relationship Id="rId4" Type="http://schemas.openxmlformats.org/officeDocument/2006/relationships/hyperlink" Target="http://pdf.dfcfw.com/pdf/H2_AN201610100021790351_1.pdf" TargetMode="External"/><Relationship Id="rId9" Type="http://schemas.openxmlformats.org/officeDocument/2006/relationships/hyperlink" Target="http://pdf.dfcfw.com/pdf/H2_AN201610120021827689_1.pdf"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pdf.dfcfw.com/pdf/H2_AN201610190021926690_1.pdf" TargetMode="External"/><Relationship Id="rId3" Type="http://schemas.openxmlformats.org/officeDocument/2006/relationships/hyperlink" Target="http://pdf.dfcfw.com/pdf/H2_AN201610130021842518_1.pdf" TargetMode="External"/><Relationship Id="rId7" Type="http://schemas.openxmlformats.org/officeDocument/2006/relationships/hyperlink" Target="http://pdf.dfcfw.com/pdf/H2_AN201610180021906800_1.pdf" TargetMode="External"/><Relationship Id="rId2" Type="http://schemas.openxmlformats.org/officeDocument/2006/relationships/hyperlink" Target="http://pdf.dfcfw.com/pdf/H2_AN201609260017740522_1.pdf" TargetMode="External"/><Relationship Id="rId1" Type="http://schemas.openxmlformats.org/officeDocument/2006/relationships/hyperlink" Target="http://pdf.dfcfw.com/pdf/H2_AN201610130021841505_1.pdf" TargetMode="External"/><Relationship Id="rId6" Type="http://schemas.openxmlformats.org/officeDocument/2006/relationships/hyperlink" Target="http://pdf.dfcfw.com/pdf/H2_AN201610120021826883_1.pdf" TargetMode="External"/><Relationship Id="rId5" Type="http://schemas.openxmlformats.org/officeDocument/2006/relationships/hyperlink" Target="http://pdf.dfcfw.com/pdf/H2_AN201610170021883073_1.pdf" TargetMode="External"/><Relationship Id="rId10" Type="http://schemas.openxmlformats.org/officeDocument/2006/relationships/hyperlink" Target="http://pdf.dfcfw.com/pdf/H2_AN201610250024633930_1.pdf" TargetMode="External"/><Relationship Id="rId4" Type="http://schemas.openxmlformats.org/officeDocument/2006/relationships/hyperlink" Target="http://pdf.dfcfw.com/pdf/H2_AN201610210021960284_1.pdf" TargetMode="External"/><Relationship Id="rId9" Type="http://schemas.openxmlformats.org/officeDocument/2006/relationships/hyperlink" Target="http://pdf.dfcfw.com/pdf/H2_AN201610180021906981_1.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pdf.dfcfw.com/pdf/H2_AN201610270031027129_1.pdf" TargetMode="External"/><Relationship Id="rId3" Type="http://schemas.openxmlformats.org/officeDocument/2006/relationships/hyperlink" Target="http://pdf.dfcfw.com/pdf/H2_AN201610240022291003_1.pdf" TargetMode="External"/><Relationship Id="rId7" Type="http://schemas.openxmlformats.org/officeDocument/2006/relationships/hyperlink" Target="http://pdf.dfcfw.com/pdf/H2_AN201610100021791228_1.pdf" TargetMode="External"/><Relationship Id="rId2" Type="http://schemas.openxmlformats.org/officeDocument/2006/relationships/hyperlink" Target="http://pdf.dfcfw.com/pdf/H2_AN201610200021943640_1.pdf" TargetMode="External"/><Relationship Id="rId1" Type="http://schemas.openxmlformats.org/officeDocument/2006/relationships/hyperlink" Target="http://pdf.dfcfw.com/pdf/H2_AN201610200021946764_1.pdf" TargetMode="External"/><Relationship Id="rId6" Type="http://schemas.openxmlformats.org/officeDocument/2006/relationships/hyperlink" Target="http://pdf.dfcfw.com/pdf/H2_AN201610260027378690_1.pdf" TargetMode="External"/><Relationship Id="rId5" Type="http://schemas.openxmlformats.org/officeDocument/2006/relationships/hyperlink" Target="http://pdf.dfcfw.com/pdf/H2_AN201610240022322095_1.pdf" TargetMode="External"/><Relationship Id="rId10" Type="http://schemas.openxmlformats.org/officeDocument/2006/relationships/hyperlink" Target="http://pdf.dfcfw.com/pdf/H2_AN201610310042233218_1.pdf" TargetMode="External"/><Relationship Id="rId4" Type="http://schemas.openxmlformats.org/officeDocument/2006/relationships/hyperlink" Target="http://pdf.dfcfw.com/pdf/H2_AN201610120021826888_1.pdf" TargetMode="External"/><Relationship Id="rId9" Type="http://schemas.openxmlformats.org/officeDocument/2006/relationships/hyperlink" Target="http://pdf.dfcfw.com/pdf/H2_AN201610160021869938_1.pdf"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pdf.dfcfw.com/pdf/H2_AN201611080074305104_1.pdf" TargetMode="External"/><Relationship Id="rId3" Type="http://schemas.openxmlformats.org/officeDocument/2006/relationships/hyperlink" Target="http://pdf.dfcfw.com/pdf/H2_AN201611010045037778_1.pdf" TargetMode="External"/><Relationship Id="rId7" Type="http://schemas.openxmlformats.org/officeDocument/2006/relationships/hyperlink" Target="http://pdf.dfcfw.com/pdf/H2_AN201611110086069003_1.pdf" TargetMode="External"/><Relationship Id="rId2" Type="http://schemas.openxmlformats.org/officeDocument/2006/relationships/hyperlink" Target="http://pdf.dfcfw.com/pdf/H2_AN201609290019911886_1.pdf" TargetMode="External"/><Relationship Id="rId1" Type="http://schemas.openxmlformats.org/officeDocument/2006/relationships/hyperlink" Target="http://pdf.dfcfw.com/pdf/H2_AN201610310042211572_1.pdf" TargetMode="External"/><Relationship Id="rId6" Type="http://schemas.openxmlformats.org/officeDocument/2006/relationships/hyperlink" Target="http://pdf.dfcfw.com/pdf/H2_AN201611020049571784_1.pdf" TargetMode="External"/><Relationship Id="rId5" Type="http://schemas.openxmlformats.org/officeDocument/2006/relationships/hyperlink" Target="http://pdf.dfcfw.com/pdf/H2_AN201611070072303440_1.pdf" TargetMode="External"/><Relationship Id="rId10" Type="http://schemas.openxmlformats.org/officeDocument/2006/relationships/hyperlink" Target="http://pdf.dfcfw.com/pdf/H2_AN201611090077040486_1.pdf" TargetMode="External"/><Relationship Id="rId4" Type="http://schemas.openxmlformats.org/officeDocument/2006/relationships/hyperlink" Target="http://pdf.dfcfw.com/pdf/H2_AN201611010045108251_1.pdf" TargetMode="External"/><Relationship Id="rId9" Type="http://schemas.openxmlformats.org/officeDocument/2006/relationships/hyperlink" Target="http://pdf.dfcfw.com/pdf/H2_AN201610280034178207_1.pdf"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pdf.dfcfw.com/pdf/H2_AN201611100080908890_1.pdf" TargetMode="External"/><Relationship Id="rId2" Type="http://schemas.openxmlformats.org/officeDocument/2006/relationships/hyperlink" Target="http://pdf.dfcfw.com/pdf/H2_AN201611090077205902_1.pdf" TargetMode="External"/><Relationship Id="rId1" Type="http://schemas.openxmlformats.org/officeDocument/2006/relationships/hyperlink" Target="http://pdf.dfcfw.com/pdf/H2_AN201611080074075476_1.pdf" TargetMode="External"/><Relationship Id="rId5" Type="http://schemas.openxmlformats.org/officeDocument/2006/relationships/hyperlink" Target="http://pdf.dfcfw.com/pdf/H2_AN201611100081072868_1.pdf" TargetMode="External"/><Relationship Id="rId4" Type="http://schemas.openxmlformats.org/officeDocument/2006/relationships/hyperlink" Target="http://pdf.dfcfw.com/pdf/H2_AN201611100081434864_1.pdf"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data.eastmoney.com/notices/detail/000807/AN201611170106761478,JUU0JUJBJTkxJUU5JTkzJTlEJUU4JTgyJUExJUU0JUJCJUJE.html" TargetMode="External"/><Relationship Id="rId3" Type="http://schemas.openxmlformats.org/officeDocument/2006/relationships/hyperlink" Target="http://pdf.dfcfw.com/pdf/H2_AN201611140096756718_1.pdf" TargetMode="External"/><Relationship Id="rId7" Type="http://schemas.openxmlformats.org/officeDocument/2006/relationships/hyperlink" Target="http://data.eastmoney.com/notices/detail/300367/AN201611170106709559,JUU0JUI4JTlDJUU2JTk2JUI5JUU3JUJEJTkxJUU1JThBJTlC.html" TargetMode="External"/><Relationship Id="rId2" Type="http://schemas.openxmlformats.org/officeDocument/2006/relationships/hyperlink" Target="http://data.eastmoney.com/notices/detail/002239/AN201611140096560826,JUU1JUE1JUE1JUU3JTg5JUI5JUU0JUJEJUIz.html" TargetMode="External"/><Relationship Id="rId1" Type="http://schemas.openxmlformats.org/officeDocument/2006/relationships/hyperlink" Target="http://data.eastmoney.com/notices/detail/300352/AN201611020049200720,JUU1JThDJTk3JUU0JUJGJUExJUU2JUJBJTkw.html" TargetMode="External"/><Relationship Id="rId6" Type="http://schemas.openxmlformats.org/officeDocument/2006/relationships/hyperlink" Target="http://pdf.dfcfw.com/pdf/H2_AN201610260027558319_1.pdf" TargetMode="External"/><Relationship Id="rId11" Type="http://schemas.openxmlformats.org/officeDocument/2006/relationships/printerSettings" Target="../printerSettings/printerSettings1.bin"/><Relationship Id="rId5" Type="http://schemas.openxmlformats.org/officeDocument/2006/relationships/hyperlink" Target="http://pdf.dfcfw.com/pdf/H2_AN201611160102707184_1.pdf" TargetMode="External"/><Relationship Id="rId10" Type="http://schemas.openxmlformats.org/officeDocument/2006/relationships/hyperlink" Target="http://data.eastmoney.com/notices/detail/002108/AN201611170106698762,JUU2JUIyJUE3JUU1JUI3JTlFJUU2JTk4JThFJUU3JThGJUEw.html" TargetMode="External"/><Relationship Id="rId4" Type="http://schemas.openxmlformats.org/officeDocument/2006/relationships/hyperlink" Target="http://data.eastmoney.com/notices/detail/002235/AN201611150099253049,JUU1JUFFJTg5JUU1JUE2JUFFJUU4JTgyJUExJUU0JUJCJUJE.html" TargetMode="External"/><Relationship Id="rId9" Type="http://schemas.openxmlformats.org/officeDocument/2006/relationships/hyperlink" Target="http://data.eastmoney.com/notices/detail/002776/AN201611170106970772,JUU2JTlGJThGJUU1JUEwJUExJUU5JUJFJTk5.html"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data.eastmoney.com/notices/detail/603555/AN201612080170646733,JUU4JUI0JUI1JUU0JUJBJUJBJUU5JUI4JTlG.html" TargetMode="External"/><Relationship Id="rId3" Type="http://schemas.openxmlformats.org/officeDocument/2006/relationships/hyperlink" Target="http://data.eastmoney.com/notices/detail/000939/AN201611300139862445,KlNUJUU1JTg3JUFGJUU4JUJGJUFB.html" TargetMode="External"/><Relationship Id="rId7" Type="http://schemas.openxmlformats.org/officeDocument/2006/relationships/hyperlink" Target="http://data.eastmoney.com/notices/detail/600114/AN201612080170727649,JUU0JUI4JTlDJUU3JTlEJUE2JUU4JTgyJUExJUU0JUJCJUJE.html" TargetMode="External"/><Relationship Id="rId2" Type="http://schemas.openxmlformats.org/officeDocument/2006/relationships/hyperlink" Target="http://data.eastmoney.com/notices/detail/002675/AN201611280134901557,JUU0JUI4JTlDJUU4JUFGJTlBJUU4JThEJUFGJUU0JUI4JTlB.html" TargetMode="External"/><Relationship Id="rId1" Type="http://schemas.openxmlformats.org/officeDocument/2006/relationships/hyperlink" Target="http://data.eastmoney.com/notices/detail/002605/AN201611220120854698,JUU1JUE3JTlBJUU4JUFFJUIwJUU3JUE3JTkxJUU2JThBJTgw.html" TargetMode="External"/><Relationship Id="rId6" Type="http://schemas.openxmlformats.org/officeDocument/2006/relationships/hyperlink" Target="http://data.eastmoney.com/notices/detail/002669/AN201612040158525214,JUU1JUJBJUI3JUU4JUJFJUJFJUU2JTk2JUIwJUU2JTlEJTkw.html" TargetMode="External"/><Relationship Id="rId5" Type="http://schemas.openxmlformats.org/officeDocument/2006/relationships/hyperlink" Target="http://data.eastmoney.com/notices/detail/300247/AN201612020148414678,JUU4JTlFJThEJUU2JThEJUI3JUU1JTgxJUE1JUU1JUJBJUI3.html" TargetMode="External"/><Relationship Id="rId10" Type="http://schemas.openxmlformats.org/officeDocument/2006/relationships/printerSettings" Target="../printerSettings/printerSettings2.bin"/><Relationship Id="rId4" Type="http://schemas.openxmlformats.org/officeDocument/2006/relationships/hyperlink" Target="http://data.eastmoney.com/notices/detail/300324/AN201611230123509052,JUU2JTk3JThCJUU2JTlFJTgxJUU0JUJGJUExJUU2JTgxJUFG.html" TargetMode="External"/><Relationship Id="rId9" Type="http://schemas.openxmlformats.org/officeDocument/2006/relationships/hyperlink" Target="http://data.eastmoney.com/notices/detail/300053/AN201612060162823875,JUU2JUFDJUE3JUU2JUFGJTk0JUU3JTg5JUI5.html"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data.eastmoney.com/notices/detail/601000/AN201612190200334268,JUU1JTk0JTkwJUU1JUIxJUIxJUU2JUI4JUFG.html" TargetMode="External"/><Relationship Id="rId3" Type="http://schemas.openxmlformats.org/officeDocument/2006/relationships/hyperlink" Target="http://data.eastmoney.com/notices/detail/300248/AN201611290136669273,JUU2JTk2JUIwJUU1JUJDJTgwJUU2JTk5JUFF.html" TargetMode="External"/><Relationship Id="rId7" Type="http://schemas.openxmlformats.org/officeDocument/2006/relationships/hyperlink" Target="http://data.eastmoney.com/notices/detail/600531/AN201612190200398041,JUU4JUIxJUFCJUU1JTg1JTg5JUU5JTg3JTkxJUU5JTkzJTg1.html" TargetMode="External"/><Relationship Id="rId2" Type="http://schemas.openxmlformats.org/officeDocument/2006/relationships/hyperlink" Target="http://data.eastmoney.com/notices/detail/002251/AN201612060162790047,JUU2JUFEJUE1JTIwJUU2JUFEJUE1JTIwJUU5JUFCJTk4.html" TargetMode="External"/><Relationship Id="rId1" Type="http://schemas.openxmlformats.org/officeDocument/2006/relationships/hyperlink" Target="http://data.eastmoney.com/notices/detail/600072/AN201612080171150312,JUU0JUI4JUFEJUU4JTg4JUI5JUU3JUE3JTkxJUU2JThBJTgw.html" TargetMode="External"/><Relationship Id="rId6" Type="http://schemas.openxmlformats.org/officeDocument/2006/relationships/hyperlink" Target="http://data.eastmoney.com/notices/detail/002568/AN201612140186310498,JUU3JTk5JUJFJUU2JUI2JUE2JUU4JTgyJUExJUU0JUJCJUJE.html" TargetMode="External"/><Relationship Id="rId5" Type="http://schemas.openxmlformats.org/officeDocument/2006/relationships/hyperlink" Target="http://data.eastmoney.com/notices/detail/600633/AN201612200202558405,JUU2JUI1JTk5JUU2JTk1JUIwJUU2JTk2JTg3JUU1JThDJTk2.html" TargetMode="External"/><Relationship Id="rId10" Type="http://schemas.openxmlformats.org/officeDocument/2006/relationships/hyperlink" Target="http://data.eastmoney.com/notices/detail/000903/AN201612190200519679,JUU0JUJBJTkxJUU1JTg2JTg1JUU1JThBJUE4JUU1JThBJTlC.html" TargetMode="External"/><Relationship Id="rId4" Type="http://schemas.openxmlformats.org/officeDocument/2006/relationships/hyperlink" Target="http://data.eastmoney.com/notices/detail/300366/AN201612080171009373,JUU1JTg4JTlCJUU2JTg0JThGJUU0JUJGJUExJUU2JTgxJUFG.html" TargetMode="External"/><Relationship Id="rId9" Type="http://schemas.openxmlformats.org/officeDocument/2006/relationships/hyperlink" Target="http://data.eastmoney.com/notices/detail/600771/AN201612220209211677,JUU1JUI5JUJGJUU4JUFBJTg5JUU4JUJGJTlD.html"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data.eastmoney.com/notices/detail/000065/AN201612260219283883,JUU1JThDJTk3JUU2JTk2JUI5JUU1JTlCJUJEJUU5JTk5JTg1.html" TargetMode="External"/><Relationship Id="rId3" Type="http://schemas.openxmlformats.org/officeDocument/2006/relationships/hyperlink" Target="http://data.eastmoney.com/notices/detail/300349/AN201612190200343470,JUU5JTg3JTkxJUU1JThEJUExJUU2JTk5JUJBJUU4JTgzJUJE.html" TargetMode="External"/><Relationship Id="rId7" Type="http://schemas.openxmlformats.org/officeDocument/2006/relationships/hyperlink" Target="http://data.eastmoney.com/notices/detail/300319/AN201612190200345334,JUU5JUJBJUE2JUU2JThEJUI3JUU3JUE3JTkxJUU2JThBJTgw.html" TargetMode="External"/><Relationship Id="rId2" Type="http://schemas.openxmlformats.org/officeDocument/2006/relationships/hyperlink" Target="http://data.eastmoney.com/notices/detail/600169/AN201612210205557493,JUU1JUE0JUFBJUU1JThFJTlGJUU5JTg3JThEJUU1JUI3JUE1.html" TargetMode="External"/><Relationship Id="rId1" Type="http://schemas.openxmlformats.org/officeDocument/2006/relationships/hyperlink" Target="http://pdf.dfcfw.com/pdf/H2_AN201612220209308937_1.pdf" TargetMode="External"/><Relationship Id="rId6" Type="http://schemas.openxmlformats.org/officeDocument/2006/relationships/hyperlink" Target="http://data.eastmoney.com/notices/detail/300495/AN201612230212978647,JUU3JUJFJThFJUU1JUIwJTlBJUU3JTk0JTlGJUU2JTgwJTgx.html" TargetMode="External"/><Relationship Id="rId5" Type="http://schemas.openxmlformats.org/officeDocument/2006/relationships/hyperlink" Target="http://data.eastmoney.com/notices/detail/002717/AN201612220209034343,JUU1JUIyJUFEJUU1JThEJTk3JUU4JTgyJUExJUU0JUJCJUJE.html" TargetMode="External"/><Relationship Id="rId10" Type="http://schemas.openxmlformats.org/officeDocument/2006/relationships/hyperlink" Target="http://data.eastmoney.com/notices/detail/600438/AN201612290220403677,JUU5JTgwJTlBJUU1JUE4JTgxJUU4JTgyJUExJUU0JUJCJUJE.html" TargetMode="External"/><Relationship Id="rId4" Type="http://schemas.openxmlformats.org/officeDocument/2006/relationships/hyperlink" Target="http://data.eastmoney.com/notices/detail/002344/AN201612210205983381,JUU2JUI1JUI3JUU1JUFFJTgxJUU3JTlBJUFFJUU1JTlGJThF.html" TargetMode="External"/><Relationship Id="rId9" Type="http://schemas.openxmlformats.org/officeDocument/2006/relationships/hyperlink" Target="http://data.eastmoney.com/notices/detail/002770/AN201612260219282605,JUU3JUE3JTkxJUU4JUJGJUFBJUU0JUI5JUIzJUU0JUI4JTlB.html"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data.eastmoney.com/notices/detail/002093/AN201701030233236914,JUU1JTlCJUJEJUU4JTg0JTg5JUU3JUE3JTkxJUU2JThBJTgw.html" TargetMode="External"/><Relationship Id="rId3" Type="http://schemas.openxmlformats.org/officeDocument/2006/relationships/hyperlink" Target="http://data.eastmoney.com/notices/detail/000555/AN201612270219310225,JUU3JUE1JTlFJUU1JUI3JTlFJUU0JUJGJUExJUU2JTgxJUFG.html" TargetMode="External"/><Relationship Id="rId7" Type="http://schemas.openxmlformats.org/officeDocument/2006/relationships/hyperlink" Target="http://data.eastmoney.com/notices/detail/000426/AN201701040236901657,JUU1JTg1JUI0JUU0JUI4JTlBJUU3JTlGJUJGJUU0JUI4JTlB.html" TargetMode="External"/><Relationship Id="rId2" Type="http://schemas.openxmlformats.org/officeDocument/2006/relationships/hyperlink" Target="http://data.eastmoney.com/notices/detail/600336/AN201612300223567981,JUU2JUJFJUIzJUU2JTlGJUFGJUU3JThFJTlC.html" TargetMode="External"/><Relationship Id="rId1" Type="http://schemas.openxmlformats.org/officeDocument/2006/relationships/hyperlink" Target="http://pdf.dfcfw.com/pdf/H2_AN201701030233247340_1.pdf" TargetMode="External"/><Relationship Id="rId6" Type="http://schemas.openxmlformats.org/officeDocument/2006/relationships/hyperlink" Target="http://data.eastmoney.com/notices/detail/601618/AN201701100256474708,JUU0JUI4JUFEJUU1JTlCJUJEJUU0JUI4JUFEJUU1JTg2JUI2.html" TargetMode="External"/><Relationship Id="rId5" Type="http://schemas.openxmlformats.org/officeDocument/2006/relationships/hyperlink" Target="http://data.eastmoney.com/notices/detail/600699/AN201701050242383504,JUU1JTlEJTg3JUU4JTgzJTlDJUU3JTk0JUI1JUU1JUFEJTkw.html" TargetMode="External"/><Relationship Id="rId10" Type="http://schemas.openxmlformats.org/officeDocument/2006/relationships/hyperlink" Target="http://data.eastmoney.com/notices/detail/600258/AN201701090254831449,JUU5JUE2JTk2JUU2JTk3JTg1JUU5JTg1JTkyJUU1JUJBJTk3.html" TargetMode="External"/><Relationship Id="rId4" Type="http://schemas.openxmlformats.org/officeDocument/2006/relationships/hyperlink" Target="http://data.eastmoney.com/notices/detail/000875/AN201612300223477895,JUU1JTkwJTg5JUU3JTk0JUI1JUU4JTgyJUExJUU0JUJCJUJE.html" TargetMode="External"/><Relationship Id="rId9" Type="http://schemas.openxmlformats.org/officeDocument/2006/relationships/hyperlink" Target="http://data.eastmoney.com/notices/detail/002157/AN201701080253951358,JUU2JUFEJUEzJUU5JTgyJUE2JUU3JUE3JTkxJUU2JThBJTgw.html"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data.eastmoney.com/notices/detail/600104/AN201701200282570940,JUU0JUI4JThBJUU2JUIxJUJEJUU5JTlCJTg2JUU1JTlCJUEy.html" TargetMode="External"/><Relationship Id="rId3" Type="http://schemas.openxmlformats.org/officeDocument/2006/relationships/hyperlink" Target="http://data.eastmoney.com/notices/detail/600309/AN201701170273850641,JUU0JUI4JTg3JUU1JThEJThFJUU1JThDJTk2JUU1JUFEJUE2.html" TargetMode="External"/><Relationship Id="rId7" Type="http://schemas.openxmlformats.org/officeDocument/2006/relationships/hyperlink" Target="http://data.eastmoney.com/notices/detail/000862/AN201701160272025633,JUU5JTkzJUI2JUU2JTk4JTlGJUU4JTgzJUJEJUU2JUJBJTkw.html" TargetMode="External"/><Relationship Id="rId2" Type="http://schemas.openxmlformats.org/officeDocument/2006/relationships/hyperlink" Target="http://data.eastmoney.com/notices/detail/000851/AN201701090254850625,JUU5JUFCJTk4JUU5JUI4JUJGJUU4JTgyJUExJUU0JUJCJUJE.html" TargetMode="External"/><Relationship Id="rId1" Type="http://schemas.openxmlformats.org/officeDocument/2006/relationships/hyperlink" Target="http://data.eastmoney.com/notices/detail/002217/AN201701090254868812,JUU1JTkwJTg4JUU1JThBJTlCJUU2JUIzJUIw.html" TargetMode="External"/><Relationship Id="rId6" Type="http://schemas.openxmlformats.org/officeDocument/2006/relationships/hyperlink" Target="http://data.eastmoney.com/notices/detail/002250/AN201701160272035028,JUU4JTgxJTk0JUU1JThDJTk2JUU3JUE3JTkxJUU2JThBJTgw.html" TargetMode="External"/><Relationship Id="rId5" Type="http://schemas.openxmlformats.org/officeDocument/2006/relationships/hyperlink" Target="http://data.eastmoney.com/notices/detail/300425/AN201612300223544483,JUU0JUI4JUFEJUU1JUJCJUJBJUU3JThFJUFGJUU4JTgzJUJE.html" TargetMode="External"/><Relationship Id="rId10" Type="http://schemas.openxmlformats.org/officeDocument/2006/relationships/hyperlink" Target="http://data.eastmoney.com/notices/detail/300099/AN201612270219305795,JUU3JUIyJUJFJUU1JTg3JTg2JUU0JUJGJUExJUU2JTgxJUFG.html" TargetMode="External"/><Relationship Id="rId4" Type="http://schemas.openxmlformats.org/officeDocument/2006/relationships/hyperlink" Target="http://data.eastmoney.com/notices/detail/000909/AN201701120262561904,JUU2JTk1JUIwJUU2JUJBJTkwJUU3JUE3JTkxJUU2JThBJTgw.html" TargetMode="External"/><Relationship Id="rId9" Type="http://schemas.openxmlformats.org/officeDocument/2006/relationships/hyperlink" Target="http://data.eastmoney.com/notices/detail/002040/AN201612300223637246,JUU1JThEJTk3JTIwJUU0JUJBJUFDJTIwJUU2JUI4JUFG.html"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data.eastmoney.com/notices/detail/002501/AN201701190279680834,KlNUJUU1JTg4JUE5JUU2JUJBJTkw.html" TargetMode="External"/><Relationship Id="rId7" Type="http://schemas.openxmlformats.org/officeDocument/2006/relationships/hyperlink" Target="http://data.eastmoney.com/notices/detail/600967/AN201702090331666594,JUU1JTg2JTg1JUU4JTkyJTk5JUU0JUI4JTgwJUU2JTlDJUJB.html" TargetMode="External"/><Relationship Id="rId2" Type="http://schemas.openxmlformats.org/officeDocument/2006/relationships/hyperlink" Target="http://data.eastmoney.com/notices/detail/000767/AN201701190279656871,JUU2JUJDJUIzJUU2JUIzJUJEJUU3JTk0JUI1JUU1JThBJTlC.html" TargetMode="External"/><Relationship Id="rId1" Type="http://schemas.openxmlformats.org/officeDocument/2006/relationships/hyperlink" Target="http://data.eastmoney.com/notices/detail/002171/AN201701180276278201,JUU2JUE1JTlBJUU2JUIxJTlGJUU2JTk2JUIwJUU2JTlEJTkw.html" TargetMode="External"/><Relationship Id="rId6" Type="http://schemas.openxmlformats.org/officeDocument/2006/relationships/hyperlink" Target="http://data.eastmoney.com/notices/detail/000519/AN201701240290159762,JUU0JUI4JUFEJUU1JTg1JUI1JUU3JUJBJUEyJUU3JUFFJUFE.html" TargetMode="External"/><Relationship Id="rId5" Type="http://schemas.openxmlformats.org/officeDocument/2006/relationships/hyperlink" Target="http://data.eastmoney.com/notices/detail/300161/AN201701200282675286,JUU1JThEJThFJUU0JUI4JUFEJUU2JTk1JUIwJUU2JThFJUE3.html" TargetMode="External"/><Relationship Id="rId4" Type="http://schemas.openxmlformats.org/officeDocument/2006/relationships/hyperlink" Target="http://data.eastmoney.com/notices/detail/300003/AN201612280219680813,JUU0JUI5JTkwJUU2JTk5JUFFJUU1JThDJUJCJUU3JTk2JTk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5"/>
  <sheetViews>
    <sheetView tabSelected="1" workbookViewId="0">
      <pane xSplit="2" ySplit="1" topLeftCell="C2" activePane="bottomRight" state="frozen"/>
      <selection pane="topRight"/>
      <selection pane="bottomLeft"/>
      <selection pane="bottomRight" sqref="A1:XFD1"/>
    </sheetView>
  </sheetViews>
  <sheetFormatPr defaultColWidth="10.83203125" defaultRowHeight="14"/>
  <cols>
    <col min="1" max="1" width="4.83203125" style="484" customWidth="1"/>
    <col min="2" max="2" width="10.33203125" style="1429" customWidth="1"/>
    <col min="3" max="3" width="12" style="1430" customWidth="1"/>
    <col min="4" max="5" width="15" style="484" bestFit="1" customWidth="1"/>
    <col min="6" max="6" width="29.5" style="28" customWidth="1"/>
    <col min="7" max="7" width="13" style="484" bestFit="1" customWidth="1"/>
    <col min="8" max="8" width="9.33203125" style="1443" bestFit="1" customWidth="1"/>
    <col min="9" max="11" width="9.33203125" style="484" bestFit="1" customWidth="1"/>
    <col min="12" max="12" width="13" style="484" bestFit="1" customWidth="1"/>
    <col min="13" max="13" width="12.33203125" style="484" customWidth="1"/>
    <col min="14" max="14" width="10.33203125" style="484" customWidth="1"/>
    <col min="15" max="16384" width="10.83203125" style="24"/>
  </cols>
  <sheetData>
    <row r="1" spans="1:14" s="1421" customFormat="1">
      <c r="A1" s="1415" t="s">
        <v>118</v>
      </c>
      <c r="B1" s="1415" t="s">
        <v>107</v>
      </c>
      <c r="C1" s="1416" t="s">
        <v>4</v>
      </c>
      <c r="D1" s="1417" t="s">
        <v>3915</v>
      </c>
      <c r="E1" s="1418" t="s">
        <v>109</v>
      </c>
      <c r="F1" s="1417" t="s">
        <v>3916</v>
      </c>
      <c r="G1" s="1416" t="s">
        <v>3917</v>
      </c>
      <c r="H1" s="1439" t="s">
        <v>110</v>
      </c>
      <c r="I1" s="1415" t="s">
        <v>276</v>
      </c>
      <c r="J1" s="1416" t="s">
        <v>3918</v>
      </c>
      <c r="K1" s="1419" t="s">
        <v>275</v>
      </c>
      <c r="L1" s="1415" t="s">
        <v>111</v>
      </c>
      <c r="M1" s="1420" t="s">
        <v>3919</v>
      </c>
      <c r="N1" s="1419" t="s">
        <v>129</v>
      </c>
    </row>
    <row r="2" spans="1:14">
      <c r="A2" s="484">
        <v>1</v>
      </c>
      <c r="B2" s="1422" t="s">
        <v>55</v>
      </c>
      <c r="C2" s="1403" t="s">
        <v>3920</v>
      </c>
      <c r="D2" s="1423">
        <v>48</v>
      </c>
      <c r="E2" s="1423">
        <v>35.4</v>
      </c>
      <c r="F2" s="1424" t="s">
        <v>4217</v>
      </c>
      <c r="G2" s="1431">
        <v>13.07</v>
      </c>
      <c r="H2" s="1440">
        <v>11.5</v>
      </c>
      <c r="I2" s="1423">
        <f t="shared" ref="I2:I61" si="0">H2/G2</f>
        <v>0.87987758224942614</v>
      </c>
      <c r="J2" s="1423">
        <v>11.8</v>
      </c>
      <c r="K2" s="21">
        <f t="shared" ref="K2:K61" si="1">J2/G2</f>
        <v>0.90283091048201991</v>
      </c>
      <c r="L2" s="808">
        <v>9</v>
      </c>
      <c r="M2" s="463">
        <v>42755</v>
      </c>
      <c r="N2" s="1313">
        <v>1.1144067796610169</v>
      </c>
    </row>
    <row r="3" spans="1:14">
      <c r="A3" s="1472">
        <v>2</v>
      </c>
      <c r="B3" s="1422" t="s">
        <v>19</v>
      </c>
      <c r="C3" s="1403" t="s">
        <v>3922</v>
      </c>
      <c r="D3" s="1423">
        <v>70</v>
      </c>
      <c r="E3" s="1423">
        <v>69.999999965599997</v>
      </c>
      <c r="F3" s="1424" t="s">
        <v>3923</v>
      </c>
      <c r="G3" s="1431">
        <v>28.1</v>
      </c>
      <c r="H3" s="1440">
        <v>20.48</v>
      </c>
      <c r="I3" s="1423">
        <f t="shared" si="0"/>
        <v>0.72882562277580065</v>
      </c>
      <c r="J3" s="1423">
        <v>22.64</v>
      </c>
      <c r="K3" s="21">
        <f t="shared" si="1"/>
        <v>0.80569395017793588</v>
      </c>
      <c r="L3" s="808">
        <v>9</v>
      </c>
      <c r="M3" s="463">
        <v>42758</v>
      </c>
      <c r="N3" s="1313">
        <v>1.0808303886925794</v>
      </c>
    </row>
    <row r="4" spans="1:14">
      <c r="A4" s="1472">
        <v>3</v>
      </c>
      <c r="B4" s="1422" t="s">
        <v>59</v>
      </c>
      <c r="C4" s="1403" t="s">
        <v>3924</v>
      </c>
      <c r="D4" s="1423">
        <v>11</v>
      </c>
      <c r="E4" s="1423">
        <v>10.999999884499999</v>
      </c>
      <c r="F4" s="1424" t="s">
        <v>3925</v>
      </c>
      <c r="G4" s="1431">
        <v>15.83</v>
      </c>
      <c r="H4" s="1440">
        <v>12.75</v>
      </c>
      <c r="I4" s="1423">
        <f t="shared" si="0"/>
        <v>0.80543272267845867</v>
      </c>
      <c r="J4" s="1423">
        <v>13.01</v>
      </c>
      <c r="K4" s="21">
        <f t="shared" si="1"/>
        <v>0.82185723310170555</v>
      </c>
      <c r="L4" s="808">
        <v>8</v>
      </c>
      <c r="M4" s="463">
        <v>42760</v>
      </c>
      <c r="N4" s="1313">
        <v>0.93089930822444267</v>
      </c>
    </row>
    <row r="5" spans="1:14">
      <c r="A5" s="1472">
        <v>4</v>
      </c>
      <c r="B5" s="1422" t="s">
        <v>83</v>
      </c>
      <c r="C5" s="1403" t="s">
        <v>3926</v>
      </c>
      <c r="D5" s="1423">
        <v>10</v>
      </c>
      <c r="E5" s="1423">
        <v>9.9999999935999995</v>
      </c>
      <c r="F5" s="1424" t="s">
        <v>3927</v>
      </c>
      <c r="G5" s="1431">
        <v>25.28</v>
      </c>
      <c r="H5" s="1440">
        <v>17.57</v>
      </c>
      <c r="I5" s="1423">
        <f t="shared" si="0"/>
        <v>0.69501582278481011</v>
      </c>
      <c r="J5" s="1423">
        <v>25.28</v>
      </c>
      <c r="K5" s="21">
        <f t="shared" si="1"/>
        <v>1</v>
      </c>
      <c r="L5" s="808">
        <v>8</v>
      </c>
      <c r="M5" s="463">
        <v>42769</v>
      </c>
      <c r="N5" s="1313">
        <v>0.826740506329114</v>
      </c>
    </row>
    <row r="6" spans="1:14">
      <c r="A6" s="1472">
        <v>5</v>
      </c>
      <c r="B6" s="1422" t="s">
        <v>31</v>
      </c>
      <c r="C6" s="1403" t="s">
        <v>3928</v>
      </c>
      <c r="D6" s="1423">
        <v>57.5</v>
      </c>
      <c r="E6" s="1423">
        <v>57.49999992</v>
      </c>
      <c r="F6" s="1424" t="s">
        <v>3921</v>
      </c>
      <c r="G6" s="1431">
        <v>10.27</v>
      </c>
      <c r="H6" s="1440">
        <v>8.73</v>
      </c>
      <c r="I6" s="1423">
        <f t="shared" si="0"/>
        <v>0.85004868549172352</v>
      </c>
      <c r="J6" s="1423">
        <v>9</v>
      </c>
      <c r="K6" s="21">
        <f t="shared" si="1"/>
        <v>0.87633885102239539</v>
      </c>
      <c r="L6" s="808">
        <v>9</v>
      </c>
      <c r="M6" s="463">
        <v>42776</v>
      </c>
      <c r="N6" s="1313">
        <v>1.0544444444444445</v>
      </c>
    </row>
    <row r="7" spans="1:14">
      <c r="A7" s="1472">
        <v>6</v>
      </c>
      <c r="B7" s="1422" t="s">
        <v>11</v>
      </c>
      <c r="C7" s="1403" t="s">
        <v>3929</v>
      </c>
      <c r="D7" s="1423">
        <v>2.15</v>
      </c>
      <c r="E7" s="1423">
        <v>2.1499998389999999</v>
      </c>
      <c r="F7" s="1424" t="s">
        <v>3930</v>
      </c>
      <c r="G7" s="1431">
        <v>26.48</v>
      </c>
      <c r="H7" s="1440">
        <v>6.69</v>
      </c>
      <c r="I7" s="1423">
        <f t="shared" si="0"/>
        <v>0.25264350453172207</v>
      </c>
      <c r="J7" s="1423">
        <v>18.3</v>
      </c>
      <c r="K7" s="21">
        <f t="shared" si="1"/>
        <v>0.69108761329305135</v>
      </c>
      <c r="L7" s="808">
        <v>2</v>
      </c>
      <c r="M7" s="463">
        <v>42816</v>
      </c>
      <c r="N7" s="1313">
        <v>1.3546448087431693</v>
      </c>
    </row>
    <row r="8" spans="1:14">
      <c r="A8" s="1472">
        <v>7</v>
      </c>
      <c r="B8" s="1422" t="s">
        <v>95</v>
      </c>
      <c r="C8" s="1403" t="s">
        <v>3931</v>
      </c>
      <c r="D8" s="1423">
        <v>16.7</v>
      </c>
      <c r="E8" s="1423">
        <v>16.7</v>
      </c>
      <c r="F8" s="1424" t="s">
        <v>3932</v>
      </c>
      <c r="G8" s="1431">
        <v>25.3</v>
      </c>
      <c r="H8" s="1440">
        <v>16.64</v>
      </c>
      <c r="I8" s="1423">
        <f t="shared" si="0"/>
        <v>0.6577075098814229</v>
      </c>
      <c r="J8" s="1423">
        <v>20</v>
      </c>
      <c r="K8" s="21">
        <f t="shared" si="1"/>
        <v>0.79051383399209485</v>
      </c>
      <c r="L8" s="808">
        <v>8</v>
      </c>
      <c r="M8" s="463">
        <v>42769</v>
      </c>
      <c r="N8" s="1320">
        <v>0.998</v>
      </c>
    </row>
    <row r="9" spans="1:14">
      <c r="A9" s="1472">
        <v>8</v>
      </c>
      <c r="B9" s="1422" t="s">
        <v>39</v>
      </c>
      <c r="C9" s="1403" t="s">
        <v>3933</v>
      </c>
      <c r="D9" s="1423">
        <v>7.26</v>
      </c>
      <c r="E9" s="1423">
        <v>7.2599999559999997</v>
      </c>
      <c r="F9" s="1424" t="s">
        <v>3934</v>
      </c>
      <c r="G9" s="1431">
        <v>12.9</v>
      </c>
      <c r="H9" s="1440">
        <v>8.68</v>
      </c>
      <c r="I9" s="1423">
        <f t="shared" si="0"/>
        <v>0.67286821705426347</v>
      </c>
      <c r="J9" s="1423">
        <v>9.1999999999999993</v>
      </c>
      <c r="K9" s="21">
        <f t="shared" si="1"/>
        <v>0.71317829457364335</v>
      </c>
      <c r="L9" s="808">
        <v>7</v>
      </c>
      <c r="M9" s="463">
        <v>42772</v>
      </c>
      <c r="N9" s="1313">
        <v>1.2760869565217392</v>
      </c>
    </row>
    <row r="10" spans="1:14">
      <c r="A10" s="1472">
        <v>9</v>
      </c>
      <c r="B10" s="1422" t="s">
        <v>5</v>
      </c>
      <c r="C10" s="1403" t="s">
        <v>3935</v>
      </c>
      <c r="D10" s="1423">
        <v>9.9896999999999991</v>
      </c>
      <c r="E10" s="1423">
        <v>5.1230000000000002</v>
      </c>
      <c r="F10" s="1424" t="s">
        <v>3936</v>
      </c>
      <c r="G10" s="1431">
        <v>63.5</v>
      </c>
      <c r="H10" s="1440">
        <v>51.22</v>
      </c>
      <c r="I10" s="1423">
        <f t="shared" si="0"/>
        <v>0.80661417322834639</v>
      </c>
      <c r="J10" s="1423">
        <v>51.23</v>
      </c>
      <c r="K10" s="21">
        <f t="shared" si="1"/>
        <v>0.80677165354330704</v>
      </c>
      <c r="L10" s="808">
        <v>5</v>
      </c>
      <c r="M10" s="463">
        <v>42775</v>
      </c>
      <c r="N10" s="1313">
        <v>1.2982627366777282</v>
      </c>
    </row>
    <row r="11" spans="1:14">
      <c r="A11" s="1472">
        <v>10</v>
      </c>
      <c r="B11" s="1422" t="s">
        <v>47</v>
      </c>
      <c r="C11" s="1403" t="s">
        <v>3937</v>
      </c>
      <c r="D11" s="1423">
        <v>10.3325</v>
      </c>
      <c r="E11" s="1423">
        <v>10.33248699</v>
      </c>
      <c r="F11" s="1424" t="s">
        <v>3938</v>
      </c>
      <c r="G11" s="1431">
        <v>18.989999999999998</v>
      </c>
      <c r="H11" s="1440">
        <v>15.67</v>
      </c>
      <c r="I11" s="1423">
        <f t="shared" si="0"/>
        <v>0.82517114270668779</v>
      </c>
      <c r="J11" s="1423">
        <v>16.87</v>
      </c>
      <c r="K11" s="21">
        <f t="shared" si="1"/>
        <v>0.88836229594523441</v>
      </c>
      <c r="L11" s="808">
        <v>9</v>
      </c>
      <c r="M11" s="463">
        <v>42772</v>
      </c>
      <c r="N11" s="1313">
        <v>0.89508002371072903</v>
      </c>
    </row>
    <row r="12" spans="1:14">
      <c r="A12" s="1472">
        <v>11</v>
      </c>
      <c r="B12" s="1422" t="s">
        <v>37</v>
      </c>
      <c r="C12" s="1403" t="s">
        <v>3939</v>
      </c>
      <c r="D12" s="1423">
        <v>48</v>
      </c>
      <c r="E12" s="1423">
        <v>47.999999927799998</v>
      </c>
      <c r="F12" s="1424" t="s">
        <v>3940</v>
      </c>
      <c r="G12" s="1431">
        <v>43.17</v>
      </c>
      <c r="H12" s="1440">
        <v>26.19</v>
      </c>
      <c r="I12" s="1423">
        <f t="shared" si="0"/>
        <v>0.60667129951355103</v>
      </c>
      <c r="J12" s="1423">
        <v>28.51</v>
      </c>
      <c r="K12" s="21">
        <f t="shared" si="1"/>
        <v>0.6604123233727125</v>
      </c>
      <c r="L12" s="808">
        <v>7</v>
      </c>
      <c r="M12" s="463">
        <v>42772</v>
      </c>
      <c r="N12" s="1313">
        <v>0.97509645738337425</v>
      </c>
    </row>
    <row r="13" spans="1:14">
      <c r="A13" s="1472">
        <v>12</v>
      </c>
      <c r="B13" s="1422" t="s">
        <v>63</v>
      </c>
      <c r="C13" s="1403" t="s">
        <v>3941</v>
      </c>
      <c r="D13" s="1423">
        <v>25</v>
      </c>
      <c r="E13" s="1423">
        <v>20.331926314699999</v>
      </c>
      <c r="F13" s="1424" t="s">
        <v>3942</v>
      </c>
      <c r="G13" s="1431">
        <v>11.15</v>
      </c>
      <c r="H13" s="1440">
        <v>7.06</v>
      </c>
      <c r="I13" s="1423">
        <f t="shared" si="0"/>
        <v>0.63318385650224207</v>
      </c>
      <c r="J13" s="1423">
        <v>10.01</v>
      </c>
      <c r="K13" s="21">
        <f t="shared" si="1"/>
        <v>0.89775784753363219</v>
      </c>
      <c r="L13" s="808">
        <v>7</v>
      </c>
      <c r="M13" s="463">
        <v>42772</v>
      </c>
      <c r="N13" s="1313">
        <v>0.80369630369630374</v>
      </c>
    </row>
    <row r="14" spans="1:14">
      <c r="A14" s="1472">
        <v>13</v>
      </c>
      <c r="B14" s="1422" t="s">
        <v>45</v>
      </c>
      <c r="C14" s="1403" t="s">
        <v>3943</v>
      </c>
      <c r="D14" s="1423">
        <v>10</v>
      </c>
      <c r="E14" s="1423">
        <v>9.9999997964999991</v>
      </c>
      <c r="F14" s="1424" t="s">
        <v>3944</v>
      </c>
      <c r="G14" s="1431">
        <v>29.2</v>
      </c>
      <c r="H14" s="1440">
        <v>19.89</v>
      </c>
      <c r="I14" s="1423">
        <f t="shared" si="0"/>
        <v>0.68116438356164388</v>
      </c>
      <c r="J14" s="1423">
        <v>22.05</v>
      </c>
      <c r="K14" s="21">
        <f t="shared" si="1"/>
        <v>0.75513698630136994</v>
      </c>
      <c r="L14" s="808">
        <v>4</v>
      </c>
      <c r="M14" s="463">
        <v>42786</v>
      </c>
      <c r="N14" s="1313">
        <v>0.96643990929705204</v>
      </c>
    </row>
    <row r="15" spans="1:14">
      <c r="A15" s="1472">
        <v>14</v>
      </c>
      <c r="B15" s="1422" t="s">
        <v>33</v>
      </c>
      <c r="C15" s="1403" t="s">
        <v>3945</v>
      </c>
      <c r="D15" s="1423">
        <v>13</v>
      </c>
      <c r="E15" s="1423">
        <v>12.999999965400001</v>
      </c>
      <c r="F15" s="1424" t="s">
        <v>3930</v>
      </c>
      <c r="G15" s="1431">
        <v>18.18</v>
      </c>
      <c r="H15" s="1440">
        <v>13.34</v>
      </c>
      <c r="I15" s="1423">
        <f t="shared" si="0"/>
        <v>0.73377337733773373</v>
      </c>
      <c r="J15" s="1423">
        <v>13.58</v>
      </c>
      <c r="K15" s="21">
        <f t="shared" si="1"/>
        <v>0.74697469746974698</v>
      </c>
      <c r="L15" s="808">
        <v>6</v>
      </c>
      <c r="M15" s="463">
        <v>42793</v>
      </c>
      <c r="N15" s="1313">
        <v>1.079160530191458</v>
      </c>
    </row>
    <row r="16" spans="1:14">
      <c r="A16" s="1472">
        <v>15</v>
      </c>
      <c r="B16" s="1422" t="s">
        <v>77</v>
      </c>
      <c r="C16" s="1403" t="s">
        <v>3946</v>
      </c>
      <c r="D16" s="1423">
        <v>8.4526000000000003</v>
      </c>
      <c r="E16" s="1423">
        <v>8.4525998760000007</v>
      </c>
      <c r="F16" s="1424" t="s">
        <v>3934</v>
      </c>
      <c r="G16" s="1431">
        <v>16.95</v>
      </c>
      <c r="H16" s="1440">
        <v>9.98</v>
      </c>
      <c r="I16" s="1423">
        <f t="shared" si="0"/>
        <v>0.58879056047197642</v>
      </c>
      <c r="J16" s="1423">
        <v>12.6</v>
      </c>
      <c r="K16" s="21">
        <f t="shared" si="1"/>
        <v>0.74336283185840712</v>
      </c>
      <c r="L16" s="808">
        <v>7</v>
      </c>
      <c r="M16" s="463">
        <v>42795</v>
      </c>
      <c r="N16" s="1313">
        <v>1.4222222222222221</v>
      </c>
    </row>
    <row r="17" spans="1:14">
      <c r="A17" s="1472">
        <v>16</v>
      </c>
      <c r="B17" s="1422" t="s">
        <v>69</v>
      </c>
      <c r="C17" s="1403" t="s">
        <v>3947</v>
      </c>
      <c r="D17" s="1423">
        <v>4</v>
      </c>
      <c r="E17" s="1423">
        <v>3.9999997</v>
      </c>
      <c r="F17" s="1424" t="s">
        <v>3948</v>
      </c>
      <c r="G17" s="1431">
        <v>40.53</v>
      </c>
      <c r="H17" s="1440">
        <v>28.5</v>
      </c>
      <c r="I17" s="1423">
        <f t="shared" si="0"/>
        <v>0.70318282753515915</v>
      </c>
      <c r="J17" s="1423">
        <v>38</v>
      </c>
      <c r="K17" s="21">
        <f t="shared" si="1"/>
        <v>0.93757710338021216</v>
      </c>
      <c r="L17" s="808">
        <v>7</v>
      </c>
      <c r="M17" s="463">
        <v>42795</v>
      </c>
      <c r="N17" s="1320">
        <v>0.98289473684210527</v>
      </c>
    </row>
    <row r="18" spans="1:14">
      <c r="A18" s="1472">
        <v>17</v>
      </c>
      <c r="B18" s="1422" t="s">
        <v>35</v>
      </c>
      <c r="C18" s="1403" t="s">
        <v>3949</v>
      </c>
      <c r="D18" s="1423">
        <v>10</v>
      </c>
      <c r="E18" s="1423">
        <v>9.9999998765000004</v>
      </c>
      <c r="F18" s="1424" t="s">
        <v>3950</v>
      </c>
      <c r="G18" s="1431">
        <v>18.899999999999999</v>
      </c>
      <c r="H18" s="1440">
        <v>9.4499999999999993</v>
      </c>
      <c r="I18" s="1423">
        <f t="shared" si="0"/>
        <v>0.5</v>
      </c>
      <c r="J18" s="1423">
        <v>15.35</v>
      </c>
      <c r="K18" s="21">
        <f t="shared" si="1"/>
        <v>0.81216931216931221</v>
      </c>
      <c r="L18" s="808">
        <v>4</v>
      </c>
      <c r="M18" s="463">
        <v>42797</v>
      </c>
      <c r="N18" s="1313">
        <v>1.1465798045602607</v>
      </c>
    </row>
    <row r="19" spans="1:14">
      <c r="A19" s="1472">
        <v>18</v>
      </c>
      <c r="B19" s="1422" t="s">
        <v>27</v>
      </c>
      <c r="C19" s="1403" t="s">
        <v>3951</v>
      </c>
      <c r="D19" s="1423">
        <v>9.7200000000000006</v>
      </c>
      <c r="E19" s="1423">
        <v>9.7199998896000004</v>
      </c>
      <c r="F19" s="1424" t="s">
        <v>3952</v>
      </c>
      <c r="G19" s="1431">
        <v>58.1</v>
      </c>
      <c r="H19" s="1440">
        <v>37.86</v>
      </c>
      <c r="I19" s="1423">
        <f t="shared" si="0"/>
        <v>0.6516351118760757</v>
      </c>
      <c r="J19" s="1423">
        <v>47.19</v>
      </c>
      <c r="K19" s="21">
        <f t="shared" si="1"/>
        <v>0.81222030981067117</v>
      </c>
      <c r="L19" s="808">
        <v>7</v>
      </c>
      <c r="M19" s="463">
        <v>42802</v>
      </c>
      <c r="N19" s="1313">
        <v>0.82877728332273792</v>
      </c>
    </row>
    <row r="20" spans="1:14">
      <c r="A20" s="1472">
        <v>19</v>
      </c>
      <c r="B20" s="1422" t="s">
        <v>53</v>
      </c>
      <c r="C20" s="1403" t="s">
        <v>3953</v>
      </c>
      <c r="D20" s="1423">
        <v>18.100000000000001</v>
      </c>
      <c r="E20" s="1423">
        <v>18.099995409999998</v>
      </c>
      <c r="F20" s="1424" t="s">
        <v>3954</v>
      </c>
      <c r="G20" s="1431">
        <v>9.6999999999999993</v>
      </c>
      <c r="H20" s="1440">
        <v>5.98</v>
      </c>
      <c r="I20" s="1423">
        <f t="shared" si="0"/>
        <v>0.61649484536082488</v>
      </c>
      <c r="J20" s="1423">
        <v>7.27</v>
      </c>
      <c r="K20" s="21">
        <f t="shared" si="1"/>
        <v>0.74948453608247423</v>
      </c>
      <c r="L20" s="808">
        <v>5</v>
      </c>
      <c r="M20" s="463">
        <v>42808</v>
      </c>
      <c r="N20" s="1313">
        <v>1.6685006877579092</v>
      </c>
    </row>
    <row r="21" spans="1:14">
      <c r="A21" s="1472">
        <v>20</v>
      </c>
      <c r="B21" s="1422" t="s">
        <v>25</v>
      </c>
      <c r="C21" s="1403" t="s">
        <v>3955</v>
      </c>
      <c r="D21" s="1423">
        <v>8.2001729999999995</v>
      </c>
      <c r="E21" s="1423">
        <v>8.2001726838</v>
      </c>
      <c r="F21" s="1424" t="s">
        <v>3956</v>
      </c>
      <c r="G21" s="1431">
        <v>33.200000000000003</v>
      </c>
      <c r="H21" s="1440">
        <v>33.11</v>
      </c>
      <c r="I21" s="1423">
        <f t="shared" si="0"/>
        <v>0.99728915662650597</v>
      </c>
      <c r="J21" s="1423">
        <v>33.21</v>
      </c>
      <c r="K21" s="21">
        <f t="shared" si="1"/>
        <v>1.000301204819277</v>
      </c>
      <c r="L21" s="808">
        <v>3</v>
      </c>
      <c r="M21" s="463">
        <v>42444</v>
      </c>
      <c r="N21" s="1313">
        <v>0.86871424269798259</v>
      </c>
    </row>
    <row r="22" spans="1:14">
      <c r="A22" s="1472">
        <v>21</v>
      </c>
      <c r="B22" s="1422" t="s">
        <v>93</v>
      </c>
      <c r="C22" s="1403" t="s">
        <v>3957</v>
      </c>
      <c r="D22" s="1423">
        <v>8.4499999999999993</v>
      </c>
      <c r="E22" s="1423">
        <v>8.4499998863000005</v>
      </c>
      <c r="F22" s="1424" t="s">
        <v>3958</v>
      </c>
      <c r="G22" s="1431">
        <v>14.2</v>
      </c>
      <c r="H22" s="1440">
        <v>11.4</v>
      </c>
      <c r="I22" s="1423">
        <f t="shared" si="0"/>
        <v>0.80281690140845074</v>
      </c>
      <c r="J22" s="1423">
        <v>11.41</v>
      </c>
      <c r="K22" s="21">
        <f t="shared" si="1"/>
        <v>0.80352112676056342</v>
      </c>
      <c r="L22" s="808">
        <v>4</v>
      </c>
      <c r="M22" s="463">
        <v>42816</v>
      </c>
      <c r="N22" s="1313">
        <v>1.9320771253286595</v>
      </c>
    </row>
    <row r="23" spans="1:14">
      <c r="A23" s="1472">
        <v>22</v>
      </c>
      <c r="B23" s="1422" t="s">
        <v>51</v>
      </c>
      <c r="C23" s="1403" t="s">
        <v>3959</v>
      </c>
      <c r="D23" s="1423">
        <v>38.299999999999997</v>
      </c>
      <c r="E23" s="1423">
        <v>38.299993020000002</v>
      </c>
      <c r="F23" s="1424" t="s">
        <v>3956</v>
      </c>
      <c r="G23" s="1431">
        <v>10.220000000000001</v>
      </c>
      <c r="H23" s="1440">
        <v>9.32</v>
      </c>
      <c r="I23" s="1423">
        <f t="shared" si="0"/>
        <v>0.9119373776908023</v>
      </c>
      <c r="J23" s="1423">
        <v>9.6300000000000008</v>
      </c>
      <c r="K23" s="21">
        <f t="shared" si="1"/>
        <v>0.94227005870841485</v>
      </c>
      <c r="L23" s="808">
        <v>9</v>
      </c>
      <c r="M23" s="463">
        <v>42817</v>
      </c>
      <c r="N23" s="1313">
        <v>1.2315680166147454</v>
      </c>
    </row>
    <row r="24" spans="1:14">
      <c r="A24" s="1472">
        <v>23</v>
      </c>
      <c r="B24" s="1422" t="s">
        <v>67</v>
      </c>
      <c r="C24" s="1403" t="s">
        <v>3960</v>
      </c>
      <c r="D24" s="1423">
        <v>26</v>
      </c>
      <c r="E24" s="1423">
        <v>25.999999982399999</v>
      </c>
      <c r="F24" s="1424" t="s">
        <v>3958</v>
      </c>
      <c r="G24" s="1431">
        <v>17.66</v>
      </c>
      <c r="H24" s="1440">
        <v>15.09</v>
      </c>
      <c r="I24" s="1423">
        <f t="shared" si="0"/>
        <v>0.85447338618346547</v>
      </c>
      <c r="J24" s="1423">
        <v>15.09</v>
      </c>
      <c r="K24" s="21">
        <f t="shared" si="1"/>
        <v>0.85447338618346547</v>
      </c>
      <c r="L24" s="808">
        <v>5</v>
      </c>
      <c r="M24" s="463">
        <v>42837</v>
      </c>
      <c r="N24" s="1313">
        <v>0.96995277799867452</v>
      </c>
    </row>
    <row r="25" spans="1:14">
      <c r="A25" s="1472">
        <v>24</v>
      </c>
      <c r="B25" s="1422" t="s">
        <v>9</v>
      </c>
      <c r="C25" s="1403" t="s">
        <v>3961</v>
      </c>
      <c r="D25" s="1423">
        <v>13.92245</v>
      </c>
      <c r="E25" s="1423">
        <v>13.92245</v>
      </c>
      <c r="F25" s="1424" t="s">
        <v>3962</v>
      </c>
      <c r="G25" s="1431">
        <v>11.27</v>
      </c>
      <c r="H25" s="1440">
        <v>9.07</v>
      </c>
      <c r="I25" s="1423">
        <f t="shared" si="0"/>
        <v>0.80479148181011539</v>
      </c>
      <c r="J25" s="1423">
        <v>9.07</v>
      </c>
      <c r="K25" s="21">
        <f t="shared" si="1"/>
        <v>0.80479148181011539</v>
      </c>
      <c r="L25" s="808">
        <v>7</v>
      </c>
      <c r="M25" s="463">
        <v>42821</v>
      </c>
      <c r="N25" s="1313">
        <v>1.2216097023153252</v>
      </c>
    </row>
    <row r="26" spans="1:14">
      <c r="A26" s="1472" t="s">
        <v>232</v>
      </c>
      <c r="B26" s="1422"/>
      <c r="C26" s="1403" t="s">
        <v>232</v>
      </c>
      <c r="D26" s="1423"/>
      <c r="E26" s="1423"/>
      <c r="F26" s="1424" t="s">
        <v>3963</v>
      </c>
      <c r="G26" s="1431">
        <v>11.02</v>
      </c>
      <c r="H26" s="1440">
        <v>9.07</v>
      </c>
      <c r="I26" s="1423">
        <f t="shared" si="0"/>
        <v>0.82304900181488205</v>
      </c>
      <c r="J26" s="1423">
        <v>9.07</v>
      </c>
      <c r="K26" s="21">
        <f t="shared" si="1"/>
        <v>0.82304900181488205</v>
      </c>
      <c r="L26" s="808"/>
      <c r="M26" s="463"/>
      <c r="N26" s="1313"/>
    </row>
    <row r="27" spans="1:14">
      <c r="A27" s="1472">
        <v>25</v>
      </c>
      <c r="B27" s="1422" t="s">
        <v>17</v>
      </c>
      <c r="C27" s="1403" t="s">
        <v>3964</v>
      </c>
      <c r="D27" s="1423">
        <v>9.0399999999999991</v>
      </c>
      <c r="E27" s="1423">
        <v>9.0399998746999994</v>
      </c>
      <c r="F27" s="1424" t="s">
        <v>3965</v>
      </c>
      <c r="G27" s="1431">
        <v>33.97</v>
      </c>
      <c r="H27" s="1440">
        <v>25.97</v>
      </c>
      <c r="I27" s="1423">
        <f t="shared" si="0"/>
        <v>0.76449808654695317</v>
      </c>
      <c r="J27" s="1423">
        <v>28.87</v>
      </c>
      <c r="K27" s="21">
        <f t="shared" si="1"/>
        <v>0.84986753017368277</v>
      </c>
      <c r="L27" s="808">
        <v>8</v>
      </c>
      <c r="M27" s="463">
        <v>42824</v>
      </c>
      <c r="N27" s="1320">
        <v>0.69691721510218207</v>
      </c>
    </row>
    <row r="28" spans="1:14">
      <c r="A28" s="1472">
        <v>26</v>
      </c>
      <c r="B28" s="1422" t="s">
        <v>87</v>
      </c>
      <c r="C28" s="1403" t="s">
        <v>3966</v>
      </c>
      <c r="D28" s="1423">
        <v>14.439155</v>
      </c>
      <c r="E28" s="1423">
        <v>14.4391549792</v>
      </c>
      <c r="F28" s="1424" t="s">
        <v>3967</v>
      </c>
      <c r="G28" s="1431">
        <v>9.61</v>
      </c>
      <c r="H28" s="1440">
        <v>5.0199999999999996</v>
      </c>
      <c r="I28" s="1423">
        <f t="shared" si="0"/>
        <v>0.52237252861602501</v>
      </c>
      <c r="J28" s="1423">
        <v>7.42</v>
      </c>
      <c r="K28" s="21">
        <f t="shared" si="1"/>
        <v>0.77211238293444329</v>
      </c>
      <c r="L28" s="808">
        <v>5</v>
      </c>
      <c r="M28" s="463">
        <v>42825</v>
      </c>
      <c r="N28" s="1313">
        <v>2.1105121293800542</v>
      </c>
    </row>
    <row r="29" spans="1:14">
      <c r="A29" s="1472">
        <v>27</v>
      </c>
      <c r="B29" s="1422" t="s">
        <v>21</v>
      </c>
      <c r="C29" s="1403" t="s">
        <v>3968</v>
      </c>
      <c r="D29" s="1423">
        <v>28</v>
      </c>
      <c r="E29" s="1423">
        <v>27.543206963999999</v>
      </c>
      <c r="F29" s="1424" t="s">
        <v>3969</v>
      </c>
      <c r="G29" s="1431">
        <v>7.86</v>
      </c>
      <c r="H29" s="1440">
        <v>6.76</v>
      </c>
      <c r="I29" s="1423">
        <f t="shared" si="0"/>
        <v>0.86005089058524165</v>
      </c>
      <c r="J29" s="1423">
        <v>6.76</v>
      </c>
      <c r="K29" s="21">
        <f t="shared" si="1"/>
        <v>0.86005089058524165</v>
      </c>
      <c r="L29" s="808">
        <v>4</v>
      </c>
      <c r="M29" s="463">
        <v>42825</v>
      </c>
      <c r="N29" s="1313">
        <v>1.0433431952662722</v>
      </c>
    </row>
    <row r="30" spans="1:14">
      <c r="A30" s="1472">
        <v>28</v>
      </c>
      <c r="B30" s="1422" t="s">
        <v>15</v>
      </c>
      <c r="C30" s="1403" t="s">
        <v>3970</v>
      </c>
      <c r="D30" s="1423">
        <v>15</v>
      </c>
      <c r="E30" s="1423">
        <v>10.36</v>
      </c>
      <c r="F30" s="1424" t="s">
        <v>3971</v>
      </c>
      <c r="G30" s="1431">
        <v>15.6</v>
      </c>
      <c r="H30" s="1440">
        <v>11.83</v>
      </c>
      <c r="I30" s="1423">
        <f t="shared" si="0"/>
        <v>0.7583333333333333</v>
      </c>
      <c r="J30" s="1423">
        <v>12.95</v>
      </c>
      <c r="K30" s="21">
        <f t="shared" si="1"/>
        <v>0.83012820512820507</v>
      </c>
      <c r="L30" s="808">
        <v>5</v>
      </c>
      <c r="M30" s="463">
        <v>42830</v>
      </c>
      <c r="N30" s="1313">
        <v>2.0100386100386101</v>
      </c>
    </row>
    <row r="31" spans="1:14">
      <c r="A31" s="1472">
        <v>29</v>
      </c>
      <c r="B31" s="1422" t="s">
        <v>61</v>
      </c>
      <c r="C31" s="1403" t="s">
        <v>3972</v>
      </c>
      <c r="D31" s="1423">
        <v>3.8955000000000002</v>
      </c>
      <c r="E31" s="1423">
        <v>3.8954999524999998</v>
      </c>
      <c r="F31" s="1424" t="s">
        <v>3973</v>
      </c>
      <c r="G31" s="1431">
        <v>30.98</v>
      </c>
      <c r="H31" s="1440">
        <v>22.48</v>
      </c>
      <c r="I31" s="1423">
        <f t="shared" si="0"/>
        <v>0.72562943834732085</v>
      </c>
      <c r="J31" s="1423">
        <v>24.05</v>
      </c>
      <c r="K31" s="21">
        <f t="shared" si="1"/>
        <v>0.77630729502905105</v>
      </c>
      <c r="L31" s="808">
        <v>3</v>
      </c>
      <c r="M31" s="463">
        <v>42831</v>
      </c>
      <c r="N31" s="1313">
        <v>1.6482328482328481</v>
      </c>
    </row>
    <row r="32" spans="1:14">
      <c r="A32" s="1472">
        <v>30</v>
      </c>
      <c r="B32" s="1422" t="s">
        <v>23</v>
      </c>
      <c r="C32" s="1403" t="s">
        <v>3974</v>
      </c>
      <c r="D32" s="1423">
        <v>10.112242999999999</v>
      </c>
      <c r="E32" s="1423">
        <v>10.112242978899999</v>
      </c>
      <c r="F32" s="1424" t="s">
        <v>3975</v>
      </c>
      <c r="G32" s="1431">
        <v>14.56</v>
      </c>
      <c r="H32" s="1440">
        <v>11.61</v>
      </c>
      <c r="I32" s="1423">
        <f t="shared" si="0"/>
        <v>0.79739010989010983</v>
      </c>
      <c r="J32" s="1423">
        <v>13.21</v>
      </c>
      <c r="K32" s="21">
        <f t="shared" si="1"/>
        <v>0.90728021978021978</v>
      </c>
      <c r="L32" s="808">
        <v>5</v>
      </c>
      <c r="M32" s="463">
        <v>42832</v>
      </c>
      <c r="N32" s="1313">
        <v>0.9931869795609386</v>
      </c>
    </row>
    <row r="33" spans="1:14">
      <c r="A33" s="1472">
        <v>31</v>
      </c>
      <c r="B33" s="1422" t="s">
        <v>75</v>
      </c>
      <c r="C33" s="1403" t="s">
        <v>3976</v>
      </c>
      <c r="D33" s="1423">
        <v>2.5</v>
      </c>
      <c r="E33" s="1423">
        <v>2.4999996686000001</v>
      </c>
      <c r="F33" s="1424" t="s">
        <v>3977</v>
      </c>
      <c r="G33" s="1431">
        <v>44.67</v>
      </c>
      <c r="H33" s="1440">
        <v>39.770000000000003</v>
      </c>
      <c r="I33" s="1423">
        <f t="shared" si="0"/>
        <v>0.89030669353033365</v>
      </c>
      <c r="J33" s="1423">
        <v>41.29</v>
      </c>
      <c r="K33" s="21">
        <f t="shared" si="1"/>
        <v>0.9243340049250055</v>
      </c>
      <c r="L33" s="808">
        <v>4</v>
      </c>
      <c r="M33" s="463">
        <v>42832</v>
      </c>
      <c r="N33" s="1313">
        <v>1.1681411368583383</v>
      </c>
    </row>
    <row r="34" spans="1:14">
      <c r="A34" s="1472">
        <v>32</v>
      </c>
      <c r="B34" s="1425" t="s">
        <v>97</v>
      </c>
      <c r="C34" s="1403" t="s">
        <v>3978</v>
      </c>
      <c r="D34" s="1423">
        <v>5.1660000000000004</v>
      </c>
      <c r="E34" s="1423">
        <v>5.0999992560000003</v>
      </c>
      <c r="F34" s="1424" t="s">
        <v>3975</v>
      </c>
      <c r="G34" s="1431">
        <v>41.72</v>
      </c>
      <c r="H34" s="1440">
        <v>35.97</v>
      </c>
      <c r="I34" s="1423">
        <f t="shared" si="0"/>
        <v>0.86217641418983704</v>
      </c>
      <c r="J34" s="1423">
        <v>35.97</v>
      </c>
      <c r="K34" s="21">
        <f t="shared" si="1"/>
        <v>0.86217641418983704</v>
      </c>
      <c r="L34" s="808">
        <v>9</v>
      </c>
      <c r="M34" s="463">
        <v>42835</v>
      </c>
      <c r="N34" s="1313">
        <v>1.448985265499027</v>
      </c>
    </row>
    <row r="35" spans="1:14">
      <c r="A35" s="1472">
        <v>33</v>
      </c>
      <c r="B35" s="1422" t="s">
        <v>99</v>
      </c>
      <c r="C35" s="1403" t="s">
        <v>3979</v>
      </c>
      <c r="D35" s="1423">
        <v>29.2</v>
      </c>
      <c r="E35" s="1423">
        <v>29.2</v>
      </c>
      <c r="F35" s="1424" t="s">
        <v>3980</v>
      </c>
      <c r="G35" s="1431">
        <v>58.3</v>
      </c>
      <c r="H35" s="1440">
        <v>50.8</v>
      </c>
      <c r="I35" s="1423">
        <f t="shared" si="0"/>
        <v>0.8713550600343053</v>
      </c>
      <c r="J35" s="1423">
        <v>56.88</v>
      </c>
      <c r="K35" s="21">
        <f t="shared" si="1"/>
        <v>0.97564322469982856</v>
      </c>
      <c r="L35" s="808">
        <v>5</v>
      </c>
      <c r="M35" s="463">
        <v>42468</v>
      </c>
      <c r="N35" s="1313">
        <v>2.9465541490857947</v>
      </c>
    </row>
    <row r="36" spans="1:14">
      <c r="A36" s="1472">
        <v>34</v>
      </c>
      <c r="B36" s="1422" t="s">
        <v>85</v>
      </c>
      <c r="C36" s="1403" t="s">
        <v>3981</v>
      </c>
      <c r="D36" s="1423">
        <v>3.71</v>
      </c>
      <c r="E36" s="1423">
        <v>3.7099997385000001</v>
      </c>
      <c r="F36" s="1424" t="s">
        <v>3982</v>
      </c>
      <c r="G36" s="1431">
        <v>77.64</v>
      </c>
      <c r="H36" s="1440">
        <v>72.56</v>
      </c>
      <c r="I36" s="1423">
        <f t="shared" si="0"/>
        <v>0.93456980937661005</v>
      </c>
      <c r="J36" s="1423">
        <v>72.569999999999993</v>
      </c>
      <c r="K36" s="21">
        <f t="shared" si="1"/>
        <v>0.93469860896445123</v>
      </c>
      <c r="L36" s="808">
        <v>2</v>
      </c>
      <c r="M36" s="463">
        <v>42881</v>
      </c>
      <c r="N36" s="1320">
        <v>0.82548551054154617</v>
      </c>
    </row>
    <row r="37" spans="1:14">
      <c r="A37" s="1472">
        <v>35</v>
      </c>
      <c r="B37" s="1422" t="s">
        <v>29</v>
      </c>
      <c r="C37" s="1403" t="s">
        <v>3983</v>
      </c>
      <c r="D37" s="1423">
        <v>50</v>
      </c>
      <c r="E37" s="1423">
        <v>49.999999888799998</v>
      </c>
      <c r="F37" s="1424" t="s">
        <v>3984</v>
      </c>
      <c r="G37" s="1431">
        <v>15.04</v>
      </c>
      <c r="H37" s="1440">
        <v>15.08</v>
      </c>
      <c r="I37" s="1423">
        <f t="shared" si="0"/>
        <v>1.0026595744680851</v>
      </c>
      <c r="J37" s="1423">
        <v>15.08</v>
      </c>
      <c r="K37" s="21">
        <f t="shared" si="1"/>
        <v>1.0026595744680851</v>
      </c>
      <c r="L37" s="808">
        <v>1</v>
      </c>
      <c r="M37" s="463">
        <v>42838</v>
      </c>
      <c r="N37" s="1313">
        <v>0.97612732095490717</v>
      </c>
    </row>
    <row r="38" spans="1:14">
      <c r="A38" s="1472">
        <v>36</v>
      </c>
      <c r="B38" s="1422" t="s">
        <v>79</v>
      </c>
      <c r="C38" s="1403" t="s">
        <v>3985</v>
      </c>
      <c r="D38" s="1423">
        <v>16.5</v>
      </c>
      <c r="E38" s="1423">
        <v>16.499999942399999</v>
      </c>
      <c r="F38" s="1424" t="s">
        <v>3986</v>
      </c>
      <c r="G38" s="1431">
        <v>6.7</v>
      </c>
      <c r="H38" s="1440">
        <v>6.06</v>
      </c>
      <c r="I38" s="1423">
        <f t="shared" si="0"/>
        <v>0.90447761194029841</v>
      </c>
      <c r="J38" s="1423">
        <v>6.08</v>
      </c>
      <c r="K38" s="21">
        <f t="shared" si="1"/>
        <v>0.90746268656716411</v>
      </c>
      <c r="L38" s="808">
        <v>6</v>
      </c>
      <c r="M38" s="463">
        <v>42838</v>
      </c>
      <c r="N38" s="1313">
        <v>1.1019736842105263</v>
      </c>
    </row>
    <row r="39" spans="1:14">
      <c r="A39" s="1472">
        <v>37</v>
      </c>
      <c r="B39" s="1422" t="s">
        <v>43</v>
      </c>
      <c r="C39" s="1403" t="s">
        <v>3987</v>
      </c>
      <c r="D39" s="1423">
        <v>5.9749999999999996</v>
      </c>
      <c r="E39" s="1423">
        <v>5.9749998770000001</v>
      </c>
      <c r="F39" s="1424" t="s">
        <v>3988</v>
      </c>
      <c r="G39" s="1431">
        <v>18.46</v>
      </c>
      <c r="H39" s="1440">
        <v>15.2</v>
      </c>
      <c r="I39" s="1423">
        <f t="shared" si="0"/>
        <v>0.8234019501625135</v>
      </c>
      <c r="J39" s="1423">
        <v>16.66</v>
      </c>
      <c r="K39" s="21">
        <f t="shared" si="1"/>
        <v>0.90249187432286015</v>
      </c>
      <c r="L39" s="808">
        <v>7</v>
      </c>
      <c r="M39" s="463">
        <v>42839</v>
      </c>
      <c r="N39" s="1313">
        <v>1.201080432172869</v>
      </c>
    </row>
    <row r="40" spans="1:14">
      <c r="A40" s="1472">
        <v>38</v>
      </c>
      <c r="B40" s="1422" t="s">
        <v>65</v>
      </c>
      <c r="C40" s="1403" t="s">
        <v>3989</v>
      </c>
      <c r="D40" s="1423">
        <v>50</v>
      </c>
      <c r="E40" s="1423">
        <v>49.999999895999999</v>
      </c>
      <c r="F40" s="1424" t="s">
        <v>3990</v>
      </c>
      <c r="G40" s="1431">
        <v>30.36</v>
      </c>
      <c r="H40" s="1440">
        <v>11.38</v>
      </c>
      <c r="I40" s="1423">
        <f t="shared" si="0"/>
        <v>0.37483530961791833</v>
      </c>
      <c r="J40" s="1423">
        <v>19.8</v>
      </c>
      <c r="K40" s="21">
        <f t="shared" si="1"/>
        <v>0.65217391304347827</v>
      </c>
      <c r="L40" s="808">
        <v>7</v>
      </c>
      <c r="M40" s="463">
        <v>42842</v>
      </c>
      <c r="N40" s="1313">
        <v>1.1641414141414141</v>
      </c>
    </row>
    <row r="41" spans="1:14">
      <c r="A41" s="1472">
        <v>39</v>
      </c>
      <c r="B41" s="1422" t="s">
        <v>57</v>
      </c>
      <c r="C41" s="1403" t="s">
        <v>3991</v>
      </c>
      <c r="D41" s="1423">
        <v>3</v>
      </c>
      <c r="E41" s="1423">
        <v>2.9999999312000001</v>
      </c>
      <c r="F41" s="1424" t="s">
        <v>3975</v>
      </c>
      <c r="G41" s="1431">
        <v>28</v>
      </c>
      <c r="H41" s="1440">
        <v>24.03</v>
      </c>
      <c r="I41" s="1423">
        <f t="shared" si="0"/>
        <v>0.85821428571428571</v>
      </c>
      <c r="J41" s="1423">
        <v>27.98</v>
      </c>
      <c r="K41" s="21">
        <f t="shared" si="1"/>
        <v>0.99928571428571433</v>
      </c>
      <c r="L41" s="808">
        <v>2</v>
      </c>
      <c r="M41" s="463">
        <v>42479</v>
      </c>
      <c r="N41" s="1313">
        <v>1.2780557541100785</v>
      </c>
    </row>
    <row r="42" spans="1:14">
      <c r="A42" s="1472">
        <v>40</v>
      </c>
      <c r="B42" s="1422" t="s">
        <v>91</v>
      </c>
      <c r="C42" s="1403" t="s">
        <v>3992</v>
      </c>
      <c r="D42" s="1423">
        <v>9.3614280000000001</v>
      </c>
      <c r="E42" s="1423">
        <v>9.3614279048999993</v>
      </c>
      <c r="F42" s="1424" t="s">
        <v>3980</v>
      </c>
      <c r="G42" s="1431">
        <v>33.92</v>
      </c>
      <c r="H42" s="1440">
        <v>23.67</v>
      </c>
      <c r="I42" s="1423">
        <f t="shared" si="0"/>
        <v>0.69781839622641506</v>
      </c>
      <c r="J42" s="1423">
        <v>26.01</v>
      </c>
      <c r="K42" s="21">
        <f t="shared" si="1"/>
        <v>0.76680424528301883</v>
      </c>
      <c r="L42" s="808">
        <v>7</v>
      </c>
      <c r="M42" s="463">
        <v>42844</v>
      </c>
      <c r="N42" s="1313">
        <v>0.78354479046520575</v>
      </c>
    </row>
    <row r="43" spans="1:14">
      <c r="A43" s="1472">
        <v>41</v>
      </c>
      <c r="B43" s="1422" t="s">
        <v>41</v>
      </c>
      <c r="C43" s="1403" t="s">
        <v>3993</v>
      </c>
      <c r="D43" s="1423">
        <v>13.185600000000001</v>
      </c>
      <c r="E43" s="1423">
        <v>13.185599997500001</v>
      </c>
      <c r="F43" s="1424" t="s">
        <v>3994</v>
      </c>
      <c r="G43" s="1431">
        <v>22.25</v>
      </c>
      <c r="H43" s="1440">
        <v>16.760000000000002</v>
      </c>
      <c r="I43" s="1423">
        <f t="shared" si="0"/>
        <v>0.75325842696629219</v>
      </c>
      <c r="J43" s="1423">
        <v>18.25</v>
      </c>
      <c r="K43" s="21">
        <f t="shared" si="1"/>
        <v>0.8202247191011236</v>
      </c>
      <c r="L43" s="808">
        <v>8</v>
      </c>
      <c r="M43" s="463">
        <v>42850</v>
      </c>
      <c r="N43" s="1313">
        <v>1.2690410958904108</v>
      </c>
    </row>
    <row r="44" spans="1:14">
      <c r="A44" s="1472">
        <v>42</v>
      </c>
      <c r="B44" s="1422" t="s">
        <v>81</v>
      </c>
      <c r="C44" s="1403" t="s">
        <v>3995</v>
      </c>
      <c r="D44" s="1423">
        <v>47</v>
      </c>
      <c r="E44" s="1423">
        <v>46.399999812399997</v>
      </c>
      <c r="F44" s="1424" t="s">
        <v>3996</v>
      </c>
      <c r="G44" s="1431">
        <v>15.79</v>
      </c>
      <c r="H44" s="1440">
        <v>14.68</v>
      </c>
      <c r="I44" s="1423">
        <f t="shared" si="0"/>
        <v>0.92970234325522483</v>
      </c>
      <c r="J44" s="1423">
        <v>14.68</v>
      </c>
      <c r="K44" s="21">
        <f t="shared" si="1"/>
        <v>0.92970234325522483</v>
      </c>
      <c r="L44" s="808">
        <v>5</v>
      </c>
      <c r="M44" s="463">
        <v>42845</v>
      </c>
      <c r="N44" s="1313">
        <v>1.1886920980926432</v>
      </c>
    </row>
    <row r="45" spans="1:14">
      <c r="A45" s="1472">
        <v>43</v>
      </c>
      <c r="B45" s="1422" t="s">
        <v>73</v>
      </c>
      <c r="C45" s="1403" t="s">
        <v>3997</v>
      </c>
      <c r="D45" s="1423">
        <v>5</v>
      </c>
      <c r="E45" s="1423">
        <v>5</v>
      </c>
      <c r="F45" s="1424" t="s">
        <v>3998</v>
      </c>
      <c r="G45" s="1431">
        <v>23.5</v>
      </c>
      <c r="H45" s="1440">
        <v>20.37</v>
      </c>
      <c r="I45" s="1423">
        <f t="shared" si="0"/>
        <v>0.86680851063829789</v>
      </c>
      <c r="J45" s="1423">
        <v>20.51</v>
      </c>
      <c r="K45" s="21">
        <f t="shared" si="1"/>
        <v>0.87276595744680863</v>
      </c>
      <c r="L45" s="808">
        <v>3</v>
      </c>
      <c r="M45" s="463">
        <v>42845</v>
      </c>
      <c r="N45" s="1320">
        <v>0.99707459775719154</v>
      </c>
    </row>
    <row r="46" spans="1:14">
      <c r="A46" s="1472">
        <v>44</v>
      </c>
      <c r="B46" s="1422" t="s">
        <v>89</v>
      </c>
      <c r="C46" s="1403" t="s">
        <v>3999</v>
      </c>
      <c r="D46" s="1423">
        <v>5.5</v>
      </c>
      <c r="E46" s="1423">
        <v>5.4999999400000004</v>
      </c>
      <c r="F46" s="1424" t="s">
        <v>4000</v>
      </c>
      <c r="G46" s="1431">
        <v>24.5</v>
      </c>
      <c r="H46" s="1440">
        <v>18.82</v>
      </c>
      <c r="I46" s="1423">
        <f t="shared" si="0"/>
        <v>0.76816326530612244</v>
      </c>
      <c r="J46" s="1423">
        <v>20.5</v>
      </c>
      <c r="K46" s="21">
        <f t="shared" si="1"/>
        <v>0.83673469387755106</v>
      </c>
      <c r="L46" s="808">
        <v>5</v>
      </c>
      <c r="M46" s="463">
        <v>42846</v>
      </c>
      <c r="N46" s="1313">
        <v>0.50146341463414634</v>
      </c>
    </row>
    <row r="47" spans="1:14">
      <c r="A47" s="1472">
        <v>45</v>
      </c>
      <c r="B47" s="1422" t="s">
        <v>103</v>
      </c>
      <c r="C47" s="1403" t="s">
        <v>4001</v>
      </c>
      <c r="D47" s="1423">
        <v>13.5</v>
      </c>
      <c r="E47" s="1423">
        <v>13.499999989599999</v>
      </c>
      <c r="F47" s="1424" t="s">
        <v>3998</v>
      </c>
      <c r="G47" s="1431">
        <v>15.77</v>
      </c>
      <c r="H47" s="1440">
        <v>8.9600000000000009</v>
      </c>
      <c r="I47" s="1423">
        <f t="shared" si="0"/>
        <v>0.56816740646797725</v>
      </c>
      <c r="J47" s="1423">
        <v>10.51</v>
      </c>
      <c r="K47" s="21">
        <f t="shared" si="1"/>
        <v>0.66645529486366517</v>
      </c>
      <c r="L47" s="808">
        <v>6</v>
      </c>
      <c r="M47" s="463">
        <v>42849</v>
      </c>
      <c r="N47" s="1313">
        <v>0.6060894386298763</v>
      </c>
    </row>
    <row r="48" spans="1:14">
      <c r="A48" s="1472">
        <v>46</v>
      </c>
      <c r="B48" s="1422" t="s">
        <v>105</v>
      </c>
      <c r="C48" s="1403" t="s">
        <v>4002</v>
      </c>
      <c r="D48" s="1423">
        <v>31</v>
      </c>
      <c r="E48" s="1423">
        <v>30.999999978000002</v>
      </c>
      <c r="F48" s="1424" t="s">
        <v>4003</v>
      </c>
      <c r="G48" s="1431">
        <v>7.87</v>
      </c>
      <c r="H48" s="1440">
        <v>6.9</v>
      </c>
      <c r="I48" s="1423">
        <f t="shared" si="0"/>
        <v>0.87674714104193141</v>
      </c>
      <c r="J48" s="1423">
        <v>6.9</v>
      </c>
      <c r="K48" s="21">
        <f t="shared" si="1"/>
        <v>0.87674714104193141</v>
      </c>
      <c r="L48" s="808">
        <v>9</v>
      </c>
      <c r="M48" s="463">
        <v>42851</v>
      </c>
      <c r="N48" s="1313">
        <v>1.0231884057971015</v>
      </c>
    </row>
    <row r="49" spans="1:26">
      <c r="A49" s="1472">
        <v>47</v>
      </c>
      <c r="B49" s="1422" t="s">
        <v>10</v>
      </c>
      <c r="C49" s="1403" t="s">
        <v>4004</v>
      </c>
      <c r="D49" s="1423">
        <v>12.288435</v>
      </c>
      <c r="E49" s="1423">
        <v>12.2883976</v>
      </c>
      <c r="F49" s="1424" t="s">
        <v>4005</v>
      </c>
      <c r="G49" s="1431">
        <v>86.21</v>
      </c>
      <c r="H49" s="1440">
        <v>66.47</v>
      </c>
      <c r="I49" s="1423">
        <f t="shared" si="0"/>
        <v>0.77102424312724749</v>
      </c>
      <c r="J49" s="1423">
        <v>69.2</v>
      </c>
      <c r="K49" s="21">
        <f t="shared" si="1"/>
        <v>0.8026911031202878</v>
      </c>
      <c r="L49" s="808">
        <v>3</v>
      </c>
      <c r="M49" s="463">
        <v>42864</v>
      </c>
      <c r="N49" s="1313">
        <v>0.96799132947976896</v>
      </c>
    </row>
    <row r="50" spans="1:26">
      <c r="A50" s="1472">
        <v>48</v>
      </c>
      <c r="B50" s="1422" t="s">
        <v>49</v>
      </c>
      <c r="C50" s="1403" t="s">
        <v>4006</v>
      </c>
      <c r="D50" s="1423">
        <v>22.45</v>
      </c>
      <c r="E50" s="1423">
        <v>22.44999348</v>
      </c>
      <c r="F50" s="1424" t="s">
        <v>4003</v>
      </c>
      <c r="G50" s="1431">
        <v>13.4</v>
      </c>
      <c r="H50" s="1440">
        <v>10.94</v>
      </c>
      <c r="I50" s="1423">
        <f t="shared" si="0"/>
        <v>0.81641791044776113</v>
      </c>
      <c r="J50" s="1423">
        <v>10.98</v>
      </c>
      <c r="K50" s="21">
        <f t="shared" si="1"/>
        <v>0.81940298507462683</v>
      </c>
      <c r="L50" s="808">
        <v>5</v>
      </c>
      <c r="M50" s="463">
        <v>42865</v>
      </c>
      <c r="N50" s="1313">
        <v>0.814936247723133</v>
      </c>
    </row>
    <row r="51" spans="1:26">
      <c r="A51" s="1472">
        <v>49</v>
      </c>
      <c r="B51" s="1422" t="s">
        <v>71</v>
      </c>
      <c r="C51" s="1403" t="s">
        <v>4007</v>
      </c>
      <c r="D51" s="1423">
        <v>19.1678</v>
      </c>
      <c r="E51" s="1423">
        <v>19.170000000000002</v>
      </c>
      <c r="F51" s="1424" t="s">
        <v>4008</v>
      </c>
      <c r="G51" s="1431">
        <v>21.92</v>
      </c>
      <c r="H51" s="1463">
        <v>16.23</v>
      </c>
      <c r="I51" s="1423">
        <f t="shared" si="0"/>
        <v>0.74041970802919699</v>
      </c>
      <c r="J51" s="1423">
        <v>19.75</v>
      </c>
      <c r="K51" s="21">
        <f t="shared" si="1"/>
        <v>0.90100364963503643</v>
      </c>
      <c r="L51" s="808">
        <v>7</v>
      </c>
      <c r="M51" s="463">
        <v>42863</v>
      </c>
      <c r="N51" s="1313">
        <v>1.0106329113924049</v>
      </c>
      <c r="O51" s="485"/>
      <c r="P51" s="485"/>
      <c r="Q51" s="485"/>
    </row>
    <row r="52" spans="1:26">
      <c r="A52" s="1472">
        <v>50</v>
      </c>
      <c r="B52" s="1422" t="s">
        <v>101</v>
      </c>
      <c r="C52" s="1403" t="s">
        <v>4009</v>
      </c>
      <c r="D52" s="1423">
        <v>30.96</v>
      </c>
      <c r="E52" s="1423">
        <v>23.699000000000002</v>
      </c>
      <c r="F52" s="1424" t="s">
        <v>4010</v>
      </c>
      <c r="G52" s="1431">
        <v>18.16</v>
      </c>
      <c r="H52" s="1463">
        <v>16.399999999999999</v>
      </c>
      <c r="I52" s="1423">
        <f t="shared" si="0"/>
        <v>0.90308370044052855</v>
      </c>
      <c r="J52" s="1423">
        <v>18.23</v>
      </c>
      <c r="K52" s="21">
        <f t="shared" si="1"/>
        <v>1.0038546255506609</v>
      </c>
      <c r="L52" s="808">
        <v>4</v>
      </c>
      <c r="M52" s="463">
        <v>42494</v>
      </c>
      <c r="N52" s="1313">
        <v>1.0082281952825012</v>
      </c>
      <c r="O52" s="485"/>
      <c r="P52" s="485"/>
      <c r="Q52" s="485"/>
    </row>
    <row r="53" spans="1:26" s="1286" customFormat="1">
      <c r="A53" s="1472">
        <v>51</v>
      </c>
      <c r="B53" s="1465" t="s">
        <v>2855</v>
      </c>
      <c r="C53" s="1375" t="s">
        <v>4210</v>
      </c>
      <c r="D53" s="782">
        <v>25.84</v>
      </c>
      <c r="E53" s="782">
        <v>25.84</v>
      </c>
      <c r="F53" s="1445" t="s">
        <v>4211</v>
      </c>
      <c r="G53" s="1445">
        <v>11.25</v>
      </c>
      <c r="H53" s="1464">
        <v>9.41</v>
      </c>
      <c r="I53" s="1423">
        <f t="shared" si="0"/>
        <v>0.83644444444444443</v>
      </c>
      <c r="J53" s="1332">
        <v>9.41</v>
      </c>
      <c r="K53" s="1331">
        <v>0.84</v>
      </c>
      <c r="L53" s="1444">
        <v>4</v>
      </c>
      <c r="M53" s="1334">
        <v>42859</v>
      </c>
      <c r="N53" s="821">
        <v>1.26</v>
      </c>
      <c r="O53" s="1455"/>
      <c r="P53" s="1455"/>
      <c r="Q53" s="1454"/>
      <c r="R53" s="24"/>
    </row>
    <row r="54" spans="1:26" s="1462" customFormat="1">
      <c r="A54" s="1472" t="s">
        <v>232</v>
      </c>
      <c r="B54" s="1466"/>
      <c r="C54" s="1375"/>
      <c r="D54" s="1375"/>
      <c r="E54" s="827"/>
      <c r="F54" s="782" t="s">
        <v>4212</v>
      </c>
      <c r="G54" s="1467">
        <v>10.85</v>
      </c>
      <c r="H54" s="1464">
        <v>9.41</v>
      </c>
      <c r="I54" s="1423">
        <f>H54/G54</f>
        <v>0.86728110599078345</v>
      </c>
      <c r="J54" s="1332">
        <v>9.41</v>
      </c>
      <c r="K54" s="1331">
        <v>0.87</v>
      </c>
      <c r="L54" s="1331"/>
      <c r="M54" s="1332"/>
      <c r="N54" s="782"/>
      <c r="O54" s="1456"/>
      <c r="P54" s="1455"/>
      <c r="Q54" s="1455"/>
      <c r="R54" s="1457"/>
      <c r="S54" s="1458"/>
      <c r="T54" s="1459"/>
      <c r="U54" s="1456"/>
      <c r="V54" s="1460"/>
      <c r="W54" s="1455"/>
      <c r="X54" s="1455"/>
      <c r="Y54" s="1461"/>
      <c r="Z54" s="485"/>
    </row>
    <row r="55" spans="1:26" s="1286" customFormat="1">
      <c r="A55" s="1472">
        <v>52</v>
      </c>
      <c r="B55" s="1446" t="s">
        <v>2850</v>
      </c>
      <c r="C55" s="1447" t="s">
        <v>4011</v>
      </c>
      <c r="D55" s="1448">
        <v>10</v>
      </c>
      <c r="E55" s="1448">
        <v>10</v>
      </c>
      <c r="F55" s="1449" t="s">
        <v>4012</v>
      </c>
      <c r="G55" s="1450">
        <v>13.09</v>
      </c>
      <c r="H55" s="1451">
        <v>6.84</v>
      </c>
      <c r="I55" s="1452">
        <f t="shared" si="0"/>
        <v>0.52253628724216961</v>
      </c>
      <c r="J55" s="1448">
        <v>10.119999999999999</v>
      </c>
      <c r="K55" s="1452">
        <f t="shared" si="1"/>
        <v>0.77310924369747891</v>
      </c>
      <c r="L55" s="1450">
        <v>7</v>
      </c>
      <c r="M55" s="1453">
        <v>42860</v>
      </c>
      <c r="N55" s="1452">
        <v>0.85869565217391308</v>
      </c>
    </row>
    <row r="56" spans="1:26" s="1286" customFormat="1">
      <c r="A56" s="1472">
        <v>53</v>
      </c>
      <c r="B56" s="1427" t="s">
        <v>2844</v>
      </c>
      <c r="C56" s="1403" t="s">
        <v>4013</v>
      </c>
      <c r="D56" s="1432">
        <v>2.3959959999999998</v>
      </c>
      <c r="E56" s="1345">
        <v>2.3959957489999999</v>
      </c>
      <c r="F56" s="1424" t="s">
        <v>4014</v>
      </c>
      <c r="G56" s="1433">
        <v>36.700000000000003</v>
      </c>
      <c r="H56" s="1441">
        <v>31.83</v>
      </c>
      <c r="I56" s="1332">
        <f t="shared" si="0"/>
        <v>0.86730245231607617</v>
      </c>
      <c r="J56" s="1345">
        <v>33.85</v>
      </c>
      <c r="K56" s="1346">
        <f t="shared" si="1"/>
        <v>0.92234332425068122</v>
      </c>
      <c r="L56" s="1284">
        <v>3</v>
      </c>
      <c r="M56" s="1347">
        <v>42865</v>
      </c>
      <c r="N56" s="1332">
        <v>0.91955928803545062</v>
      </c>
    </row>
    <row r="57" spans="1:26" s="1286" customFormat="1">
      <c r="A57" s="1472">
        <v>54</v>
      </c>
      <c r="B57" s="1426" t="s">
        <v>2839</v>
      </c>
      <c r="C57" s="1403" t="s">
        <v>4015</v>
      </c>
      <c r="D57" s="1360">
        <v>16.579999999999998</v>
      </c>
      <c r="E57" s="1360">
        <v>16.579999999999998</v>
      </c>
      <c r="F57" s="1424" t="s">
        <v>4016</v>
      </c>
      <c r="G57" s="1331">
        <v>43.25</v>
      </c>
      <c r="H57" s="1442">
        <v>18.37</v>
      </c>
      <c r="I57" s="1332">
        <f t="shared" si="0"/>
        <v>0.42473988439306359</v>
      </c>
      <c r="J57" s="1360">
        <v>35.979999999999997</v>
      </c>
      <c r="K57" s="1332">
        <f t="shared" si="1"/>
        <v>0.83190751445086697</v>
      </c>
      <c r="L57" s="1331">
        <v>7</v>
      </c>
      <c r="M57" s="1334">
        <v>42863</v>
      </c>
      <c r="N57" s="1332">
        <v>0.84380211228460267</v>
      </c>
    </row>
    <row r="58" spans="1:26" s="1286" customFormat="1">
      <c r="A58" s="1472">
        <v>55</v>
      </c>
      <c r="B58" s="1426" t="s">
        <v>2835</v>
      </c>
      <c r="C58" s="1403" t="s">
        <v>4017</v>
      </c>
      <c r="D58" s="1360">
        <v>4.45</v>
      </c>
      <c r="E58" s="1360">
        <v>4.45</v>
      </c>
      <c r="F58" s="1424" t="s">
        <v>4018</v>
      </c>
      <c r="G58" s="1331">
        <v>14.94</v>
      </c>
      <c r="H58" s="1442">
        <v>11.96</v>
      </c>
      <c r="I58" s="1332">
        <f t="shared" si="0"/>
        <v>0.80053547523427049</v>
      </c>
      <c r="J58" s="1360">
        <v>12.18</v>
      </c>
      <c r="K58" s="1332">
        <f t="shared" si="1"/>
        <v>0.81526104417670686</v>
      </c>
      <c r="L58" s="1331">
        <v>5</v>
      </c>
      <c r="M58" s="1334">
        <v>42863</v>
      </c>
      <c r="N58" s="1332">
        <v>0.74630541871921185</v>
      </c>
    </row>
    <row r="59" spans="1:26" s="1286" customFormat="1">
      <c r="A59" s="1472">
        <v>56</v>
      </c>
      <c r="B59" s="1426" t="s">
        <v>2831</v>
      </c>
      <c r="C59" s="1403" t="s">
        <v>4019</v>
      </c>
      <c r="D59" s="1360">
        <v>6.63</v>
      </c>
      <c r="E59" s="1360">
        <v>6.63</v>
      </c>
      <c r="F59" s="1424" t="s">
        <v>4020</v>
      </c>
      <c r="G59" s="1331">
        <v>40.39</v>
      </c>
      <c r="H59" s="1442">
        <v>33.24</v>
      </c>
      <c r="I59" s="1332">
        <f t="shared" si="0"/>
        <v>0.82297598415449369</v>
      </c>
      <c r="J59" s="1360">
        <v>34.5</v>
      </c>
      <c r="K59" s="1332">
        <f t="shared" si="1"/>
        <v>0.85417182470908637</v>
      </c>
      <c r="L59" s="1331">
        <v>2</v>
      </c>
      <c r="M59" s="1334">
        <v>42893</v>
      </c>
      <c r="N59" s="1332">
        <v>1.6046666666666669</v>
      </c>
    </row>
    <row r="60" spans="1:26" s="1286" customFormat="1">
      <c r="A60" s="1472">
        <v>57</v>
      </c>
      <c r="B60" s="1426" t="s">
        <v>2826</v>
      </c>
      <c r="C60" s="1403" t="s">
        <v>4021</v>
      </c>
      <c r="D60" s="1360">
        <v>6.21</v>
      </c>
      <c r="E60" s="1360">
        <v>6.21</v>
      </c>
      <c r="F60" s="1424" t="s">
        <v>4022</v>
      </c>
      <c r="G60" s="1331">
        <v>23.58</v>
      </c>
      <c r="H60" s="1442">
        <v>17.11</v>
      </c>
      <c r="I60" s="1332">
        <f t="shared" si="0"/>
        <v>0.72561492790500426</v>
      </c>
      <c r="J60" s="1360">
        <v>21.57</v>
      </c>
      <c r="K60" s="1332">
        <f t="shared" si="1"/>
        <v>0.91475826972010188</v>
      </c>
      <c r="L60" s="1331">
        <v>8</v>
      </c>
      <c r="M60" s="1334">
        <v>42873</v>
      </c>
      <c r="N60" s="1332">
        <v>0.69170143718127031</v>
      </c>
    </row>
    <row r="61" spans="1:26" s="1286" customFormat="1">
      <c r="A61" s="1472">
        <v>58</v>
      </c>
      <c r="B61" s="1426" t="s">
        <v>2822</v>
      </c>
      <c r="C61" s="1403" t="s">
        <v>4023</v>
      </c>
      <c r="D61" s="1360">
        <v>28</v>
      </c>
      <c r="E61" s="1360">
        <v>28</v>
      </c>
      <c r="F61" s="1424" t="s">
        <v>4024</v>
      </c>
      <c r="G61" s="1331">
        <v>36.85</v>
      </c>
      <c r="H61" s="1442">
        <v>30.66</v>
      </c>
      <c r="I61" s="1332">
        <f t="shared" si="0"/>
        <v>0.83202170963364985</v>
      </c>
      <c r="J61" s="1360">
        <v>30.68</v>
      </c>
      <c r="K61" s="1332">
        <f t="shared" si="1"/>
        <v>0.83256445047489824</v>
      </c>
      <c r="L61" s="1331">
        <v>7</v>
      </c>
      <c r="M61" s="1334">
        <v>42865</v>
      </c>
      <c r="N61" s="1332">
        <v>0.7708604954367666</v>
      </c>
    </row>
    <row r="62" spans="1:26" s="1286" customFormat="1">
      <c r="A62" s="1472" t="s">
        <v>232</v>
      </c>
      <c r="B62" s="1426"/>
      <c r="C62" s="1403" t="s">
        <v>232</v>
      </c>
      <c r="D62" s="1360"/>
      <c r="E62" s="1360"/>
      <c r="F62" s="1424" t="s">
        <v>4025</v>
      </c>
      <c r="G62" s="1331">
        <v>36.799999999999997</v>
      </c>
      <c r="H62" s="1442">
        <v>30.66</v>
      </c>
      <c r="I62" s="1332">
        <f>H61/G62</f>
        <v>0.83315217391304353</v>
      </c>
      <c r="J62" s="1360">
        <v>30.68</v>
      </c>
      <c r="K62" s="1332">
        <f>J61/G62</f>
        <v>0.83369565217391306</v>
      </c>
      <c r="L62" s="1331"/>
      <c r="M62" s="1334"/>
      <c r="N62" s="1332"/>
    </row>
    <row r="63" spans="1:26" s="1286" customFormat="1">
      <c r="A63" s="1472" t="s">
        <v>232</v>
      </c>
      <c r="B63" s="1426"/>
      <c r="C63" s="1403" t="s">
        <v>232</v>
      </c>
      <c r="D63" s="1360"/>
      <c r="E63" s="1360"/>
      <c r="F63" s="1424" t="s">
        <v>4026</v>
      </c>
      <c r="G63" s="1331">
        <v>36.11</v>
      </c>
      <c r="H63" s="1442">
        <v>30.66</v>
      </c>
      <c r="I63" s="1332">
        <f>H61/G63</f>
        <v>0.84907227914705075</v>
      </c>
      <c r="J63" s="1360">
        <v>30.68</v>
      </c>
      <c r="K63" s="1332">
        <f>J61/G63</f>
        <v>0.84962614234284128</v>
      </c>
      <c r="L63" s="1331"/>
      <c r="M63" s="1334"/>
      <c r="N63" s="1332"/>
    </row>
    <row r="64" spans="1:26" s="1286" customFormat="1">
      <c r="A64" s="1472">
        <v>59</v>
      </c>
      <c r="B64" s="1426" t="s">
        <v>2815</v>
      </c>
      <c r="C64" s="1403" t="s">
        <v>4027</v>
      </c>
      <c r="D64" s="1360">
        <v>35.65</v>
      </c>
      <c r="E64" s="1360">
        <v>33.68</v>
      </c>
      <c r="F64" s="1424" t="s">
        <v>4028</v>
      </c>
      <c r="G64" s="1331">
        <v>26.3</v>
      </c>
      <c r="H64" s="1442">
        <v>22.82</v>
      </c>
      <c r="I64" s="1332">
        <f>H64/G64</f>
        <v>0.86768060836501903</v>
      </c>
      <c r="J64" s="1360">
        <v>22.82</v>
      </c>
      <c r="K64" s="1332">
        <f>J64/G64</f>
        <v>0.86768060836501903</v>
      </c>
      <c r="L64" s="1331">
        <v>8</v>
      </c>
      <c r="M64" s="1334">
        <v>42866</v>
      </c>
      <c r="N64" s="1332">
        <v>0.91849255039439093</v>
      </c>
    </row>
    <row r="65" spans="1:14" s="1286" customFormat="1">
      <c r="A65" s="1472" t="s">
        <v>232</v>
      </c>
      <c r="B65" s="1426"/>
      <c r="C65" s="1403" t="s">
        <v>232</v>
      </c>
      <c r="D65" s="1360"/>
      <c r="E65" s="1360"/>
      <c r="F65" s="1424" t="s">
        <v>4029</v>
      </c>
      <c r="G65" s="1331">
        <v>29.66</v>
      </c>
      <c r="H65" s="1442">
        <v>22.82</v>
      </c>
      <c r="I65" s="1332">
        <f>H64/G65</f>
        <v>0.76938637896156437</v>
      </c>
      <c r="J65" s="1360">
        <v>22.82</v>
      </c>
      <c r="K65" s="1332">
        <f>J64/G65</f>
        <v>0.76938637896156437</v>
      </c>
      <c r="L65" s="1331"/>
      <c r="M65" s="1334"/>
      <c r="N65" s="1332"/>
    </row>
    <row r="66" spans="1:14" s="1286" customFormat="1">
      <c r="A66" s="1472">
        <v>60</v>
      </c>
      <c r="B66" s="1426" t="s">
        <v>2809</v>
      </c>
      <c r="C66" s="1403" t="s">
        <v>4030</v>
      </c>
      <c r="D66" s="1360">
        <v>49</v>
      </c>
      <c r="E66" s="1360">
        <v>31.68</v>
      </c>
      <c r="F66" s="1424" t="s">
        <v>4031</v>
      </c>
      <c r="G66" s="1331">
        <v>67.39</v>
      </c>
      <c r="H66" s="1442">
        <v>58.84</v>
      </c>
      <c r="I66" s="1332">
        <f>H66/G66</f>
        <v>0.87312657664341897</v>
      </c>
      <c r="J66" s="1360">
        <v>58.84</v>
      </c>
      <c r="K66" s="1332">
        <f>J66/G66</f>
        <v>0.87312657664341897</v>
      </c>
      <c r="L66" s="1331">
        <v>3</v>
      </c>
      <c r="M66" s="1334">
        <v>42866</v>
      </c>
      <c r="N66" s="1332">
        <v>1.7413324269204622</v>
      </c>
    </row>
    <row r="67" spans="1:14" s="1286" customFormat="1">
      <c r="A67" s="1472" t="s">
        <v>232</v>
      </c>
      <c r="B67" s="1426"/>
      <c r="C67" s="1403" t="s">
        <v>232</v>
      </c>
      <c r="D67" s="1360"/>
      <c r="E67" s="1360"/>
      <c r="F67" s="1424" t="s">
        <v>4032</v>
      </c>
      <c r="G67" s="1331">
        <v>67.39</v>
      </c>
      <c r="H67" s="1442">
        <v>58.84</v>
      </c>
      <c r="I67" s="1332">
        <f>H66/G67</f>
        <v>0.87312657664341897</v>
      </c>
      <c r="J67" s="1360">
        <v>58.84</v>
      </c>
      <c r="K67" s="1332">
        <f>J66/G67</f>
        <v>0.87312657664341897</v>
      </c>
      <c r="L67" s="1331"/>
      <c r="M67" s="1334"/>
      <c r="N67" s="1332"/>
    </row>
    <row r="68" spans="1:14" s="1286" customFormat="1">
      <c r="A68" s="1472">
        <v>61</v>
      </c>
      <c r="B68" s="1425" t="s">
        <v>2804</v>
      </c>
      <c r="C68" s="1403" t="s">
        <v>4033</v>
      </c>
      <c r="D68" s="1360">
        <v>7.78</v>
      </c>
      <c r="E68" s="1360">
        <v>7.78</v>
      </c>
      <c r="F68" s="1424" t="s">
        <v>4034</v>
      </c>
      <c r="G68" s="1331">
        <v>32.700000000000003</v>
      </c>
      <c r="H68" s="1442">
        <v>25.65</v>
      </c>
      <c r="I68" s="1332">
        <f t="shared" ref="I68:I89" si="2">H68/G68</f>
        <v>0.78440366972477049</v>
      </c>
      <c r="J68" s="1360">
        <v>30</v>
      </c>
      <c r="K68" s="1332">
        <f t="shared" ref="K68:K89" si="3">J68/G68</f>
        <v>0.9174311926605504</v>
      </c>
      <c r="L68" s="1331">
        <v>7</v>
      </c>
      <c r="M68" s="1334">
        <v>42870</v>
      </c>
      <c r="N68" s="1332">
        <v>1.1606666666666667</v>
      </c>
    </row>
    <row r="69" spans="1:14" s="1286" customFormat="1">
      <c r="A69" s="1472">
        <v>62</v>
      </c>
      <c r="B69" s="1426" t="s">
        <v>2799</v>
      </c>
      <c r="C69" s="1403" t="s">
        <v>4035</v>
      </c>
      <c r="D69" s="1360">
        <v>16</v>
      </c>
      <c r="E69" s="1360">
        <v>16</v>
      </c>
      <c r="F69" s="1424" t="s">
        <v>4036</v>
      </c>
      <c r="G69" s="1331">
        <v>7.03</v>
      </c>
      <c r="H69" s="1442">
        <v>6.32</v>
      </c>
      <c r="I69" s="1332">
        <f t="shared" si="2"/>
        <v>0.89900426742532002</v>
      </c>
      <c r="J69" s="1360">
        <v>6.36</v>
      </c>
      <c r="K69" s="1332">
        <f t="shared" si="3"/>
        <v>0.90469416785206258</v>
      </c>
      <c r="L69" s="1331">
        <v>8</v>
      </c>
      <c r="M69" s="1334">
        <v>42870</v>
      </c>
      <c r="N69" s="1332">
        <v>1.1069182389937107</v>
      </c>
    </row>
    <row r="70" spans="1:14" s="1286" customFormat="1">
      <c r="A70" s="1472">
        <v>63</v>
      </c>
      <c r="B70" s="1425" t="s">
        <v>2795</v>
      </c>
      <c r="C70" s="1403" t="s">
        <v>4037</v>
      </c>
      <c r="D70" s="1360">
        <v>6.42</v>
      </c>
      <c r="E70" s="1360">
        <v>6.42</v>
      </c>
      <c r="F70" s="1424" t="s">
        <v>4038</v>
      </c>
      <c r="G70" s="1331">
        <v>23.31</v>
      </c>
      <c r="H70" s="1442">
        <v>19.59</v>
      </c>
      <c r="I70" s="1332">
        <f t="shared" si="2"/>
        <v>0.84041184041184047</v>
      </c>
      <c r="J70" s="1360">
        <v>22.8</v>
      </c>
      <c r="K70" s="1332">
        <f t="shared" si="3"/>
        <v>0.9781209781209782</v>
      </c>
      <c r="L70" s="1331">
        <v>7</v>
      </c>
      <c r="M70" s="1334">
        <v>42867</v>
      </c>
      <c r="N70" s="1332">
        <v>1.4565789473684208</v>
      </c>
    </row>
    <row r="71" spans="1:14" s="1286" customFormat="1">
      <c r="A71" s="1472">
        <v>64</v>
      </c>
      <c r="B71" s="1426" t="s">
        <v>2790</v>
      </c>
      <c r="C71" s="1403" t="s">
        <v>4039</v>
      </c>
      <c r="D71" s="1360">
        <v>2.96</v>
      </c>
      <c r="E71" s="1360">
        <v>2.96</v>
      </c>
      <c r="F71" s="1424" t="s">
        <v>4040</v>
      </c>
      <c r="G71" s="1331">
        <v>47.22</v>
      </c>
      <c r="H71" s="1442">
        <v>40.76</v>
      </c>
      <c r="I71" s="1332">
        <f t="shared" si="2"/>
        <v>0.86319356204997877</v>
      </c>
      <c r="J71" s="1360">
        <v>47.27</v>
      </c>
      <c r="K71" s="1332">
        <f t="shared" si="3"/>
        <v>1.0010588733587464</v>
      </c>
      <c r="L71" s="1331">
        <v>4</v>
      </c>
      <c r="M71" s="1334">
        <v>42506</v>
      </c>
      <c r="N71" s="1332">
        <v>1.3209223609054368</v>
      </c>
    </row>
    <row r="72" spans="1:14" s="1286" customFormat="1">
      <c r="A72" s="1472">
        <v>65</v>
      </c>
      <c r="B72" s="1426" t="s">
        <v>2785</v>
      </c>
      <c r="C72" s="1403" t="s">
        <v>4041</v>
      </c>
      <c r="D72" s="1360">
        <v>17.2</v>
      </c>
      <c r="E72" s="1360">
        <v>17.2</v>
      </c>
      <c r="F72" s="1424" t="s">
        <v>4042</v>
      </c>
      <c r="G72" s="1331">
        <v>7.3</v>
      </c>
      <c r="H72" s="1442">
        <v>6.23</v>
      </c>
      <c r="I72" s="1332">
        <f t="shared" si="2"/>
        <v>0.85342465753424668</v>
      </c>
      <c r="J72" s="1360">
        <v>6.4</v>
      </c>
      <c r="K72" s="1332">
        <f t="shared" si="3"/>
        <v>0.87671232876712335</v>
      </c>
      <c r="L72" s="1331">
        <v>7</v>
      </c>
      <c r="M72" s="1334">
        <v>42878</v>
      </c>
      <c r="N72" s="1332">
        <v>0.94374999999999998</v>
      </c>
    </row>
    <row r="73" spans="1:14" s="1286" customFormat="1">
      <c r="A73" s="1472">
        <v>66</v>
      </c>
      <c r="B73" s="1426" t="s">
        <v>2781</v>
      </c>
      <c r="C73" s="1403" t="s">
        <v>4043</v>
      </c>
      <c r="D73" s="1360">
        <v>40</v>
      </c>
      <c r="E73" s="1360">
        <v>40</v>
      </c>
      <c r="F73" s="1424" t="s">
        <v>4044</v>
      </c>
      <c r="G73" s="1331">
        <v>21.82</v>
      </c>
      <c r="H73" s="1442">
        <v>19.399999999999999</v>
      </c>
      <c r="I73" s="1332">
        <f t="shared" si="2"/>
        <v>0.88909257561869837</v>
      </c>
      <c r="J73" s="1360">
        <v>19.48</v>
      </c>
      <c r="K73" s="1332">
        <f t="shared" si="3"/>
        <v>0.8927589367552704</v>
      </c>
      <c r="L73" s="1331">
        <v>4</v>
      </c>
      <c r="M73" s="1334">
        <v>42872</v>
      </c>
      <c r="N73" s="1332">
        <v>0.69753593429158101</v>
      </c>
    </row>
    <row r="74" spans="1:14" s="1286" customFormat="1">
      <c r="A74" s="1472">
        <v>67</v>
      </c>
      <c r="B74" s="1426" t="s">
        <v>2776</v>
      </c>
      <c r="C74" s="1403" t="s">
        <v>4045</v>
      </c>
      <c r="D74" s="1360">
        <v>7.2</v>
      </c>
      <c r="E74" s="1360">
        <v>7.2</v>
      </c>
      <c r="F74" s="1424" t="s">
        <v>4046</v>
      </c>
      <c r="G74" s="1331">
        <v>11.11</v>
      </c>
      <c r="H74" s="1442">
        <v>9.02</v>
      </c>
      <c r="I74" s="1332">
        <f t="shared" si="2"/>
        <v>0.81188118811881194</v>
      </c>
      <c r="J74" s="1360">
        <v>11.19</v>
      </c>
      <c r="K74" s="1332">
        <f t="shared" si="3"/>
        <v>1.0072007200720072</v>
      </c>
      <c r="L74" s="1331">
        <v>3</v>
      </c>
      <c r="M74" s="1334">
        <v>42872</v>
      </c>
      <c r="N74" s="1332">
        <v>1.3065236818588024</v>
      </c>
    </row>
    <row r="75" spans="1:14" s="1286" customFormat="1">
      <c r="A75" s="1472">
        <v>68</v>
      </c>
      <c r="B75" s="1426" t="s">
        <v>2772</v>
      </c>
      <c r="C75" s="1403" t="s">
        <v>4047</v>
      </c>
      <c r="D75" s="1360">
        <v>17.96</v>
      </c>
      <c r="E75" s="1360">
        <v>17.96</v>
      </c>
      <c r="F75" s="1424" t="s">
        <v>4048</v>
      </c>
      <c r="G75" s="1331">
        <v>25.7</v>
      </c>
      <c r="H75" s="1442">
        <v>22.06</v>
      </c>
      <c r="I75" s="1332">
        <f t="shared" si="2"/>
        <v>0.85836575875486376</v>
      </c>
      <c r="J75" s="1360">
        <v>22.88</v>
      </c>
      <c r="K75" s="1332">
        <f t="shared" si="3"/>
        <v>0.89027237354085598</v>
      </c>
      <c r="L75" s="1331">
        <v>5</v>
      </c>
      <c r="M75" s="1334">
        <v>42872</v>
      </c>
      <c r="N75" s="1332">
        <v>0.84090909090909083</v>
      </c>
    </row>
    <row r="76" spans="1:14" s="1286" customFormat="1">
      <c r="A76" s="1472">
        <v>69</v>
      </c>
      <c r="B76" s="1426" t="s">
        <v>2767</v>
      </c>
      <c r="C76" s="1403" t="s">
        <v>4049</v>
      </c>
      <c r="D76" s="1360">
        <v>3.2</v>
      </c>
      <c r="E76" s="1360">
        <v>3.2</v>
      </c>
      <c r="F76" s="1424" t="s">
        <v>4050</v>
      </c>
      <c r="G76" s="1331">
        <v>37.06</v>
      </c>
      <c r="H76" s="1442">
        <v>32.9</v>
      </c>
      <c r="I76" s="1332">
        <f t="shared" si="2"/>
        <v>0.88774959525094432</v>
      </c>
      <c r="J76" s="1360">
        <v>33.5</v>
      </c>
      <c r="K76" s="1332">
        <f t="shared" si="3"/>
        <v>0.90393955747436583</v>
      </c>
      <c r="L76" s="1331">
        <v>2</v>
      </c>
      <c r="M76" s="1334">
        <v>42874</v>
      </c>
      <c r="N76" s="1332">
        <v>1.0791044776119403</v>
      </c>
    </row>
    <row r="77" spans="1:14" s="1286" customFormat="1">
      <c r="A77" s="1472">
        <v>70</v>
      </c>
      <c r="B77" s="1426" t="s">
        <v>2762</v>
      </c>
      <c r="C77" s="1403" t="s">
        <v>4051</v>
      </c>
      <c r="D77" s="1360">
        <v>9.11</v>
      </c>
      <c r="E77" s="1360">
        <v>7.6</v>
      </c>
      <c r="F77" s="1424" t="s">
        <v>4052</v>
      </c>
      <c r="G77" s="1331">
        <v>9.11</v>
      </c>
      <c r="H77" s="1442">
        <v>7.44</v>
      </c>
      <c r="I77" s="1332">
        <f t="shared" si="2"/>
        <v>0.81668496158068071</v>
      </c>
      <c r="J77" s="1360">
        <v>7.6</v>
      </c>
      <c r="K77" s="1332">
        <f t="shared" si="3"/>
        <v>0.83424807903402853</v>
      </c>
      <c r="L77" s="1331">
        <v>2</v>
      </c>
      <c r="M77" s="1334">
        <v>42877</v>
      </c>
      <c r="N77" s="1332">
        <v>0.83289473684210535</v>
      </c>
    </row>
    <row r="78" spans="1:14" s="1286" customFormat="1">
      <c r="A78" s="1472">
        <v>71</v>
      </c>
      <c r="B78" s="1426" t="s">
        <v>2759</v>
      </c>
      <c r="C78" s="1403" t="s">
        <v>4053</v>
      </c>
      <c r="D78" s="1360">
        <v>50</v>
      </c>
      <c r="E78" s="1360">
        <v>50</v>
      </c>
      <c r="F78" s="1424" t="s">
        <v>4054</v>
      </c>
      <c r="G78" s="1331">
        <v>125</v>
      </c>
      <c r="H78" s="1442">
        <v>29.58</v>
      </c>
      <c r="I78" s="1332">
        <f t="shared" si="2"/>
        <v>0.23663999999999999</v>
      </c>
      <c r="J78" s="1360">
        <v>94</v>
      </c>
      <c r="K78" s="1332">
        <f t="shared" si="3"/>
        <v>0.752</v>
      </c>
      <c r="L78" s="1331">
        <v>8</v>
      </c>
      <c r="M78" s="1334">
        <v>42881</v>
      </c>
      <c r="N78" s="1332">
        <v>1.7553191489361701</v>
      </c>
    </row>
    <row r="79" spans="1:14" s="1286" customFormat="1">
      <c r="A79" s="1472">
        <v>72</v>
      </c>
      <c r="B79" s="1426" t="s">
        <v>2753</v>
      </c>
      <c r="C79" s="1403" t="s">
        <v>4055</v>
      </c>
      <c r="D79" s="1360">
        <v>87.35</v>
      </c>
      <c r="E79" s="1360">
        <v>87.03</v>
      </c>
      <c r="F79" s="1424" t="s">
        <v>4056</v>
      </c>
      <c r="G79" s="1331">
        <v>6.63</v>
      </c>
      <c r="H79" s="1442">
        <v>7.31</v>
      </c>
      <c r="I79" s="1332">
        <f t="shared" si="2"/>
        <v>1.1025641025641024</v>
      </c>
      <c r="J79" s="1360">
        <v>7.31</v>
      </c>
      <c r="K79" s="1332">
        <f t="shared" si="3"/>
        <v>1.1025641025641024</v>
      </c>
      <c r="L79" s="1331">
        <v>5</v>
      </c>
      <c r="M79" s="1334">
        <v>42881</v>
      </c>
      <c r="N79" s="1332">
        <v>0.86867305061559508</v>
      </c>
    </row>
    <row r="80" spans="1:14" s="1286" customFormat="1">
      <c r="A80" s="1472">
        <v>73</v>
      </c>
      <c r="B80" s="1426" t="s">
        <v>2749</v>
      </c>
      <c r="C80" s="1403" t="s">
        <v>4057</v>
      </c>
      <c r="D80" s="1360">
        <v>5.4</v>
      </c>
      <c r="E80" s="1360">
        <v>5.4</v>
      </c>
      <c r="F80" s="1424" t="s">
        <v>4058</v>
      </c>
      <c r="G80" s="1331">
        <v>39.18</v>
      </c>
      <c r="H80" s="1442">
        <v>32.89</v>
      </c>
      <c r="I80" s="1332">
        <f t="shared" si="2"/>
        <v>0.83945890760592146</v>
      </c>
      <c r="J80" s="1360">
        <v>36.1</v>
      </c>
      <c r="K80" s="1332">
        <f t="shared" si="3"/>
        <v>0.92138846350178671</v>
      </c>
      <c r="L80" s="1331">
        <v>3</v>
      </c>
      <c r="M80" s="1334">
        <v>42888</v>
      </c>
      <c r="N80" s="1332">
        <v>0.9157894736842106</v>
      </c>
    </row>
    <row r="81" spans="1:14" s="1286" customFormat="1">
      <c r="A81" s="1472">
        <v>74</v>
      </c>
      <c r="B81" s="1426" t="s">
        <v>2744</v>
      </c>
      <c r="C81" s="1403" t="s">
        <v>4059</v>
      </c>
      <c r="D81" s="1360">
        <v>23.48</v>
      </c>
      <c r="E81" s="1360">
        <v>23.48</v>
      </c>
      <c r="F81" s="1424" t="s">
        <v>4060</v>
      </c>
      <c r="G81" s="1331">
        <v>31.25</v>
      </c>
      <c r="H81" s="1442">
        <v>28</v>
      </c>
      <c r="I81" s="1332">
        <f t="shared" si="2"/>
        <v>0.89600000000000002</v>
      </c>
      <c r="J81" s="1360">
        <v>28.01</v>
      </c>
      <c r="K81" s="1332">
        <f t="shared" si="3"/>
        <v>0.89632000000000001</v>
      </c>
      <c r="L81" s="1331">
        <v>5</v>
      </c>
      <c r="M81" s="1334">
        <v>42886</v>
      </c>
      <c r="N81" s="1332">
        <v>1.1113887897179577</v>
      </c>
    </row>
    <row r="82" spans="1:14" s="1286" customFormat="1">
      <c r="A82" s="1472">
        <v>75</v>
      </c>
      <c r="B82" s="1426" t="s">
        <v>2740</v>
      </c>
      <c r="C82" s="1403" t="s">
        <v>4061</v>
      </c>
      <c r="D82" s="1360">
        <v>12</v>
      </c>
      <c r="E82" s="1360">
        <v>11.4</v>
      </c>
      <c r="F82" s="1424" t="s">
        <v>4062</v>
      </c>
      <c r="G82" s="1331">
        <v>20.45</v>
      </c>
      <c r="H82" s="1442">
        <v>17.62</v>
      </c>
      <c r="I82" s="1332">
        <f t="shared" si="2"/>
        <v>0.86161369193154047</v>
      </c>
      <c r="J82" s="1360">
        <v>19</v>
      </c>
      <c r="K82" s="1332">
        <f t="shared" si="3"/>
        <v>0.92909535452322745</v>
      </c>
      <c r="L82" s="1331">
        <v>4</v>
      </c>
      <c r="M82" s="1334">
        <v>42888</v>
      </c>
      <c r="N82" s="1332">
        <v>0.78</v>
      </c>
    </row>
    <row r="83" spans="1:14" s="1286" customFormat="1">
      <c r="A83" s="1472">
        <v>76</v>
      </c>
      <c r="B83" s="1426" t="s">
        <v>2735</v>
      </c>
      <c r="C83" s="1403" t="s">
        <v>4063</v>
      </c>
      <c r="D83" s="1360">
        <v>49</v>
      </c>
      <c r="E83" s="1360">
        <v>49</v>
      </c>
      <c r="F83" s="1424" t="s">
        <v>4064</v>
      </c>
      <c r="G83" s="1331">
        <v>4.0199999999999996</v>
      </c>
      <c r="H83" s="1442">
        <v>3.98</v>
      </c>
      <c r="I83" s="1332">
        <f t="shared" si="2"/>
        <v>0.99004975124378114</v>
      </c>
      <c r="J83" s="1360">
        <v>3.98</v>
      </c>
      <c r="K83" s="1332">
        <f t="shared" si="3"/>
        <v>0.99004975124378114</v>
      </c>
      <c r="L83" s="1331">
        <v>8</v>
      </c>
      <c r="M83" s="1334">
        <v>42886</v>
      </c>
      <c r="N83" s="1332">
        <v>0.89698492462311552</v>
      </c>
    </row>
    <row r="84" spans="1:14" s="1286" customFormat="1">
      <c r="A84" s="1472">
        <v>77</v>
      </c>
      <c r="B84" s="1426" t="s">
        <v>2729</v>
      </c>
      <c r="C84" s="1403" t="s">
        <v>4065</v>
      </c>
      <c r="D84" s="1360">
        <v>12.83</v>
      </c>
      <c r="E84" s="1360">
        <v>12.7</v>
      </c>
      <c r="F84" s="1424" t="s">
        <v>4066</v>
      </c>
      <c r="G84" s="1331">
        <v>17.3</v>
      </c>
      <c r="H84" s="1442">
        <v>15.63</v>
      </c>
      <c r="I84" s="1332">
        <f t="shared" si="2"/>
        <v>0.90346820809248551</v>
      </c>
      <c r="J84" s="1360">
        <v>15.88</v>
      </c>
      <c r="K84" s="1332">
        <f t="shared" si="3"/>
        <v>0.91791907514450866</v>
      </c>
      <c r="L84" s="1331">
        <v>5</v>
      </c>
      <c r="M84" s="1334">
        <v>42898</v>
      </c>
      <c r="N84" s="1332">
        <v>0.72040302267002509</v>
      </c>
    </row>
    <row r="85" spans="1:14" s="1286" customFormat="1">
      <c r="A85" s="1472">
        <v>78</v>
      </c>
      <c r="B85" s="1426" t="s">
        <v>2725</v>
      </c>
      <c r="C85" s="1403" t="s">
        <v>4067</v>
      </c>
      <c r="D85" s="1360">
        <v>16</v>
      </c>
      <c r="E85" s="1360">
        <v>16</v>
      </c>
      <c r="F85" s="1424" t="s">
        <v>4068</v>
      </c>
      <c r="G85" s="1331">
        <v>5.13</v>
      </c>
      <c r="H85" s="1442">
        <v>6.01</v>
      </c>
      <c r="I85" s="1332">
        <f t="shared" si="2"/>
        <v>1.1715399610136452</v>
      </c>
      <c r="J85" s="1360">
        <v>6.01</v>
      </c>
      <c r="K85" s="1332">
        <f t="shared" si="3"/>
        <v>1.1715399610136452</v>
      </c>
      <c r="L85" s="1331">
        <v>1</v>
      </c>
      <c r="M85" s="1334">
        <v>42893</v>
      </c>
      <c r="N85" s="1332">
        <v>0.7470881863560731</v>
      </c>
    </row>
    <row r="86" spans="1:14" s="1286" customFormat="1">
      <c r="A86" s="1472">
        <v>79</v>
      </c>
      <c r="B86" s="1426" t="s">
        <v>2721</v>
      </c>
      <c r="C86" s="1403" t="s">
        <v>4069</v>
      </c>
      <c r="D86" s="1360">
        <v>30</v>
      </c>
      <c r="E86" s="1360">
        <v>30</v>
      </c>
      <c r="F86" s="1424" t="s">
        <v>4070</v>
      </c>
      <c r="G86" s="1331">
        <v>14.5</v>
      </c>
      <c r="H86" s="1442">
        <v>13.35</v>
      </c>
      <c r="I86" s="1332">
        <f t="shared" si="2"/>
        <v>0.92068965517241375</v>
      </c>
      <c r="J86" s="1360">
        <v>13.63</v>
      </c>
      <c r="K86" s="1332">
        <f t="shared" si="3"/>
        <v>0.94000000000000006</v>
      </c>
      <c r="L86" s="1331">
        <v>5</v>
      </c>
      <c r="M86" s="1334">
        <v>42893</v>
      </c>
      <c r="N86" s="1332">
        <v>0.75128393250183412</v>
      </c>
    </row>
    <row r="87" spans="1:14" s="1286" customFormat="1">
      <c r="A87" s="1472">
        <v>80</v>
      </c>
      <c r="B87" s="1426" t="s">
        <v>2716</v>
      </c>
      <c r="C87" s="1403" t="s">
        <v>4071</v>
      </c>
      <c r="D87" s="1360">
        <v>7.8</v>
      </c>
      <c r="E87" s="1360">
        <v>7.62</v>
      </c>
      <c r="F87" s="1424" t="s">
        <v>4072</v>
      </c>
      <c r="G87" s="1331">
        <v>7.12</v>
      </c>
      <c r="H87" s="1442">
        <v>6.99</v>
      </c>
      <c r="I87" s="1332">
        <f t="shared" si="2"/>
        <v>0.9817415730337079</v>
      </c>
      <c r="J87" s="1360">
        <v>6.99</v>
      </c>
      <c r="K87" s="1332">
        <f t="shared" si="3"/>
        <v>0.9817415730337079</v>
      </c>
      <c r="L87" s="1331">
        <v>5</v>
      </c>
      <c r="M87" s="1334">
        <v>42894</v>
      </c>
      <c r="N87" s="1332">
        <v>0.97567954220314734</v>
      </c>
    </row>
    <row r="88" spans="1:14" s="1286" customFormat="1">
      <c r="A88" s="1472">
        <v>81</v>
      </c>
      <c r="B88" s="1426" t="s">
        <v>2711</v>
      </c>
      <c r="C88" s="1403" t="s">
        <v>4073</v>
      </c>
      <c r="D88" s="1360">
        <v>30</v>
      </c>
      <c r="E88" s="1360">
        <v>30</v>
      </c>
      <c r="F88" s="1424" t="s">
        <v>4074</v>
      </c>
      <c r="G88" s="1331">
        <v>11.56</v>
      </c>
      <c r="H88" s="1442">
        <v>11.18</v>
      </c>
      <c r="I88" s="1332">
        <f t="shared" si="2"/>
        <v>0.96712802768166084</v>
      </c>
      <c r="J88" s="1360">
        <v>11.18</v>
      </c>
      <c r="K88" s="1332">
        <f t="shared" si="3"/>
        <v>0.96712802768166084</v>
      </c>
      <c r="L88" s="1331">
        <v>6</v>
      </c>
      <c r="M88" s="1334">
        <v>42894</v>
      </c>
      <c r="N88" s="1332">
        <v>1.0912343470483006</v>
      </c>
    </row>
    <row r="89" spans="1:14" s="1286" customFormat="1">
      <c r="A89" s="1472">
        <v>82</v>
      </c>
      <c r="B89" s="1426" t="s">
        <v>2706</v>
      </c>
      <c r="C89" s="1403" t="s">
        <v>4075</v>
      </c>
      <c r="D89" s="1360">
        <v>14.85</v>
      </c>
      <c r="E89" s="1360">
        <v>14.04</v>
      </c>
      <c r="F89" s="1424" t="s">
        <v>4076</v>
      </c>
      <c r="G89" s="1331">
        <v>7.5</v>
      </c>
      <c r="H89" s="1442">
        <v>7.42</v>
      </c>
      <c r="I89" s="1332">
        <f t="shared" si="2"/>
        <v>0.98933333333333329</v>
      </c>
      <c r="J89" s="1360">
        <v>7.42</v>
      </c>
      <c r="K89" s="1332">
        <f t="shared" si="3"/>
        <v>0.98933333333333329</v>
      </c>
      <c r="L89" s="1331">
        <v>4</v>
      </c>
      <c r="M89" s="1334">
        <v>42535</v>
      </c>
      <c r="N89" s="1332">
        <v>1.1105121293800539</v>
      </c>
    </row>
    <row r="90" spans="1:14" s="1286" customFormat="1">
      <c r="A90" s="1472" t="s">
        <v>232</v>
      </c>
      <c r="B90" s="1426"/>
      <c r="C90" s="1403" t="s">
        <v>232</v>
      </c>
      <c r="D90" s="1360"/>
      <c r="E90" s="1360"/>
      <c r="F90" s="1424" t="s">
        <v>4077</v>
      </c>
      <c r="G90" s="1331">
        <v>7.5</v>
      </c>
      <c r="H90" s="1442">
        <v>7.42</v>
      </c>
      <c r="I90" s="1332">
        <f>H89/G90</f>
        <v>0.98933333333333329</v>
      </c>
      <c r="J90" s="1360">
        <v>7.42</v>
      </c>
      <c r="K90" s="1332">
        <f>J89/G90</f>
        <v>0.98933333333333329</v>
      </c>
      <c r="L90" s="1331"/>
      <c r="M90" s="1334"/>
      <c r="N90" s="1332"/>
    </row>
    <row r="91" spans="1:14" s="1286" customFormat="1">
      <c r="A91" s="1472" t="s">
        <v>232</v>
      </c>
      <c r="B91" s="1426"/>
      <c r="C91" s="1403" t="s">
        <v>232</v>
      </c>
      <c r="D91" s="1360"/>
      <c r="E91" s="1360"/>
      <c r="F91" s="1424" t="s">
        <v>4078</v>
      </c>
      <c r="G91" s="1331">
        <v>7.5</v>
      </c>
      <c r="H91" s="1442">
        <v>7.42</v>
      </c>
      <c r="I91" s="1332">
        <f>H89/G91</f>
        <v>0.98933333333333329</v>
      </c>
      <c r="J91" s="1360">
        <v>7.42</v>
      </c>
      <c r="K91" s="1332">
        <f>J89/G91</f>
        <v>0.98933333333333329</v>
      </c>
      <c r="L91" s="1331"/>
      <c r="M91" s="1334"/>
      <c r="N91" s="1332"/>
    </row>
    <row r="92" spans="1:14" s="1286" customFormat="1">
      <c r="A92" s="1472">
        <v>83</v>
      </c>
      <c r="B92" s="1426" t="s">
        <v>2699</v>
      </c>
      <c r="C92" s="1403" t="s">
        <v>4079</v>
      </c>
      <c r="D92" s="1360">
        <v>1.32</v>
      </c>
      <c r="E92" s="1360">
        <v>1.32</v>
      </c>
      <c r="F92" s="1424" t="s">
        <v>4080</v>
      </c>
      <c r="G92" s="1331">
        <v>40.72</v>
      </c>
      <c r="H92" s="1442">
        <v>36.35</v>
      </c>
      <c r="I92" s="1332">
        <f t="shared" ref="I92:I107" si="4">H92/G92</f>
        <v>0.89268172888015718</v>
      </c>
      <c r="J92" s="1360">
        <v>36.35</v>
      </c>
      <c r="K92" s="1332">
        <f t="shared" ref="K92:K107" si="5">J92/G92</f>
        <v>0.89268172888015718</v>
      </c>
      <c r="L92" s="1331">
        <v>2</v>
      </c>
      <c r="M92" s="1334">
        <v>42901</v>
      </c>
      <c r="N92" s="1332">
        <v>0.73342503438789541</v>
      </c>
    </row>
    <row r="93" spans="1:14" s="1286" customFormat="1">
      <c r="A93" s="1472">
        <v>84</v>
      </c>
      <c r="B93" s="1426" t="s">
        <v>2695</v>
      </c>
      <c r="C93" s="1403" t="s">
        <v>4081</v>
      </c>
      <c r="D93" s="1360">
        <v>5.93</v>
      </c>
      <c r="E93" s="1360">
        <v>5.93</v>
      </c>
      <c r="F93" s="1424" t="s">
        <v>4082</v>
      </c>
      <c r="G93" s="1331">
        <v>22.28</v>
      </c>
      <c r="H93" s="1442">
        <v>14.72</v>
      </c>
      <c r="I93" s="1332">
        <f t="shared" si="4"/>
        <v>0.66068222621184913</v>
      </c>
      <c r="J93" s="1360">
        <v>21.85</v>
      </c>
      <c r="K93" s="1332">
        <f t="shared" si="5"/>
        <v>0.98070017953321365</v>
      </c>
      <c r="L93" s="1331">
        <v>5</v>
      </c>
      <c r="M93" s="1334">
        <v>42901</v>
      </c>
      <c r="N93" s="1332">
        <v>0.94233409610983976</v>
      </c>
    </row>
    <row r="94" spans="1:14" s="1286" customFormat="1">
      <c r="A94" s="1472">
        <v>85</v>
      </c>
      <c r="B94" s="1426" t="s">
        <v>2690</v>
      </c>
      <c r="C94" s="1403" t="s">
        <v>4083</v>
      </c>
      <c r="D94" s="1360">
        <v>29.09</v>
      </c>
      <c r="E94" s="1360">
        <v>29.09</v>
      </c>
      <c r="F94" s="1424" t="s">
        <v>4084</v>
      </c>
      <c r="G94" s="1331">
        <v>31.92</v>
      </c>
      <c r="H94" s="1442">
        <v>31.31</v>
      </c>
      <c r="I94" s="1332">
        <f t="shared" si="4"/>
        <v>0.98088972431077681</v>
      </c>
      <c r="J94" s="1360">
        <v>31.31</v>
      </c>
      <c r="K94" s="1332">
        <f t="shared" si="5"/>
        <v>0.98088972431077681</v>
      </c>
      <c r="L94" s="1331">
        <v>3</v>
      </c>
      <c r="M94" s="1334">
        <v>42878</v>
      </c>
      <c r="N94" s="1332">
        <v>0.76972213350367302</v>
      </c>
    </row>
    <row r="95" spans="1:14" s="1286" customFormat="1">
      <c r="A95" s="1472">
        <v>86</v>
      </c>
      <c r="B95" s="1426" t="s">
        <v>2686</v>
      </c>
      <c r="C95" s="1403" t="s">
        <v>4085</v>
      </c>
      <c r="D95" s="1360">
        <v>15.95</v>
      </c>
      <c r="E95" s="1360">
        <v>15.95</v>
      </c>
      <c r="F95" s="1424" t="s">
        <v>4086</v>
      </c>
      <c r="G95" s="1331">
        <v>38.1</v>
      </c>
      <c r="H95" s="1442">
        <v>30.21</v>
      </c>
      <c r="I95" s="1332">
        <f t="shared" si="4"/>
        <v>0.79291338582677162</v>
      </c>
      <c r="J95" s="1360">
        <v>34.5</v>
      </c>
      <c r="K95" s="1332">
        <f t="shared" si="5"/>
        <v>0.90551181102362199</v>
      </c>
      <c r="L95" s="1331">
        <v>8</v>
      </c>
      <c r="M95" s="1334">
        <v>42905</v>
      </c>
      <c r="N95" s="1332">
        <v>0.85617391304347823</v>
      </c>
    </row>
    <row r="96" spans="1:14" s="1286" customFormat="1">
      <c r="A96" s="1472">
        <v>87</v>
      </c>
      <c r="B96" s="1425" t="s">
        <v>2681</v>
      </c>
      <c r="C96" s="1403" t="s">
        <v>4087</v>
      </c>
      <c r="D96" s="1360">
        <v>100</v>
      </c>
      <c r="E96" s="1360">
        <v>90</v>
      </c>
      <c r="F96" s="1424" t="s">
        <v>4088</v>
      </c>
      <c r="G96" s="1331">
        <v>8.49</v>
      </c>
      <c r="H96" s="1442">
        <v>8.19</v>
      </c>
      <c r="I96" s="1332">
        <f t="shared" si="4"/>
        <v>0.96466431095406358</v>
      </c>
      <c r="J96" s="1360">
        <v>8.19</v>
      </c>
      <c r="K96" s="1332">
        <f t="shared" si="5"/>
        <v>0.96466431095406358</v>
      </c>
      <c r="L96" s="1331">
        <v>4</v>
      </c>
      <c r="M96" s="1334">
        <v>42906</v>
      </c>
      <c r="N96" s="1332">
        <v>1.1837606837606838</v>
      </c>
    </row>
    <row r="97" spans="1:14" s="1286" customFormat="1">
      <c r="A97" s="1472">
        <v>88</v>
      </c>
      <c r="B97" s="1426" t="s">
        <v>2675</v>
      </c>
      <c r="C97" s="1403" t="s">
        <v>4089</v>
      </c>
      <c r="D97" s="1360">
        <v>15</v>
      </c>
      <c r="E97" s="1360">
        <v>14.87</v>
      </c>
      <c r="F97" s="1424" t="s">
        <v>4090</v>
      </c>
      <c r="G97" s="1331">
        <v>10.54</v>
      </c>
      <c r="H97" s="1442">
        <v>10.45</v>
      </c>
      <c r="I97" s="1332">
        <f t="shared" si="4"/>
        <v>0.99146110056925996</v>
      </c>
      <c r="J97" s="1360">
        <v>10.46</v>
      </c>
      <c r="K97" s="1332">
        <f t="shared" si="5"/>
        <v>0.99240986717267565</v>
      </c>
      <c r="L97" s="1331">
        <v>5</v>
      </c>
      <c r="M97" s="1334">
        <v>42907</v>
      </c>
      <c r="N97" s="1332">
        <v>1.2198852772466537</v>
      </c>
    </row>
    <row r="98" spans="1:14" s="1286" customFormat="1">
      <c r="A98" s="1472">
        <v>89</v>
      </c>
      <c r="B98" s="1426" t="s">
        <v>2671</v>
      </c>
      <c r="C98" s="1403" t="s">
        <v>4091</v>
      </c>
      <c r="D98" s="1360">
        <v>5.8</v>
      </c>
      <c r="E98" s="1360">
        <v>5.8</v>
      </c>
      <c r="F98" s="1424" t="s">
        <v>4092</v>
      </c>
      <c r="G98" s="1331">
        <v>10.59</v>
      </c>
      <c r="H98" s="1442">
        <v>9.89</v>
      </c>
      <c r="I98" s="1332">
        <f t="shared" si="4"/>
        <v>0.93389990557129376</v>
      </c>
      <c r="J98" s="1360">
        <v>9.89</v>
      </c>
      <c r="K98" s="1332">
        <f t="shared" si="5"/>
        <v>0.93389990557129376</v>
      </c>
      <c r="L98" s="1331">
        <v>7</v>
      </c>
      <c r="M98" s="1334">
        <v>42906</v>
      </c>
      <c r="N98" s="1332">
        <v>0.97836198179979761</v>
      </c>
    </row>
    <row r="99" spans="1:14" s="1286" customFormat="1">
      <c r="A99" s="1472">
        <v>90</v>
      </c>
      <c r="B99" s="1426" t="s">
        <v>2667</v>
      </c>
      <c r="C99" s="1403" t="s">
        <v>4093</v>
      </c>
      <c r="D99" s="1360">
        <v>6</v>
      </c>
      <c r="E99" s="1360">
        <v>6</v>
      </c>
      <c r="F99" s="1424" t="s">
        <v>4094</v>
      </c>
      <c r="G99" s="1331">
        <v>21.35</v>
      </c>
      <c r="H99" s="1442">
        <v>20</v>
      </c>
      <c r="I99" s="1332">
        <f t="shared" si="4"/>
        <v>0.93676814988290391</v>
      </c>
      <c r="J99" s="1360">
        <v>20.41</v>
      </c>
      <c r="K99" s="1332">
        <f t="shared" si="5"/>
        <v>0.95597189695550344</v>
      </c>
      <c r="L99" s="1331">
        <v>2</v>
      </c>
      <c r="M99" s="1334">
        <v>42906</v>
      </c>
      <c r="N99" s="1332">
        <v>0.9627633512983832</v>
      </c>
    </row>
    <row r="100" spans="1:14" s="1286" customFormat="1">
      <c r="A100" s="1472">
        <v>91</v>
      </c>
      <c r="B100" s="1426" t="s">
        <v>2663</v>
      </c>
      <c r="C100" s="1403" t="s">
        <v>4095</v>
      </c>
      <c r="D100" s="1360">
        <v>7.25</v>
      </c>
      <c r="E100" s="1360">
        <v>7.25</v>
      </c>
      <c r="F100" s="1424" t="s">
        <v>4096</v>
      </c>
      <c r="G100" s="1331">
        <v>12.6</v>
      </c>
      <c r="H100" s="1442">
        <v>10.9</v>
      </c>
      <c r="I100" s="1332">
        <f t="shared" si="4"/>
        <v>0.86507936507936511</v>
      </c>
      <c r="J100" s="1360">
        <v>12.81</v>
      </c>
      <c r="K100" s="1332">
        <f t="shared" si="5"/>
        <v>1.0166666666666668</v>
      </c>
      <c r="L100" s="1331">
        <v>4</v>
      </c>
      <c r="M100" s="1334">
        <v>42542</v>
      </c>
      <c r="N100" s="1332">
        <v>1.1373926619828258</v>
      </c>
    </row>
    <row r="101" spans="1:14" s="1286" customFormat="1">
      <c r="A101" s="1472">
        <v>92</v>
      </c>
      <c r="B101" s="1426" t="s">
        <v>2659</v>
      </c>
      <c r="C101" s="1403" t="s">
        <v>4097</v>
      </c>
      <c r="D101" s="1360">
        <v>11.75</v>
      </c>
      <c r="E101" s="1360">
        <v>11.75</v>
      </c>
      <c r="F101" s="1424" t="s">
        <v>4064</v>
      </c>
      <c r="G101" s="1331">
        <v>12.58</v>
      </c>
      <c r="H101" s="1442">
        <v>7.35</v>
      </c>
      <c r="I101" s="1332">
        <f t="shared" si="4"/>
        <v>0.5842607313195548</v>
      </c>
      <c r="J101" s="1360">
        <v>9</v>
      </c>
      <c r="K101" s="1332">
        <f t="shared" si="5"/>
        <v>0.71542130365659773</v>
      </c>
      <c r="L101" s="1331">
        <v>6</v>
      </c>
      <c r="M101" s="1334">
        <v>42912</v>
      </c>
      <c r="N101" s="1332">
        <v>0.7</v>
      </c>
    </row>
    <row r="102" spans="1:14" s="1286" customFormat="1">
      <c r="A102" s="1472">
        <v>93</v>
      </c>
      <c r="B102" s="1426" t="s">
        <v>2654</v>
      </c>
      <c r="C102" s="1403" t="s">
        <v>4098</v>
      </c>
      <c r="D102" s="1360">
        <v>10.68</v>
      </c>
      <c r="E102" s="1360">
        <v>10.68</v>
      </c>
      <c r="F102" s="1424" t="s">
        <v>4084</v>
      </c>
      <c r="G102" s="1331">
        <v>16.25</v>
      </c>
      <c r="H102" s="1442">
        <v>9.7899999999999991</v>
      </c>
      <c r="I102" s="1332">
        <f t="shared" si="4"/>
        <v>0.60246153846153838</v>
      </c>
      <c r="J102" s="1360">
        <v>14</v>
      </c>
      <c r="K102" s="1332">
        <f t="shared" si="5"/>
        <v>0.86153846153846159</v>
      </c>
      <c r="L102" s="1331">
        <v>8</v>
      </c>
      <c r="M102" s="1334">
        <v>42912</v>
      </c>
      <c r="N102" s="1332">
        <v>0.84071428571428564</v>
      </c>
    </row>
    <row r="103" spans="1:14" s="1286" customFormat="1">
      <c r="A103" s="1472">
        <v>94</v>
      </c>
      <c r="B103" s="1426" t="s">
        <v>2650</v>
      </c>
      <c r="C103" s="1403" t="s">
        <v>4099</v>
      </c>
      <c r="D103" s="1360">
        <v>7.25</v>
      </c>
      <c r="E103" s="1360">
        <v>7.21</v>
      </c>
      <c r="F103" s="1424" t="s">
        <v>4096</v>
      </c>
      <c r="G103" s="1331">
        <v>17.45</v>
      </c>
      <c r="H103" s="1442">
        <v>15.42</v>
      </c>
      <c r="I103" s="1332">
        <f t="shared" si="4"/>
        <v>0.88366762177650438</v>
      </c>
      <c r="J103" s="1360">
        <v>17.88</v>
      </c>
      <c r="K103" s="1332">
        <f t="shared" si="5"/>
        <v>1.0246418338108882</v>
      </c>
      <c r="L103" s="1331">
        <v>3</v>
      </c>
      <c r="M103" s="1334">
        <v>42912</v>
      </c>
      <c r="N103" s="1332">
        <v>1.1241610738255035</v>
      </c>
    </row>
    <row r="104" spans="1:14" s="1286" customFormat="1">
      <c r="A104" s="1472">
        <v>95</v>
      </c>
      <c r="B104" s="1425" t="s">
        <v>2645</v>
      </c>
      <c r="C104" s="1403" t="s">
        <v>4100</v>
      </c>
      <c r="D104" s="1360">
        <v>25.6</v>
      </c>
      <c r="E104" s="1360">
        <v>25.6</v>
      </c>
      <c r="F104" s="1424" t="s">
        <v>4101</v>
      </c>
      <c r="G104" s="1331">
        <v>31.87</v>
      </c>
      <c r="H104" s="1442">
        <v>27.35</v>
      </c>
      <c r="I104" s="1332">
        <f t="shared" si="4"/>
        <v>0.8581738311892062</v>
      </c>
      <c r="J104" s="1360">
        <v>30.64</v>
      </c>
      <c r="K104" s="1332">
        <f t="shared" si="5"/>
        <v>0.96140571069971759</v>
      </c>
      <c r="L104" s="1331">
        <v>8</v>
      </c>
      <c r="M104" s="1334">
        <v>42912</v>
      </c>
      <c r="N104" s="1332">
        <v>1.1390339425587466</v>
      </c>
    </row>
    <row r="105" spans="1:14" s="1286" customFormat="1">
      <c r="A105" s="1472">
        <v>96</v>
      </c>
      <c r="B105" s="1426" t="s">
        <v>2640</v>
      </c>
      <c r="C105" s="1403" t="s">
        <v>4102</v>
      </c>
      <c r="D105" s="1360">
        <v>9.24</v>
      </c>
      <c r="E105" s="1360">
        <v>9.24</v>
      </c>
      <c r="F105" s="1424" t="s">
        <v>4103</v>
      </c>
      <c r="G105" s="1331">
        <v>18.16</v>
      </c>
      <c r="H105" s="1442">
        <v>12.67</v>
      </c>
      <c r="I105" s="1332">
        <f t="shared" si="4"/>
        <v>0.69768722466960353</v>
      </c>
      <c r="J105" s="1360">
        <v>15.2</v>
      </c>
      <c r="K105" s="1332">
        <f t="shared" si="5"/>
        <v>0.83700440528634357</v>
      </c>
      <c r="L105" s="1331">
        <v>4</v>
      </c>
      <c r="M105" s="1334">
        <v>42913</v>
      </c>
      <c r="N105" s="1332">
        <v>0.76907894736842108</v>
      </c>
    </row>
    <row r="106" spans="1:14" s="1286" customFormat="1">
      <c r="A106" s="1472">
        <v>97</v>
      </c>
      <c r="B106" s="1425" t="s">
        <v>1701</v>
      </c>
      <c r="C106" s="1403" t="s">
        <v>4104</v>
      </c>
      <c r="D106" s="1360">
        <v>20</v>
      </c>
      <c r="E106" s="1360">
        <v>20</v>
      </c>
      <c r="F106" s="1424" t="s">
        <v>4105</v>
      </c>
      <c r="G106" s="1331">
        <v>6.42</v>
      </c>
      <c r="H106" s="1442">
        <v>4.4000000000000004</v>
      </c>
      <c r="I106" s="1332">
        <f t="shared" si="4"/>
        <v>0.68535825545171347</v>
      </c>
      <c r="J106" s="1360">
        <v>5.71</v>
      </c>
      <c r="K106" s="1332">
        <f t="shared" si="5"/>
        <v>0.88940809968847356</v>
      </c>
      <c r="L106" s="1331">
        <v>8</v>
      </c>
      <c r="M106" s="1334">
        <v>42914</v>
      </c>
      <c r="N106" s="1332">
        <v>0.98248686514886174</v>
      </c>
    </row>
    <row r="107" spans="1:14" s="1286" customFormat="1">
      <c r="A107" s="1472">
        <v>98</v>
      </c>
      <c r="B107" s="1426" t="s">
        <v>2633</v>
      </c>
      <c r="C107" s="1403" t="s">
        <v>4106</v>
      </c>
      <c r="D107" s="1360">
        <v>14</v>
      </c>
      <c r="E107" s="1360">
        <v>14</v>
      </c>
      <c r="F107" s="1424" t="s">
        <v>4107</v>
      </c>
      <c r="G107" s="1331">
        <v>37.19</v>
      </c>
      <c r="H107" s="1442">
        <v>32.54</v>
      </c>
      <c r="I107" s="1332">
        <f t="shared" si="4"/>
        <v>0.87496638881419742</v>
      </c>
      <c r="J107" s="1360">
        <v>32.54</v>
      </c>
      <c r="K107" s="1332">
        <f t="shared" si="5"/>
        <v>0.87496638881419742</v>
      </c>
      <c r="L107" s="1331">
        <v>7</v>
      </c>
      <c r="M107" s="1334">
        <v>42914</v>
      </c>
      <c r="N107" s="1332">
        <v>0.86601106330669941</v>
      </c>
    </row>
    <row r="108" spans="1:14" s="1286" customFormat="1">
      <c r="A108" s="1472" t="s">
        <v>232</v>
      </c>
      <c r="B108" s="1426"/>
      <c r="C108" s="1403" t="s">
        <v>232</v>
      </c>
      <c r="D108" s="1360"/>
      <c r="E108" s="1360"/>
      <c r="F108" s="1424" t="s">
        <v>4108</v>
      </c>
      <c r="G108" s="1331"/>
      <c r="H108" s="1442"/>
      <c r="I108" s="1332"/>
      <c r="J108" s="1360"/>
      <c r="K108" s="1332"/>
      <c r="L108" s="1331"/>
      <c r="M108" s="1334"/>
      <c r="N108" s="1332"/>
    </row>
    <row r="109" spans="1:14" s="1286" customFormat="1">
      <c r="A109" s="1472">
        <v>99</v>
      </c>
      <c r="B109" s="1426" t="s">
        <v>2628</v>
      </c>
      <c r="C109" s="1403" t="s">
        <v>4109</v>
      </c>
      <c r="D109" s="1360">
        <v>47.56</v>
      </c>
      <c r="E109" s="1360">
        <v>47.56</v>
      </c>
      <c r="F109" s="1424" t="s">
        <v>4110</v>
      </c>
      <c r="G109" s="1331">
        <v>16.5</v>
      </c>
      <c r="H109" s="1442">
        <v>12.39</v>
      </c>
      <c r="I109" s="1332">
        <f>H109/G109</f>
        <v>0.75090909090909097</v>
      </c>
      <c r="J109" s="1360">
        <v>13</v>
      </c>
      <c r="K109" s="1332">
        <f>J109/G109</f>
        <v>0.78787878787878785</v>
      </c>
      <c r="L109" s="1331">
        <v>8</v>
      </c>
      <c r="M109" s="1334">
        <v>42914</v>
      </c>
      <c r="N109" s="1332">
        <v>0.88230769230769235</v>
      </c>
    </row>
    <row r="110" spans="1:14" s="1286" customFormat="1">
      <c r="A110" s="1472">
        <v>100</v>
      </c>
      <c r="B110" s="1426" t="s">
        <v>2622</v>
      </c>
      <c r="C110" s="1403" t="s">
        <v>4111</v>
      </c>
      <c r="D110" s="1360">
        <v>40</v>
      </c>
      <c r="E110" s="1360">
        <v>40</v>
      </c>
      <c r="F110" s="1424" t="s">
        <v>4112</v>
      </c>
      <c r="G110" s="1331">
        <v>11.85</v>
      </c>
      <c r="H110" s="1442">
        <v>11.85</v>
      </c>
      <c r="I110" s="1332">
        <f>H110/G110</f>
        <v>1</v>
      </c>
      <c r="J110" s="1360">
        <v>11.85</v>
      </c>
      <c r="K110" s="1332">
        <f>J110/G110</f>
        <v>1</v>
      </c>
      <c r="L110" s="1331">
        <v>5</v>
      </c>
      <c r="M110" s="1334">
        <v>42914</v>
      </c>
      <c r="N110" s="1332">
        <v>1.0101265822784808</v>
      </c>
    </row>
    <row r="111" spans="1:14" s="1286" customFormat="1">
      <c r="A111" s="1472">
        <v>101</v>
      </c>
      <c r="B111" s="1426" t="s">
        <v>2616</v>
      </c>
      <c r="C111" s="1403" t="s">
        <v>4113</v>
      </c>
      <c r="D111" s="1360">
        <v>7.5</v>
      </c>
      <c r="E111" s="1360">
        <v>7.36</v>
      </c>
      <c r="F111" s="1424" t="s">
        <v>4114</v>
      </c>
      <c r="G111" s="1331">
        <v>39.75</v>
      </c>
      <c r="H111" s="1442">
        <v>25.05</v>
      </c>
      <c r="I111" s="1332">
        <f>H111/G111</f>
        <v>0.63018867924528299</v>
      </c>
      <c r="J111" s="1360">
        <v>35.020000000000003</v>
      </c>
      <c r="K111" s="1332">
        <f>J111/G111</f>
        <v>0.88100628930817615</v>
      </c>
      <c r="L111" s="1331">
        <v>8</v>
      </c>
      <c r="M111" s="1334">
        <v>42916</v>
      </c>
      <c r="N111" s="1332">
        <v>1.1924614505996571</v>
      </c>
    </row>
    <row r="112" spans="1:14" s="1286" customFormat="1">
      <c r="A112" s="1472">
        <v>102</v>
      </c>
      <c r="B112" s="1426" t="s">
        <v>2610</v>
      </c>
      <c r="C112" s="1403" t="s">
        <v>4115</v>
      </c>
      <c r="D112" s="1360">
        <v>150</v>
      </c>
      <c r="E112" s="1360">
        <v>85.48</v>
      </c>
      <c r="F112" s="1424" t="s">
        <v>4116</v>
      </c>
      <c r="G112" s="1331">
        <v>7.08</v>
      </c>
      <c r="H112" s="1442">
        <v>6.44</v>
      </c>
      <c r="I112" s="1332">
        <f>H112/G112</f>
        <v>0.90960451977401136</v>
      </c>
      <c r="J112" s="1360">
        <v>6.44</v>
      </c>
      <c r="K112" s="1332">
        <f>J112/G112</f>
        <v>0.90960451977401136</v>
      </c>
      <c r="L112" s="1331">
        <v>4</v>
      </c>
      <c r="M112" s="1334">
        <v>42919</v>
      </c>
      <c r="N112" s="1332">
        <v>1.0638198757763975</v>
      </c>
    </row>
    <row r="113" spans="1:14" s="1286" customFormat="1">
      <c r="A113" s="1472" t="s">
        <v>232</v>
      </c>
      <c r="B113" s="1426"/>
      <c r="C113" s="1403" t="s">
        <v>232</v>
      </c>
      <c r="D113" s="1360"/>
      <c r="E113" s="1360"/>
      <c r="F113" s="1424" t="s">
        <v>4117</v>
      </c>
      <c r="G113" s="1331">
        <v>6.76</v>
      </c>
      <c r="H113" s="1442">
        <v>6.44</v>
      </c>
      <c r="I113" s="1332">
        <f>H112/G113</f>
        <v>0.95266272189349122</v>
      </c>
      <c r="J113" s="1360">
        <v>6.44</v>
      </c>
      <c r="K113" s="1332">
        <f>J112/G113</f>
        <v>0.95266272189349122</v>
      </c>
      <c r="L113" s="1331"/>
      <c r="M113" s="1334"/>
      <c r="N113" s="1332"/>
    </row>
    <row r="114" spans="1:14" s="1286" customFormat="1">
      <c r="A114" s="1472" t="s">
        <v>232</v>
      </c>
      <c r="B114" s="1426"/>
      <c r="C114" s="1403" t="s">
        <v>232</v>
      </c>
      <c r="D114" s="1360"/>
      <c r="E114" s="1360"/>
      <c r="F114" s="1424" t="s">
        <v>4118</v>
      </c>
      <c r="G114" s="1331">
        <v>6.66</v>
      </c>
      <c r="H114" s="1442">
        <v>6.44</v>
      </c>
      <c r="I114" s="1332">
        <f>H112/G114</f>
        <v>0.96696696696696705</v>
      </c>
      <c r="J114" s="1360">
        <v>6.44</v>
      </c>
      <c r="K114" s="1332">
        <f>J112/G114</f>
        <v>0.96696696696696705</v>
      </c>
      <c r="L114" s="1331"/>
      <c r="M114" s="1334"/>
      <c r="N114" s="1332"/>
    </row>
    <row r="115" spans="1:14" s="1286" customFormat="1">
      <c r="A115" s="1472">
        <v>103</v>
      </c>
      <c r="B115" s="1426" t="s">
        <v>2603</v>
      </c>
      <c r="C115" s="1403" t="s">
        <v>4119</v>
      </c>
      <c r="D115" s="1360">
        <v>6.3</v>
      </c>
      <c r="E115" s="1360">
        <v>6.3</v>
      </c>
      <c r="F115" s="1424" t="s">
        <v>4120</v>
      </c>
      <c r="G115" s="1331">
        <v>38.130000000000003</v>
      </c>
      <c r="H115" s="1442">
        <v>32.89</v>
      </c>
      <c r="I115" s="1332">
        <f t="shared" ref="I115:I137" si="6">H115/G115</f>
        <v>0.86257539994754784</v>
      </c>
      <c r="J115" s="1360">
        <v>35.68</v>
      </c>
      <c r="K115" s="1332">
        <f t="shared" ref="K115:K137" si="7">J115/G115</f>
        <v>0.93574613165486487</v>
      </c>
      <c r="L115" s="1331">
        <v>6</v>
      </c>
      <c r="M115" s="1334">
        <v>42916</v>
      </c>
      <c r="N115" s="1332">
        <v>0.84943946188340802</v>
      </c>
    </row>
    <row r="116" spans="1:14" s="1286" customFormat="1">
      <c r="A116" s="1472">
        <v>104</v>
      </c>
      <c r="B116" s="1426" t="s">
        <v>2598</v>
      </c>
      <c r="C116" s="1403" t="s">
        <v>4121</v>
      </c>
      <c r="D116" s="1360">
        <v>10.1</v>
      </c>
      <c r="E116" s="1360">
        <v>9.41</v>
      </c>
      <c r="F116" s="1424" t="s">
        <v>4105</v>
      </c>
      <c r="G116" s="1331">
        <v>4.49</v>
      </c>
      <c r="H116" s="1442">
        <v>3.58</v>
      </c>
      <c r="I116" s="1332">
        <f t="shared" si="6"/>
        <v>0.79732739420935406</v>
      </c>
      <c r="J116" s="1360">
        <v>3.58</v>
      </c>
      <c r="K116" s="1332">
        <f t="shared" si="7"/>
        <v>0.79732739420935406</v>
      </c>
      <c r="L116" s="1331">
        <v>4</v>
      </c>
      <c r="M116" s="1334">
        <v>42922</v>
      </c>
      <c r="N116" s="1332">
        <v>1.1620111731843576</v>
      </c>
    </row>
    <row r="117" spans="1:14" s="1286" customFormat="1">
      <c r="A117" s="1472">
        <v>105</v>
      </c>
      <c r="B117" s="1426" t="s">
        <v>2593</v>
      </c>
      <c r="C117" s="1403" t="s">
        <v>4122</v>
      </c>
      <c r="D117" s="1360">
        <v>15.5</v>
      </c>
      <c r="E117" s="1360">
        <v>15.34</v>
      </c>
      <c r="F117" s="1424" t="s">
        <v>4123</v>
      </c>
      <c r="G117" s="1331">
        <v>5.49</v>
      </c>
      <c r="H117" s="1442">
        <v>5.64</v>
      </c>
      <c r="I117" s="1332">
        <f t="shared" si="6"/>
        <v>1.0273224043715845</v>
      </c>
      <c r="J117" s="1360">
        <v>5.64</v>
      </c>
      <c r="K117" s="1332">
        <f t="shared" si="7"/>
        <v>1.0273224043715845</v>
      </c>
      <c r="L117" s="1331">
        <v>4</v>
      </c>
      <c r="M117" s="1334">
        <v>42921</v>
      </c>
      <c r="N117" s="1332">
        <v>0.97872340425531912</v>
      </c>
    </row>
    <row r="118" spans="1:14" s="1286" customFormat="1">
      <c r="A118" s="1472">
        <v>106</v>
      </c>
      <c r="B118" s="1426" t="s">
        <v>2589</v>
      </c>
      <c r="C118" s="1403" t="s">
        <v>4124</v>
      </c>
      <c r="D118" s="1360">
        <v>7.61</v>
      </c>
      <c r="E118" s="1360">
        <v>7.61</v>
      </c>
      <c r="F118" s="1424" t="s">
        <v>4125</v>
      </c>
      <c r="G118" s="1331">
        <v>7.46</v>
      </c>
      <c r="H118" s="1442">
        <v>6.75</v>
      </c>
      <c r="I118" s="1332">
        <f t="shared" si="6"/>
        <v>0.9048257372654156</v>
      </c>
      <c r="J118" s="1360">
        <v>7.01</v>
      </c>
      <c r="K118" s="1332">
        <f t="shared" si="7"/>
        <v>0.93967828418230559</v>
      </c>
      <c r="L118" s="1331">
        <v>7</v>
      </c>
      <c r="M118" s="1334">
        <v>42922</v>
      </c>
      <c r="N118" s="1332">
        <v>1.0589158345221112</v>
      </c>
    </row>
    <row r="119" spans="1:14" s="1286" customFormat="1">
      <c r="A119" s="1472">
        <v>107</v>
      </c>
      <c r="B119" s="1426" t="s">
        <v>2584</v>
      </c>
      <c r="C119" s="1403" t="s">
        <v>4126</v>
      </c>
      <c r="D119" s="1360">
        <v>134.82</v>
      </c>
      <c r="E119" s="1360">
        <v>134.82</v>
      </c>
      <c r="F119" s="1424" t="s">
        <v>4105</v>
      </c>
      <c r="G119" s="1331">
        <v>35</v>
      </c>
      <c r="H119" s="1442">
        <v>25.9</v>
      </c>
      <c r="I119" s="1332">
        <f t="shared" si="6"/>
        <v>0.74</v>
      </c>
      <c r="J119" s="1360">
        <v>29.8</v>
      </c>
      <c r="K119" s="1332">
        <f t="shared" si="7"/>
        <v>0.85142857142857142</v>
      </c>
      <c r="L119" s="1331">
        <v>6</v>
      </c>
      <c r="M119" s="1334">
        <v>42926</v>
      </c>
      <c r="N119" s="1332">
        <v>0.86342281879194627</v>
      </c>
    </row>
    <row r="120" spans="1:14" s="1286" customFormat="1">
      <c r="A120" s="1472">
        <v>108</v>
      </c>
      <c r="B120" s="1426" t="s">
        <v>2579</v>
      </c>
      <c r="C120" s="1403" t="s">
        <v>4127</v>
      </c>
      <c r="D120" s="1360">
        <v>20</v>
      </c>
      <c r="E120" s="1360">
        <v>20</v>
      </c>
      <c r="F120" s="1424" t="s">
        <v>4128</v>
      </c>
      <c r="G120" s="1331">
        <v>2.82</v>
      </c>
      <c r="H120" s="1442">
        <v>2.4500000000000002</v>
      </c>
      <c r="I120" s="1332">
        <f t="shared" si="6"/>
        <v>0.86879432624113484</v>
      </c>
      <c r="J120" s="1360">
        <v>2.5499999999999998</v>
      </c>
      <c r="K120" s="1332">
        <f t="shared" si="7"/>
        <v>0.9042553191489362</v>
      </c>
      <c r="L120" s="1331">
        <v>5</v>
      </c>
      <c r="M120" s="1334">
        <v>42923</v>
      </c>
      <c r="N120" s="1332">
        <v>1.5352941176470589</v>
      </c>
    </row>
    <row r="121" spans="1:14" s="1286" customFormat="1">
      <c r="A121" s="1472">
        <v>109</v>
      </c>
      <c r="B121" s="1426" t="s">
        <v>2573</v>
      </c>
      <c r="C121" s="1403" t="s">
        <v>4129</v>
      </c>
      <c r="D121" s="1360">
        <v>12</v>
      </c>
      <c r="E121" s="1360">
        <v>12</v>
      </c>
      <c r="F121" s="1424" t="s">
        <v>4128</v>
      </c>
      <c r="G121" s="1331">
        <v>10.26</v>
      </c>
      <c r="H121" s="1442">
        <v>7.58</v>
      </c>
      <c r="I121" s="1332">
        <f t="shared" si="6"/>
        <v>0.73879142300194933</v>
      </c>
      <c r="J121" s="1360">
        <v>8.8000000000000007</v>
      </c>
      <c r="K121" s="1332">
        <f t="shared" si="7"/>
        <v>0.85769980506822618</v>
      </c>
      <c r="L121" s="1331">
        <v>6</v>
      </c>
      <c r="M121" s="1334">
        <v>42923</v>
      </c>
      <c r="N121" s="1332">
        <v>0.78409090909090906</v>
      </c>
    </row>
    <row r="122" spans="1:14" s="1286" customFormat="1">
      <c r="A122" s="1472">
        <v>110</v>
      </c>
      <c r="B122" s="1426" t="s">
        <v>2569</v>
      </c>
      <c r="C122" s="1403" t="s">
        <v>4130</v>
      </c>
      <c r="D122" s="1360">
        <v>17.96</v>
      </c>
      <c r="E122" s="1360">
        <v>17.96</v>
      </c>
      <c r="F122" s="1424" t="s">
        <v>4131</v>
      </c>
      <c r="G122" s="1331">
        <v>19.190000000000001</v>
      </c>
      <c r="H122" s="1442">
        <v>16.809999999999999</v>
      </c>
      <c r="I122" s="1332">
        <f t="shared" si="6"/>
        <v>0.8759770713913495</v>
      </c>
      <c r="J122" s="1360">
        <v>17.809999999999999</v>
      </c>
      <c r="K122" s="1332">
        <f t="shared" si="7"/>
        <v>0.92808754559666484</v>
      </c>
      <c r="L122" s="1331">
        <v>4</v>
      </c>
      <c r="M122" s="1334">
        <v>42926</v>
      </c>
      <c r="N122" s="1332">
        <v>0.73554183043234145</v>
      </c>
    </row>
    <row r="123" spans="1:14" s="1286" customFormat="1">
      <c r="A123" s="1472">
        <v>111</v>
      </c>
      <c r="B123" s="1426" t="s">
        <v>2565</v>
      </c>
      <c r="C123" s="1403" t="s">
        <v>4132</v>
      </c>
      <c r="D123" s="1360">
        <v>4.5</v>
      </c>
      <c r="E123" s="1360">
        <v>4.5</v>
      </c>
      <c r="F123" s="1424" t="s">
        <v>4133</v>
      </c>
      <c r="G123" s="1331">
        <v>18.2</v>
      </c>
      <c r="H123" s="1442">
        <v>15.17</v>
      </c>
      <c r="I123" s="1332">
        <f t="shared" si="6"/>
        <v>0.83351648351648355</v>
      </c>
      <c r="J123" s="1360">
        <v>16.8</v>
      </c>
      <c r="K123" s="1332">
        <f t="shared" si="7"/>
        <v>0.92307692307692313</v>
      </c>
      <c r="L123" s="1331">
        <v>5</v>
      </c>
      <c r="M123" s="1334">
        <v>42927</v>
      </c>
      <c r="N123" s="1332">
        <v>0.74095238095238092</v>
      </c>
    </row>
    <row r="124" spans="1:14" s="1286" customFormat="1">
      <c r="A124" s="1472">
        <v>112</v>
      </c>
      <c r="B124" s="1426" t="s">
        <v>2559</v>
      </c>
      <c r="C124" s="1403" t="s">
        <v>4134</v>
      </c>
      <c r="D124" s="1360">
        <v>0.39</v>
      </c>
      <c r="E124" s="1360">
        <v>0.39</v>
      </c>
      <c r="F124" s="1424" t="s">
        <v>4135</v>
      </c>
      <c r="G124" s="1331">
        <v>16.100000000000001</v>
      </c>
      <c r="H124" s="1442">
        <v>16.100000000000001</v>
      </c>
      <c r="I124" s="1332">
        <f t="shared" si="6"/>
        <v>1</v>
      </c>
      <c r="J124" s="1360">
        <v>16.239999999999998</v>
      </c>
      <c r="K124" s="1332">
        <f t="shared" si="7"/>
        <v>1.0086956521739128</v>
      </c>
      <c r="L124" s="1331">
        <v>1</v>
      </c>
      <c r="M124" s="1334">
        <v>42563</v>
      </c>
      <c r="N124" s="1332">
        <v>1.0486453201970445</v>
      </c>
    </row>
    <row r="125" spans="1:14" s="1286" customFormat="1">
      <c r="A125" s="1472">
        <v>113</v>
      </c>
      <c r="B125" s="1426" t="s">
        <v>2554</v>
      </c>
      <c r="C125" s="1403" t="s">
        <v>4136</v>
      </c>
      <c r="D125" s="1360">
        <v>1.73</v>
      </c>
      <c r="E125" s="1360">
        <v>1.73</v>
      </c>
      <c r="F125" s="1424" t="s">
        <v>4137</v>
      </c>
      <c r="G125" s="1331">
        <v>95.45</v>
      </c>
      <c r="H125" s="1442">
        <v>77.86</v>
      </c>
      <c r="I125" s="1332">
        <f t="shared" si="6"/>
        <v>0.8157150340492404</v>
      </c>
      <c r="J125" s="1360">
        <v>95.72</v>
      </c>
      <c r="K125" s="1332">
        <f t="shared" si="7"/>
        <v>1.0028287061288632</v>
      </c>
      <c r="L125" s="1331">
        <v>1</v>
      </c>
      <c r="M125" s="1334">
        <v>42563</v>
      </c>
      <c r="N125" s="1332">
        <v>1.3781863769327203</v>
      </c>
    </row>
    <row r="126" spans="1:14" s="1286" customFormat="1">
      <c r="A126" s="1472">
        <v>114</v>
      </c>
      <c r="B126" s="1426" t="s">
        <v>2548</v>
      </c>
      <c r="C126" s="1403" t="s">
        <v>4138</v>
      </c>
      <c r="D126" s="1360">
        <v>11.2</v>
      </c>
      <c r="E126" s="1360">
        <v>11.2</v>
      </c>
      <c r="F126" s="1424" t="s">
        <v>4139</v>
      </c>
      <c r="G126" s="1331">
        <v>24.5</v>
      </c>
      <c r="H126" s="1442">
        <v>22.08</v>
      </c>
      <c r="I126" s="1332">
        <f t="shared" si="6"/>
        <v>0.90122448979591829</v>
      </c>
      <c r="J126" s="1360">
        <v>22.09</v>
      </c>
      <c r="K126" s="1332">
        <f t="shared" si="7"/>
        <v>0.90163265306122453</v>
      </c>
      <c r="L126" s="1331">
        <v>5</v>
      </c>
      <c r="M126" s="1334">
        <v>42934</v>
      </c>
      <c r="N126" s="1332">
        <v>0.77863286555002265</v>
      </c>
    </row>
    <row r="127" spans="1:14" s="1286" customFormat="1">
      <c r="A127" s="1472">
        <v>115</v>
      </c>
      <c r="B127" s="1426" t="s">
        <v>2543</v>
      </c>
      <c r="C127" s="1403" t="s">
        <v>4140</v>
      </c>
      <c r="D127" s="1360">
        <v>33</v>
      </c>
      <c r="E127" s="1360">
        <v>26.5</v>
      </c>
      <c r="F127" s="1424" t="s">
        <v>4141</v>
      </c>
      <c r="G127" s="1331">
        <v>24.54</v>
      </c>
      <c r="H127" s="1442">
        <v>20.66</v>
      </c>
      <c r="I127" s="1332">
        <f t="shared" si="6"/>
        <v>0.84189079054604732</v>
      </c>
      <c r="J127" s="1360">
        <v>22.08</v>
      </c>
      <c r="K127" s="1332">
        <f t="shared" si="7"/>
        <v>0.89975550122249381</v>
      </c>
      <c r="L127" s="1331">
        <v>4</v>
      </c>
      <c r="M127" s="1334">
        <v>42934</v>
      </c>
      <c r="N127" s="1332">
        <v>0.85062768387681176</v>
      </c>
    </row>
    <row r="128" spans="1:14" s="1286" customFormat="1">
      <c r="A128" s="1472">
        <v>116</v>
      </c>
      <c r="B128" s="1426" t="s">
        <v>2538</v>
      </c>
      <c r="C128" s="1403" t="s">
        <v>4142</v>
      </c>
      <c r="D128" s="1360">
        <v>32</v>
      </c>
      <c r="E128" s="1360">
        <v>27.38</v>
      </c>
      <c r="F128" s="1424" t="s">
        <v>4141</v>
      </c>
      <c r="G128" s="1331">
        <v>15.97</v>
      </c>
      <c r="H128" s="1442">
        <v>15.36</v>
      </c>
      <c r="I128" s="1332">
        <f t="shared" si="6"/>
        <v>0.96180338134001242</v>
      </c>
      <c r="J128" s="1360">
        <v>15.36</v>
      </c>
      <c r="K128" s="1332">
        <f t="shared" si="7"/>
        <v>0.96180338134001242</v>
      </c>
      <c r="L128" s="1331">
        <v>4</v>
      </c>
      <c r="M128" s="1334">
        <v>42933</v>
      </c>
      <c r="N128" s="1332">
        <v>0.97395833333333337</v>
      </c>
    </row>
    <row r="129" spans="1:14" s="1286" customFormat="1">
      <c r="A129" s="1472">
        <v>117</v>
      </c>
      <c r="B129" s="1426" t="s">
        <v>2534</v>
      </c>
      <c r="C129" s="1403" t="s">
        <v>4143</v>
      </c>
      <c r="D129" s="1360">
        <v>12</v>
      </c>
      <c r="E129" s="1360">
        <v>12</v>
      </c>
      <c r="F129" s="1424" t="s">
        <v>4144</v>
      </c>
      <c r="G129" s="1331">
        <v>10.69</v>
      </c>
      <c r="H129" s="1442">
        <v>9</v>
      </c>
      <c r="I129" s="1332">
        <f t="shared" si="6"/>
        <v>0.84190832553788586</v>
      </c>
      <c r="J129" s="1360">
        <v>9.6300000000000008</v>
      </c>
      <c r="K129" s="1332">
        <f t="shared" si="7"/>
        <v>0.90084190832553801</v>
      </c>
      <c r="L129" s="1331">
        <v>6</v>
      </c>
      <c r="M129" s="1334">
        <v>42933</v>
      </c>
      <c r="N129" s="1332">
        <v>0.86708203530633421</v>
      </c>
    </row>
    <row r="130" spans="1:14" s="1286" customFormat="1">
      <c r="A130" s="1472">
        <v>118</v>
      </c>
      <c r="B130" s="1426" t="s">
        <v>2529</v>
      </c>
      <c r="C130" s="1403" t="s">
        <v>4145</v>
      </c>
      <c r="D130" s="1360">
        <v>4.5</v>
      </c>
      <c r="E130" s="1360">
        <v>4.5</v>
      </c>
      <c r="F130" s="1424" t="s">
        <v>4146</v>
      </c>
      <c r="G130" s="1331">
        <v>10.55</v>
      </c>
      <c r="H130" s="1442">
        <v>8.07</v>
      </c>
      <c r="I130" s="1332">
        <f t="shared" si="6"/>
        <v>0.76492890995260665</v>
      </c>
      <c r="J130" s="1360">
        <v>8.9</v>
      </c>
      <c r="K130" s="1332">
        <f t="shared" si="7"/>
        <v>0.8436018957345971</v>
      </c>
      <c r="L130" s="1331">
        <v>5</v>
      </c>
      <c r="M130" s="1334">
        <v>42933</v>
      </c>
      <c r="N130" s="1332">
        <v>0.92750561797752795</v>
      </c>
    </row>
    <row r="131" spans="1:14" s="1286" customFormat="1">
      <c r="A131" s="1472">
        <v>119</v>
      </c>
      <c r="B131" s="1426" t="s">
        <v>2523</v>
      </c>
      <c r="C131" s="1403" t="s">
        <v>4147</v>
      </c>
      <c r="D131" s="1360">
        <v>6</v>
      </c>
      <c r="E131" s="1360">
        <v>6</v>
      </c>
      <c r="F131" s="1424" t="s">
        <v>4148</v>
      </c>
      <c r="G131" s="1331">
        <v>17.25</v>
      </c>
      <c r="H131" s="1442">
        <v>14.08</v>
      </c>
      <c r="I131" s="1332">
        <f t="shared" si="6"/>
        <v>0.81623188405797098</v>
      </c>
      <c r="J131" s="1360">
        <v>16.899999999999999</v>
      </c>
      <c r="K131" s="1332">
        <f t="shared" si="7"/>
        <v>0.97971014492753616</v>
      </c>
      <c r="L131" s="1331">
        <v>7</v>
      </c>
      <c r="M131" s="1334">
        <v>42934</v>
      </c>
      <c r="N131" s="1332">
        <v>1.039940828402367</v>
      </c>
    </row>
    <row r="132" spans="1:14" s="1286" customFormat="1">
      <c r="A132" s="1472">
        <v>120</v>
      </c>
      <c r="B132" s="1426" t="s">
        <v>2517</v>
      </c>
      <c r="C132" s="1403" t="s">
        <v>4149</v>
      </c>
      <c r="D132" s="1360">
        <v>8</v>
      </c>
      <c r="E132" s="1360">
        <v>8</v>
      </c>
      <c r="F132" s="1424" t="s">
        <v>4150</v>
      </c>
      <c r="G132" s="1331">
        <v>28</v>
      </c>
      <c r="H132" s="1442">
        <v>24.07</v>
      </c>
      <c r="I132" s="1332">
        <f t="shared" si="6"/>
        <v>0.85964285714285715</v>
      </c>
      <c r="J132" s="1360">
        <v>25.2</v>
      </c>
      <c r="K132" s="1332">
        <f t="shared" si="7"/>
        <v>0.9</v>
      </c>
      <c r="L132" s="1331">
        <v>4</v>
      </c>
      <c r="M132" s="1334">
        <v>42936</v>
      </c>
      <c r="N132" s="1332">
        <v>1.1343941626190475</v>
      </c>
    </row>
    <row r="133" spans="1:14" s="1286" customFormat="1">
      <c r="A133" s="1472">
        <v>121</v>
      </c>
      <c r="B133" s="1426" t="s">
        <v>2512</v>
      </c>
      <c r="C133" s="1403" t="s">
        <v>4151</v>
      </c>
      <c r="D133" s="1360">
        <v>8.5</v>
      </c>
      <c r="E133" s="1360">
        <v>8.5</v>
      </c>
      <c r="F133" s="1424" t="s">
        <v>4148</v>
      </c>
      <c r="G133" s="1331">
        <v>35.03</v>
      </c>
      <c r="H133" s="1442">
        <v>24.18</v>
      </c>
      <c r="I133" s="1332">
        <f t="shared" si="6"/>
        <v>0.69026548672566368</v>
      </c>
      <c r="J133" s="1360">
        <v>34</v>
      </c>
      <c r="K133" s="1332">
        <f t="shared" si="7"/>
        <v>0.97059663145874964</v>
      </c>
      <c r="L133" s="1331">
        <v>6</v>
      </c>
      <c r="M133" s="1334">
        <v>42935</v>
      </c>
      <c r="N133" s="1332">
        <v>0.92426470588235299</v>
      </c>
    </row>
    <row r="134" spans="1:14" s="1286" customFormat="1">
      <c r="A134" s="1472">
        <v>122</v>
      </c>
      <c r="B134" s="1426" t="s">
        <v>2507</v>
      </c>
      <c r="C134" s="1403" t="s">
        <v>4152</v>
      </c>
      <c r="D134" s="1360">
        <v>20.34</v>
      </c>
      <c r="E134" s="1360">
        <v>20.34</v>
      </c>
      <c r="F134" s="1424" t="s">
        <v>4153</v>
      </c>
      <c r="G134" s="1331">
        <v>11.84</v>
      </c>
      <c r="H134" s="1442">
        <v>10.31</v>
      </c>
      <c r="I134" s="1332">
        <f t="shared" si="6"/>
        <v>0.87077702702702708</v>
      </c>
      <c r="J134" s="1360">
        <v>11.05</v>
      </c>
      <c r="K134" s="1332">
        <f t="shared" si="7"/>
        <v>0.93327702702702708</v>
      </c>
      <c r="L134" s="1331">
        <v>9</v>
      </c>
      <c r="M134" s="1334">
        <v>42936</v>
      </c>
      <c r="N134" s="1332">
        <v>0.68506787330316743</v>
      </c>
    </row>
    <row r="135" spans="1:14" s="1286" customFormat="1">
      <c r="A135" s="1472">
        <v>123</v>
      </c>
      <c r="B135" s="1425" t="s">
        <v>2503</v>
      </c>
      <c r="C135" s="1403" t="s">
        <v>4154</v>
      </c>
      <c r="D135" s="1360">
        <v>13.55</v>
      </c>
      <c r="E135" s="1360">
        <v>13.55</v>
      </c>
      <c r="F135" s="1424" t="s">
        <v>4155</v>
      </c>
      <c r="G135" s="1331">
        <v>32.92</v>
      </c>
      <c r="H135" s="1442">
        <v>23.71</v>
      </c>
      <c r="I135" s="1332">
        <f t="shared" si="6"/>
        <v>0.72023086269744829</v>
      </c>
      <c r="J135" s="1360">
        <v>31.73</v>
      </c>
      <c r="K135" s="1332">
        <f t="shared" si="7"/>
        <v>0.96385176184690158</v>
      </c>
      <c r="L135" s="1331">
        <v>7</v>
      </c>
      <c r="M135" s="1334">
        <v>42941</v>
      </c>
      <c r="N135" s="1332">
        <v>1.02458241411913</v>
      </c>
    </row>
    <row r="136" spans="1:14" s="1286" customFormat="1">
      <c r="A136" s="1472">
        <v>124</v>
      </c>
      <c r="B136" s="1426" t="s">
        <v>2497</v>
      </c>
      <c r="C136" s="1403" t="s">
        <v>4156</v>
      </c>
      <c r="D136" s="1360">
        <v>3.36</v>
      </c>
      <c r="E136" s="1360">
        <v>3.36</v>
      </c>
      <c r="F136" s="1424" t="s">
        <v>4157</v>
      </c>
      <c r="G136" s="1331">
        <v>73.08</v>
      </c>
      <c r="H136" s="1442">
        <v>55.29</v>
      </c>
      <c r="I136" s="1332">
        <f t="shared" si="6"/>
        <v>0.75656814449917897</v>
      </c>
      <c r="J136" s="1360">
        <v>66.2</v>
      </c>
      <c r="K136" s="1332">
        <f t="shared" si="7"/>
        <v>0.905856595511768</v>
      </c>
      <c r="L136" s="1331">
        <v>3</v>
      </c>
      <c r="M136" s="1334">
        <v>42940</v>
      </c>
      <c r="N136" s="1332">
        <v>0.81253776435045311</v>
      </c>
    </row>
    <row r="137" spans="1:14" s="1286" customFormat="1">
      <c r="A137" s="1472">
        <v>125</v>
      </c>
      <c r="B137" s="1425" t="s">
        <v>2492</v>
      </c>
      <c r="C137" s="1403" t="s">
        <v>4158</v>
      </c>
      <c r="D137" s="1360">
        <v>150</v>
      </c>
      <c r="E137" s="1360">
        <v>144.72999999999999</v>
      </c>
      <c r="F137" s="1424" t="s">
        <v>4159</v>
      </c>
      <c r="G137" s="1331">
        <v>61.25</v>
      </c>
      <c r="H137" s="1442">
        <v>57.4</v>
      </c>
      <c r="I137" s="1332">
        <f t="shared" si="6"/>
        <v>0.93714285714285717</v>
      </c>
      <c r="J137" s="1360">
        <v>57.4</v>
      </c>
      <c r="K137" s="1332">
        <f t="shared" si="7"/>
        <v>0.93714285714285717</v>
      </c>
      <c r="L137" s="1331">
        <v>6</v>
      </c>
      <c r="M137" s="1334">
        <v>42941</v>
      </c>
      <c r="N137" s="1332">
        <v>0.86684668989547031</v>
      </c>
    </row>
    <row r="138" spans="1:14" s="1286" customFormat="1">
      <c r="A138" s="1472" t="s">
        <v>232</v>
      </c>
      <c r="B138" s="1426"/>
      <c r="C138" s="1403" t="s">
        <v>232</v>
      </c>
      <c r="D138" s="1428"/>
      <c r="E138" s="1428"/>
      <c r="F138" s="1424" t="s">
        <v>4155</v>
      </c>
      <c r="G138" s="1403">
        <v>60.3</v>
      </c>
      <c r="H138" s="1442">
        <v>57.4</v>
      </c>
      <c r="I138" s="1332">
        <f>H137/G138</f>
        <v>0.95190713101160862</v>
      </c>
      <c r="J138" s="1360">
        <v>57.4</v>
      </c>
      <c r="K138" s="1332">
        <f>J137/G138</f>
        <v>0.95190713101160862</v>
      </c>
      <c r="L138" s="1358"/>
      <c r="M138" s="1358"/>
      <c r="N138" s="1358"/>
    </row>
    <row r="139" spans="1:14" s="1286" customFormat="1">
      <c r="A139" s="1472">
        <v>126</v>
      </c>
      <c r="B139" s="1426" t="s">
        <v>2486</v>
      </c>
      <c r="C139" s="1403" t="s">
        <v>4160</v>
      </c>
      <c r="D139" s="1360">
        <v>25</v>
      </c>
      <c r="E139" s="1360">
        <v>25</v>
      </c>
      <c r="F139" s="1424" t="s">
        <v>4161</v>
      </c>
      <c r="G139" s="1331">
        <v>20.100000000000001</v>
      </c>
      <c r="H139" s="1442">
        <v>16.34</v>
      </c>
      <c r="I139" s="1332">
        <f t="shared" ref="I139:I149" si="8">H139/G139</f>
        <v>0.8129353233830845</v>
      </c>
      <c r="J139" s="1360">
        <v>18.100000000000001</v>
      </c>
      <c r="K139" s="1332">
        <f t="shared" ref="K139:K149" si="9">J139/G139</f>
        <v>0.90049751243781095</v>
      </c>
      <c r="L139" s="1331">
        <v>5</v>
      </c>
      <c r="M139" s="1334">
        <v>42943</v>
      </c>
      <c r="N139" s="1332">
        <v>0.8486937071823204</v>
      </c>
    </row>
    <row r="140" spans="1:14" s="1286" customFormat="1">
      <c r="A140" s="1472">
        <v>127</v>
      </c>
      <c r="B140" s="1426" t="s">
        <v>2481</v>
      </c>
      <c r="C140" s="1403" t="s">
        <v>4162</v>
      </c>
      <c r="D140" s="1360">
        <v>19.89</v>
      </c>
      <c r="E140" s="1360">
        <v>19.89</v>
      </c>
      <c r="F140" s="1424" t="s">
        <v>4163</v>
      </c>
      <c r="G140" s="1331">
        <v>15.23</v>
      </c>
      <c r="H140" s="1442">
        <v>13</v>
      </c>
      <c r="I140" s="1332">
        <f t="shared" si="8"/>
        <v>0.85357846355876554</v>
      </c>
      <c r="J140" s="1360">
        <v>14.86</v>
      </c>
      <c r="K140" s="1332">
        <f t="shared" si="9"/>
        <v>0.97570584372948121</v>
      </c>
      <c r="L140" s="1331">
        <v>6</v>
      </c>
      <c r="M140" s="1334">
        <v>42943</v>
      </c>
      <c r="N140" s="1332">
        <v>0.66419919246298786</v>
      </c>
    </row>
    <row r="141" spans="1:14" s="1286" customFormat="1">
      <c r="A141" s="1472">
        <v>128</v>
      </c>
      <c r="B141" s="1426" t="s">
        <v>2477</v>
      </c>
      <c r="C141" s="1403" t="s">
        <v>4164</v>
      </c>
      <c r="D141" s="1360">
        <v>8.5</v>
      </c>
      <c r="E141" s="1360">
        <v>8.5</v>
      </c>
      <c r="F141" s="1424" t="s">
        <v>4165</v>
      </c>
      <c r="G141" s="1331">
        <v>33.93</v>
      </c>
      <c r="H141" s="1442">
        <v>27.01</v>
      </c>
      <c r="I141" s="1332">
        <f t="shared" si="8"/>
        <v>0.79605069260241679</v>
      </c>
      <c r="J141" s="1360">
        <v>31.55</v>
      </c>
      <c r="K141" s="1332">
        <f t="shared" si="9"/>
        <v>0.92985558502799881</v>
      </c>
      <c r="L141" s="1331">
        <v>5</v>
      </c>
      <c r="M141" s="1334">
        <v>42943</v>
      </c>
      <c r="N141" s="1332">
        <v>0.53391442155309043</v>
      </c>
    </row>
    <row r="142" spans="1:14" s="1286" customFormat="1">
      <c r="A142" s="1472">
        <v>129</v>
      </c>
      <c r="B142" s="1426" t="s">
        <v>2472</v>
      </c>
      <c r="C142" s="1403" t="s">
        <v>4166</v>
      </c>
      <c r="D142" s="1360">
        <v>95</v>
      </c>
      <c r="E142" s="1360">
        <v>95</v>
      </c>
      <c r="F142" s="1424" t="s">
        <v>4167</v>
      </c>
      <c r="G142" s="1331">
        <v>11.37</v>
      </c>
      <c r="H142" s="1442">
        <v>10.95</v>
      </c>
      <c r="I142" s="1332">
        <f t="shared" si="8"/>
        <v>0.96306068601583117</v>
      </c>
      <c r="J142" s="1360">
        <v>10.95</v>
      </c>
      <c r="K142" s="1332">
        <f t="shared" si="9"/>
        <v>0.96306068601583117</v>
      </c>
      <c r="L142" s="1331">
        <v>10</v>
      </c>
      <c r="M142" s="1334">
        <v>42954</v>
      </c>
      <c r="N142" s="1332">
        <v>1.143744292237443</v>
      </c>
    </row>
    <row r="143" spans="1:14" s="1286" customFormat="1">
      <c r="A143" s="1472">
        <v>130</v>
      </c>
      <c r="B143" s="1426" t="s">
        <v>2466</v>
      </c>
      <c r="C143" s="1403" t="s">
        <v>4168</v>
      </c>
      <c r="D143" s="1360">
        <v>13</v>
      </c>
      <c r="E143" s="1360">
        <v>13</v>
      </c>
      <c r="F143" s="1424" t="s">
        <v>4169</v>
      </c>
      <c r="G143" s="1331">
        <v>17.55</v>
      </c>
      <c r="H143" s="1442">
        <v>17.47</v>
      </c>
      <c r="I143" s="1332">
        <f t="shared" si="8"/>
        <v>0.99544159544159538</v>
      </c>
      <c r="J143" s="1360">
        <v>17.48</v>
      </c>
      <c r="K143" s="1332">
        <f t="shared" si="9"/>
        <v>0.99601139601139599</v>
      </c>
      <c r="L143" s="1331">
        <v>4</v>
      </c>
      <c r="M143" s="1334">
        <v>42957</v>
      </c>
      <c r="N143" s="1332">
        <v>1.1898169336384439</v>
      </c>
    </row>
    <row r="144" spans="1:14" s="1286" customFormat="1">
      <c r="A144" s="1472">
        <v>131</v>
      </c>
      <c r="B144" s="1426" t="s">
        <v>2461</v>
      </c>
      <c r="C144" s="1403" t="s">
        <v>4170</v>
      </c>
      <c r="D144" s="1360">
        <v>11</v>
      </c>
      <c r="E144" s="1360">
        <v>11</v>
      </c>
      <c r="F144" s="1424" t="s">
        <v>4171</v>
      </c>
      <c r="G144" s="1331">
        <v>14.02</v>
      </c>
      <c r="H144" s="1442">
        <v>12.57</v>
      </c>
      <c r="I144" s="1332">
        <f t="shared" si="8"/>
        <v>0.89657631954350936</v>
      </c>
      <c r="J144" s="1360">
        <v>13.04</v>
      </c>
      <c r="K144" s="1332">
        <f t="shared" si="9"/>
        <v>0.93009985734664757</v>
      </c>
      <c r="L144" s="1331">
        <v>4</v>
      </c>
      <c r="M144" s="1334">
        <v>42947</v>
      </c>
      <c r="N144" s="1332">
        <v>0.81211656441717794</v>
      </c>
    </row>
    <row r="145" spans="1:14" s="1286" customFormat="1">
      <c r="A145" s="1472">
        <v>132</v>
      </c>
      <c r="B145" s="1426" t="s">
        <v>2457</v>
      </c>
      <c r="C145" s="1403" t="s">
        <v>4172</v>
      </c>
      <c r="D145" s="1360">
        <v>5.0999999999999996</v>
      </c>
      <c r="E145" s="1360">
        <v>4.99</v>
      </c>
      <c r="F145" s="1424" t="s">
        <v>4173</v>
      </c>
      <c r="G145" s="1331">
        <v>11.05</v>
      </c>
      <c r="H145" s="1442">
        <v>9.11</v>
      </c>
      <c r="I145" s="1332">
        <f t="shared" si="8"/>
        <v>0.82443438914027134</v>
      </c>
      <c r="J145" s="1360">
        <v>10.5</v>
      </c>
      <c r="K145" s="1332">
        <f t="shared" si="9"/>
        <v>0.95022624434389136</v>
      </c>
      <c r="L145" s="1331">
        <v>5</v>
      </c>
      <c r="M145" s="1334">
        <v>42948</v>
      </c>
      <c r="N145" s="1332">
        <v>0.86761904761904751</v>
      </c>
    </row>
    <row r="146" spans="1:14" s="1286" customFormat="1">
      <c r="A146" s="1472">
        <v>133</v>
      </c>
      <c r="B146" s="1426" t="s">
        <v>2452</v>
      </c>
      <c r="C146" s="1403" t="s">
        <v>4174</v>
      </c>
      <c r="D146" s="1360">
        <v>4.7</v>
      </c>
      <c r="E146" s="1360">
        <v>4.7</v>
      </c>
      <c r="F146" s="1424" t="s">
        <v>4175</v>
      </c>
      <c r="G146" s="1331">
        <v>17.899999999999999</v>
      </c>
      <c r="H146" s="1442">
        <v>9.69</v>
      </c>
      <c r="I146" s="1332">
        <f t="shared" si="8"/>
        <v>0.54134078212290504</v>
      </c>
      <c r="J146" s="1360">
        <v>14.6</v>
      </c>
      <c r="K146" s="1332">
        <f t="shared" si="9"/>
        <v>0.81564245810055869</v>
      </c>
      <c r="L146" s="1331">
        <v>7</v>
      </c>
      <c r="M146" s="1334">
        <v>42954</v>
      </c>
      <c r="N146" s="1332">
        <v>0.84691780821917817</v>
      </c>
    </row>
    <row r="147" spans="1:14" s="1286" customFormat="1">
      <c r="A147" s="1472">
        <v>134</v>
      </c>
      <c r="B147" s="1425" t="s">
        <v>2447</v>
      </c>
      <c r="C147" s="1403" t="s">
        <v>4176</v>
      </c>
      <c r="D147" s="1360">
        <v>11</v>
      </c>
      <c r="E147" s="1360">
        <v>11</v>
      </c>
      <c r="F147" s="1424" t="s">
        <v>4177</v>
      </c>
      <c r="G147" s="1331">
        <v>55.75</v>
      </c>
      <c r="H147" s="1442">
        <v>34.69</v>
      </c>
      <c r="I147" s="1332">
        <f t="shared" si="8"/>
        <v>0.62224215246636772</v>
      </c>
      <c r="J147" s="1360">
        <v>53.05</v>
      </c>
      <c r="K147" s="1332">
        <f t="shared" si="9"/>
        <v>0.95156950672645735</v>
      </c>
      <c r="L147" s="1331">
        <v>6</v>
      </c>
      <c r="M147" s="1334">
        <v>42948</v>
      </c>
      <c r="N147" s="1332">
        <v>1.4974552309142319</v>
      </c>
    </row>
    <row r="148" spans="1:14" s="1286" customFormat="1">
      <c r="A148" s="1472">
        <v>135</v>
      </c>
      <c r="B148" s="1426" t="s">
        <v>2440</v>
      </c>
      <c r="C148" s="1403" t="s">
        <v>4178</v>
      </c>
      <c r="D148" s="1360">
        <v>2.63</v>
      </c>
      <c r="E148" s="1360">
        <v>2.62</v>
      </c>
      <c r="F148" s="1424" t="s">
        <v>4179</v>
      </c>
      <c r="G148" s="1331">
        <v>7.11</v>
      </c>
      <c r="H148" s="1442">
        <v>6.24</v>
      </c>
      <c r="I148" s="1332">
        <f t="shared" si="8"/>
        <v>0.8776371308016877</v>
      </c>
      <c r="J148" s="1360">
        <v>6.6</v>
      </c>
      <c r="K148" s="1332">
        <f t="shared" si="9"/>
        <v>0.9282700421940927</v>
      </c>
      <c r="L148" s="1331">
        <v>4</v>
      </c>
      <c r="M148" s="1334">
        <v>42948</v>
      </c>
      <c r="N148" s="1332">
        <v>2.767878787878788</v>
      </c>
    </row>
    <row r="149" spans="1:14" s="1286" customFormat="1">
      <c r="A149" s="1472">
        <v>136</v>
      </c>
      <c r="B149" s="1426" t="s">
        <v>2434</v>
      </c>
      <c r="C149" s="1403" t="s">
        <v>4180</v>
      </c>
      <c r="D149" s="1360">
        <v>120</v>
      </c>
      <c r="E149" s="1360">
        <v>83.11</v>
      </c>
      <c r="F149" s="1424" t="s">
        <v>4173</v>
      </c>
      <c r="G149" s="1331">
        <v>11.25</v>
      </c>
      <c r="H149" s="1442">
        <v>10.56</v>
      </c>
      <c r="I149" s="1332">
        <f t="shared" si="8"/>
        <v>0.93866666666666676</v>
      </c>
      <c r="J149" s="1360">
        <v>10.56</v>
      </c>
      <c r="K149" s="1332">
        <f t="shared" si="9"/>
        <v>0.93866666666666676</v>
      </c>
      <c r="L149" s="1331">
        <v>9</v>
      </c>
      <c r="M149" s="1334">
        <v>42948</v>
      </c>
      <c r="N149" s="1332">
        <v>0.9375</v>
      </c>
    </row>
    <row r="150" spans="1:14" s="1286" customFormat="1">
      <c r="A150" s="1472" t="s">
        <v>232</v>
      </c>
      <c r="B150" s="1364"/>
      <c r="C150" s="1403" t="s">
        <v>232</v>
      </c>
      <c r="D150" s="1331"/>
      <c r="E150" s="1331"/>
      <c r="F150" s="1424" t="s">
        <v>4181</v>
      </c>
      <c r="G150" s="1332">
        <v>11.35</v>
      </c>
      <c r="H150" s="1442">
        <v>10.56</v>
      </c>
      <c r="I150" s="1332">
        <f>H149/G150</f>
        <v>0.93039647577092521</v>
      </c>
      <c r="J150" s="1360">
        <v>10.56</v>
      </c>
      <c r="K150" s="1332">
        <f>J149/G150</f>
        <v>0.93039647577092521</v>
      </c>
      <c r="L150" s="1331"/>
      <c r="M150" s="1331"/>
      <c r="N150" s="1331"/>
    </row>
    <row r="151" spans="1:14" s="1286" customFormat="1">
      <c r="A151" s="1472" t="s">
        <v>232</v>
      </c>
      <c r="B151" s="1364"/>
      <c r="C151" s="1403" t="s">
        <v>232</v>
      </c>
      <c r="D151" s="1331"/>
      <c r="E151" s="1331"/>
      <c r="F151" s="1424" t="s">
        <v>4163</v>
      </c>
      <c r="G151" s="1332">
        <v>11.25</v>
      </c>
      <c r="H151" s="1442">
        <v>10.56</v>
      </c>
      <c r="I151" s="1332">
        <f>H149/G151</f>
        <v>0.93866666666666676</v>
      </c>
      <c r="J151" s="1360">
        <v>10.56</v>
      </c>
      <c r="K151" s="1332">
        <f>J149/G151</f>
        <v>0.93866666666666676</v>
      </c>
      <c r="L151" s="1331"/>
      <c r="M151" s="1331"/>
      <c r="N151" s="1331"/>
    </row>
    <row r="152" spans="1:14" s="1286" customFormat="1">
      <c r="A152" s="1472">
        <v>137</v>
      </c>
      <c r="B152" s="1426" t="s">
        <v>2428</v>
      </c>
      <c r="C152" s="1403" t="s">
        <v>4182</v>
      </c>
      <c r="D152" s="1360">
        <v>30</v>
      </c>
      <c r="E152" s="1360">
        <v>30</v>
      </c>
      <c r="F152" s="1424" t="s">
        <v>4183</v>
      </c>
      <c r="G152" s="1331">
        <v>6.58</v>
      </c>
      <c r="H152" s="1442">
        <v>6.78</v>
      </c>
      <c r="I152" s="1332">
        <f t="shared" ref="I152:I165" si="10">H152/G152</f>
        <v>1.0303951367781155</v>
      </c>
      <c r="J152" s="1360">
        <v>6.78</v>
      </c>
      <c r="K152" s="1332">
        <f t="shared" ref="K152:K165" si="11">J152/G152</f>
        <v>1.0303951367781155</v>
      </c>
      <c r="L152" s="1331">
        <v>6</v>
      </c>
      <c r="M152" s="1334">
        <v>42950</v>
      </c>
      <c r="N152" s="1332">
        <v>0.97345132743362828</v>
      </c>
    </row>
    <row r="153" spans="1:14" s="1286" customFormat="1">
      <c r="A153" s="1472">
        <v>138</v>
      </c>
      <c r="B153" s="1426" t="s">
        <v>2423</v>
      </c>
      <c r="C153" s="1403" t="s">
        <v>4184</v>
      </c>
      <c r="D153" s="1360">
        <v>8.9</v>
      </c>
      <c r="E153" s="1360">
        <v>8.9</v>
      </c>
      <c r="F153" s="1424" t="s">
        <v>4185</v>
      </c>
      <c r="G153" s="1331">
        <v>15.35</v>
      </c>
      <c r="H153" s="1442">
        <v>11.97</v>
      </c>
      <c r="I153" s="1332">
        <f t="shared" si="10"/>
        <v>0.77980456026058642</v>
      </c>
      <c r="J153" s="1360">
        <v>14.5</v>
      </c>
      <c r="K153" s="1332">
        <f t="shared" si="11"/>
        <v>0.94462540716612375</v>
      </c>
      <c r="L153" s="1331">
        <v>6</v>
      </c>
      <c r="M153" s="1334">
        <v>42951</v>
      </c>
      <c r="N153" s="1332">
        <v>0.75448275862068959</v>
      </c>
    </row>
    <row r="154" spans="1:14" s="1286" customFormat="1">
      <c r="A154" s="1472">
        <v>139</v>
      </c>
      <c r="B154" s="1426" t="s">
        <v>2418</v>
      </c>
      <c r="C154" s="1403" t="s">
        <v>4186</v>
      </c>
      <c r="D154" s="1360">
        <v>48</v>
      </c>
      <c r="E154" s="1360">
        <v>48</v>
      </c>
      <c r="F154" s="1424" t="s">
        <v>4187</v>
      </c>
      <c r="G154" s="1331">
        <v>52.3</v>
      </c>
      <c r="H154" s="1442">
        <v>45.01</v>
      </c>
      <c r="I154" s="1332">
        <f t="shared" si="10"/>
        <v>0.8606118546845124</v>
      </c>
      <c r="J154" s="1360">
        <v>45.01</v>
      </c>
      <c r="K154" s="1332">
        <f t="shared" si="11"/>
        <v>0.8606118546845124</v>
      </c>
      <c r="L154" s="1331">
        <v>4</v>
      </c>
      <c r="M154" s="1334">
        <v>42955</v>
      </c>
      <c r="N154" s="1332">
        <v>0.30659853365918688</v>
      </c>
    </row>
    <row r="155" spans="1:14" s="1286" customFormat="1">
      <c r="A155" s="1472">
        <v>140</v>
      </c>
      <c r="B155" s="1426" t="s">
        <v>2414</v>
      </c>
      <c r="C155" s="1403" t="s">
        <v>4188</v>
      </c>
      <c r="D155" s="1360">
        <v>4.5</v>
      </c>
      <c r="E155" s="1360">
        <v>4.5</v>
      </c>
      <c r="F155" s="1424" t="s">
        <v>4189</v>
      </c>
      <c r="G155" s="1331">
        <v>20.91</v>
      </c>
      <c r="H155" s="1442">
        <v>18.420000000000002</v>
      </c>
      <c r="I155" s="1332">
        <f t="shared" si="10"/>
        <v>0.88091822094691541</v>
      </c>
      <c r="J155" s="1360">
        <v>20.67</v>
      </c>
      <c r="K155" s="1332">
        <f t="shared" si="11"/>
        <v>0.98852223816355822</v>
      </c>
      <c r="L155" s="1331">
        <v>4</v>
      </c>
      <c r="M155" s="1334">
        <v>42592</v>
      </c>
      <c r="N155" s="1332">
        <v>0.97871311078858247</v>
      </c>
    </row>
    <row r="156" spans="1:14" s="1286" customFormat="1">
      <c r="A156" s="1472">
        <v>141</v>
      </c>
      <c r="B156" s="1426" t="s">
        <v>2409</v>
      </c>
      <c r="C156" s="1403" t="s">
        <v>4190</v>
      </c>
      <c r="D156" s="1360">
        <v>9.41</v>
      </c>
      <c r="E156" s="1360">
        <v>9.41</v>
      </c>
      <c r="F156" s="1424" t="s">
        <v>4191</v>
      </c>
      <c r="G156" s="1331">
        <v>34.6</v>
      </c>
      <c r="H156" s="1442">
        <v>14.61</v>
      </c>
      <c r="I156" s="1332">
        <f t="shared" si="10"/>
        <v>0.42225433526011558</v>
      </c>
      <c r="J156" s="1360">
        <v>24.7</v>
      </c>
      <c r="K156" s="1332">
        <f t="shared" si="11"/>
        <v>0.71387283236994215</v>
      </c>
      <c r="L156" s="1331">
        <v>7</v>
      </c>
      <c r="M156" s="1334">
        <v>42958</v>
      </c>
      <c r="N156" s="1332">
        <v>0.96356275303643735</v>
      </c>
    </row>
    <row r="157" spans="1:14" s="1286" customFormat="1">
      <c r="A157" s="1472">
        <v>142</v>
      </c>
      <c r="B157" s="1426" t="s">
        <v>2404</v>
      </c>
      <c r="C157" s="1403" t="s">
        <v>4192</v>
      </c>
      <c r="D157" s="1360">
        <v>20</v>
      </c>
      <c r="E157" s="1360">
        <v>20</v>
      </c>
      <c r="F157" s="1424" t="s">
        <v>4193</v>
      </c>
      <c r="G157" s="1331">
        <v>54.28</v>
      </c>
      <c r="H157" s="1442">
        <v>46.79</v>
      </c>
      <c r="I157" s="1332">
        <f t="shared" si="10"/>
        <v>0.86201179071481204</v>
      </c>
      <c r="J157" s="1360">
        <v>46.8</v>
      </c>
      <c r="K157" s="1332">
        <f t="shared" si="11"/>
        <v>0.86219602063375089</v>
      </c>
      <c r="L157" s="1331">
        <v>5</v>
      </c>
      <c r="M157" s="1334">
        <v>42991</v>
      </c>
      <c r="N157" s="1332">
        <v>0.76938538179487193</v>
      </c>
    </row>
    <row r="158" spans="1:14" s="1286" customFormat="1">
      <c r="A158" s="1472">
        <v>143</v>
      </c>
      <c r="B158" s="1426" t="s">
        <v>2399</v>
      </c>
      <c r="C158" s="1403" t="s">
        <v>4194</v>
      </c>
      <c r="D158" s="1360">
        <v>27.6</v>
      </c>
      <c r="E158" s="1360">
        <v>27.6</v>
      </c>
      <c r="F158" s="1424" t="s">
        <v>4195</v>
      </c>
      <c r="G158" s="1331">
        <v>9.2100000000000009</v>
      </c>
      <c r="H158" s="1442">
        <v>7.3</v>
      </c>
      <c r="I158" s="1332">
        <f t="shared" si="10"/>
        <v>0.79261672095548308</v>
      </c>
      <c r="J158" s="1360">
        <v>7.32</v>
      </c>
      <c r="K158" s="1332">
        <f t="shared" si="11"/>
        <v>0.79478827361563509</v>
      </c>
      <c r="L158" s="1331">
        <v>6</v>
      </c>
      <c r="M158" s="1334">
        <v>42962</v>
      </c>
      <c r="N158" s="1332">
        <v>2.1352459016393439</v>
      </c>
    </row>
    <row r="159" spans="1:14" s="1286" customFormat="1">
      <c r="A159" s="1472">
        <v>144</v>
      </c>
      <c r="B159" s="1426" t="s">
        <v>2394</v>
      </c>
      <c r="C159" s="1403" t="s">
        <v>4196</v>
      </c>
      <c r="D159" s="1360">
        <v>45</v>
      </c>
      <c r="E159" s="1360">
        <v>45.67</v>
      </c>
      <c r="F159" s="1424" t="s">
        <v>4197</v>
      </c>
      <c r="G159" s="1331">
        <v>11.74</v>
      </c>
      <c r="H159" s="1442">
        <v>10.62</v>
      </c>
      <c r="I159" s="1332">
        <f t="shared" si="10"/>
        <v>0.90459965928449737</v>
      </c>
      <c r="J159" s="1360">
        <v>10.62</v>
      </c>
      <c r="K159" s="1332">
        <f t="shared" si="11"/>
        <v>0.90459965928449737</v>
      </c>
      <c r="L159" s="1331">
        <v>9</v>
      </c>
      <c r="M159" s="1334">
        <v>42962</v>
      </c>
      <c r="N159" s="1332">
        <v>0.92372881355932202</v>
      </c>
    </row>
    <row r="160" spans="1:14" s="1286" customFormat="1">
      <c r="A160" s="1472">
        <v>145</v>
      </c>
      <c r="B160" s="1426" t="s">
        <v>2389</v>
      </c>
      <c r="C160" s="1403" t="s">
        <v>4198</v>
      </c>
      <c r="D160" s="1360">
        <v>0.34</v>
      </c>
      <c r="E160" s="1360">
        <v>0.34</v>
      </c>
      <c r="F160" s="1424" t="s">
        <v>4199</v>
      </c>
      <c r="G160" s="1331">
        <v>15.07</v>
      </c>
      <c r="H160" s="1442">
        <v>13.1</v>
      </c>
      <c r="I160" s="1332">
        <f t="shared" si="10"/>
        <v>0.86927670869276707</v>
      </c>
      <c r="J160" s="1360">
        <v>13.6</v>
      </c>
      <c r="K160" s="1332">
        <f t="shared" si="11"/>
        <v>0.90245520902455201</v>
      </c>
      <c r="L160" s="1331">
        <v>5</v>
      </c>
      <c r="M160" s="1334">
        <v>42964</v>
      </c>
      <c r="N160" s="1332">
        <v>1.0852941176470587</v>
      </c>
    </row>
    <row r="161" spans="1:14" s="1286" customFormat="1">
      <c r="A161" s="1472">
        <v>146</v>
      </c>
      <c r="B161" s="1426" t="s">
        <v>2384</v>
      </c>
      <c r="C161" s="1403" t="s">
        <v>4200</v>
      </c>
      <c r="D161" s="1360">
        <v>18.38</v>
      </c>
      <c r="E161" s="1360">
        <v>18.38</v>
      </c>
      <c r="F161" s="1424" t="s">
        <v>4201</v>
      </c>
      <c r="G161" s="1331">
        <v>18.61</v>
      </c>
      <c r="H161" s="1442">
        <v>9.1199999999999992</v>
      </c>
      <c r="I161" s="1332">
        <f t="shared" si="10"/>
        <v>0.49005910800644814</v>
      </c>
      <c r="J161" s="1360">
        <v>18.07</v>
      </c>
      <c r="K161" s="1332">
        <f t="shared" si="11"/>
        <v>0.97098334228909189</v>
      </c>
      <c r="L161" s="1331">
        <v>5</v>
      </c>
      <c r="M161" s="1334">
        <v>42963</v>
      </c>
      <c r="N161" s="1332">
        <v>0.91975650249031549</v>
      </c>
    </row>
    <row r="162" spans="1:14" s="1286" customFormat="1">
      <c r="A162" s="1472">
        <v>147</v>
      </c>
      <c r="B162" s="1425" t="s">
        <v>2378</v>
      </c>
      <c r="C162" s="1403" t="s">
        <v>4202</v>
      </c>
      <c r="D162" s="1360">
        <v>15</v>
      </c>
      <c r="E162" s="1360">
        <v>15</v>
      </c>
      <c r="F162" s="1424" t="s">
        <v>4203</v>
      </c>
      <c r="G162" s="1331">
        <v>43.94</v>
      </c>
      <c r="H162" s="1442">
        <v>22.12</v>
      </c>
      <c r="I162" s="1332">
        <f t="shared" si="10"/>
        <v>0.50341374601729638</v>
      </c>
      <c r="J162" s="1360">
        <v>41.09</v>
      </c>
      <c r="K162" s="1332">
        <f t="shared" si="11"/>
        <v>0.93513882567137019</v>
      </c>
      <c r="L162" s="1331">
        <v>7</v>
      </c>
      <c r="M162" s="1334">
        <v>42963</v>
      </c>
      <c r="N162" s="1332">
        <v>1.0873691895838402</v>
      </c>
    </row>
    <row r="163" spans="1:14" s="1286" customFormat="1">
      <c r="A163" s="1472">
        <v>148</v>
      </c>
      <c r="B163" s="1426" t="s">
        <v>2372</v>
      </c>
      <c r="C163" s="1403" t="s">
        <v>4204</v>
      </c>
      <c r="D163" s="1360">
        <v>10.3</v>
      </c>
      <c r="E163" s="1360">
        <v>10.3</v>
      </c>
      <c r="F163" s="1424" t="s">
        <v>4205</v>
      </c>
      <c r="G163" s="1331">
        <v>45.3</v>
      </c>
      <c r="H163" s="1442">
        <v>21.48</v>
      </c>
      <c r="I163" s="1332">
        <f t="shared" si="10"/>
        <v>0.47417218543046363</v>
      </c>
      <c r="J163" s="1360">
        <v>43.31</v>
      </c>
      <c r="K163" s="1332">
        <f t="shared" si="11"/>
        <v>0.95607064017660059</v>
      </c>
      <c r="L163" s="1331">
        <v>7</v>
      </c>
      <c r="M163" s="1334">
        <v>42965</v>
      </c>
      <c r="N163" s="1332">
        <v>0.78561533133225592</v>
      </c>
    </row>
    <row r="164" spans="1:14" s="1286" customFormat="1">
      <c r="A164" s="1472">
        <v>149</v>
      </c>
      <c r="B164" s="1426" t="s">
        <v>2366</v>
      </c>
      <c r="C164" s="1403" t="s">
        <v>4206</v>
      </c>
      <c r="D164" s="1360">
        <v>15</v>
      </c>
      <c r="E164" s="1360">
        <v>15</v>
      </c>
      <c r="F164" s="1424" t="s">
        <v>4207</v>
      </c>
      <c r="G164" s="1331">
        <v>12.16</v>
      </c>
      <c r="H164" s="1442">
        <v>11.17</v>
      </c>
      <c r="I164" s="1332">
        <f t="shared" si="10"/>
        <v>0.91858552631578949</v>
      </c>
      <c r="J164" s="1360">
        <v>11.2</v>
      </c>
      <c r="K164" s="1332">
        <f t="shared" si="11"/>
        <v>0.92105263157894735</v>
      </c>
      <c r="L164" s="1331">
        <v>6</v>
      </c>
      <c r="M164" s="1334">
        <v>42965</v>
      </c>
      <c r="N164" s="1332">
        <v>1.05</v>
      </c>
    </row>
    <row r="165" spans="1:14" s="1286" customFormat="1">
      <c r="A165" s="1472">
        <v>150</v>
      </c>
      <c r="B165" s="1426" t="s">
        <v>2360</v>
      </c>
      <c r="C165" s="1403" t="s">
        <v>4208</v>
      </c>
      <c r="D165" s="1360">
        <v>11</v>
      </c>
      <c r="E165" s="1360">
        <v>4.0999999999999996</v>
      </c>
      <c r="F165" s="1424" t="s">
        <v>4209</v>
      </c>
      <c r="G165" s="1331">
        <v>9.18</v>
      </c>
      <c r="H165" s="1442">
        <v>8.9600000000000009</v>
      </c>
      <c r="I165" s="1332">
        <f t="shared" si="10"/>
        <v>0.97603485838779969</v>
      </c>
      <c r="J165" s="1360">
        <v>9.02</v>
      </c>
      <c r="K165" s="1332">
        <f t="shared" si="11"/>
        <v>0.98257080610021785</v>
      </c>
      <c r="L165" s="1331">
        <v>2</v>
      </c>
      <c r="M165" s="1334">
        <v>42965</v>
      </c>
      <c r="N165" s="1332">
        <v>0.94013303769401324</v>
      </c>
    </row>
  </sheetData>
  <phoneticPr fontId="139"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59"/>
  <sheetViews>
    <sheetView workbookViewId="0">
      <pane xSplit="4" ySplit="2" topLeftCell="E3" activePane="bottomRight" state="frozen"/>
      <selection pane="topRight" activeCell="D1" sqref="D1"/>
      <selection pane="bottomLeft" activeCell="A3" sqref="A3"/>
      <selection pane="bottomRight" activeCell="F25" sqref="F25"/>
    </sheetView>
  </sheetViews>
  <sheetFormatPr defaultColWidth="10.83203125" defaultRowHeight="14"/>
  <cols>
    <col min="1" max="1" width="5.83203125" style="1395" customWidth="1"/>
    <col min="2" max="2" width="4.6640625" style="1410" customWidth="1"/>
    <col min="3" max="3" width="4.5" style="1286" customWidth="1"/>
    <col min="4" max="5" width="10.83203125" style="1286"/>
    <col min="6" max="9" width="9.33203125" style="1411" customWidth="1"/>
    <col min="10" max="10" width="11.33203125" style="1384" customWidth="1"/>
    <col min="11" max="11" width="11.1640625" style="1395" customWidth="1"/>
    <col min="12" max="12" width="9.33203125" style="1412" customWidth="1"/>
    <col min="13" max="13" width="6.1640625" style="1384" bestFit="1" customWidth="1"/>
    <col min="14" max="14" width="7.1640625" style="1384" customWidth="1"/>
    <col min="15" max="16" width="7" style="1384" bestFit="1" customWidth="1"/>
    <col min="17" max="17" width="6.6640625" style="1384" customWidth="1"/>
    <col min="18" max="18" width="8.6640625" style="1384" customWidth="1"/>
    <col min="19" max="19" width="5.1640625" style="1411" customWidth="1"/>
    <col min="20" max="20" width="10.33203125" style="1384" bestFit="1" customWidth="1"/>
    <col min="21" max="21" width="10.33203125" style="1413" customWidth="1"/>
    <col min="22" max="22" width="10.33203125" style="1384" customWidth="1"/>
    <col min="23" max="23" width="24.5" style="1395" customWidth="1"/>
    <col min="24" max="24" width="9" style="1384" customWidth="1"/>
    <col min="25" max="25" width="7.33203125" style="1384" customWidth="1"/>
    <col min="26" max="26" width="24" style="1286" customWidth="1"/>
    <col min="27" max="16384" width="10.83203125" style="1286"/>
  </cols>
  <sheetData>
    <row r="1" spans="1:27">
      <c r="A1" s="1280"/>
      <c r="B1" s="1281"/>
      <c r="C1" s="1282"/>
      <c r="D1" s="1282"/>
      <c r="E1" s="1282"/>
      <c r="F1" s="1283"/>
      <c r="G1" s="1283"/>
      <c r="H1" s="1283"/>
      <c r="I1" s="1283"/>
      <c r="J1" s="1284"/>
      <c r="K1" s="1280"/>
      <c r="L1" s="1285"/>
      <c r="M1" s="1284"/>
      <c r="N1" s="1284"/>
      <c r="O1" s="1284"/>
      <c r="P1" s="1284"/>
      <c r="Q1" s="1284"/>
      <c r="R1" s="1284"/>
      <c r="S1" s="1283"/>
      <c r="T1" s="1284"/>
      <c r="U1" s="1285"/>
      <c r="V1" s="1284"/>
      <c r="W1" s="1280"/>
      <c r="X1" s="1284"/>
      <c r="Y1" s="1284"/>
      <c r="Z1" s="1282"/>
    </row>
    <row r="2" spans="1:27">
      <c r="A2" s="1287" t="s">
        <v>3613</v>
      </c>
      <c r="B2" s="1288" t="s">
        <v>106</v>
      </c>
      <c r="C2" s="1289" t="s">
        <v>126</v>
      </c>
      <c r="D2" s="1289" t="s">
        <v>107</v>
      </c>
      <c r="E2" s="1289" t="s">
        <v>4</v>
      </c>
      <c r="F2" s="1290" t="s">
        <v>108</v>
      </c>
      <c r="G2" s="1290" t="s">
        <v>109</v>
      </c>
      <c r="H2" s="1291" t="s">
        <v>3614</v>
      </c>
      <c r="I2" s="1291" t="s">
        <v>751</v>
      </c>
      <c r="J2" s="1289" t="s">
        <v>274</v>
      </c>
      <c r="K2" s="1287" t="s">
        <v>273</v>
      </c>
      <c r="L2" s="1289" t="s">
        <v>116</v>
      </c>
      <c r="M2" s="1289" t="s">
        <v>110</v>
      </c>
      <c r="N2" s="1289" t="s">
        <v>276</v>
      </c>
      <c r="O2" s="1289" t="s">
        <v>117</v>
      </c>
      <c r="P2" s="1292" t="s">
        <v>275</v>
      </c>
      <c r="Q2" s="1289" t="s">
        <v>111</v>
      </c>
      <c r="R2" s="1293" t="s">
        <v>3615</v>
      </c>
      <c r="S2" s="1294" t="s">
        <v>747</v>
      </c>
      <c r="T2" s="1295" t="s">
        <v>12</v>
      </c>
      <c r="U2" s="1295" t="s">
        <v>190</v>
      </c>
      <c r="V2" s="1292" t="s">
        <v>129</v>
      </c>
      <c r="W2" s="1287" t="s">
        <v>220</v>
      </c>
      <c r="X2" s="1292" t="s">
        <v>749</v>
      </c>
      <c r="Y2" s="1292" t="s">
        <v>750</v>
      </c>
      <c r="Z2" s="1292" t="s">
        <v>748</v>
      </c>
    </row>
    <row r="3" spans="1:27" s="1314" customFormat="1">
      <c r="A3" s="1296" t="s">
        <v>3616</v>
      </c>
      <c r="B3" s="1297">
        <v>5</v>
      </c>
      <c r="C3" s="1298" t="s">
        <v>159</v>
      </c>
      <c r="D3" s="1299" t="s">
        <v>55</v>
      </c>
      <c r="E3" s="1300" t="s">
        <v>54</v>
      </c>
      <c r="F3" s="1301">
        <v>48</v>
      </c>
      <c r="G3" s="1301">
        <v>35.4</v>
      </c>
      <c r="H3" s="1302">
        <f t="shared" ref="H3:H53" si="0">L3*R3</f>
        <v>352.89</v>
      </c>
      <c r="I3" s="1302">
        <f t="shared" ref="I3:I53" si="1">F3/H3</f>
        <v>0.13601972285981467</v>
      </c>
      <c r="J3" s="1303">
        <v>42376</v>
      </c>
      <c r="K3" s="1304" t="s">
        <v>151</v>
      </c>
      <c r="L3" s="1305">
        <v>13.07</v>
      </c>
      <c r="M3" s="1306">
        <v>11.5</v>
      </c>
      <c r="N3" s="1306">
        <f t="shared" ref="N3:N53" si="2">M3/L3</f>
        <v>0.87987758224942614</v>
      </c>
      <c r="O3" s="1306">
        <v>11.8</v>
      </c>
      <c r="P3" s="1307">
        <f t="shared" ref="P3:P53" si="3">O3/L3</f>
        <v>0.90283091048201991</v>
      </c>
      <c r="Q3" s="1308">
        <v>9</v>
      </c>
      <c r="R3" s="1309">
        <v>27</v>
      </c>
      <c r="S3" s="1310" t="s">
        <v>3617</v>
      </c>
      <c r="T3" s="1311">
        <v>42755</v>
      </c>
      <c r="U3" s="1312">
        <v>12.85</v>
      </c>
      <c r="V3" s="1313">
        <f t="shared" ref="V3:V53" si="4">(U3*(1+X3/10)+Y3/10)/O3</f>
        <v>1.1144067796610169</v>
      </c>
      <c r="W3" s="1296" t="s">
        <v>243</v>
      </c>
      <c r="X3" s="1305">
        <f t="shared" ref="X3:X53" si="5">IFERROR(RIGHT(LEFT(W3,FIND("股",W3)-1),(FIND("股",W3)-1-FIND("转",W3))),0)</f>
        <v>0</v>
      </c>
      <c r="Y3" s="1307" t="str">
        <f t="shared" ref="Y3:Y53" si="6">IFERROR(RIGHT(LEFT(W3,FIND("元",W3)-1),(FIND("元",W3)-1-FIND("派",W3))),0)</f>
        <v>3</v>
      </c>
      <c r="Z3" s="1300" t="s">
        <v>2431</v>
      </c>
      <c r="AA3" s="24"/>
    </row>
    <row r="4" spans="1:27" s="1314" customFormat="1">
      <c r="A4" s="1296" t="s">
        <v>3616</v>
      </c>
      <c r="B4" s="1297">
        <v>8</v>
      </c>
      <c r="C4" s="1298" t="s">
        <v>161</v>
      </c>
      <c r="D4" s="1299" t="s">
        <v>19</v>
      </c>
      <c r="E4" s="1300" t="s">
        <v>18</v>
      </c>
      <c r="F4" s="1301">
        <v>70</v>
      </c>
      <c r="G4" s="1301">
        <v>69.999999965599997</v>
      </c>
      <c r="H4" s="1302">
        <f t="shared" si="0"/>
        <v>743.45575000000008</v>
      </c>
      <c r="I4" s="1302">
        <f t="shared" si="1"/>
        <v>9.4154897584691477E-2</v>
      </c>
      <c r="J4" s="1303">
        <v>42381</v>
      </c>
      <c r="K4" s="1304" t="s">
        <v>151</v>
      </c>
      <c r="L4" s="1305">
        <v>28.1</v>
      </c>
      <c r="M4" s="1306">
        <v>20.48</v>
      </c>
      <c r="N4" s="1306">
        <f t="shared" si="2"/>
        <v>0.72882562277580065</v>
      </c>
      <c r="O4" s="1306">
        <v>22.64</v>
      </c>
      <c r="P4" s="1307">
        <f t="shared" si="3"/>
        <v>0.80569395017793588</v>
      </c>
      <c r="Q4" s="1308">
        <v>9</v>
      </c>
      <c r="R4" s="1309">
        <v>26.4575</v>
      </c>
      <c r="S4" s="1310" t="s">
        <v>3618</v>
      </c>
      <c r="T4" s="1311">
        <v>42758</v>
      </c>
      <c r="U4" s="1312">
        <v>23.93</v>
      </c>
      <c r="V4" s="1313">
        <f t="shared" si="4"/>
        <v>1.0808303886925794</v>
      </c>
      <c r="W4" s="1296" t="s">
        <v>244</v>
      </c>
      <c r="X4" s="1305">
        <f t="shared" si="5"/>
        <v>0</v>
      </c>
      <c r="Y4" s="1307" t="str">
        <f t="shared" si="6"/>
        <v>5.4</v>
      </c>
      <c r="Z4" s="1300" t="s">
        <v>2233</v>
      </c>
      <c r="AA4" s="24"/>
    </row>
    <row r="5" spans="1:27" s="1314" customFormat="1">
      <c r="A5" s="1296" t="s">
        <v>3616</v>
      </c>
      <c r="B5" s="1297">
        <v>13</v>
      </c>
      <c r="C5" s="1298" t="s">
        <v>162</v>
      </c>
      <c r="D5" s="1299" t="s">
        <v>59</v>
      </c>
      <c r="E5" s="1300" t="s">
        <v>58</v>
      </c>
      <c r="F5" s="1301">
        <v>11</v>
      </c>
      <c r="G5" s="1301">
        <v>10.999999884499999</v>
      </c>
      <c r="H5" s="1302">
        <f t="shared" si="0"/>
        <v>72.214877000000001</v>
      </c>
      <c r="I5" s="1302">
        <f t="shared" si="1"/>
        <v>0.15232318404419631</v>
      </c>
      <c r="J5" s="1303">
        <v>42382</v>
      </c>
      <c r="K5" s="1304" t="s">
        <v>151</v>
      </c>
      <c r="L5" s="1305">
        <v>15.83</v>
      </c>
      <c r="M5" s="1306">
        <v>12.75</v>
      </c>
      <c r="N5" s="1306">
        <f t="shared" si="2"/>
        <v>0.80543272267845867</v>
      </c>
      <c r="O5" s="1306">
        <v>13.01</v>
      </c>
      <c r="P5" s="1307">
        <f t="shared" si="3"/>
        <v>0.82185723310170555</v>
      </c>
      <c r="Q5" s="1308">
        <v>8</v>
      </c>
      <c r="R5" s="1309">
        <v>4.5618999999999996</v>
      </c>
      <c r="S5" s="1310" t="s">
        <v>3619</v>
      </c>
      <c r="T5" s="1311">
        <v>42760</v>
      </c>
      <c r="U5" s="1312">
        <v>12.1</v>
      </c>
      <c r="V5" s="1313">
        <f t="shared" si="4"/>
        <v>0.93089930822444267</v>
      </c>
      <c r="W5" s="1296" t="s">
        <v>245</v>
      </c>
      <c r="X5" s="1305">
        <f t="shared" si="5"/>
        <v>0</v>
      </c>
      <c r="Y5" s="1307" t="str">
        <f t="shared" si="6"/>
        <v>0.11</v>
      </c>
      <c r="Z5" s="1300" t="s">
        <v>2122</v>
      </c>
      <c r="AA5" s="24"/>
    </row>
    <row r="6" spans="1:27" s="1314" customFormat="1">
      <c r="A6" s="1296" t="s">
        <v>3616</v>
      </c>
      <c r="B6" s="1297">
        <v>18</v>
      </c>
      <c r="C6" s="1298" t="s">
        <v>163</v>
      </c>
      <c r="D6" s="1299" t="s">
        <v>83</v>
      </c>
      <c r="E6" s="1300" t="s">
        <v>82</v>
      </c>
      <c r="F6" s="1301">
        <v>10</v>
      </c>
      <c r="G6" s="1301">
        <v>9.9999999935999995</v>
      </c>
      <c r="H6" s="1302">
        <f t="shared" si="0"/>
        <v>242.61721600000004</v>
      </c>
      <c r="I6" s="1302">
        <f t="shared" si="1"/>
        <v>4.1217190456921238E-2</v>
      </c>
      <c r="J6" s="1303">
        <v>42377</v>
      </c>
      <c r="K6" s="1304" t="s">
        <v>151</v>
      </c>
      <c r="L6" s="1305">
        <v>25.28</v>
      </c>
      <c r="M6" s="1306">
        <v>17.57</v>
      </c>
      <c r="N6" s="1306">
        <f t="shared" si="2"/>
        <v>0.69501582278481011</v>
      </c>
      <c r="O6" s="1306">
        <v>25.28</v>
      </c>
      <c r="P6" s="1307">
        <f t="shared" si="3"/>
        <v>1</v>
      </c>
      <c r="Q6" s="1308">
        <v>8</v>
      </c>
      <c r="R6" s="1309">
        <v>9.5972000000000008</v>
      </c>
      <c r="S6" s="1310" t="s">
        <v>3620</v>
      </c>
      <c r="T6" s="1311">
        <v>42769</v>
      </c>
      <c r="U6" s="1312">
        <v>20.85</v>
      </c>
      <c r="V6" s="1313">
        <f t="shared" si="4"/>
        <v>0.826740506329114</v>
      </c>
      <c r="W6" s="1296" t="s">
        <v>246</v>
      </c>
      <c r="X6" s="1305">
        <f t="shared" si="5"/>
        <v>0</v>
      </c>
      <c r="Y6" s="1307" t="str">
        <f t="shared" si="6"/>
        <v>0.50</v>
      </c>
      <c r="Z6" s="1300" t="s">
        <v>2160</v>
      </c>
      <c r="AA6" s="24"/>
    </row>
    <row r="7" spans="1:27" s="1314" customFormat="1">
      <c r="A7" s="1296" t="s">
        <v>3616</v>
      </c>
      <c r="B7" s="1297">
        <v>20</v>
      </c>
      <c r="C7" s="1298" t="s">
        <v>164</v>
      </c>
      <c r="D7" s="1299" t="s">
        <v>31</v>
      </c>
      <c r="E7" s="1300" t="s">
        <v>30</v>
      </c>
      <c r="F7" s="1301">
        <v>57.5</v>
      </c>
      <c r="G7" s="1301">
        <v>57.49999992</v>
      </c>
      <c r="H7" s="1302">
        <f t="shared" si="0"/>
        <v>468.03573699999993</v>
      </c>
      <c r="I7" s="1302">
        <f t="shared" si="1"/>
        <v>0.1228538666054896</v>
      </c>
      <c r="J7" s="1303">
        <v>42376</v>
      </c>
      <c r="K7" s="1304" t="s">
        <v>151</v>
      </c>
      <c r="L7" s="1315">
        <v>10.27</v>
      </c>
      <c r="M7" s="1306">
        <v>8.73</v>
      </c>
      <c r="N7" s="1306">
        <f t="shared" si="2"/>
        <v>0.85004868549172352</v>
      </c>
      <c r="O7" s="1306">
        <v>9</v>
      </c>
      <c r="P7" s="1307">
        <f t="shared" si="3"/>
        <v>0.87633885102239539</v>
      </c>
      <c r="Q7" s="1308">
        <v>9</v>
      </c>
      <c r="R7" s="1309">
        <v>45.573099999999997</v>
      </c>
      <c r="S7" s="1310" t="s">
        <v>3621</v>
      </c>
      <c r="T7" s="1311">
        <v>42776</v>
      </c>
      <c r="U7" s="1312">
        <v>9.34</v>
      </c>
      <c r="V7" s="1313">
        <f t="shared" si="4"/>
        <v>1.0544444444444445</v>
      </c>
      <c r="W7" s="11" t="s">
        <v>239</v>
      </c>
      <c r="X7" s="1305">
        <f t="shared" si="5"/>
        <v>0</v>
      </c>
      <c r="Y7" s="1307" t="str">
        <f t="shared" si="6"/>
        <v>1.50</v>
      </c>
      <c r="Z7" s="1300" t="s">
        <v>3622</v>
      </c>
      <c r="AA7" s="24"/>
    </row>
    <row r="8" spans="1:27" s="1314" customFormat="1">
      <c r="A8" s="1296" t="s">
        <v>3616</v>
      </c>
      <c r="B8" s="1297">
        <v>22</v>
      </c>
      <c r="C8" s="1298" t="s">
        <v>165</v>
      </c>
      <c r="D8" s="1299" t="s">
        <v>11</v>
      </c>
      <c r="E8" s="1299" t="s">
        <v>3</v>
      </c>
      <c r="F8" s="1301">
        <v>2.15</v>
      </c>
      <c r="G8" s="1301">
        <v>2.1499998389999999</v>
      </c>
      <c r="H8" s="1302">
        <f t="shared" si="0"/>
        <v>136.37464800000001</v>
      </c>
      <c r="I8" s="1302">
        <f t="shared" si="1"/>
        <v>1.5765393579604325E-2</v>
      </c>
      <c r="J8" s="1303">
        <v>42389</v>
      </c>
      <c r="K8" s="1304" t="s">
        <v>151</v>
      </c>
      <c r="L8" s="1305">
        <v>26.48</v>
      </c>
      <c r="M8" s="1306">
        <v>6.69</v>
      </c>
      <c r="N8" s="1306">
        <f t="shared" si="2"/>
        <v>0.25264350453172207</v>
      </c>
      <c r="O8" s="1306">
        <v>18.3</v>
      </c>
      <c r="P8" s="1307">
        <f t="shared" si="3"/>
        <v>0.69108761329305135</v>
      </c>
      <c r="Q8" s="1308">
        <v>2</v>
      </c>
      <c r="R8" s="1316">
        <v>5.1501000000000001</v>
      </c>
      <c r="S8" s="1310" t="s">
        <v>3623</v>
      </c>
      <c r="T8" s="1311">
        <v>42816</v>
      </c>
      <c r="U8" s="1312">
        <v>24.79</v>
      </c>
      <c r="V8" s="1313">
        <f t="shared" si="4"/>
        <v>1.3546448087431693</v>
      </c>
      <c r="W8" s="1296" t="s">
        <v>223</v>
      </c>
      <c r="X8" s="1305">
        <f t="shared" si="5"/>
        <v>0</v>
      </c>
      <c r="Y8" s="1307">
        <f t="shared" si="6"/>
        <v>0</v>
      </c>
      <c r="Z8" s="1300" t="s">
        <v>2172</v>
      </c>
      <c r="AA8" s="24"/>
    </row>
    <row r="9" spans="1:27" s="1314" customFormat="1">
      <c r="A9" s="1296" t="s">
        <v>3616</v>
      </c>
      <c r="B9" s="1297">
        <v>25</v>
      </c>
      <c r="C9" s="1298" t="s">
        <v>166</v>
      </c>
      <c r="D9" s="1299" t="s">
        <v>95</v>
      </c>
      <c r="E9" s="1299" t="s">
        <v>94</v>
      </c>
      <c r="F9" s="1317">
        <v>16.7</v>
      </c>
      <c r="G9" s="1317">
        <v>16.7</v>
      </c>
      <c r="H9" s="1318">
        <f t="shared" si="0"/>
        <v>220.54768999999999</v>
      </c>
      <c r="I9" s="1318">
        <f t="shared" si="1"/>
        <v>7.5720584513943451E-2</v>
      </c>
      <c r="J9" s="1311">
        <v>42387</v>
      </c>
      <c r="K9" s="1304" t="s">
        <v>151</v>
      </c>
      <c r="L9" s="1315">
        <v>25.3</v>
      </c>
      <c r="M9" s="1319">
        <v>16.64</v>
      </c>
      <c r="N9" s="1319">
        <f t="shared" si="2"/>
        <v>0.6577075098814229</v>
      </c>
      <c r="O9" s="1319">
        <v>20</v>
      </c>
      <c r="P9" s="1312">
        <f t="shared" si="3"/>
        <v>0.79051383399209485</v>
      </c>
      <c r="Q9" s="1308">
        <v>8</v>
      </c>
      <c r="R9" s="1316">
        <v>8.7172999999999998</v>
      </c>
      <c r="S9" s="1310" t="s">
        <v>3624</v>
      </c>
      <c r="T9" s="1311">
        <v>42769</v>
      </c>
      <c r="U9" s="1312">
        <v>9.93</v>
      </c>
      <c r="V9" s="1320">
        <f t="shared" si="4"/>
        <v>0.998</v>
      </c>
      <c r="W9" s="1296" t="s">
        <v>247</v>
      </c>
      <c r="X9" s="1305" t="str">
        <f t="shared" si="5"/>
        <v>10</v>
      </c>
      <c r="Y9" s="1307" t="str">
        <f t="shared" si="6"/>
        <v>1.00</v>
      </c>
      <c r="Z9" s="1300" t="s">
        <v>2411</v>
      </c>
      <c r="AA9" s="24"/>
    </row>
    <row r="10" spans="1:27" s="1314" customFormat="1">
      <c r="A10" s="1296" t="s">
        <v>3616</v>
      </c>
      <c r="B10" s="1297">
        <v>27</v>
      </c>
      <c r="C10" s="1298" t="s">
        <v>167</v>
      </c>
      <c r="D10" s="1299" t="s">
        <v>39</v>
      </c>
      <c r="E10" s="1299" t="s">
        <v>38</v>
      </c>
      <c r="F10" s="1301">
        <v>7.26</v>
      </c>
      <c r="G10" s="1301">
        <v>7.2599999559999997</v>
      </c>
      <c r="H10" s="1302">
        <f t="shared" si="0"/>
        <v>46.325189999999999</v>
      </c>
      <c r="I10" s="1302">
        <f t="shared" si="1"/>
        <v>0.15671819154978101</v>
      </c>
      <c r="J10" s="1303">
        <v>42395</v>
      </c>
      <c r="K10" s="1304" t="s">
        <v>151</v>
      </c>
      <c r="L10" s="1305">
        <v>12.9</v>
      </c>
      <c r="M10" s="1306">
        <v>8.68</v>
      </c>
      <c r="N10" s="1306">
        <f t="shared" si="2"/>
        <v>0.67286821705426347</v>
      </c>
      <c r="O10" s="1306">
        <v>9.1999999999999993</v>
      </c>
      <c r="P10" s="1307">
        <f t="shared" si="3"/>
        <v>0.71317829457364335</v>
      </c>
      <c r="Q10" s="1308">
        <v>7</v>
      </c>
      <c r="R10" s="1309">
        <v>3.5911</v>
      </c>
      <c r="S10" s="1321" t="s">
        <v>3625</v>
      </c>
      <c r="T10" s="1303">
        <v>42772</v>
      </c>
      <c r="U10" s="1312">
        <v>11.74</v>
      </c>
      <c r="V10" s="1313">
        <f t="shared" si="4"/>
        <v>1.2760869565217392</v>
      </c>
      <c r="W10" s="1296" t="s">
        <v>223</v>
      </c>
      <c r="X10" s="1305">
        <f t="shared" si="5"/>
        <v>0</v>
      </c>
      <c r="Y10" s="1307">
        <f t="shared" si="6"/>
        <v>0</v>
      </c>
      <c r="Z10" s="1300" t="s">
        <v>2116</v>
      </c>
      <c r="AA10" s="24"/>
    </row>
    <row r="11" spans="1:27" s="1314" customFormat="1">
      <c r="A11" s="1296" t="s">
        <v>3616</v>
      </c>
      <c r="B11" s="1297">
        <v>32</v>
      </c>
      <c r="C11" s="1298" t="s">
        <v>168</v>
      </c>
      <c r="D11" s="1299" t="s">
        <v>5</v>
      </c>
      <c r="E11" s="1299" t="s">
        <v>2</v>
      </c>
      <c r="F11" s="1301">
        <v>9.9896999999999991</v>
      </c>
      <c r="G11" s="1301">
        <v>5.1230000000000002</v>
      </c>
      <c r="H11" s="1302">
        <f t="shared" si="0"/>
        <v>61.912500000000001</v>
      </c>
      <c r="I11" s="1302">
        <f t="shared" si="1"/>
        <v>0.16135190793458509</v>
      </c>
      <c r="J11" s="1303">
        <v>42383</v>
      </c>
      <c r="K11" s="1304" t="s">
        <v>151</v>
      </c>
      <c r="L11" s="1305">
        <v>63.5</v>
      </c>
      <c r="M11" s="1306">
        <v>51.22</v>
      </c>
      <c r="N11" s="1306">
        <f t="shared" si="2"/>
        <v>0.80661417322834639</v>
      </c>
      <c r="O11" s="1306">
        <v>51.23</v>
      </c>
      <c r="P11" s="1307">
        <f t="shared" si="3"/>
        <v>0.80677165354330704</v>
      </c>
      <c r="Q11" s="1308">
        <v>5</v>
      </c>
      <c r="R11" s="1309">
        <v>0.97499999999999998</v>
      </c>
      <c r="S11" s="1321" t="s">
        <v>3626</v>
      </c>
      <c r="T11" s="1303">
        <v>42775</v>
      </c>
      <c r="U11" s="1312">
        <v>33.18</v>
      </c>
      <c r="V11" s="1313">
        <f t="shared" si="4"/>
        <v>1.2982627366777282</v>
      </c>
      <c r="W11" s="1296" t="s">
        <v>248</v>
      </c>
      <c r="X11" s="1305" t="str">
        <f t="shared" si="5"/>
        <v>10</v>
      </c>
      <c r="Y11" s="1307" t="str">
        <f t="shared" si="6"/>
        <v>1.5</v>
      </c>
      <c r="Z11" s="1300" t="s">
        <v>2172</v>
      </c>
      <c r="AA11" s="24"/>
    </row>
    <row r="12" spans="1:27" s="1314" customFormat="1">
      <c r="A12" s="1296" t="s">
        <v>3616</v>
      </c>
      <c r="B12" s="1297">
        <v>35</v>
      </c>
      <c r="C12" s="1298" t="s">
        <v>169</v>
      </c>
      <c r="D12" s="1299" t="s">
        <v>47</v>
      </c>
      <c r="E12" s="1299" t="s">
        <v>46</v>
      </c>
      <c r="F12" s="1301">
        <v>10.3325</v>
      </c>
      <c r="G12" s="1301">
        <v>10.33248699</v>
      </c>
      <c r="H12" s="1302">
        <f t="shared" si="0"/>
        <v>192.55859999999998</v>
      </c>
      <c r="I12" s="1302">
        <f t="shared" si="1"/>
        <v>5.3658990042511734E-2</v>
      </c>
      <c r="J12" s="1303">
        <v>42374</v>
      </c>
      <c r="K12" s="1304" t="s">
        <v>151</v>
      </c>
      <c r="L12" s="1305">
        <v>18.989999999999998</v>
      </c>
      <c r="M12" s="1306">
        <v>15.67</v>
      </c>
      <c r="N12" s="1306">
        <f t="shared" si="2"/>
        <v>0.82517114270668779</v>
      </c>
      <c r="O12" s="1306">
        <v>16.87</v>
      </c>
      <c r="P12" s="1307">
        <f t="shared" si="3"/>
        <v>0.88836229594523441</v>
      </c>
      <c r="Q12" s="1308">
        <v>9</v>
      </c>
      <c r="R12" s="1309">
        <v>10.14</v>
      </c>
      <c r="S12" s="1321" t="s">
        <v>3627</v>
      </c>
      <c r="T12" s="1303">
        <v>42772</v>
      </c>
      <c r="U12" s="1312">
        <v>15</v>
      </c>
      <c r="V12" s="1313">
        <f t="shared" si="4"/>
        <v>0.89508002371072903</v>
      </c>
      <c r="W12" s="1296" t="s">
        <v>242</v>
      </c>
      <c r="X12" s="1305">
        <f t="shared" si="5"/>
        <v>0</v>
      </c>
      <c r="Y12" s="1307" t="str">
        <f t="shared" si="6"/>
        <v>1.00</v>
      </c>
      <c r="Z12" s="1300" t="s">
        <v>2223</v>
      </c>
      <c r="AA12" s="24"/>
    </row>
    <row r="13" spans="1:27" s="1314" customFormat="1">
      <c r="A13" s="1296" t="s">
        <v>3616</v>
      </c>
      <c r="B13" s="1297">
        <v>36</v>
      </c>
      <c r="C13" s="1298" t="s">
        <v>170</v>
      </c>
      <c r="D13" s="1299" t="s">
        <v>37</v>
      </c>
      <c r="E13" s="1299" t="s">
        <v>36</v>
      </c>
      <c r="F13" s="1301">
        <v>48</v>
      </c>
      <c r="G13" s="1301">
        <v>47.999999927799998</v>
      </c>
      <c r="H13" s="1302">
        <f t="shared" si="0"/>
        <v>303.26493299999998</v>
      </c>
      <c r="I13" s="1302">
        <f t="shared" si="1"/>
        <v>0.15827744911080768</v>
      </c>
      <c r="J13" s="1303">
        <v>42384</v>
      </c>
      <c r="K13" s="1304" t="s">
        <v>151</v>
      </c>
      <c r="L13" s="1305">
        <v>43.17</v>
      </c>
      <c r="M13" s="1306">
        <v>26.19</v>
      </c>
      <c r="N13" s="1306">
        <f t="shared" si="2"/>
        <v>0.60667129951355103</v>
      </c>
      <c r="O13" s="1306">
        <v>28.51</v>
      </c>
      <c r="P13" s="1307">
        <f t="shared" si="3"/>
        <v>0.6604123233727125</v>
      </c>
      <c r="Q13" s="1308">
        <v>7</v>
      </c>
      <c r="R13" s="1309">
        <v>7.0248999999999997</v>
      </c>
      <c r="S13" s="1321" t="s">
        <v>3628</v>
      </c>
      <c r="T13" s="1303">
        <v>42772</v>
      </c>
      <c r="U13" s="1312">
        <v>11.06</v>
      </c>
      <c r="V13" s="1313">
        <f t="shared" si="4"/>
        <v>0.97509645738337425</v>
      </c>
      <c r="W13" s="1296" t="s">
        <v>249</v>
      </c>
      <c r="X13" s="1305" t="str">
        <f t="shared" si="5"/>
        <v>15</v>
      </c>
      <c r="Y13" s="1307" t="str">
        <f t="shared" si="6"/>
        <v>1.50</v>
      </c>
      <c r="Z13" s="1300" t="s">
        <v>2411</v>
      </c>
      <c r="AA13" s="24"/>
    </row>
    <row r="14" spans="1:27" s="1314" customFormat="1">
      <c r="A14" s="1296" t="s">
        <v>3616</v>
      </c>
      <c r="B14" s="1297">
        <v>41</v>
      </c>
      <c r="C14" s="1298" t="s">
        <v>171</v>
      </c>
      <c r="D14" s="1299" t="s">
        <v>63</v>
      </c>
      <c r="E14" s="1299" t="s">
        <v>62</v>
      </c>
      <c r="F14" s="1301">
        <v>25</v>
      </c>
      <c r="G14" s="1301">
        <v>20.331926314699999</v>
      </c>
      <c r="H14" s="1302">
        <f t="shared" si="0"/>
        <v>192.09443000000002</v>
      </c>
      <c r="I14" s="1302">
        <f t="shared" si="1"/>
        <v>0.13014432537164142</v>
      </c>
      <c r="J14" s="1303">
        <v>42380</v>
      </c>
      <c r="K14" s="1304" t="s">
        <v>151</v>
      </c>
      <c r="L14" s="1305">
        <v>11.15</v>
      </c>
      <c r="M14" s="1306">
        <v>7.06</v>
      </c>
      <c r="N14" s="1306">
        <f t="shared" si="2"/>
        <v>0.63318385650224207</v>
      </c>
      <c r="O14" s="1306">
        <v>10.01</v>
      </c>
      <c r="P14" s="1307">
        <f t="shared" si="3"/>
        <v>0.89775784753363219</v>
      </c>
      <c r="Q14" s="1308">
        <v>7</v>
      </c>
      <c r="R14" s="1309">
        <v>17.228200000000001</v>
      </c>
      <c r="S14" s="1321" t="s">
        <v>3629</v>
      </c>
      <c r="T14" s="1303">
        <v>42772</v>
      </c>
      <c r="U14" s="1312">
        <v>7.95</v>
      </c>
      <c r="V14" s="1313">
        <f t="shared" si="4"/>
        <v>0.80369630369630374</v>
      </c>
      <c r="W14" s="1296" t="s">
        <v>250</v>
      </c>
      <c r="X14" s="1305">
        <f t="shared" si="5"/>
        <v>0</v>
      </c>
      <c r="Y14" s="1307" t="str">
        <f t="shared" si="6"/>
        <v>0.95</v>
      </c>
      <c r="Z14" s="1300" t="s">
        <v>2122</v>
      </c>
      <c r="AA14" s="24"/>
    </row>
    <row r="15" spans="1:27" s="1314" customFormat="1">
      <c r="A15" s="1296" t="s">
        <v>3616</v>
      </c>
      <c r="B15" s="1297">
        <v>48</v>
      </c>
      <c r="C15" s="1298" t="s">
        <v>172</v>
      </c>
      <c r="D15" s="1299" t="s">
        <v>45</v>
      </c>
      <c r="E15" s="1299" t="s">
        <v>44</v>
      </c>
      <c r="F15" s="1301">
        <v>10</v>
      </c>
      <c r="G15" s="1301">
        <v>9.9999997964999991</v>
      </c>
      <c r="H15" s="1302">
        <f t="shared" si="0"/>
        <v>81.392079999999993</v>
      </c>
      <c r="I15" s="1302">
        <f t="shared" si="1"/>
        <v>0.12286207699815511</v>
      </c>
      <c r="J15" s="1303">
        <v>42401</v>
      </c>
      <c r="K15" s="1304" t="s">
        <v>219</v>
      </c>
      <c r="L15" s="1305">
        <v>29.2</v>
      </c>
      <c r="M15" s="1306">
        <v>19.89</v>
      </c>
      <c r="N15" s="1306">
        <f t="shared" si="2"/>
        <v>0.68116438356164388</v>
      </c>
      <c r="O15" s="1306">
        <v>22.05</v>
      </c>
      <c r="P15" s="1307">
        <f t="shared" si="3"/>
        <v>0.75513698630136994</v>
      </c>
      <c r="Q15" s="1308">
        <v>4</v>
      </c>
      <c r="R15" s="1309">
        <v>2.7873999999999999</v>
      </c>
      <c r="S15" s="1321" t="s">
        <v>3630</v>
      </c>
      <c r="T15" s="1303">
        <v>42786</v>
      </c>
      <c r="U15" s="1312">
        <v>21.25</v>
      </c>
      <c r="V15" s="1313">
        <f t="shared" si="4"/>
        <v>0.96643990929705204</v>
      </c>
      <c r="W15" s="1296" t="s">
        <v>241</v>
      </c>
      <c r="X15" s="1305">
        <f t="shared" si="5"/>
        <v>0</v>
      </c>
      <c r="Y15" s="1307" t="str">
        <f t="shared" si="6"/>
        <v>0.6</v>
      </c>
      <c r="Z15" s="1300" t="s">
        <v>2411</v>
      </c>
      <c r="AA15" s="24"/>
    </row>
    <row r="16" spans="1:27" s="1314" customFormat="1">
      <c r="A16" s="1296" t="s">
        <v>3616</v>
      </c>
      <c r="B16" s="1297">
        <v>53</v>
      </c>
      <c r="C16" s="1298" t="s">
        <v>175</v>
      </c>
      <c r="D16" s="1299" t="s">
        <v>33</v>
      </c>
      <c r="E16" s="1299" t="s">
        <v>32</v>
      </c>
      <c r="F16" s="1301">
        <v>13</v>
      </c>
      <c r="G16" s="1301">
        <v>12.999999965400001</v>
      </c>
      <c r="H16" s="1302">
        <f t="shared" si="0"/>
        <v>56.517983999999998</v>
      </c>
      <c r="I16" s="1302">
        <f t="shared" si="1"/>
        <v>0.23001528150756403</v>
      </c>
      <c r="J16" s="1303">
        <v>42389</v>
      </c>
      <c r="K16" s="1304" t="s">
        <v>151</v>
      </c>
      <c r="L16" s="1305">
        <v>18.18</v>
      </c>
      <c r="M16" s="1306">
        <v>13.34</v>
      </c>
      <c r="N16" s="1306">
        <f t="shared" si="2"/>
        <v>0.73377337733773373</v>
      </c>
      <c r="O16" s="1306">
        <v>13.58</v>
      </c>
      <c r="P16" s="1307">
        <f t="shared" si="3"/>
        <v>0.74697469746974698</v>
      </c>
      <c r="Q16" s="1308">
        <v>6</v>
      </c>
      <c r="R16" s="1309">
        <v>3.1088</v>
      </c>
      <c r="S16" s="1321" t="s">
        <v>3631</v>
      </c>
      <c r="T16" s="1303">
        <v>42793</v>
      </c>
      <c r="U16" s="1312">
        <v>14.6</v>
      </c>
      <c r="V16" s="1313">
        <f t="shared" si="4"/>
        <v>1.079160530191458</v>
      </c>
      <c r="W16" s="1296" t="s">
        <v>251</v>
      </c>
      <c r="X16" s="1305">
        <f t="shared" si="5"/>
        <v>0</v>
      </c>
      <c r="Y16" s="1307" t="str">
        <f t="shared" si="6"/>
        <v>0.55</v>
      </c>
      <c r="Z16" s="1300" t="s">
        <v>2281</v>
      </c>
      <c r="AA16" s="24"/>
    </row>
    <row r="17" spans="1:27" s="1314" customFormat="1">
      <c r="A17" s="1296" t="s">
        <v>3616</v>
      </c>
      <c r="B17" s="1297">
        <v>55</v>
      </c>
      <c r="C17" s="1298" t="s">
        <v>176</v>
      </c>
      <c r="D17" s="1299" t="s">
        <v>77</v>
      </c>
      <c r="E17" s="1299" t="s">
        <v>76</v>
      </c>
      <c r="F17" s="1301">
        <v>8.4526000000000003</v>
      </c>
      <c r="G17" s="1301">
        <v>8.4525998760000007</v>
      </c>
      <c r="H17" s="1302">
        <f t="shared" si="0"/>
        <v>69.928920000000005</v>
      </c>
      <c r="I17" s="1302">
        <f t="shared" si="1"/>
        <v>0.12087416765481292</v>
      </c>
      <c r="J17" s="1303">
        <v>42395</v>
      </c>
      <c r="K17" s="1304" t="s">
        <v>151</v>
      </c>
      <c r="L17" s="1305">
        <v>16.95</v>
      </c>
      <c r="M17" s="1306">
        <v>9.98</v>
      </c>
      <c r="N17" s="1306">
        <f t="shared" si="2"/>
        <v>0.58879056047197642</v>
      </c>
      <c r="O17" s="1306">
        <v>12.6</v>
      </c>
      <c r="P17" s="1307">
        <f t="shared" si="3"/>
        <v>0.74336283185840712</v>
      </c>
      <c r="Q17" s="1308">
        <v>7</v>
      </c>
      <c r="R17" s="1309">
        <v>4.1256000000000004</v>
      </c>
      <c r="S17" s="1321" t="s">
        <v>3632</v>
      </c>
      <c r="T17" s="1303">
        <v>42795</v>
      </c>
      <c r="U17" s="1312">
        <v>17.88</v>
      </c>
      <c r="V17" s="1313">
        <f t="shared" si="4"/>
        <v>1.4222222222222221</v>
      </c>
      <c r="W17" s="1296" t="s">
        <v>222</v>
      </c>
      <c r="X17" s="1305">
        <f t="shared" si="5"/>
        <v>0</v>
      </c>
      <c r="Y17" s="1307" t="str">
        <f t="shared" si="6"/>
        <v>0.4</v>
      </c>
      <c r="Z17" s="1300" t="s">
        <v>2374</v>
      </c>
      <c r="AA17" s="24"/>
    </row>
    <row r="18" spans="1:27" s="1314" customFormat="1">
      <c r="A18" s="1296" t="s">
        <v>3616</v>
      </c>
      <c r="B18" s="1297">
        <v>57</v>
      </c>
      <c r="C18" s="1298" t="s">
        <v>177</v>
      </c>
      <c r="D18" s="1299" t="s">
        <v>69</v>
      </c>
      <c r="E18" s="1299" t="s">
        <v>68</v>
      </c>
      <c r="F18" s="1317">
        <v>4</v>
      </c>
      <c r="G18" s="1317">
        <v>3.9999997</v>
      </c>
      <c r="H18" s="1318">
        <f t="shared" si="0"/>
        <v>97.272000000000006</v>
      </c>
      <c r="I18" s="1318">
        <f t="shared" si="1"/>
        <v>4.1121802779833863E-2</v>
      </c>
      <c r="J18" s="1311">
        <v>42390</v>
      </c>
      <c r="K18" s="1304" t="s">
        <v>151</v>
      </c>
      <c r="L18" s="1315">
        <v>40.53</v>
      </c>
      <c r="M18" s="1319">
        <v>28.5</v>
      </c>
      <c r="N18" s="1319">
        <f t="shared" si="2"/>
        <v>0.70318282753515915</v>
      </c>
      <c r="O18" s="1319">
        <v>38</v>
      </c>
      <c r="P18" s="1312">
        <f t="shared" si="3"/>
        <v>0.93757710338021216</v>
      </c>
      <c r="Q18" s="1308">
        <v>7</v>
      </c>
      <c r="R18" s="1316">
        <v>2.4</v>
      </c>
      <c r="S18" s="1310" t="s">
        <v>3633</v>
      </c>
      <c r="T18" s="1311">
        <v>42795</v>
      </c>
      <c r="U18" s="1312">
        <v>37.1</v>
      </c>
      <c r="V18" s="1320">
        <f t="shared" si="4"/>
        <v>0.98289473684210527</v>
      </c>
      <c r="W18" s="1322" t="s">
        <v>238</v>
      </c>
      <c r="X18" s="1305">
        <f t="shared" si="5"/>
        <v>0</v>
      </c>
      <c r="Y18" s="1307" t="str">
        <f t="shared" si="6"/>
        <v>2.5</v>
      </c>
      <c r="Z18" s="1300" t="s">
        <v>2281</v>
      </c>
      <c r="AA18" s="24"/>
    </row>
    <row r="19" spans="1:27" s="1314" customFormat="1">
      <c r="A19" s="1296" t="s">
        <v>3616</v>
      </c>
      <c r="B19" s="1297">
        <v>60</v>
      </c>
      <c r="C19" s="1298" t="s">
        <v>178</v>
      </c>
      <c r="D19" s="1299" t="s">
        <v>35</v>
      </c>
      <c r="E19" s="1299" t="s">
        <v>34</v>
      </c>
      <c r="F19" s="1301">
        <v>10</v>
      </c>
      <c r="G19" s="1301">
        <v>9.9999998765000004</v>
      </c>
      <c r="H19" s="1302">
        <f t="shared" si="0"/>
        <v>72.186659999999989</v>
      </c>
      <c r="I19" s="1302">
        <f t="shared" si="1"/>
        <v>0.13852975051068994</v>
      </c>
      <c r="J19" s="1303">
        <v>42419</v>
      </c>
      <c r="K19" s="1304" t="s">
        <v>153</v>
      </c>
      <c r="L19" s="1305">
        <v>18.899999999999999</v>
      </c>
      <c r="M19" s="1306">
        <v>9.4499999999999993</v>
      </c>
      <c r="N19" s="1306">
        <f t="shared" si="2"/>
        <v>0.5</v>
      </c>
      <c r="O19" s="1306">
        <v>15.35</v>
      </c>
      <c r="P19" s="1307">
        <f t="shared" si="3"/>
        <v>0.81216931216931221</v>
      </c>
      <c r="Q19" s="1308">
        <v>4</v>
      </c>
      <c r="R19" s="1309">
        <v>3.8193999999999999</v>
      </c>
      <c r="S19" s="1321" t="s">
        <v>3634</v>
      </c>
      <c r="T19" s="1303">
        <v>42797</v>
      </c>
      <c r="U19" s="1312">
        <v>8.75</v>
      </c>
      <c r="V19" s="1313">
        <f t="shared" si="4"/>
        <v>1.1465798045602607</v>
      </c>
      <c r="W19" s="1296" t="s">
        <v>247</v>
      </c>
      <c r="X19" s="1305" t="str">
        <f t="shared" si="5"/>
        <v>10</v>
      </c>
      <c r="Y19" s="1307" t="str">
        <f t="shared" si="6"/>
        <v>1.00</v>
      </c>
      <c r="Z19" s="1300" t="s">
        <v>2380</v>
      </c>
      <c r="AA19" s="24"/>
    </row>
    <row r="20" spans="1:27" s="1314" customFormat="1">
      <c r="A20" s="1296" t="s">
        <v>3616</v>
      </c>
      <c r="B20" s="1297">
        <v>64</v>
      </c>
      <c r="C20" s="1298" t="s">
        <v>179</v>
      </c>
      <c r="D20" s="1299" t="s">
        <v>27</v>
      </c>
      <c r="E20" s="1299" t="s">
        <v>26</v>
      </c>
      <c r="F20" s="1301">
        <v>9.7200000000000006</v>
      </c>
      <c r="G20" s="1301">
        <v>9.7199998896000004</v>
      </c>
      <c r="H20" s="1302">
        <f t="shared" si="0"/>
        <v>184.15957</v>
      </c>
      <c r="I20" s="1302">
        <f t="shared" si="1"/>
        <v>5.2780314376277053E-2</v>
      </c>
      <c r="J20" s="1303">
        <v>42391</v>
      </c>
      <c r="K20" s="1304" t="s">
        <v>151</v>
      </c>
      <c r="L20" s="1305">
        <v>58.1</v>
      </c>
      <c r="M20" s="1306">
        <v>37.86</v>
      </c>
      <c r="N20" s="1306">
        <f t="shared" si="2"/>
        <v>0.6516351118760757</v>
      </c>
      <c r="O20" s="1306">
        <v>47.19</v>
      </c>
      <c r="P20" s="1307">
        <f t="shared" si="3"/>
        <v>0.81222030981067117</v>
      </c>
      <c r="Q20" s="1308">
        <v>7</v>
      </c>
      <c r="R20" s="1309">
        <v>3.1697000000000002</v>
      </c>
      <c r="S20" s="1321" t="s">
        <v>3635</v>
      </c>
      <c r="T20" s="1303">
        <v>42802</v>
      </c>
      <c r="U20" s="1312">
        <v>39.07</v>
      </c>
      <c r="V20" s="1313">
        <f t="shared" si="4"/>
        <v>0.82877728332273792</v>
      </c>
      <c r="W20" s="1296" t="s">
        <v>222</v>
      </c>
      <c r="X20" s="1305">
        <f t="shared" si="5"/>
        <v>0</v>
      </c>
      <c r="Y20" s="1307" t="str">
        <f t="shared" si="6"/>
        <v>0.4</v>
      </c>
      <c r="Z20" s="1300" t="s">
        <v>2411</v>
      </c>
      <c r="AA20" s="24"/>
    </row>
    <row r="21" spans="1:27" s="1314" customFormat="1">
      <c r="A21" s="1296" t="s">
        <v>3616</v>
      </c>
      <c r="B21" s="1297">
        <v>66</v>
      </c>
      <c r="C21" s="1298" t="s">
        <v>180</v>
      </c>
      <c r="D21" s="1299" t="s">
        <v>53</v>
      </c>
      <c r="E21" s="1299" t="s">
        <v>52</v>
      </c>
      <c r="F21" s="1301">
        <v>18.100000000000001</v>
      </c>
      <c r="G21" s="1301">
        <v>18.099995409999998</v>
      </c>
      <c r="H21" s="1302">
        <f t="shared" si="0"/>
        <v>70.048549999999992</v>
      </c>
      <c r="I21" s="1302">
        <f t="shared" si="1"/>
        <v>0.25839221511366051</v>
      </c>
      <c r="J21" s="1303">
        <v>42397</v>
      </c>
      <c r="K21" s="1304" t="s">
        <v>151</v>
      </c>
      <c r="L21" s="1305">
        <v>9.6999999999999993</v>
      </c>
      <c r="M21" s="1306">
        <v>5.98</v>
      </c>
      <c r="N21" s="1306">
        <f t="shared" si="2"/>
        <v>0.61649484536082488</v>
      </c>
      <c r="O21" s="1306">
        <v>7.27</v>
      </c>
      <c r="P21" s="1307">
        <f t="shared" si="3"/>
        <v>0.74948453608247423</v>
      </c>
      <c r="Q21" s="1308">
        <v>5</v>
      </c>
      <c r="R21" s="1309">
        <v>7.2214999999999998</v>
      </c>
      <c r="S21" s="1321" t="s">
        <v>3636</v>
      </c>
      <c r="T21" s="1303">
        <v>42808</v>
      </c>
      <c r="U21" s="1312">
        <v>12.11</v>
      </c>
      <c r="V21" s="1313">
        <f t="shared" si="4"/>
        <v>1.6685006877579092</v>
      </c>
      <c r="W21" s="1296" t="s">
        <v>221</v>
      </c>
      <c r="X21" s="1305">
        <f t="shared" si="5"/>
        <v>0</v>
      </c>
      <c r="Y21" s="1307" t="str">
        <f t="shared" si="6"/>
        <v>0.20</v>
      </c>
      <c r="Z21" s="1300" t="s">
        <v>2468</v>
      </c>
      <c r="AA21" s="24"/>
    </row>
    <row r="22" spans="1:27" s="1314" customFormat="1">
      <c r="A22" s="1296" t="s">
        <v>3616</v>
      </c>
      <c r="B22" s="1297">
        <v>72</v>
      </c>
      <c r="C22" s="1298" t="s">
        <v>181</v>
      </c>
      <c r="D22" s="1299" t="s">
        <v>25</v>
      </c>
      <c r="E22" s="1299" t="s">
        <v>24</v>
      </c>
      <c r="F22" s="1301">
        <v>8.2001729999999995</v>
      </c>
      <c r="G22" s="1301">
        <v>8.2001726838</v>
      </c>
      <c r="H22" s="1302">
        <f t="shared" si="0"/>
        <v>184.46252000000001</v>
      </c>
      <c r="I22" s="1302">
        <f t="shared" si="1"/>
        <v>4.4454412744659451E-2</v>
      </c>
      <c r="J22" s="1303">
        <v>42425</v>
      </c>
      <c r="K22" s="1304" t="s">
        <v>151</v>
      </c>
      <c r="L22" s="1305">
        <v>33.200000000000003</v>
      </c>
      <c r="M22" s="1306">
        <v>33.11</v>
      </c>
      <c r="N22" s="1306">
        <f t="shared" si="2"/>
        <v>0.99728915662650597</v>
      </c>
      <c r="O22" s="1306">
        <v>33.21</v>
      </c>
      <c r="P22" s="1307">
        <f t="shared" si="3"/>
        <v>1.000301204819277</v>
      </c>
      <c r="Q22" s="1308">
        <v>3</v>
      </c>
      <c r="R22" s="1309">
        <v>5.5560999999999998</v>
      </c>
      <c r="S22" s="1310" t="s">
        <v>3637</v>
      </c>
      <c r="T22" s="1311">
        <v>42444</v>
      </c>
      <c r="U22" s="1312">
        <v>28.85</v>
      </c>
      <c r="V22" s="1313">
        <f t="shared" si="4"/>
        <v>0.86871424269798259</v>
      </c>
      <c r="W22" s="1322" t="s">
        <v>223</v>
      </c>
      <c r="X22" s="1305">
        <f t="shared" si="5"/>
        <v>0</v>
      </c>
      <c r="Y22" s="1307">
        <f t="shared" si="6"/>
        <v>0</v>
      </c>
      <c r="Z22" s="1300" t="s">
        <v>2411</v>
      </c>
      <c r="AA22" s="24"/>
    </row>
    <row r="23" spans="1:27" s="1314" customFormat="1">
      <c r="A23" s="1296" t="s">
        <v>3616</v>
      </c>
      <c r="B23" s="1297">
        <v>79</v>
      </c>
      <c r="C23" s="1298" t="s">
        <v>182</v>
      </c>
      <c r="D23" s="1299" t="s">
        <v>93</v>
      </c>
      <c r="E23" s="1299" t="s">
        <v>92</v>
      </c>
      <c r="F23" s="1301">
        <v>8.4499999999999993</v>
      </c>
      <c r="G23" s="1301">
        <v>8.4499998863000005</v>
      </c>
      <c r="H23" s="1302">
        <f t="shared" si="0"/>
        <v>114.67778</v>
      </c>
      <c r="I23" s="1302">
        <f t="shared" si="1"/>
        <v>7.3684719044962321E-2</v>
      </c>
      <c r="J23" s="1303">
        <v>42424</v>
      </c>
      <c r="K23" s="1304" t="s">
        <v>151</v>
      </c>
      <c r="L23" s="1305">
        <v>14.2</v>
      </c>
      <c r="M23" s="1306">
        <v>11.4</v>
      </c>
      <c r="N23" s="1306">
        <f t="shared" si="2"/>
        <v>0.80281690140845074</v>
      </c>
      <c r="O23" s="1306">
        <v>11.41</v>
      </c>
      <c r="P23" s="1307">
        <f t="shared" si="3"/>
        <v>0.80352112676056342</v>
      </c>
      <c r="Q23" s="1308">
        <v>4</v>
      </c>
      <c r="R23" s="1309">
        <v>8.0759000000000007</v>
      </c>
      <c r="S23" s="1321" t="s">
        <v>3638</v>
      </c>
      <c r="T23" s="1303">
        <v>42816</v>
      </c>
      <c r="U23" s="1312">
        <v>13.3</v>
      </c>
      <c r="V23" s="1313">
        <f t="shared" si="4"/>
        <v>1.9320771253286595</v>
      </c>
      <c r="W23" s="1322" t="s">
        <v>252</v>
      </c>
      <c r="X23" s="1305">
        <f>(1.1*1.5-1)*10</f>
        <v>6.5000000000000018</v>
      </c>
      <c r="Y23" s="1307" t="str">
        <f t="shared" si="6"/>
        <v>1</v>
      </c>
      <c r="Z23" s="1300" t="s">
        <v>2436</v>
      </c>
      <c r="AA23" s="24"/>
    </row>
    <row r="24" spans="1:27" s="1314" customFormat="1">
      <c r="A24" s="1296" t="s">
        <v>3616</v>
      </c>
      <c r="B24" s="1297">
        <v>81</v>
      </c>
      <c r="C24" s="1323" t="s">
        <v>183</v>
      </c>
      <c r="D24" s="1299" t="s">
        <v>51</v>
      </c>
      <c r="E24" s="1299" t="s">
        <v>50</v>
      </c>
      <c r="F24" s="1301">
        <v>38.299999999999997</v>
      </c>
      <c r="G24" s="1301">
        <v>38.299993020000002</v>
      </c>
      <c r="H24" s="1302">
        <f t="shared" si="0"/>
        <v>74.094999999999999</v>
      </c>
      <c r="I24" s="1302">
        <f t="shared" si="1"/>
        <v>0.51690397462716775</v>
      </c>
      <c r="J24" s="1303">
        <v>42425</v>
      </c>
      <c r="K24" s="1304" t="s">
        <v>151</v>
      </c>
      <c r="L24" s="1305">
        <v>10.220000000000001</v>
      </c>
      <c r="M24" s="1306">
        <v>9.32</v>
      </c>
      <c r="N24" s="1306">
        <f t="shared" si="2"/>
        <v>0.9119373776908023</v>
      </c>
      <c r="O24" s="1306">
        <v>9.6300000000000008</v>
      </c>
      <c r="P24" s="1307">
        <f t="shared" si="3"/>
        <v>0.94227005870841485</v>
      </c>
      <c r="Q24" s="1308">
        <v>9</v>
      </c>
      <c r="R24" s="1309">
        <v>7.25</v>
      </c>
      <c r="S24" s="1321" t="s">
        <v>3639</v>
      </c>
      <c r="T24" s="1303">
        <v>42817</v>
      </c>
      <c r="U24" s="1312">
        <v>2.94</v>
      </c>
      <c r="V24" s="1313">
        <f t="shared" si="4"/>
        <v>1.2315680166147454</v>
      </c>
      <c r="W24" s="1322" t="s">
        <v>253</v>
      </c>
      <c r="X24" s="1305" t="str">
        <f t="shared" si="5"/>
        <v>30</v>
      </c>
      <c r="Y24" s="1307" t="str">
        <f t="shared" si="6"/>
        <v>1</v>
      </c>
      <c r="Z24" s="1300" t="s">
        <v>2122</v>
      </c>
      <c r="AA24" s="24"/>
    </row>
    <row r="25" spans="1:27" s="1314" customFormat="1">
      <c r="A25" s="1296" t="s">
        <v>3616</v>
      </c>
      <c r="B25" s="1297">
        <v>84</v>
      </c>
      <c r="C25" s="1298" t="s">
        <v>184</v>
      </c>
      <c r="D25" s="1299" t="s">
        <v>67</v>
      </c>
      <c r="E25" s="1299" t="s">
        <v>66</v>
      </c>
      <c r="F25" s="1301">
        <v>26</v>
      </c>
      <c r="G25" s="1301">
        <v>25.999999982399999</v>
      </c>
      <c r="H25" s="1302">
        <f t="shared" si="0"/>
        <v>250.40820399999998</v>
      </c>
      <c r="I25" s="1302">
        <f t="shared" si="1"/>
        <v>0.10383046395716333</v>
      </c>
      <c r="J25" s="1303">
        <v>42424</v>
      </c>
      <c r="K25" s="1304" t="s">
        <v>151</v>
      </c>
      <c r="L25" s="1305">
        <v>17.66</v>
      </c>
      <c r="M25" s="1306">
        <v>15.09</v>
      </c>
      <c r="N25" s="1306">
        <f t="shared" si="2"/>
        <v>0.85447338618346547</v>
      </c>
      <c r="O25" s="1306">
        <v>15.09</v>
      </c>
      <c r="P25" s="1307">
        <f t="shared" si="3"/>
        <v>0.85447338618346547</v>
      </c>
      <c r="Q25" s="1308">
        <v>5</v>
      </c>
      <c r="R25" s="1309">
        <v>14.179399999999999</v>
      </c>
      <c r="S25" s="1321" t="s">
        <v>3640</v>
      </c>
      <c r="T25" s="1303">
        <v>42837</v>
      </c>
      <c r="U25" s="1312">
        <v>9.6999999999999993</v>
      </c>
      <c r="V25" s="1313">
        <f t="shared" si="4"/>
        <v>0.96995277799867452</v>
      </c>
      <c r="W25" s="1322" t="s">
        <v>254</v>
      </c>
      <c r="X25" s="1305" t="str">
        <f t="shared" si="5"/>
        <v>4.996546</v>
      </c>
      <c r="Y25" s="1307" t="str">
        <f t="shared" si="6"/>
        <v>0.899378</v>
      </c>
      <c r="Z25" s="1300" t="s">
        <v>2337</v>
      </c>
      <c r="AA25" s="24"/>
    </row>
    <row r="26" spans="1:27" s="1314" customFormat="1">
      <c r="A26" s="1296" t="s">
        <v>3616</v>
      </c>
      <c r="B26" s="1297">
        <v>85</v>
      </c>
      <c r="C26" s="1298" t="s">
        <v>185</v>
      </c>
      <c r="D26" s="1299" t="s">
        <v>9</v>
      </c>
      <c r="E26" s="1299" t="s">
        <v>0</v>
      </c>
      <c r="F26" s="1301">
        <v>13.92245</v>
      </c>
      <c r="G26" s="1301">
        <v>13.92245</v>
      </c>
      <c r="H26" s="1302">
        <f t="shared" si="0"/>
        <v>139.37270899999999</v>
      </c>
      <c r="I26" s="1302">
        <f t="shared" si="1"/>
        <v>9.9893659956053524E-2</v>
      </c>
      <c r="J26" s="1303">
        <v>42432</v>
      </c>
      <c r="K26" s="1322" t="s">
        <v>3641</v>
      </c>
      <c r="L26" s="1305">
        <v>11.27</v>
      </c>
      <c r="M26" s="1306">
        <v>9.07</v>
      </c>
      <c r="N26" s="1306">
        <f t="shared" si="2"/>
        <v>0.80479148181011539</v>
      </c>
      <c r="O26" s="1306">
        <v>9.07</v>
      </c>
      <c r="P26" s="1307">
        <f t="shared" si="3"/>
        <v>0.80479148181011539</v>
      </c>
      <c r="Q26" s="1308">
        <v>7</v>
      </c>
      <c r="R26" s="1309">
        <v>12.3667</v>
      </c>
      <c r="S26" s="1321" t="s">
        <v>3642</v>
      </c>
      <c r="T26" s="1303">
        <v>42821</v>
      </c>
      <c r="U26" s="1312">
        <v>11.08</v>
      </c>
      <c r="V26" s="1313">
        <f t="shared" si="4"/>
        <v>1.2216097023153252</v>
      </c>
      <c r="W26" s="1322" t="s">
        <v>223</v>
      </c>
      <c r="X26" s="1305">
        <f t="shared" si="5"/>
        <v>0</v>
      </c>
      <c r="Y26" s="1307">
        <f t="shared" si="6"/>
        <v>0</v>
      </c>
      <c r="Z26" s="1300" t="s">
        <v>2122</v>
      </c>
      <c r="AA26" s="24"/>
    </row>
    <row r="27" spans="1:27" s="1314" customFormat="1">
      <c r="A27" s="1296"/>
      <c r="B27" s="1297"/>
      <c r="C27" s="1298"/>
      <c r="D27" s="1299"/>
      <c r="E27" s="1299"/>
      <c r="F27" s="1301"/>
      <c r="G27" s="1301"/>
      <c r="H27" s="1302" t="s">
        <v>621</v>
      </c>
      <c r="I27" s="1302"/>
      <c r="J27" s="1303">
        <v>42432</v>
      </c>
      <c r="K27" s="1322" t="s">
        <v>3643</v>
      </c>
      <c r="L27" s="1315">
        <v>11.02</v>
      </c>
      <c r="M27" s="1319">
        <v>9.07</v>
      </c>
      <c r="N27" s="1319">
        <f t="shared" si="2"/>
        <v>0.82304900181488205</v>
      </c>
      <c r="O27" s="1319">
        <v>9.07</v>
      </c>
      <c r="P27" s="1312">
        <f t="shared" si="3"/>
        <v>0.82304900181488205</v>
      </c>
      <c r="Q27" s="1308"/>
      <c r="R27" s="1316"/>
      <c r="S27" s="1321"/>
      <c r="T27" s="1303"/>
      <c r="U27" s="1312"/>
      <c r="V27" s="1313"/>
      <c r="W27" s="1322"/>
      <c r="X27" s="1305"/>
      <c r="Y27" s="1307"/>
      <c r="Z27" s="1300"/>
      <c r="AA27" s="24"/>
    </row>
    <row r="28" spans="1:27" s="1314" customFormat="1">
      <c r="A28" s="1296" t="s">
        <v>3616</v>
      </c>
      <c r="B28" s="1297">
        <v>87</v>
      </c>
      <c r="C28" s="1323" t="s">
        <v>187</v>
      </c>
      <c r="D28" s="1299" t="s">
        <v>17</v>
      </c>
      <c r="E28" s="1299" t="s">
        <v>16</v>
      </c>
      <c r="F28" s="1317">
        <v>9.0399999999999991</v>
      </c>
      <c r="G28" s="1317">
        <v>9.0399998746999994</v>
      </c>
      <c r="H28" s="1318">
        <f t="shared" si="0"/>
        <v>433.86144300000001</v>
      </c>
      <c r="I28" s="1318">
        <f t="shared" si="1"/>
        <v>2.0836145146919633E-2</v>
      </c>
      <c r="J28" s="1311">
        <v>42433</v>
      </c>
      <c r="K28" s="1304" t="s">
        <v>151</v>
      </c>
      <c r="L28" s="1315">
        <v>33.97</v>
      </c>
      <c r="M28" s="1319">
        <v>25.97</v>
      </c>
      <c r="N28" s="1319">
        <f t="shared" si="2"/>
        <v>0.76449808654695317</v>
      </c>
      <c r="O28" s="1319">
        <v>28.87</v>
      </c>
      <c r="P28" s="1312">
        <f t="shared" si="3"/>
        <v>0.84986753017368277</v>
      </c>
      <c r="Q28" s="1308">
        <v>8</v>
      </c>
      <c r="R28" s="1316">
        <v>12.7719</v>
      </c>
      <c r="S28" s="1310" t="s">
        <v>3644</v>
      </c>
      <c r="T28" s="1311">
        <v>42824</v>
      </c>
      <c r="U28" s="1312">
        <v>20.079999999999998</v>
      </c>
      <c r="V28" s="1320">
        <f t="shared" si="4"/>
        <v>0.69691721510218207</v>
      </c>
      <c r="W28" s="1322" t="s">
        <v>222</v>
      </c>
      <c r="X28" s="1305">
        <f t="shared" si="5"/>
        <v>0</v>
      </c>
      <c r="Y28" s="1307" t="str">
        <f t="shared" si="6"/>
        <v>0.4</v>
      </c>
      <c r="Z28" s="1300" t="s">
        <v>3645</v>
      </c>
      <c r="AA28" s="24"/>
    </row>
    <row r="29" spans="1:27" s="1314" customFormat="1">
      <c r="A29" s="1296" t="s">
        <v>3616</v>
      </c>
      <c r="B29" s="1297">
        <v>90</v>
      </c>
      <c r="C29" s="1298" t="s">
        <v>188</v>
      </c>
      <c r="D29" s="1299" t="s">
        <v>87</v>
      </c>
      <c r="E29" s="1299" t="s">
        <v>86</v>
      </c>
      <c r="F29" s="1301">
        <v>14.439155</v>
      </c>
      <c r="G29" s="1301">
        <v>14.4391549792</v>
      </c>
      <c r="H29" s="1302">
        <f t="shared" si="0"/>
        <v>103.338252</v>
      </c>
      <c r="I29" s="1302">
        <f t="shared" si="1"/>
        <v>0.13972710705422034</v>
      </c>
      <c r="J29" s="1303">
        <v>42454</v>
      </c>
      <c r="K29" s="1304" t="s">
        <v>153</v>
      </c>
      <c r="L29" s="1305">
        <v>9.61</v>
      </c>
      <c r="M29" s="1306">
        <v>5.0199999999999996</v>
      </c>
      <c r="N29" s="1306">
        <f t="shared" si="2"/>
        <v>0.52237252861602501</v>
      </c>
      <c r="O29" s="1306">
        <v>7.42</v>
      </c>
      <c r="P29" s="1307">
        <f t="shared" si="3"/>
        <v>0.77211238293444329</v>
      </c>
      <c r="Q29" s="1308">
        <v>5</v>
      </c>
      <c r="R29" s="1309">
        <v>10.7532</v>
      </c>
      <c r="S29" s="1321" t="s">
        <v>3646</v>
      </c>
      <c r="T29" s="1303">
        <v>42825</v>
      </c>
      <c r="U29" s="1312">
        <v>15.56</v>
      </c>
      <c r="V29" s="1313">
        <f t="shared" si="4"/>
        <v>2.1105121293800542</v>
      </c>
      <c r="W29" s="1296" t="s">
        <v>242</v>
      </c>
      <c r="X29" s="1305">
        <f t="shared" si="5"/>
        <v>0</v>
      </c>
      <c r="Y29" s="1307" t="str">
        <f t="shared" si="6"/>
        <v>1.00</v>
      </c>
      <c r="Z29" s="1300" t="s">
        <v>2233</v>
      </c>
      <c r="AA29" s="24"/>
    </row>
    <row r="30" spans="1:27" s="1314" customFormat="1">
      <c r="A30" s="1296" t="s">
        <v>3616</v>
      </c>
      <c r="B30" s="1297">
        <v>93</v>
      </c>
      <c r="C30" s="1298" t="s">
        <v>189</v>
      </c>
      <c r="D30" s="1299" t="s">
        <v>21</v>
      </c>
      <c r="E30" s="1299" t="s">
        <v>20</v>
      </c>
      <c r="F30" s="1301">
        <v>28</v>
      </c>
      <c r="G30" s="1301">
        <v>27.543206963999999</v>
      </c>
      <c r="H30" s="1302">
        <f t="shared" si="0"/>
        <v>212.53440000000001</v>
      </c>
      <c r="I30" s="1302">
        <f t="shared" si="1"/>
        <v>0.13174337895418342</v>
      </c>
      <c r="J30" s="1303">
        <v>42439</v>
      </c>
      <c r="K30" s="1322" t="s">
        <v>151</v>
      </c>
      <c r="L30" s="1305">
        <v>7.86</v>
      </c>
      <c r="M30" s="1306">
        <v>6.76</v>
      </c>
      <c r="N30" s="1306">
        <f t="shared" si="2"/>
        <v>0.86005089058524165</v>
      </c>
      <c r="O30" s="1306">
        <v>6.76</v>
      </c>
      <c r="P30" s="1307">
        <f t="shared" si="3"/>
        <v>0.86005089058524165</v>
      </c>
      <c r="Q30" s="1308">
        <v>4</v>
      </c>
      <c r="R30" s="1309">
        <v>27.04</v>
      </c>
      <c r="S30" s="1321" t="s">
        <v>3647</v>
      </c>
      <c r="T30" s="1303">
        <v>42825</v>
      </c>
      <c r="U30" s="1312">
        <v>7.02</v>
      </c>
      <c r="V30" s="1313">
        <f t="shared" si="4"/>
        <v>1.0433431952662722</v>
      </c>
      <c r="W30" s="1296" t="s">
        <v>255</v>
      </c>
      <c r="X30" s="1305">
        <f t="shared" si="5"/>
        <v>0</v>
      </c>
      <c r="Y30" s="1307" t="str">
        <f t="shared" si="6"/>
        <v>0.33</v>
      </c>
      <c r="Z30" s="1300" t="s">
        <v>2233</v>
      </c>
      <c r="AA30" s="24"/>
    </row>
    <row r="31" spans="1:27" s="1314" customFormat="1">
      <c r="A31" s="1296" t="s">
        <v>3616</v>
      </c>
      <c r="B31" s="1297">
        <v>98</v>
      </c>
      <c r="C31" s="1298" t="s">
        <v>192</v>
      </c>
      <c r="D31" s="1299" t="s">
        <v>15</v>
      </c>
      <c r="E31" s="1299" t="s">
        <v>14</v>
      </c>
      <c r="F31" s="1301">
        <v>15</v>
      </c>
      <c r="G31" s="1301">
        <v>10.36</v>
      </c>
      <c r="H31" s="1302">
        <f t="shared" si="0"/>
        <v>61.620000000000005</v>
      </c>
      <c r="I31" s="1302">
        <f t="shared" si="1"/>
        <v>0.243427458617332</v>
      </c>
      <c r="J31" s="1303">
        <v>42437</v>
      </c>
      <c r="K31" s="1322" t="s">
        <v>191</v>
      </c>
      <c r="L31" s="1305">
        <v>15.6</v>
      </c>
      <c r="M31" s="1306">
        <v>11.83</v>
      </c>
      <c r="N31" s="1306">
        <f t="shared" si="2"/>
        <v>0.7583333333333333</v>
      </c>
      <c r="O31" s="1306">
        <v>12.95</v>
      </c>
      <c r="P31" s="1307">
        <f t="shared" si="3"/>
        <v>0.83012820512820507</v>
      </c>
      <c r="Q31" s="1308">
        <v>5</v>
      </c>
      <c r="R31" s="1309">
        <v>3.95</v>
      </c>
      <c r="S31" s="1321" t="s">
        <v>3648</v>
      </c>
      <c r="T31" s="1303">
        <v>42830</v>
      </c>
      <c r="U31" s="1312">
        <v>26</v>
      </c>
      <c r="V31" s="1313">
        <f t="shared" si="4"/>
        <v>2.0100386100386101</v>
      </c>
      <c r="W31" s="1296" t="s">
        <v>256</v>
      </c>
      <c r="X31" s="1305">
        <f t="shared" si="5"/>
        <v>0</v>
      </c>
      <c r="Y31" s="1307" t="str">
        <f t="shared" si="6"/>
        <v>0.3</v>
      </c>
      <c r="Z31" s="1300" t="s">
        <v>2316</v>
      </c>
      <c r="AA31" s="24"/>
    </row>
    <row r="32" spans="1:27" s="1314" customFormat="1">
      <c r="A32" s="1296" t="s">
        <v>3616</v>
      </c>
      <c r="B32" s="1297">
        <v>100</v>
      </c>
      <c r="C32" s="1298" t="s">
        <v>193</v>
      </c>
      <c r="D32" s="1299" t="s">
        <v>61</v>
      </c>
      <c r="E32" s="1299" t="s">
        <v>60</v>
      </c>
      <c r="F32" s="1301">
        <v>3.8955000000000002</v>
      </c>
      <c r="G32" s="1301">
        <v>3.8954999524999998</v>
      </c>
      <c r="H32" s="1302">
        <f t="shared" si="0"/>
        <v>41.544179999999997</v>
      </c>
      <c r="I32" s="1302">
        <f t="shared" si="1"/>
        <v>9.3767646876168953E-2</v>
      </c>
      <c r="J32" s="1303">
        <v>42426</v>
      </c>
      <c r="K32" s="1322" t="s">
        <v>191</v>
      </c>
      <c r="L32" s="1305">
        <v>30.98</v>
      </c>
      <c r="M32" s="1306">
        <v>22.48</v>
      </c>
      <c r="N32" s="1306">
        <f t="shared" si="2"/>
        <v>0.72562943834732085</v>
      </c>
      <c r="O32" s="1306">
        <v>24.05</v>
      </c>
      <c r="P32" s="1307">
        <f t="shared" si="3"/>
        <v>0.77630729502905105</v>
      </c>
      <c r="Q32" s="1308">
        <v>3</v>
      </c>
      <c r="R32" s="1309">
        <v>1.341</v>
      </c>
      <c r="S32" s="1321" t="s">
        <v>3649</v>
      </c>
      <c r="T32" s="1303">
        <v>42831</v>
      </c>
      <c r="U32" s="1312">
        <v>39.549999999999997</v>
      </c>
      <c r="V32" s="1313">
        <f t="shared" si="4"/>
        <v>1.6482328482328481</v>
      </c>
      <c r="W32" s="1296" t="s">
        <v>257</v>
      </c>
      <c r="X32" s="1305">
        <f t="shared" si="5"/>
        <v>0</v>
      </c>
      <c r="Y32" s="1307" t="str">
        <f t="shared" si="6"/>
        <v>0.90</v>
      </c>
      <c r="Z32" s="1300" t="s">
        <v>2223</v>
      </c>
      <c r="AA32" s="24"/>
    </row>
    <row r="33" spans="1:27" s="1314" customFormat="1">
      <c r="A33" s="1296" t="s">
        <v>3616</v>
      </c>
      <c r="B33" s="1297">
        <v>101</v>
      </c>
      <c r="C33" s="1298" t="s">
        <v>194</v>
      </c>
      <c r="D33" s="1299" t="s">
        <v>23</v>
      </c>
      <c r="E33" s="1299" t="s">
        <v>22</v>
      </c>
      <c r="F33" s="1301">
        <v>10.112242999999999</v>
      </c>
      <c r="G33" s="1301">
        <v>10.112242978899999</v>
      </c>
      <c r="H33" s="1302">
        <f t="shared" si="0"/>
        <v>68.175744000000009</v>
      </c>
      <c r="I33" s="1302">
        <f t="shared" si="1"/>
        <v>0.14832611140994659</v>
      </c>
      <c r="J33" s="1303">
        <v>42444</v>
      </c>
      <c r="K33" s="1304" t="s">
        <v>151</v>
      </c>
      <c r="L33" s="1305">
        <v>14.56</v>
      </c>
      <c r="M33" s="1306">
        <v>11.61</v>
      </c>
      <c r="N33" s="1306">
        <f t="shared" si="2"/>
        <v>0.79739010989010983</v>
      </c>
      <c r="O33" s="1306">
        <v>13.21</v>
      </c>
      <c r="P33" s="1307">
        <f t="shared" si="3"/>
        <v>0.90728021978021978</v>
      </c>
      <c r="Q33" s="1308">
        <v>5</v>
      </c>
      <c r="R33" s="1309">
        <v>4.6824000000000003</v>
      </c>
      <c r="S33" s="1321" t="s">
        <v>3650</v>
      </c>
      <c r="T33" s="1303">
        <v>42832</v>
      </c>
      <c r="U33" s="1312">
        <v>13.01</v>
      </c>
      <c r="V33" s="1313">
        <f t="shared" si="4"/>
        <v>0.9931869795609386</v>
      </c>
      <c r="W33" s="1296" t="s">
        <v>258</v>
      </c>
      <c r="X33" s="1305">
        <f t="shared" si="5"/>
        <v>0</v>
      </c>
      <c r="Y33" s="1307" t="str">
        <f t="shared" si="6"/>
        <v>1.1</v>
      </c>
      <c r="Z33" s="1300" t="s">
        <v>2281</v>
      </c>
      <c r="AA33" s="24"/>
    </row>
    <row r="34" spans="1:27" s="1314" customFormat="1">
      <c r="A34" s="1296" t="s">
        <v>3616</v>
      </c>
      <c r="B34" s="1297">
        <v>102</v>
      </c>
      <c r="C34" s="1298" t="s">
        <v>195</v>
      </c>
      <c r="D34" s="1299" t="s">
        <v>75</v>
      </c>
      <c r="E34" s="1299" t="s">
        <v>74</v>
      </c>
      <c r="F34" s="1301">
        <v>2.5</v>
      </c>
      <c r="G34" s="1301">
        <v>2.4999996686000001</v>
      </c>
      <c r="H34" s="1302">
        <f t="shared" si="0"/>
        <v>43.785533999999998</v>
      </c>
      <c r="I34" s="1302">
        <f t="shared" si="1"/>
        <v>5.7096483053055834E-2</v>
      </c>
      <c r="J34" s="1303">
        <v>42445</v>
      </c>
      <c r="K34" s="1304" t="s">
        <v>151</v>
      </c>
      <c r="L34" s="1305">
        <v>44.67</v>
      </c>
      <c r="M34" s="1306">
        <v>39.770000000000003</v>
      </c>
      <c r="N34" s="1306">
        <f t="shared" si="2"/>
        <v>0.89030669353033365</v>
      </c>
      <c r="O34" s="1306">
        <v>41.29</v>
      </c>
      <c r="P34" s="1307">
        <f t="shared" si="3"/>
        <v>0.9243340049250055</v>
      </c>
      <c r="Q34" s="1308">
        <v>4</v>
      </c>
      <c r="R34" s="1309">
        <v>0.98019999999999996</v>
      </c>
      <c r="S34" s="1321" t="s">
        <v>3651</v>
      </c>
      <c r="T34" s="1303">
        <v>42832</v>
      </c>
      <c r="U34" s="1312">
        <v>24.08</v>
      </c>
      <c r="V34" s="1313">
        <f t="shared" si="4"/>
        <v>1.1681411368583383</v>
      </c>
      <c r="W34" s="1296" t="s">
        <v>259</v>
      </c>
      <c r="X34" s="1305" t="str">
        <f t="shared" si="5"/>
        <v>9.9229858426</v>
      </c>
      <c r="Y34" s="1307" t="str">
        <f t="shared" si="6"/>
        <v>2.579976319</v>
      </c>
      <c r="Z34" s="1300" t="s">
        <v>2411</v>
      </c>
      <c r="AA34" s="24"/>
    </row>
    <row r="35" spans="1:27" s="1314" customFormat="1">
      <c r="A35" s="1296" t="s">
        <v>3616</v>
      </c>
      <c r="B35" s="1297">
        <v>104</v>
      </c>
      <c r="C35" s="1298" t="s">
        <v>196</v>
      </c>
      <c r="D35" s="1299" t="s">
        <v>97</v>
      </c>
      <c r="E35" s="1299" t="s">
        <v>96</v>
      </c>
      <c r="F35" s="1301">
        <v>5.1660000000000004</v>
      </c>
      <c r="G35" s="1301">
        <v>5.0999992560000003</v>
      </c>
      <c r="H35" s="1302">
        <f t="shared" si="0"/>
        <v>48.078128</v>
      </c>
      <c r="I35" s="1302">
        <f t="shared" si="1"/>
        <v>0.10745010704243727</v>
      </c>
      <c r="J35" s="1303">
        <v>42444</v>
      </c>
      <c r="K35" s="1304" t="s">
        <v>151</v>
      </c>
      <c r="L35" s="1305">
        <v>41.72</v>
      </c>
      <c r="M35" s="1306">
        <v>35.97</v>
      </c>
      <c r="N35" s="1306">
        <f t="shared" si="2"/>
        <v>0.86217641418983704</v>
      </c>
      <c r="O35" s="1306">
        <v>35.97</v>
      </c>
      <c r="P35" s="1307">
        <f t="shared" si="3"/>
        <v>0.86217641418983704</v>
      </c>
      <c r="Q35" s="1308">
        <v>9</v>
      </c>
      <c r="R35" s="1309">
        <v>1.1524000000000001</v>
      </c>
      <c r="S35" s="1310" t="s">
        <v>3652</v>
      </c>
      <c r="T35" s="1311">
        <v>42835</v>
      </c>
      <c r="U35" s="1312">
        <v>25.81</v>
      </c>
      <c r="V35" s="1313">
        <f t="shared" si="4"/>
        <v>1.448985265499027</v>
      </c>
      <c r="W35" s="1296" t="s">
        <v>260</v>
      </c>
      <c r="X35" s="1305" t="str">
        <f t="shared" si="5"/>
        <v>10</v>
      </c>
      <c r="Y35" s="1307" t="str">
        <f t="shared" si="6"/>
        <v>5</v>
      </c>
      <c r="Z35" s="1300" t="s">
        <v>2122</v>
      </c>
      <c r="AA35" s="24"/>
    </row>
    <row r="36" spans="1:27" s="1314" customFormat="1">
      <c r="A36" s="1296" t="s">
        <v>3616</v>
      </c>
      <c r="B36" s="1297">
        <v>106</v>
      </c>
      <c r="C36" s="1298" t="s">
        <v>197</v>
      </c>
      <c r="D36" s="1299" t="s">
        <v>99</v>
      </c>
      <c r="E36" s="1299" t="s">
        <v>98</v>
      </c>
      <c r="F36" s="1301">
        <v>29.2</v>
      </c>
      <c r="G36" s="1301">
        <v>20.855999620799999</v>
      </c>
      <c r="H36" s="1302">
        <f t="shared" si="0"/>
        <v>64.5381</v>
      </c>
      <c r="I36" s="1302">
        <f>F36/H36</f>
        <v>0.45244591954209995</v>
      </c>
      <c r="J36" s="1303">
        <v>42443</v>
      </c>
      <c r="K36" s="1304" t="s">
        <v>151</v>
      </c>
      <c r="L36" s="1305">
        <v>58.3</v>
      </c>
      <c r="M36" s="1306">
        <v>50.8</v>
      </c>
      <c r="N36" s="1306">
        <f t="shared" si="2"/>
        <v>0.8713550600343053</v>
      </c>
      <c r="O36" s="1306">
        <v>56.88</v>
      </c>
      <c r="P36" s="1307">
        <f t="shared" si="3"/>
        <v>0.97564322469982856</v>
      </c>
      <c r="Q36" s="1308">
        <v>5</v>
      </c>
      <c r="R36" s="1309">
        <v>1.107</v>
      </c>
      <c r="S36" s="1310" t="s">
        <v>3653</v>
      </c>
      <c r="T36" s="1311">
        <v>42468</v>
      </c>
      <c r="U36" s="1312">
        <v>83.65</v>
      </c>
      <c r="V36" s="1313">
        <f t="shared" si="4"/>
        <v>2.9465541490857947</v>
      </c>
      <c r="W36" s="1296" t="s">
        <v>3654</v>
      </c>
      <c r="X36" s="1305" t="str">
        <f t="shared" si="5"/>
        <v>10</v>
      </c>
      <c r="Y36" s="1307" t="str">
        <f t="shared" si="6"/>
        <v>3.00</v>
      </c>
      <c r="Z36" s="1300" t="s">
        <v>2411</v>
      </c>
      <c r="AA36" s="24"/>
    </row>
    <row r="37" spans="1:27" s="1314" customFormat="1">
      <c r="A37" s="1296" t="s">
        <v>3616</v>
      </c>
      <c r="B37" s="1297">
        <v>108</v>
      </c>
      <c r="C37" s="1298" t="s">
        <v>198</v>
      </c>
      <c r="D37" s="1299" t="s">
        <v>85</v>
      </c>
      <c r="E37" s="1299" t="s">
        <v>84</v>
      </c>
      <c r="F37" s="1317">
        <v>3.71</v>
      </c>
      <c r="G37" s="1317">
        <v>3.7099997385000001</v>
      </c>
      <c r="H37" s="1318">
        <f t="shared" si="0"/>
        <v>227.02712400000001</v>
      </c>
      <c r="I37" s="1318">
        <f t="shared" si="1"/>
        <v>1.6341659686443456E-2</v>
      </c>
      <c r="J37" s="1311">
        <v>42437</v>
      </c>
      <c r="K37" s="1304" t="s">
        <v>151</v>
      </c>
      <c r="L37" s="1315">
        <v>77.64</v>
      </c>
      <c r="M37" s="1319">
        <v>72.56</v>
      </c>
      <c r="N37" s="1319">
        <f t="shared" si="2"/>
        <v>0.93456980937661005</v>
      </c>
      <c r="O37" s="1319">
        <v>72.569999999999993</v>
      </c>
      <c r="P37" s="1312">
        <f t="shared" si="3"/>
        <v>0.93469860896445123</v>
      </c>
      <c r="Q37" s="1308">
        <v>2</v>
      </c>
      <c r="R37" s="1316">
        <v>2.9241000000000001</v>
      </c>
      <c r="S37" s="1310" t="s">
        <v>3655</v>
      </c>
      <c r="T37" s="1311">
        <v>42881</v>
      </c>
      <c r="U37" s="1312">
        <v>26.38</v>
      </c>
      <c r="V37" s="1320">
        <f t="shared" si="4"/>
        <v>0.82548551054154617</v>
      </c>
      <c r="W37" s="1322" t="s">
        <v>261</v>
      </c>
      <c r="X37" s="1305" t="str">
        <f t="shared" si="5"/>
        <v>12.6167</v>
      </c>
      <c r="Y37" s="1307" t="str">
        <f t="shared" si="6"/>
        <v>2.426289</v>
      </c>
      <c r="Z37" s="1300" t="s">
        <v>2166</v>
      </c>
      <c r="AA37" s="24"/>
    </row>
    <row r="38" spans="1:27" s="1314" customFormat="1">
      <c r="A38" s="1296" t="s">
        <v>3616</v>
      </c>
      <c r="B38" s="1297">
        <v>110</v>
      </c>
      <c r="C38" s="1298" t="s">
        <v>199</v>
      </c>
      <c r="D38" s="1299" t="s">
        <v>29</v>
      </c>
      <c r="E38" s="1299" t="s">
        <v>28</v>
      </c>
      <c r="F38" s="1301">
        <v>50</v>
      </c>
      <c r="G38" s="1301">
        <v>49.999999888799998</v>
      </c>
      <c r="H38" s="1302">
        <f t="shared" si="0"/>
        <v>384.74876799999998</v>
      </c>
      <c r="I38" s="1302">
        <f t="shared" si="1"/>
        <v>0.12995493204542244</v>
      </c>
      <c r="J38" s="1303">
        <v>42461</v>
      </c>
      <c r="K38" s="1322" t="s">
        <v>204</v>
      </c>
      <c r="L38" s="1305">
        <v>15.04</v>
      </c>
      <c r="M38" s="1306">
        <v>15.08</v>
      </c>
      <c r="N38" s="1306">
        <f t="shared" si="2"/>
        <v>1.0026595744680851</v>
      </c>
      <c r="O38" s="1306">
        <v>15.08</v>
      </c>
      <c r="P38" s="1307">
        <f t="shared" si="3"/>
        <v>1.0026595744680851</v>
      </c>
      <c r="Q38" s="1308">
        <v>1</v>
      </c>
      <c r="R38" s="1309">
        <v>25.581700000000001</v>
      </c>
      <c r="S38" s="1310" t="s">
        <v>3656</v>
      </c>
      <c r="T38" s="1311">
        <v>42838</v>
      </c>
      <c r="U38" s="1312">
        <v>13.92</v>
      </c>
      <c r="V38" s="1313">
        <f t="shared" si="4"/>
        <v>0.97612732095490717</v>
      </c>
      <c r="W38" s="1296" t="s">
        <v>262</v>
      </c>
      <c r="X38" s="1305">
        <f t="shared" si="5"/>
        <v>0</v>
      </c>
      <c r="Y38" s="1307" t="str">
        <f t="shared" si="6"/>
        <v>8.00</v>
      </c>
      <c r="Z38" s="1300" t="s">
        <v>2259</v>
      </c>
      <c r="AA38" s="24"/>
    </row>
    <row r="39" spans="1:27" s="1314" customFormat="1">
      <c r="A39" s="1296" t="s">
        <v>3616</v>
      </c>
      <c r="B39" s="1297">
        <v>111</v>
      </c>
      <c r="C39" s="1298" t="s">
        <v>201</v>
      </c>
      <c r="D39" s="1299" t="s">
        <v>79</v>
      </c>
      <c r="E39" s="1299" t="s">
        <v>78</v>
      </c>
      <c r="F39" s="1301">
        <v>16.5</v>
      </c>
      <c r="G39" s="1301">
        <v>16.499999942399999</v>
      </c>
      <c r="H39" s="1302">
        <f t="shared" si="0"/>
        <v>58.968709999999994</v>
      </c>
      <c r="I39" s="1302">
        <f t="shared" si="1"/>
        <v>0.2798094107875177</v>
      </c>
      <c r="J39" s="1303">
        <v>42446</v>
      </c>
      <c r="K39" s="1322" t="s">
        <v>202</v>
      </c>
      <c r="L39" s="1305">
        <v>6.7</v>
      </c>
      <c r="M39" s="1306">
        <v>6.06</v>
      </c>
      <c r="N39" s="1306">
        <f t="shared" si="2"/>
        <v>0.90447761194029841</v>
      </c>
      <c r="O39" s="1306">
        <v>6.08</v>
      </c>
      <c r="P39" s="1307">
        <f t="shared" si="3"/>
        <v>0.90746268656716411</v>
      </c>
      <c r="Q39" s="1308">
        <v>6</v>
      </c>
      <c r="R39" s="1309">
        <v>8.8012999999999995</v>
      </c>
      <c r="S39" s="1310" t="s">
        <v>3657</v>
      </c>
      <c r="T39" s="1311">
        <v>42838</v>
      </c>
      <c r="U39" s="1312">
        <v>6.7</v>
      </c>
      <c r="V39" s="1313">
        <f t="shared" si="4"/>
        <v>1.1019736842105263</v>
      </c>
      <c r="W39" s="1296" t="s">
        <v>223</v>
      </c>
      <c r="X39" s="1305">
        <f t="shared" si="5"/>
        <v>0</v>
      </c>
      <c r="Y39" s="1307">
        <f t="shared" si="6"/>
        <v>0</v>
      </c>
      <c r="Z39" s="1300" t="s">
        <v>2556</v>
      </c>
      <c r="AA39" s="24"/>
    </row>
    <row r="40" spans="1:27" s="1314" customFormat="1">
      <c r="A40" s="1296" t="s">
        <v>3616</v>
      </c>
      <c r="B40" s="1297">
        <v>115</v>
      </c>
      <c r="C40" s="1298" t="s">
        <v>203</v>
      </c>
      <c r="D40" s="1299" t="s">
        <v>43</v>
      </c>
      <c r="E40" s="1299" t="s">
        <v>42</v>
      </c>
      <c r="F40" s="1301">
        <v>5.9749999999999996</v>
      </c>
      <c r="G40" s="1301">
        <v>5.9749998770000001</v>
      </c>
      <c r="H40" s="1302">
        <f t="shared" si="0"/>
        <v>48.485190000000003</v>
      </c>
      <c r="I40" s="1302">
        <f t="shared" si="1"/>
        <v>0.12323350697398523</v>
      </c>
      <c r="J40" s="1303">
        <v>42452</v>
      </c>
      <c r="K40" s="1322" t="s">
        <v>204</v>
      </c>
      <c r="L40" s="1305">
        <v>18.46</v>
      </c>
      <c r="M40" s="1306">
        <v>15.2</v>
      </c>
      <c r="N40" s="1306">
        <f t="shared" si="2"/>
        <v>0.8234019501625135</v>
      </c>
      <c r="O40" s="1306">
        <v>16.66</v>
      </c>
      <c r="P40" s="1307">
        <f t="shared" si="3"/>
        <v>0.90249187432286015</v>
      </c>
      <c r="Q40" s="1308">
        <v>7</v>
      </c>
      <c r="R40" s="1309">
        <v>2.6265000000000001</v>
      </c>
      <c r="S40" s="1310" t="s">
        <v>3658</v>
      </c>
      <c r="T40" s="1311">
        <v>42839</v>
      </c>
      <c r="U40" s="1312">
        <v>13.24</v>
      </c>
      <c r="V40" s="1313">
        <f t="shared" si="4"/>
        <v>1.201080432172869</v>
      </c>
      <c r="W40" s="1296" t="s">
        <v>263</v>
      </c>
      <c r="X40" s="1305" t="str">
        <f t="shared" si="5"/>
        <v>5</v>
      </c>
      <c r="Y40" s="1307" t="str">
        <f t="shared" si="6"/>
        <v>1.5</v>
      </c>
      <c r="Z40" s="1300" t="s">
        <v>2122</v>
      </c>
      <c r="AA40" s="24"/>
    </row>
    <row r="41" spans="1:27" s="1314" customFormat="1">
      <c r="A41" s="1296" t="s">
        <v>3616</v>
      </c>
      <c r="B41" s="1297">
        <v>116</v>
      </c>
      <c r="C41" s="1298" t="s">
        <v>205</v>
      </c>
      <c r="D41" s="1299" t="s">
        <v>65</v>
      </c>
      <c r="E41" s="1299" t="s">
        <v>64</v>
      </c>
      <c r="F41" s="1301">
        <v>50</v>
      </c>
      <c r="G41" s="1301">
        <v>49.999999895999999</v>
      </c>
      <c r="H41" s="1302">
        <f t="shared" si="0"/>
        <v>1249.584204</v>
      </c>
      <c r="I41" s="1302">
        <f t="shared" si="1"/>
        <v>4.0013309899362332E-2</v>
      </c>
      <c r="J41" s="1303">
        <v>42447</v>
      </c>
      <c r="K41" s="1304" t="s">
        <v>151</v>
      </c>
      <c r="L41" s="1305">
        <v>30.36</v>
      </c>
      <c r="M41" s="1306">
        <v>11.38</v>
      </c>
      <c r="N41" s="1306">
        <f t="shared" si="2"/>
        <v>0.37483530961791833</v>
      </c>
      <c r="O41" s="1306">
        <v>19.8</v>
      </c>
      <c r="P41" s="1307">
        <f t="shared" si="3"/>
        <v>0.65217391304347827</v>
      </c>
      <c r="Q41" s="1308">
        <v>7</v>
      </c>
      <c r="R41" s="1309">
        <v>41.158900000000003</v>
      </c>
      <c r="S41" s="1310" t="s">
        <v>3659</v>
      </c>
      <c r="T41" s="1311">
        <v>42842</v>
      </c>
      <c r="U41" s="1312">
        <v>11.4</v>
      </c>
      <c r="V41" s="1313">
        <f t="shared" si="4"/>
        <v>1.1641414141414141</v>
      </c>
      <c r="W41" s="1322" t="s">
        <v>264</v>
      </c>
      <c r="X41" s="1305" t="str">
        <f t="shared" si="5"/>
        <v>10</v>
      </c>
      <c r="Y41" s="1307" t="str">
        <f t="shared" si="6"/>
        <v>2.5</v>
      </c>
      <c r="Z41" s="1300" t="s">
        <v>2192</v>
      </c>
      <c r="AA41" s="24"/>
    </row>
    <row r="42" spans="1:27" s="1314" customFormat="1">
      <c r="A42" s="1296" t="s">
        <v>3616</v>
      </c>
      <c r="B42" s="1297">
        <v>120</v>
      </c>
      <c r="C42" s="1298" t="s">
        <v>206</v>
      </c>
      <c r="D42" s="1299" t="s">
        <v>57</v>
      </c>
      <c r="E42" s="1299" t="s">
        <v>56</v>
      </c>
      <c r="F42" s="1301">
        <v>3</v>
      </c>
      <c r="G42" s="1301">
        <v>2.9999999312000001</v>
      </c>
      <c r="H42" s="1302">
        <f t="shared" si="0"/>
        <v>51.522800000000004</v>
      </c>
      <c r="I42" s="1302">
        <f t="shared" si="1"/>
        <v>5.8226649172793403E-2</v>
      </c>
      <c r="J42" s="1303">
        <v>42444</v>
      </c>
      <c r="K42" s="1304" t="s">
        <v>151</v>
      </c>
      <c r="L42" s="1305">
        <v>28</v>
      </c>
      <c r="M42" s="1306">
        <v>24.03</v>
      </c>
      <c r="N42" s="1306">
        <f t="shared" si="2"/>
        <v>0.85821428571428571</v>
      </c>
      <c r="O42" s="1306">
        <v>27.98</v>
      </c>
      <c r="P42" s="1307">
        <f t="shared" si="3"/>
        <v>0.99928571428571433</v>
      </c>
      <c r="Q42" s="1308">
        <v>2</v>
      </c>
      <c r="R42" s="1309">
        <v>1.8401000000000001</v>
      </c>
      <c r="S42" s="1310" t="s">
        <v>3660</v>
      </c>
      <c r="T42" s="1311">
        <v>42479</v>
      </c>
      <c r="U42" s="1312">
        <v>35.76</v>
      </c>
      <c r="V42" s="1313">
        <f t="shared" si="4"/>
        <v>1.2780557541100785</v>
      </c>
      <c r="W42" s="1322" t="s">
        <v>223</v>
      </c>
      <c r="X42" s="1305">
        <f t="shared" si="5"/>
        <v>0</v>
      </c>
      <c r="Y42" s="1307">
        <f t="shared" si="6"/>
        <v>0</v>
      </c>
      <c r="Z42" s="1300" t="s">
        <v>2116</v>
      </c>
      <c r="AA42" s="24"/>
    </row>
    <row r="43" spans="1:27" s="1314" customFormat="1">
      <c r="A43" s="1296" t="s">
        <v>3616</v>
      </c>
      <c r="B43" s="1297">
        <v>121</v>
      </c>
      <c r="C43" s="1298" t="s">
        <v>207</v>
      </c>
      <c r="D43" s="1299" t="s">
        <v>91</v>
      </c>
      <c r="E43" s="1299" t="s">
        <v>90</v>
      </c>
      <c r="F43" s="1301">
        <v>9.3614280000000001</v>
      </c>
      <c r="G43" s="1301">
        <v>9.3614279048999993</v>
      </c>
      <c r="H43" s="1302">
        <f t="shared" si="0"/>
        <v>69.19680000000001</v>
      </c>
      <c r="I43" s="1302">
        <f t="shared" si="1"/>
        <v>0.13528700749167591</v>
      </c>
      <c r="J43" s="1303">
        <v>42443</v>
      </c>
      <c r="K43" s="1304" t="s">
        <v>151</v>
      </c>
      <c r="L43" s="1305">
        <v>33.92</v>
      </c>
      <c r="M43" s="1306">
        <v>23.67</v>
      </c>
      <c r="N43" s="1306">
        <f t="shared" si="2"/>
        <v>0.69781839622641506</v>
      </c>
      <c r="O43" s="1306">
        <v>26.01</v>
      </c>
      <c r="P43" s="1307">
        <f t="shared" si="3"/>
        <v>0.76680424528301883</v>
      </c>
      <c r="Q43" s="1308">
        <v>7</v>
      </c>
      <c r="R43" s="1309">
        <v>2.04</v>
      </c>
      <c r="S43" s="1310" t="s">
        <v>3661</v>
      </c>
      <c r="T43" s="1311">
        <v>42844</v>
      </c>
      <c r="U43" s="1312">
        <v>20.350000000000001</v>
      </c>
      <c r="V43" s="1313">
        <f t="shared" si="4"/>
        <v>0.78354479046520575</v>
      </c>
      <c r="W43" s="1296" t="s">
        <v>256</v>
      </c>
      <c r="X43" s="1305">
        <f t="shared" si="5"/>
        <v>0</v>
      </c>
      <c r="Y43" s="1307" t="str">
        <f t="shared" si="6"/>
        <v>0.3</v>
      </c>
      <c r="Z43" s="1300" t="s">
        <v>2411</v>
      </c>
      <c r="AA43" s="24"/>
    </row>
    <row r="44" spans="1:27" s="1314" customFormat="1">
      <c r="A44" s="1296" t="s">
        <v>3616</v>
      </c>
      <c r="B44" s="1297">
        <v>122</v>
      </c>
      <c r="C44" s="1298" t="s">
        <v>208</v>
      </c>
      <c r="D44" s="1299" t="s">
        <v>41</v>
      </c>
      <c r="E44" s="1299" t="s">
        <v>40</v>
      </c>
      <c r="F44" s="1301">
        <v>13.185600000000001</v>
      </c>
      <c r="G44" s="1301">
        <v>13.185599997500001</v>
      </c>
      <c r="H44" s="1302">
        <f t="shared" si="0"/>
        <v>80.100000000000009</v>
      </c>
      <c r="I44" s="1302">
        <f t="shared" si="1"/>
        <v>0.16461423220973781</v>
      </c>
      <c r="J44" s="1303">
        <v>42453</v>
      </c>
      <c r="K44" s="1304" t="s">
        <v>204</v>
      </c>
      <c r="L44" s="1305">
        <v>22.25</v>
      </c>
      <c r="M44" s="1306">
        <v>16.760000000000002</v>
      </c>
      <c r="N44" s="1306">
        <f t="shared" si="2"/>
        <v>0.75325842696629219</v>
      </c>
      <c r="O44" s="1306">
        <v>18.25</v>
      </c>
      <c r="P44" s="1307">
        <f t="shared" si="3"/>
        <v>0.8202247191011236</v>
      </c>
      <c r="Q44" s="1308">
        <v>8</v>
      </c>
      <c r="R44" s="1309">
        <v>3.6</v>
      </c>
      <c r="S44" s="1310" t="s">
        <v>3662</v>
      </c>
      <c r="T44" s="1311">
        <v>42850</v>
      </c>
      <c r="U44" s="1312">
        <v>13.6</v>
      </c>
      <c r="V44" s="1313">
        <f t="shared" si="4"/>
        <v>1.2690410958904108</v>
      </c>
      <c r="W44" s="1296" t="s">
        <v>265</v>
      </c>
      <c r="X44" s="1305" t="str">
        <f t="shared" si="5"/>
        <v>7</v>
      </c>
      <c r="Y44" s="1307" t="str">
        <f t="shared" si="6"/>
        <v>0.4</v>
      </c>
      <c r="Z44" s="1300" t="s">
        <v>2122</v>
      </c>
      <c r="AA44" s="24"/>
    </row>
    <row r="45" spans="1:27" s="1314" customFormat="1">
      <c r="A45" s="1296" t="s">
        <v>3616</v>
      </c>
      <c r="B45" s="1297">
        <v>123</v>
      </c>
      <c r="C45" s="1298" t="s">
        <v>210</v>
      </c>
      <c r="D45" s="1299" t="s">
        <v>81</v>
      </c>
      <c r="E45" s="1299" t="s">
        <v>80</v>
      </c>
      <c r="F45" s="1301">
        <v>47</v>
      </c>
      <c r="G45" s="1301">
        <v>46.399999812399997</v>
      </c>
      <c r="H45" s="1302">
        <f t="shared" si="0"/>
        <v>184.40035699999999</v>
      </c>
      <c r="I45" s="1302">
        <f t="shared" si="1"/>
        <v>0.25488020069288697</v>
      </c>
      <c r="J45" s="1303">
        <v>42452</v>
      </c>
      <c r="K45" s="1304" t="s">
        <v>209</v>
      </c>
      <c r="L45" s="1305">
        <v>15.79</v>
      </c>
      <c r="M45" s="1306">
        <v>14.68</v>
      </c>
      <c r="N45" s="1306">
        <f t="shared" si="2"/>
        <v>0.92970234325522483</v>
      </c>
      <c r="O45" s="1306">
        <v>14.68</v>
      </c>
      <c r="P45" s="1307">
        <f t="shared" si="3"/>
        <v>0.92970234325522483</v>
      </c>
      <c r="Q45" s="1308">
        <v>5</v>
      </c>
      <c r="R45" s="1309">
        <v>11.6783</v>
      </c>
      <c r="S45" s="1310" t="s">
        <v>3663</v>
      </c>
      <c r="T45" s="1311">
        <v>42845</v>
      </c>
      <c r="U45" s="1312">
        <v>6.98</v>
      </c>
      <c r="V45" s="1313">
        <f t="shared" si="4"/>
        <v>1.1886920980926432</v>
      </c>
      <c r="W45" s="1296" t="s">
        <v>266</v>
      </c>
      <c r="X45" s="1305" t="str">
        <f t="shared" si="5"/>
        <v>15</v>
      </c>
      <c r="Y45" s="1307">
        <f t="shared" si="6"/>
        <v>0</v>
      </c>
      <c r="Z45" s="1300" t="s">
        <v>2233</v>
      </c>
      <c r="AA45" s="24"/>
    </row>
    <row r="46" spans="1:27" s="1314" customFormat="1">
      <c r="A46" s="1296" t="s">
        <v>3616</v>
      </c>
      <c r="B46" s="1297">
        <v>124</v>
      </c>
      <c r="C46" s="1298" t="s">
        <v>211</v>
      </c>
      <c r="D46" s="1299" t="s">
        <v>73</v>
      </c>
      <c r="E46" s="1299" t="s">
        <v>72</v>
      </c>
      <c r="F46" s="1317">
        <v>5</v>
      </c>
      <c r="G46" s="1317">
        <v>5</v>
      </c>
      <c r="H46" s="1318">
        <f t="shared" si="0"/>
        <v>65.480400000000003</v>
      </c>
      <c r="I46" s="1318">
        <f t="shared" si="1"/>
        <v>7.6358727191648185E-2</v>
      </c>
      <c r="J46" s="1311">
        <v>42459</v>
      </c>
      <c r="K46" s="1304" t="s">
        <v>151</v>
      </c>
      <c r="L46" s="1315">
        <v>23.5</v>
      </c>
      <c r="M46" s="1319">
        <v>20.37</v>
      </c>
      <c r="N46" s="1319">
        <f t="shared" si="2"/>
        <v>0.86680851063829789</v>
      </c>
      <c r="O46" s="1319">
        <v>20.51</v>
      </c>
      <c r="P46" s="1312">
        <f t="shared" si="3"/>
        <v>0.87276595744680863</v>
      </c>
      <c r="Q46" s="1308">
        <v>3</v>
      </c>
      <c r="R46" s="1316">
        <v>2.7864</v>
      </c>
      <c r="S46" s="1310" t="s">
        <v>3664</v>
      </c>
      <c r="T46" s="1311">
        <v>42845</v>
      </c>
      <c r="U46" s="1312">
        <v>20.399999999999999</v>
      </c>
      <c r="V46" s="1320">
        <f t="shared" si="4"/>
        <v>0.99707459775719154</v>
      </c>
      <c r="W46" s="1322" t="s">
        <v>267</v>
      </c>
      <c r="X46" s="1315">
        <f t="shared" si="5"/>
        <v>0</v>
      </c>
      <c r="Y46" s="1312" t="str">
        <f t="shared" si="6"/>
        <v>0.5</v>
      </c>
      <c r="Z46" s="1299" t="s">
        <v>2436</v>
      </c>
      <c r="AA46" s="24"/>
    </row>
    <row r="47" spans="1:27" s="1314" customFormat="1">
      <c r="A47" s="1296" t="s">
        <v>3616</v>
      </c>
      <c r="B47" s="1297">
        <v>126</v>
      </c>
      <c r="C47" s="1298" t="s">
        <v>212</v>
      </c>
      <c r="D47" s="1299" t="s">
        <v>89</v>
      </c>
      <c r="E47" s="1299" t="s">
        <v>88</v>
      </c>
      <c r="F47" s="1301">
        <v>5.5</v>
      </c>
      <c r="G47" s="1317">
        <v>5.4999999400000004</v>
      </c>
      <c r="H47" s="1318">
        <f t="shared" si="0"/>
        <v>49</v>
      </c>
      <c r="I47" s="1318">
        <f t="shared" si="1"/>
        <v>0.11224489795918367</v>
      </c>
      <c r="J47" s="1311">
        <v>42458</v>
      </c>
      <c r="K47" s="1304" t="s">
        <v>151</v>
      </c>
      <c r="L47" s="1305">
        <v>24.5</v>
      </c>
      <c r="M47" s="1306">
        <v>18.82</v>
      </c>
      <c r="N47" s="1306">
        <f t="shared" si="2"/>
        <v>0.76816326530612244</v>
      </c>
      <c r="O47" s="1306">
        <v>20.5</v>
      </c>
      <c r="P47" s="1307">
        <f t="shared" si="3"/>
        <v>0.83673469387755106</v>
      </c>
      <c r="Q47" s="1308">
        <v>5</v>
      </c>
      <c r="R47" s="1309">
        <v>2</v>
      </c>
      <c r="S47" s="1310" t="s">
        <v>3665</v>
      </c>
      <c r="T47" s="1311">
        <v>42846</v>
      </c>
      <c r="U47" s="1312">
        <v>10.08</v>
      </c>
      <c r="V47" s="1313">
        <f t="shared" si="4"/>
        <v>0.50146341463414634</v>
      </c>
      <c r="W47" s="1296" t="s">
        <v>237</v>
      </c>
      <c r="X47" s="1305">
        <f t="shared" si="5"/>
        <v>0</v>
      </c>
      <c r="Y47" s="1307" t="str">
        <f t="shared" si="6"/>
        <v>2</v>
      </c>
      <c r="Z47" s="1300" t="s">
        <v>2374</v>
      </c>
      <c r="AA47" s="24"/>
    </row>
    <row r="48" spans="1:27" s="1314" customFormat="1">
      <c r="A48" s="1296" t="s">
        <v>3616</v>
      </c>
      <c r="B48" s="1297">
        <v>132</v>
      </c>
      <c r="C48" s="1298" t="s">
        <v>213</v>
      </c>
      <c r="D48" s="1299" t="s">
        <v>103</v>
      </c>
      <c r="E48" s="1299" t="s">
        <v>102</v>
      </c>
      <c r="F48" s="1301">
        <v>13.5</v>
      </c>
      <c r="G48" s="1301">
        <v>13.499999989599999</v>
      </c>
      <c r="H48" s="1302">
        <f t="shared" si="0"/>
        <v>111.27311999999999</v>
      </c>
      <c r="I48" s="1302">
        <f t="shared" si="1"/>
        <v>0.12132310121258397</v>
      </c>
      <c r="J48" s="1303">
        <v>42459</v>
      </c>
      <c r="K48" s="1304" t="s">
        <v>151</v>
      </c>
      <c r="L48" s="1305">
        <v>15.77</v>
      </c>
      <c r="M48" s="1306">
        <v>8.9600000000000009</v>
      </c>
      <c r="N48" s="1306">
        <f t="shared" si="2"/>
        <v>0.56816740646797725</v>
      </c>
      <c r="O48" s="1306">
        <v>10.51</v>
      </c>
      <c r="P48" s="1307">
        <f t="shared" si="3"/>
        <v>0.66645529486366517</v>
      </c>
      <c r="Q48" s="1308">
        <v>6</v>
      </c>
      <c r="R48" s="1309">
        <v>7.056</v>
      </c>
      <c r="S48" s="1310" t="s">
        <v>3666</v>
      </c>
      <c r="T48" s="1311">
        <v>42849</v>
      </c>
      <c r="U48" s="1312">
        <v>6.37</v>
      </c>
      <c r="V48" s="1313">
        <f t="shared" si="4"/>
        <v>0.6060894386298763</v>
      </c>
      <c r="W48" s="1324" t="s">
        <v>223</v>
      </c>
      <c r="X48" s="1305">
        <f t="shared" si="5"/>
        <v>0</v>
      </c>
      <c r="Y48" s="1307">
        <f t="shared" si="6"/>
        <v>0</v>
      </c>
      <c r="Z48" s="1300" t="s">
        <v>2122</v>
      </c>
      <c r="AA48" s="24"/>
    </row>
    <row r="49" spans="1:27" s="1314" customFormat="1">
      <c r="A49" s="1296" t="s">
        <v>3616</v>
      </c>
      <c r="B49" s="1297">
        <v>133</v>
      </c>
      <c r="C49" s="1298" t="s">
        <v>214</v>
      </c>
      <c r="D49" s="1299" t="s">
        <v>105</v>
      </c>
      <c r="E49" s="1299" t="s">
        <v>104</v>
      </c>
      <c r="F49" s="1301">
        <v>31</v>
      </c>
      <c r="G49" s="1301">
        <v>30.999999978000002</v>
      </c>
      <c r="H49" s="1302">
        <f t="shared" si="0"/>
        <v>135.884207</v>
      </c>
      <c r="I49" s="1302">
        <f t="shared" si="1"/>
        <v>0.22813541532460796</v>
      </c>
      <c r="J49" s="1303">
        <v>42461</v>
      </c>
      <c r="K49" s="1304" t="s">
        <v>151</v>
      </c>
      <c r="L49" s="1305">
        <v>7.87</v>
      </c>
      <c r="M49" s="1306">
        <v>6.9</v>
      </c>
      <c r="N49" s="1306">
        <f t="shared" si="2"/>
        <v>0.87674714104193141</v>
      </c>
      <c r="O49" s="1306">
        <v>6.9</v>
      </c>
      <c r="P49" s="1307">
        <f t="shared" si="3"/>
        <v>0.87674714104193141</v>
      </c>
      <c r="Q49" s="1308">
        <v>9</v>
      </c>
      <c r="R49" s="1309">
        <v>17.266100000000002</v>
      </c>
      <c r="S49" s="1310" t="s">
        <v>3667</v>
      </c>
      <c r="T49" s="1311">
        <v>42851</v>
      </c>
      <c r="U49" s="1312">
        <v>6.86</v>
      </c>
      <c r="V49" s="1313">
        <f t="shared" si="4"/>
        <v>1.0231884057971015</v>
      </c>
      <c r="W49" s="1296" t="s">
        <v>268</v>
      </c>
      <c r="X49" s="1305">
        <f t="shared" si="5"/>
        <v>0</v>
      </c>
      <c r="Y49" s="1307" t="str">
        <f t="shared" si="6"/>
        <v>2.00</v>
      </c>
      <c r="Z49" s="1300" t="s">
        <v>2468</v>
      </c>
      <c r="AA49" s="24"/>
    </row>
    <row r="50" spans="1:27" s="1314" customFormat="1">
      <c r="A50" s="1296" t="s">
        <v>3616</v>
      </c>
      <c r="B50" s="1297">
        <v>135</v>
      </c>
      <c r="C50" s="1298" t="s">
        <v>215</v>
      </c>
      <c r="D50" s="1299" t="s">
        <v>10</v>
      </c>
      <c r="E50" s="1299" t="s">
        <v>1</v>
      </c>
      <c r="F50" s="1301">
        <v>12.288435</v>
      </c>
      <c r="G50" s="1301">
        <v>12.2883976</v>
      </c>
      <c r="H50" s="1302">
        <f t="shared" si="0"/>
        <v>107.874573</v>
      </c>
      <c r="I50" s="1302">
        <f t="shared" si="1"/>
        <v>0.11391410096242049</v>
      </c>
      <c r="J50" s="1303">
        <v>42467</v>
      </c>
      <c r="K50" s="1304" t="s">
        <v>151</v>
      </c>
      <c r="L50" s="1315">
        <v>86.21</v>
      </c>
      <c r="M50" s="1306">
        <v>66.47</v>
      </c>
      <c r="N50" s="1306">
        <f t="shared" si="2"/>
        <v>0.77102424312724749</v>
      </c>
      <c r="O50" s="1306">
        <v>69.2</v>
      </c>
      <c r="P50" s="1307">
        <f t="shared" si="3"/>
        <v>0.8026911031202878</v>
      </c>
      <c r="Q50" s="1308">
        <v>3</v>
      </c>
      <c r="R50" s="1309">
        <v>1.2513000000000001</v>
      </c>
      <c r="S50" s="1310" t="s">
        <v>3668</v>
      </c>
      <c r="T50" s="1311">
        <v>42864</v>
      </c>
      <c r="U50" s="1312">
        <v>18.05</v>
      </c>
      <c r="V50" s="1313">
        <f t="shared" si="4"/>
        <v>0.96799132947976896</v>
      </c>
      <c r="W50" s="1296" t="s">
        <v>269</v>
      </c>
      <c r="X50" s="1305" t="str">
        <f t="shared" si="5"/>
        <v>27</v>
      </c>
      <c r="Y50" s="1307" t="str">
        <f t="shared" si="6"/>
        <v>2</v>
      </c>
      <c r="Z50" s="1300" t="s">
        <v>2166</v>
      </c>
      <c r="AA50" s="24"/>
    </row>
    <row r="51" spans="1:27" s="1314" customFormat="1">
      <c r="A51" s="1296" t="s">
        <v>3616</v>
      </c>
      <c r="B51" s="1297">
        <v>136</v>
      </c>
      <c r="C51" s="1298" t="s">
        <v>216</v>
      </c>
      <c r="D51" s="1299" t="s">
        <v>49</v>
      </c>
      <c r="E51" s="1299" t="s">
        <v>48</v>
      </c>
      <c r="F51" s="1301">
        <v>22.45</v>
      </c>
      <c r="G51" s="1301">
        <v>22.44999348</v>
      </c>
      <c r="H51" s="1302">
        <f t="shared" si="0"/>
        <v>164.92854</v>
      </c>
      <c r="I51" s="1302">
        <f t="shared" si="1"/>
        <v>0.13611955820381361</v>
      </c>
      <c r="J51" s="1303">
        <v>42461</v>
      </c>
      <c r="K51" s="1304" t="s">
        <v>151</v>
      </c>
      <c r="L51" s="1305">
        <v>13.4</v>
      </c>
      <c r="M51" s="1306">
        <v>10.94</v>
      </c>
      <c r="N51" s="1306">
        <f t="shared" si="2"/>
        <v>0.81641791044776113</v>
      </c>
      <c r="O51" s="1306">
        <v>10.98</v>
      </c>
      <c r="P51" s="1307">
        <f t="shared" si="3"/>
        <v>0.81940298507462683</v>
      </c>
      <c r="Q51" s="1308">
        <v>5</v>
      </c>
      <c r="R51" s="1309">
        <v>12.3081</v>
      </c>
      <c r="S51" s="1310" t="s">
        <v>3669</v>
      </c>
      <c r="T51" s="1311">
        <v>42865</v>
      </c>
      <c r="U51" s="1312">
        <v>8.92</v>
      </c>
      <c r="V51" s="1313">
        <f t="shared" si="4"/>
        <v>0.814936247723133</v>
      </c>
      <c r="W51" s="1296" t="s">
        <v>270</v>
      </c>
      <c r="X51" s="1305">
        <f t="shared" si="5"/>
        <v>0</v>
      </c>
      <c r="Y51" s="1307" t="str">
        <f t="shared" si="6"/>
        <v>0.28</v>
      </c>
      <c r="Z51" s="1300" t="s">
        <v>2411</v>
      </c>
      <c r="AA51" s="24"/>
    </row>
    <row r="52" spans="1:27" s="1314" customFormat="1">
      <c r="A52" s="1296" t="s">
        <v>3616</v>
      </c>
      <c r="B52" s="1297">
        <v>142</v>
      </c>
      <c r="C52" s="1298" t="s">
        <v>217</v>
      </c>
      <c r="D52" s="1300" t="s">
        <v>71</v>
      </c>
      <c r="E52" s="1299" t="s">
        <v>70</v>
      </c>
      <c r="F52" s="1301">
        <v>19.1678</v>
      </c>
      <c r="G52" s="1301">
        <v>19.170000000000002</v>
      </c>
      <c r="H52" s="1302">
        <f t="shared" si="0"/>
        <v>244.51540800000001</v>
      </c>
      <c r="I52" s="1302">
        <f t="shared" si="1"/>
        <v>7.8390969946564679E-2</v>
      </c>
      <c r="J52" s="1303">
        <v>42472</v>
      </c>
      <c r="K52" s="1325" t="s">
        <v>151</v>
      </c>
      <c r="L52" s="1305">
        <v>21.92</v>
      </c>
      <c r="M52" s="1306">
        <v>16.23</v>
      </c>
      <c r="N52" s="1306">
        <f t="shared" si="2"/>
        <v>0.74041970802919699</v>
      </c>
      <c r="O52" s="1306">
        <v>19.75</v>
      </c>
      <c r="P52" s="1307">
        <f t="shared" si="3"/>
        <v>0.90100364963503643</v>
      </c>
      <c r="Q52" s="1308">
        <v>7</v>
      </c>
      <c r="R52" s="1309">
        <v>11.1549</v>
      </c>
      <c r="S52" s="1310" t="s">
        <v>3670</v>
      </c>
      <c r="T52" s="1311">
        <v>42863</v>
      </c>
      <c r="U52" s="1312">
        <v>19.88</v>
      </c>
      <c r="V52" s="1313">
        <f t="shared" si="4"/>
        <v>1.0106329113924049</v>
      </c>
      <c r="W52" s="1296" t="s">
        <v>271</v>
      </c>
      <c r="X52" s="1305">
        <f t="shared" si="5"/>
        <v>0</v>
      </c>
      <c r="Y52" s="1307" t="str">
        <f t="shared" si="6"/>
        <v>0.8</v>
      </c>
      <c r="Z52" s="1300" t="s">
        <v>2316</v>
      </c>
      <c r="AA52" s="24"/>
    </row>
    <row r="53" spans="1:27" s="1314" customFormat="1">
      <c r="A53" s="1296" t="s">
        <v>3616</v>
      </c>
      <c r="B53" s="1297">
        <v>143</v>
      </c>
      <c r="C53" s="1298" t="s">
        <v>218</v>
      </c>
      <c r="D53" s="1300" t="s">
        <v>101</v>
      </c>
      <c r="E53" s="1299" t="s">
        <v>100</v>
      </c>
      <c r="F53" s="1301">
        <v>30.96</v>
      </c>
      <c r="G53" s="1301">
        <v>23.699000000000002</v>
      </c>
      <c r="H53" s="1302">
        <f t="shared" si="0"/>
        <v>133.50868800000001</v>
      </c>
      <c r="I53" s="1302">
        <f t="shared" si="1"/>
        <v>0.23189502094425496</v>
      </c>
      <c r="J53" s="1303">
        <v>42473</v>
      </c>
      <c r="K53" s="1325" t="s">
        <v>151</v>
      </c>
      <c r="L53" s="1305">
        <v>18.16</v>
      </c>
      <c r="M53" s="1306">
        <v>16.399999999999999</v>
      </c>
      <c r="N53" s="1306">
        <f t="shared" si="2"/>
        <v>0.90308370044052855</v>
      </c>
      <c r="O53" s="1306">
        <v>18.23</v>
      </c>
      <c r="P53" s="1307">
        <f t="shared" si="3"/>
        <v>1.0038546255506609</v>
      </c>
      <c r="Q53" s="1308">
        <v>4</v>
      </c>
      <c r="R53" s="1309">
        <v>7.3517999999999999</v>
      </c>
      <c r="S53" s="1310" t="s">
        <v>3671</v>
      </c>
      <c r="T53" s="1311">
        <v>42494</v>
      </c>
      <c r="U53" s="1312">
        <v>18.38</v>
      </c>
      <c r="V53" s="1313">
        <f t="shared" si="4"/>
        <v>1.0082281952825012</v>
      </c>
      <c r="W53" s="11" t="s">
        <v>223</v>
      </c>
      <c r="X53" s="1305">
        <f t="shared" si="5"/>
        <v>0</v>
      </c>
      <c r="Y53" s="1307">
        <f t="shared" si="6"/>
        <v>0</v>
      </c>
      <c r="Z53" s="1300" t="s">
        <v>3672</v>
      </c>
      <c r="AA53" s="24"/>
    </row>
    <row r="54" spans="1:27">
      <c r="A54" s="1326" t="s">
        <v>2078</v>
      </c>
      <c r="B54" s="1327">
        <v>145</v>
      </c>
      <c r="C54" s="1328" t="s">
        <v>2856</v>
      </c>
      <c r="D54" s="1329" t="s">
        <v>2855</v>
      </c>
      <c r="E54" s="829" t="s">
        <v>2854</v>
      </c>
      <c r="F54" s="827">
        <v>25.84</v>
      </c>
      <c r="G54" s="827">
        <v>25.84</v>
      </c>
      <c r="H54" s="827">
        <f>L54*R54</f>
        <v>211.539296925</v>
      </c>
      <c r="I54" s="827">
        <f>F54/H54</f>
        <v>0.12215224488129701</v>
      </c>
      <c r="J54" s="1330">
        <v>42471</v>
      </c>
      <c r="K54" s="1280" t="s">
        <v>2747</v>
      </c>
      <c r="L54" s="1331">
        <v>11.25</v>
      </c>
      <c r="M54" s="1331">
        <v>9.41</v>
      </c>
      <c r="N54" s="1332">
        <f>M54/L54</f>
        <v>0.83644444444444443</v>
      </c>
      <c r="O54" s="782">
        <v>9.41</v>
      </c>
      <c r="P54" s="1332">
        <f>O54/L54</f>
        <v>0.83644444444444443</v>
      </c>
      <c r="Q54" s="1331">
        <v>4</v>
      </c>
      <c r="R54" s="1332">
        <v>18.803493060000001</v>
      </c>
      <c r="S54" s="1333" t="s">
        <v>2853</v>
      </c>
      <c r="T54" s="1334">
        <v>42859</v>
      </c>
      <c r="U54" s="821">
        <v>5.86</v>
      </c>
      <c r="V54" s="1332">
        <f>((U54*(1+X54/10)+Y54/10)/O54)</f>
        <v>1.2561105207226355</v>
      </c>
      <c r="W54" s="1335" t="s">
        <v>891</v>
      </c>
      <c r="X54" s="1331">
        <v>10</v>
      </c>
      <c r="Y54" s="1331">
        <v>1</v>
      </c>
      <c r="Z54" s="829" t="s">
        <v>2852</v>
      </c>
      <c r="AA54" s="24"/>
    </row>
    <row r="55" spans="1:27">
      <c r="A55" s="1326"/>
      <c r="B55" s="1327"/>
      <c r="C55" s="1336"/>
      <c r="D55" s="829"/>
      <c r="E55" s="829"/>
      <c r="F55" s="827"/>
      <c r="G55" s="827"/>
      <c r="H55" s="827"/>
      <c r="I55" s="827"/>
      <c r="J55" s="1330">
        <v>42482</v>
      </c>
      <c r="K55" s="1337">
        <v>0.70833333333333337</v>
      </c>
      <c r="L55" s="1331"/>
      <c r="M55" s="1331"/>
      <c r="N55" s="1332"/>
      <c r="O55" s="782"/>
      <c r="P55" s="1332"/>
      <c r="Q55" s="1331"/>
      <c r="R55" s="1331"/>
      <c r="S55" s="1338"/>
      <c r="T55" s="1334"/>
      <c r="U55" s="821"/>
      <c r="V55" s="1332"/>
      <c r="W55" s="1335"/>
      <c r="X55" s="1331"/>
      <c r="Y55" s="1331"/>
      <c r="Z55" s="1339"/>
      <c r="AA55" s="24"/>
    </row>
    <row r="56" spans="1:27">
      <c r="A56" s="1326" t="s">
        <v>2078</v>
      </c>
      <c r="B56" s="1327">
        <v>146</v>
      </c>
      <c r="C56" s="1328" t="s">
        <v>2851</v>
      </c>
      <c r="D56" s="829" t="s">
        <v>2850</v>
      </c>
      <c r="E56" s="829" t="s">
        <v>2849</v>
      </c>
      <c r="F56" s="827">
        <v>10</v>
      </c>
      <c r="G56" s="827">
        <v>10</v>
      </c>
      <c r="H56" s="827">
        <f t="shared" ref="H56:H122" si="7">L56*R56</f>
        <v>59.656653979999994</v>
      </c>
      <c r="I56" s="827">
        <f t="shared" ref="I56:I122" si="8">F56/H56</f>
        <v>0.16762589473007519</v>
      </c>
      <c r="J56" s="1330">
        <v>42472</v>
      </c>
      <c r="K56" s="1340" t="s">
        <v>2848</v>
      </c>
      <c r="L56" s="1331">
        <v>13.09</v>
      </c>
      <c r="M56" s="1331">
        <v>6.84</v>
      </c>
      <c r="N56" s="1332">
        <f t="shared" ref="N56:N122" si="9">M56/L56</f>
        <v>0.52253628724216961</v>
      </c>
      <c r="O56" s="782">
        <v>10.119999999999999</v>
      </c>
      <c r="P56" s="1332">
        <f t="shared" ref="P56:P62" si="10">O56/L56</f>
        <v>0.77310924369747891</v>
      </c>
      <c r="Q56" s="1331">
        <v>7</v>
      </c>
      <c r="R56" s="1332">
        <v>4.5574219999999999</v>
      </c>
      <c r="S56" s="1341" t="s">
        <v>2847</v>
      </c>
      <c r="T56" s="1334">
        <v>42860</v>
      </c>
      <c r="U56" s="821">
        <v>8.69</v>
      </c>
      <c r="V56" s="1332">
        <f>((U56*(1+X56/10)+Y56/10)/O56)</f>
        <v>0.85869565217391308</v>
      </c>
      <c r="W56" s="1280" t="s">
        <v>223</v>
      </c>
      <c r="X56" s="1331">
        <v>0</v>
      </c>
      <c r="Y56" s="1331">
        <v>0</v>
      </c>
      <c r="Z56" s="829" t="s">
        <v>2846</v>
      </c>
      <c r="AA56" s="24"/>
    </row>
    <row r="57" spans="1:27">
      <c r="A57" s="1326" t="s">
        <v>2078</v>
      </c>
      <c r="B57" s="1327">
        <v>147</v>
      </c>
      <c r="C57" s="1328" t="s">
        <v>2845</v>
      </c>
      <c r="D57" s="1342" t="s">
        <v>2844</v>
      </c>
      <c r="E57" s="1343" t="s">
        <v>2843</v>
      </c>
      <c r="F57" s="1344">
        <v>2.3959959999999998</v>
      </c>
      <c r="G57" s="1344">
        <v>2.3959957489999999</v>
      </c>
      <c r="H57" s="827">
        <f t="shared" si="7"/>
        <v>80.380579651000019</v>
      </c>
      <c r="I57" s="827">
        <f t="shared" si="8"/>
        <v>2.9808145330663723E-2</v>
      </c>
      <c r="J57" s="1330">
        <v>42475</v>
      </c>
      <c r="K57" s="1280" t="s">
        <v>2125</v>
      </c>
      <c r="L57" s="1284">
        <v>36.700000000000003</v>
      </c>
      <c r="M57" s="1284">
        <v>31.83</v>
      </c>
      <c r="N57" s="1332">
        <f t="shared" si="9"/>
        <v>0.86730245231607617</v>
      </c>
      <c r="O57" s="1345">
        <v>33.85</v>
      </c>
      <c r="P57" s="1346">
        <f t="shared" si="10"/>
        <v>0.92234332425068122</v>
      </c>
      <c r="Q57" s="1284">
        <v>3</v>
      </c>
      <c r="R57" s="1332">
        <v>2.1902065300000002</v>
      </c>
      <c r="S57" s="1333" t="s">
        <v>2842</v>
      </c>
      <c r="T57" s="1347">
        <v>42865</v>
      </c>
      <c r="U57" s="946">
        <v>15.66</v>
      </c>
      <c r="V57" s="1332">
        <f>((U57*(1+X57/10)+Y57/10)/O57)</f>
        <v>0.91955928803545062</v>
      </c>
      <c r="W57" s="1348" t="s">
        <v>3673</v>
      </c>
      <c r="X57" s="1349">
        <f>(1.3*1.5-1)*10</f>
        <v>9.5000000000000018</v>
      </c>
      <c r="Y57" s="1349">
        <f>2+3.00063*1.3</f>
        <v>5.9008190000000003</v>
      </c>
      <c r="Z57" s="829" t="s">
        <v>2122</v>
      </c>
      <c r="AA57" s="24"/>
    </row>
    <row r="58" spans="1:27">
      <c r="A58" s="1326" t="s">
        <v>2078</v>
      </c>
      <c r="B58" s="1350">
        <v>149</v>
      </c>
      <c r="C58" s="1328" t="s">
        <v>2840</v>
      </c>
      <c r="D58" s="1351" t="s">
        <v>2839</v>
      </c>
      <c r="E58" s="1351" t="s">
        <v>2838</v>
      </c>
      <c r="F58" s="1352">
        <v>16.579999999999998</v>
      </c>
      <c r="G58" s="1352">
        <v>16.579999999999998</v>
      </c>
      <c r="H58" s="827">
        <f t="shared" si="7"/>
        <v>97.181020000000004</v>
      </c>
      <c r="I58" s="827">
        <f t="shared" si="8"/>
        <v>0.17060944616551665</v>
      </c>
      <c r="J58" s="1353">
        <v>42473</v>
      </c>
      <c r="K58" s="1280" t="s">
        <v>2125</v>
      </c>
      <c r="L58" s="821">
        <v>43.25</v>
      </c>
      <c r="M58" s="821">
        <v>18.37</v>
      </c>
      <c r="N58" s="1332">
        <f t="shared" si="9"/>
        <v>0.42473988439306359</v>
      </c>
      <c r="O58" s="1354">
        <v>35.979999999999997</v>
      </c>
      <c r="P58" s="1355">
        <f t="shared" si="10"/>
        <v>0.83190751445086697</v>
      </c>
      <c r="Q58" s="821">
        <v>7</v>
      </c>
      <c r="R58" s="1332">
        <v>2.2469600000000001</v>
      </c>
      <c r="S58" s="1333" t="s">
        <v>2837</v>
      </c>
      <c r="T58" s="1356">
        <v>42863</v>
      </c>
      <c r="U58" s="821">
        <v>30.06</v>
      </c>
      <c r="V58" s="1332">
        <f t="shared" ref="V58:V121" si="11">((U58*(1+X58/10)+Y58/10)/O58)</f>
        <v>0.84380211228460267</v>
      </c>
      <c r="W58" s="1335" t="s">
        <v>2322</v>
      </c>
      <c r="X58" s="821">
        <v>0</v>
      </c>
      <c r="Y58" s="821">
        <v>3</v>
      </c>
      <c r="Z58" s="829" t="s">
        <v>2122</v>
      </c>
      <c r="AA58" s="24"/>
    </row>
    <row r="59" spans="1:27">
      <c r="A59" s="1326" t="s">
        <v>2078</v>
      </c>
      <c r="B59" s="1327">
        <v>151</v>
      </c>
      <c r="C59" s="1328" t="s">
        <v>2836</v>
      </c>
      <c r="D59" s="829" t="s">
        <v>2835</v>
      </c>
      <c r="E59" s="829" t="s">
        <v>2834</v>
      </c>
      <c r="F59" s="827">
        <v>4.45</v>
      </c>
      <c r="G59" s="827">
        <v>4.45</v>
      </c>
      <c r="H59" s="827">
        <f t="shared" si="7"/>
        <v>108.491292</v>
      </c>
      <c r="I59" s="827">
        <f t="shared" si="8"/>
        <v>4.1017116839202172E-2</v>
      </c>
      <c r="J59" s="1330">
        <v>42478</v>
      </c>
      <c r="K59" s="1280" t="s">
        <v>2089</v>
      </c>
      <c r="L59" s="1331">
        <v>14.94</v>
      </c>
      <c r="M59" s="1331">
        <v>11.96</v>
      </c>
      <c r="N59" s="1332">
        <f t="shared" si="9"/>
        <v>0.80053547523427049</v>
      </c>
      <c r="O59" s="782">
        <v>12.18</v>
      </c>
      <c r="P59" s="1332">
        <f t="shared" si="10"/>
        <v>0.81526104417670686</v>
      </c>
      <c r="Q59" s="1331">
        <v>5</v>
      </c>
      <c r="R59" s="1332">
        <v>7.2618</v>
      </c>
      <c r="S59" s="1333" t="s">
        <v>2833</v>
      </c>
      <c r="T59" s="1334">
        <v>42863</v>
      </c>
      <c r="U59" s="821">
        <v>9.09</v>
      </c>
      <c r="V59" s="1332">
        <f t="shared" si="11"/>
        <v>0.74630541871921185</v>
      </c>
      <c r="W59" s="1280" t="s">
        <v>223</v>
      </c>
      <c r="X59" s="1331">
        <v>0</v>
      </c>
      <c r="Y59" s="1331">
        <v>0</v>
      </c>
      <c r="Z59" s="829" t="s">
        <v>2192</v>
      </c>
      <c r="AA59" s="24"/>
    </row>
    <row r="60" spans="1:27">
      <c r="A60" s="1326" t="s">
        <v>2078</v>
      </c>
      <c r="B60" s="1327">
        <v>157</v>
      </c>
      <c r="C60" s="1328" t="s">
        <v>2832</v>
      </c>
      <c r="D60" s="829" t="s">
        <v>2831</v>
      </c>
      <c r="E60" s="829" t="s">
        <v>2830</v>
      </c>
      <c r="F60" s="827">
        <v>6.63</v>
      </c>
      <c r="G60" s="827">
        <v>6.63</v>
      </c>
      <c r="H60" s="827">
        <f>L60*R60</f>
        <v>167.21954656329999</v>
      </c>
      <c r="I60" s="827">
        <f>F60/H60</f>
        <v>3.9648474931668662E-2</v>
      </c>
      <c r="J60" s="1330">
        <v>42474</v>
      </c>
      <c r="K60" s="1280" t="s">
        <v>2125</v>
      </c>
      <c r="L60" s="1331">
        <v>40.39</v>
      </c>
      <c r="M60" s="1331">
        <v>33.24</v>
      </c>
      <c r="N60" s="1332">
        <f t="shared" si="9"/>
        <v>0.82297598415449369</v>
      </c>
      <c r="O60" s="782">
        <v>34.5</v>
      </c>
      <c r="P60" s="1332">
        <f t="shared" si="10"/>
        <v>0.85417182470908637</v>
      </c>
      <c r="Q60" s="1331">
        <v>2</v>
      </c>
      <c r="R60" s="1332">
        <v>4.1401224699999997</v>
      </c>
      <c r="S60" s="1333" t="s">
        <v>2829</v>
      </c>
      <c r="T60" s="1334">
        <v>42893</v>
      </c>
      <c r="U60" s="821">
        <v>50.31</v>
      </c>
      <c r="V60" s="1332">
        <f t="shared" si="11"/>
        <v>1.6046666666666669</v>
      </c>
      <c r="W60" s="1335" t="s">
        <v>2828</v>
      </c>
      <c r="X60" s="1331">
        <v>1</v>
      </c>
      <c r="Y60" s="1331">
        <v>0.2</v>
      </c>
      <c r="Z60" s="829" t="s">
        <v>2436</v>
      </c>
      <c r="AA60" s="24"/>
    </row>
    <row r="61" spans="1:27">
      <c r="A61" s="1326" t="s">
        <v>2078</v>
      </c>
      <c r="B61" s="1327">
        <v>158</v>
      </c>
      <c r="C61" s="1328" t="s">
        <v>2827</v>
      </c>
      <c r="D61" s="829" t="s">
        <v>2826</v>
      </c>
      <c r="E61" s="829" t="s">
        <v>2825</v>
      </c>
      <c r="F61" s="827">
        <v>6.21</v>
      </c>
      <c r="G61" s="827">
        <v>6.21</v>
      </c>
      <c r="H61" s="827">
        <f t="shared" si="7"/>
        <v>102.39326993879999</v>
      </c>
      <c r="I61" s="827">
        <f t="shared" si="8"/>
        <v>6.0648517267899445E-2</v>
      </c>
      <c r="J61" s="1330">
        <v>42472</v>
      </c>
      <c r="K61" s="1280" t="s">
        <v>2693</v>
      </c>
      <c r="L61" s="1331">
        <v>23.58</v>
      </c>
      <c r="M61" s="1331">
        <v>17.11</v>
      </c>
      <c r="N61" s="1332">
        <f t="shared" si="9"/>
        <v>0.72561492790500426</v>
      </c>
      <c r="O61" s="782">
        <v>21.57</v>
      </c>
      <c r="P61" s="1332">
        <f t="shared" si="10"/>
        <v>0.91475826972010188</v>
      </c>
      <c r="Q61" s="1331">
        <v>8</v>
      </c>
      <c r="R61" s="1332">
        <v>4.34237786</v>
      </c>
      <c r="S61" s="1333" t="s">
        <v>2824</v>
      </c>
      <c r="T61" s="1334">
        <v>42873</v>
      </c>
      <c r="U61" s="821">
        <v>14.87</v>
      </c>
      <c r="V61" s="1332">
        <f t="shared" si="11"/>
        <v>0.69170143718127031</v>
      </c>
      <c r="W61" s="1335" t="s">
        <v>2105</v>
      </c>
      <c r="X61" s="1331">
        <v>0</v>
      </c>
      <c r="Y61" s="1331">
        <v>0.5</v>
      </c>
      <c r="Z61" s="829" t="s">
        <v>2166</v>
      </c>
      <c r="AA61" s="24"/>
    </row>
    <row r="62" spans="1:27">
      <c r="A62" s="1326" t="s">
        <v>2078</v>
      </c>
      <c r="B62" s="1327">
        <v>163</v>
      </c>
      <c r="C62" s="1328" t="s">
        <v>2823</v>
      </c>
      <c r="D62" s="1329" t="s">
        <v>2822</v>
      </c>
      <c r="E62" s="829" t="s">
        <v>2821</v>
      </c>
      <c r="F62" s="827">
        <v>28</v>
      </c>
      <c r="G62" s="827">
        <v>28</v>
      </c>
      <c r="H62" s="827">
        <f t="shared" si="7"/>
        <v>149.83267891350002</v>
      </c>
      <c r="I62" s="827">
        <f t="shared" si="8"/>
        <v>0.18687512098855746</v>
      </c>
      <c r="J62" s="1330">
        <v>42479</v>
      </c>
      <c r="K62" s="1340" t="s">
        <v>151</v>
      </c>
      <c r="L62" s="1331">
        <v>36.85</v>
      </c>
      <c r="M62" s="1331">
        <v>30.66</v>
      </c>
      <c r="N62" s="1332">
        <f t="shared" si="9"/>
        <v>0.83202170963364985</v>
      </c>
      <c r="O62" s="782">
        <v>30.68</v>
      </c>
      <c r="P62" s="1332">
        <f t="shared" si="10"/>
        <v>0.83256445047489824</v>
      </c>
      <c r="Q62" s="1331">
        <v>7</v>
      </c>
      <c r="R62" s="1332">
        <v>4.0660157100000003</v>
      </c>
      <c r="S62" s="1333" t="s">
        <v>2820</v>
      </c>
      <c r="T62" s="1334">
        <v>42865</v>
      </c>
      <c r="U62" s="821">
        <v>6.7</v>
      </c>
      <c r="V62" s="1332">
        <f t="shared" si="11"/>
        <v>0.7708604954367666</v>
      </c>
      <c r="W62" s="1335" t="s">
        <v>2819</v>
      </c>
      <c r="X62" s="1331">
        <v>25</v>
      </c>
      <c r="Y62" s="1331">
        <v>2</v>
      </c>
      <c r="Z62" s="829" t="s">
        <v>2144</v>
      </c>
      <c r="AA62" s="24"/>
    </row>
    <row r="63" spans="1:27">
      <c r="A63" s="1326"/>
      <c r="B63" s="1327"/>
      <c r="C63" s="1336"/>
      <c r="D63" s="829"/>
      <c r="E63" s="829"/>
      <c r="F63" s="827"/>
      <c r="G63" s="827"/>
      <c r="H63" s="827"/>
      <c r="I63" s="827"/>
      <c r="J63" s="1330">
        <v>42480</v>
      </c>
      <c r="K63" s="1280" t="s">
        <v>2818</v>
      </c>
      <c r="L63" s="1331"/>
      <c r="M63" s="1331"/>
      <c r="N63" s="1332"/>
      <c r="O63" s="782"/>
      <c r="P63" s="1332"/>
      <c r="Q63" s="1331"/>
      <c r="R63" s="1331"/>
      <c r="S63" s="1338"/>
      <c r="T63" s="1334"/>
      <c r="U63" s="821"/>
      <c r="V63" s="1332"/>
      <c r="W63" s="1335"/>
      <c r="X63" s="1331">
        <v>0</v>
      </c>
      <c r="Y63" s="1331">
        <v>0</v>
      </c>
      <c r="Z63" s="1339"/>
      <c r="AA63" s="24"/>
    </row>
    <row r="64" spans="1:27">
      <c r="A64" s="1326"/>
      <c r="B64" s="1327"/>
      <c r="C64" s="1336"/>
      <c r="D64" s="829"/>
      <c r="E64" s="829"/>
      <c r="F64" s="827"/>
      <c r="G64" s="827"/>
      <c r="H64" s="827"/>
      <c r="I64" s="827"/>
      <c r="J64" s="1330">
        <v>42481</v>
      </c>
      <c r="K64" s="1280" t="s">
        <v>2817</v>
      </c>
      <c r="L64" s="1339"/>
      <c r="M64" s="1331"/>
      <c r="N64" s="1332"/>
      <c r="O64" s="782"/>
      <c r="P64" s="1332"/>
      <c r="Q64" s="1331"/>
      <c r="R64" s="1331"/>
      <c r="S64" s="1338"/>
      <c r="T64" s="1334"/>
      <c r="U64" s="821"/>
      <c r="V64" s="1332"/>
      <c r="W64" s="1335"/>
      <c r="X64" s="1331">
        <v>0</v>
      </c>
      <c r="Y64" s="1331">
        <v>0</v>
      </c>
      <c r="Z64" s="1339"/>
      <c r="AA64" s="24"/>
    </row>
    <row r="65" spans="1:27">
      <c r="A65" s="1326" t="s">
        <v>2078</v>
      </c>
      <c r="B65" s="1327">
        <v>164</v>
      </c>
      <c r="C65" s="1328" t="s">
        <v>2816</v>
      </c>
      <c r="D65" s="1329" t="s">
        <v>2815</v>
      </c>
      <c r="E65" s="829" t="s">
        <v>2814</v>
      </c>
      <c r="F65" s="827">
        <v>35.65</v>
      </c>
      <c r="G65" s="827">
        <v>33.68</v>
      </c>
      <c r="H65" s="827">
        <f t="shared" si="7"/>
        <v>298.76799999999997</v>
      </c>
      <c r="I65" s="827">
        <f t="shared" si="8"/>
        <v>0.11932335457612596</v>
      </c>
      <c r="J65" s="1330">
        <v>42488</v>
      </c>
      <c r="K65" s="1280" t="s">
        <v>2125</v>
      </c>
      <c r="L65" s="1331">
        <v>26.3</v>
      </c>
      <c r="M65" s="1331">
        <v>22.82</v>
      </c>
      <c r="N65" s="1332">
        <f t="shared" si="9"/>
        <v>0.86768060836501903</v>
      </c>
      <c r="O65" s="782">
        <v>22.82</v>
      </c>
      <c r="P65" s="1332">
        <f>O65/L65</f>
        <v>0.86768060836501903</v>
      </c>
      <c r="Q65" s="1331">
        <v>8</v>
      </c>
      <c r="R65" s="1331">
        <v>11.36</v>
      </c>
      <c r="S65" s="1333" t="s">
        <v>2813</v>
      </c>
      <c r="T65" s="1334">
        <v>42866</v>
      </c>
      <c r="U65" s="821">
        <v>20.71</v>
      </c>
      <c r="V65" s="1332">
        <f t="shared" si="11"/>
        <v>0.91849255039439093</v>
      </c>
      <c r="W65" s="1335" t="s">
        <v>2812</v>
      </c>
      <c r="X65" s="1331">
        <v>0</v>
      </c>
      <c r="Y65" s="1331">
        <v>2.5</v>
      </c>
      <c r="Z65" s="829" t="s">
        <v>2204</v>
      </c>
      <c r="AA65" s="24"/>
    </row>
    <row r="66" spans="1:27">
      <c r="A66" s="1326"/>
      <c r="B66" s="1327"/>
      <c r="C66" s="1336"/>
      <c r="D66" s="829"/>
      <c r="E66" s="829"/>
      <c r="F66" s="827"/>
      <c r="G66" s="827"/>
      <c r="H66" s="827"/>
      <c r="I66" s="827"/>
      <c r="J66" s="1284" t="s">
        <v>3674</v>
      </c>
      <c r="K66" s="1280" t="s">
        <v>2811</v>
      </c>
      <c r="L66" s="1331"/>
      <c r="M66" s="1331"/>
      <c r="N66" s="1332"/>
      <c r="O66" s="782"/>
      <c r="P66" s="1332"/>
      <c r="Q66" s="1331"/>
      <c r="R66" s="1331"/>
      <c r="S66" s="1338"/>
      <c r="T66" s="1334"/>
      <c r="U66" s="821"/>
      <c r="V66" s="1332"/>
      <c r="W66" s="1335"/>
      <c r="X66" s="1331"/>
      <c r="Y66" s="1331"/>
      <c r="Z66" s="1339"/>
      <c r="AA66" s="24"/>
    </row>
    <row r="67" spans="1:27">
      <c r="A67" s="1326" t="s">
        <v>2078</v>
      </c>
      <c r="B67" s="1283">
        <v>166</v>
      </c>
      <c r="C67" s="1328" t="s">
        <v>2810</v>
      </c>
      <c r="D67" s="1357" t="s">
        <v>2809</v>
      </c>
      <c r="E67" s="1358" t="s">
        <v>2808</v>
      </c>
      <c r="F67" s="1359">
        <v>49</v>
      </c>
      <c r="G67" s="1359">
        <v>31.68</v>
      </c>
      <c r="H67" s="827">
        <f t="shared" si="7"/>
        <v>453.77730400000002</v>
      </c>
      <c r="I67" s="827">
        <f t="shared" si="8"/>
        <v>0.10798248296701943</v>
      </c>
      <c r="J67" s="1330">
        <v>42452</v>
      </c>
      <c r="K67" s="1280" t="s">
        <v>2089</v>
      </c>
      <c r="L67" s="1331">
        <v>67.39</v>
      </c>
      <c r="M67" s="1331">
        <v>58.84</v>
      </c>
      <c r="N67" s="1332">
        <f t="shared" si="9"/>
        <v>0.87312657664341897</v>
      </c>
      <c r="O67" s="1360">
        <v>58.84</v>
      </c>
      <c r="P67" s="1332">
        <f>O67/L67</f>
        <v>0.87312657664341897</v>
      </c>
      <c r="Q67" s="1331">
        <v>3</v>
      </c>
      <c r="R67" s="1332">
        <v>6.7336</v>
      </c>
      <c r="S67" s="1333" t="s">
        <v>2807</v>
      </c>
      <c r="T67" s="1334">
        <v>42866</v>
      </c>
      <c r="U67" s="821">
        <v>33.82</v>
      </c>
      <c r="V67" s="1332">
        <f t="shared" si="11"/>
        <v>1.7413324269204622</v>
      </c>
      <c r="W67" s="1348" t="s">
        <v>2806</v>
      </c>
      <c r="X67" s="1361">
        <v>20</v>
      </c>
      <c r="Y67" s="1361">
        <v>10</v>
      </c>
      <c r="Z67" s="829" t="s">
        <v>2160</v>
      </c>
      <c r="AA67" s="24"/>
    </row>
    <row r="68" spans="1:27">
      <c r="A68" s="1326"/>
      <c r="B68" s="1283"/>
      <c r="C68" s="1328"/>
      <c r="D68" s="1358"/>
      <c r="E68" s="1358"/>
      <c r="F68" s="1359"/>
      <c r="G68" s="1359"/>
      <c r="H68" s="827"/>
      <c r="I68" s="827"/>
      <c r="J68" s="1330">
        <v>42467</v>
      </c>
      <c r="K68" s="1280" t="s">
        <v>2693</v>
      </c>
      <c r="L68" s="1331"/>
      <c r="M68" s="1331"/>
      <c r="N68" s="1332"/>
      <c r="O68" s="1360"/>
      <c r="P68" s="1332"/>
      <c r="Q68" s="1331"/>
      <c r="R68" s="1331"/>
      <c r="S68" s="1338"/>
      <c r="T68" s="1334"/>
      <c r="U68" s="821"/>
      <c r="V68" s="1332"/>
      <c r="W68" s="1335"/>
      <c r="X68" s="1331"/>
      <c r="Y68" s="1331"/>
      <c r="Z68" s="1339"/>
      <c r="AA68" s="24"/>
    </row>
    <row r="69" spans="1:27">
      <c r="A69" s="1326" t="s">
        <v>2078</v>
      </c>
      <c r="B69" s="1327">
        <v>168</v>
      </c>
      <c r="C69" s="1328" t="s">
        <v>2805</v>
      </c>
      <c r="D69" s="829" t="s">
        <v>2804</v>
      </c>
      <c r="E69" s="829" t="s">
        <v>2803</v>
      </c>
      <c r="F69" s="827">
        <v>7.78</v>
      </c>
      <c r="G69" s="827">
        <v>7.78</v>
      </c>
      <c r="H69" s="827">
        <f t="shared" si="7"/>
        <v>48.919200000000004</v>
      </c>
      <c r="I69" s="827">
        <f t="shared" si="8"/>
        <v>0.15903776022502411</v>
      </c>
      <c r="J69" s="1330">
        <v>42485</v>
      </c>
      <c r="K69" s="1280" t="s">
        <v>151</v>
      </c>
      <c r="L69" s="1331">
        <v>32.700000000000003</v>
      </c>
      <c r="M69" s="1331">
        <v>25.65</v>
      </c>
      <c r="N69" s="1332">
        <f t="shared" si="9"/>
        <v>0.78440366972477049</v>
      </c>
      <c r="O69" s="782">
        <v>30</v>
      </c>
      <c r="P69" s="1332">
        <f t="shared" ref="P69:P90" si="12">O69/L69</f>
        <v>0.9174311926605504</v>
      </c>
      <c r="Q69" s="1331">
        <v>7</v>
      </c>
      <c r="R69" s="1332">
        <v>1.496</v>
      </c>
      <c r="S69" s="1333" t="s">
        <v>2802</v>
      </c>
      <c r="T69" s="1334">
        <v>42870</v>
      </c>
      <c r="U69" s="821">
        <v>15.6</v>
      </c>
      <c r="V69" s="1332">
        <f t="shared" si="11"/>
        <v>1.1606666666666667</v>
      </c>
      <c r="W69" s="1335" t="s">
        <v>2801</v>
      </c>
      <c r="X69" s="1331">
        <v>12</v>
      </c>
      <c r="Y69" s="1331">
        <v>5</v>
      </c>
      <c r="Z69" s="829" t="s">
        <v>2172</v>
      </c>
    </row>
    <row r="70" spans="1:27">
      <c r="A70" s="1326" t="s">
        <v>2078</v>
      </c>
      <c r="B70" s="1327">
        <v>169</v>
      </c>
      <c r="C70" s="1328" t="s">
        <v>2800</v>
      </c>
      <c r="D70" s="829" t="s">
        <v>2799</v>
      </c>
      <c r="E70" s="829" t="s">
        <v>2798</v>
      </c>
      <c r="F70" s="827">
        <v>16</v>
      </c>
      <c r="G70" s="827">
        <v>16</v>
      </c>
      <c r="H70" s="827">
        <f t="shared" si="7"/>
        <v>180.9602593326</v>
      </c>
      <c r="I70" s="827">
        <f t="shared" si="8"/>
        <v>8.8417203086520985E-2</v>
      </c>
      <c r="J70" s="1330">
        <v>42486</v>
      </c>
      <c r="K70" s="1280" t="s">
        <v>2125</v>
      </c>
      <c r="L70" s="1331">
        <v>7.03</v>
      </c>
      <c r="M70" s="1331">
        <v>6.32</v>
      </c>
      <c r="N70" s="1332">
        <f t="shared" si="9"/>
        <v>0.89900426742532002</v>
      </c>
      <c r="O70" s="782">
        <v>6.36</v>
      </c>
      <c r="P70" s="1332">
        <f t="shared" si="12"/>
        <v>0.90469416785206258</v>
      </c>
      <c r="Q70" s="1331">
        <v>8</v>
      </c>
      <c r="R70" s="1332">
        <v>25.74114642</v>
      </c>
      <c r="S70" s="1333" t="s">
        <v>2797</v>
      </c>
      <c r="T70" s="1334">
        <v>42870</v>
      </c>
      <c r="U70" s="821">
        <v>6.89</v>
      </c>
      <c r="V70" s="1332">
        <f t="shared" si="11"/>
        <v>1.1069182389937107</v>
      </c>
      <c r="W70" s="1335" t="s">
        <v>2117</v>
      </c>
      <c r="X70" s="1331">
        <v>0</v>
      </c>
      <c r="Y70" s="1331">
        <v>1.5</v>
      </c>
      <c r="Z70" s="829" t="s">
        <v>2519</v>
      </c>
    </row>
    <row r="71" spans="1:27">
      <c r="A71" s="1326" t="s">
        <v>2078</v>
      </c>
      <c r="B71" s="1327">
        <v>171</v>
      </c>
      <c r="C71" s="1328" t="s">
        <v>2796</v>
      </c>
      <c r="D71" s="829" t="s">
        <v>2795</v>
      </c>
      <c r="E71" s="829" t="s">
        <v>2794</v>
      </c>
      <c r="F71" s="827">
        <v>6.42</v>
      </c>
      <c r="G71" s="827">
        <v>6.42</v>
      </c>
      <c r="H71" s="827">
        <f>L71*R71</f>
        <v>182.1570908031</v>
      </c>
      <c r="I71" s="827">
        <f>F71/H71</f>
        <v>3.5244304636702854E-2</v>
      </c>
      <c r="J71" s="1330">
        <v>42487</v>
      </c>
      <c r="K71" s="1280" t="s">
        <v>2107</v>
      </c>
      <c r="L71" s="1331">
        <v>23.31</v>
      </c>
      <c r="M71" s="1331">
        <v>19.59</v>
      </c>
      <c r="N71" s="1332">
        <f t="shared" si="9"/>
        <v>0.84041184041184047</v>
      </c>
      <c r="O71" s="782">
        <v>22.8</v>
      </c>
      <c r="P71" s="1332">
        <f t="shared" si="12"/>
        <v>0.9781209781209782</v>
      </c>
      <c r="Q71" s="1331">
        <v>7</v>
      </c>
      <c r="R71" s="1332">
        <v>7.8145470100000001</v>
      </c>
      <c r="S71" s="1333" t="s">
        <v>2793</v>
      </c>
      <c r="T71" s="1334">
        <v>42867</v>
      </c>
      <c r="U71" s="821">
        <v>32.479999999999997</v>
      </c>
      <c r="V71" s="1332">
        <f t="shared" si="11"/>
        <v>1.4565789473684208</v>
      </c>
      <c r="W71" s="1335" t="s">
        <v>2792</v>
      </c>
      <c r="X71" s="1331">
        <v>0</v>
      </c>
      <c r="Y71" s="1331">
        <v>7.3</v>
      </c>
      <c r="Z71" s="829" t="s">
        <v>2086</v>
      </c>
    </row>
    <row r="72" spans="1:27">
      <c r="A72" s="1326" t="s">
        <v>2078</v>
      </c>
      <c r="B72" s="1327">
        <v>173</v>
      </c>
      <c r="C72" s="1328" t="s">
        <v>2791</v>
      </c>
      <c r="D72" s="829" t="s">
        <v>2790</v>
      </c>
      <c r="E72" s="829" t="s">
        <v>2789</v>
      </c>
      <c r="F72" s="827">
        <v>2.96</v>
      </c>
      <c r="G72" s="827">
        <v>2.96</v>
      </c>
      <c r="H72" s="827">
        <f t="shared" si="7"/>
        <v>42.868346459999998</v>
      </c>
      <c r="I72" s="827">
        <f t="shared" si="8"/>
        <v>6.9048616156957315E-2</v>
      </c>
      <c r="J72" s="1330">
        <v>42480</v>
      </c>
      <c r="K72" s="1280" t="s">
        <v>2788</v>
      </c>
      <c r="L72" s="1331">
        <v>47.22</v>
      </c>
      <c r="M72" s="1331">
        <v>40.76</v>
      </c>
      <c r="N72" s="1332">
        <f t="shared" si="9"/>
        <v>0.86319356204997877</v>
      </c>
      <c r="O72" s="782">
        <v>47.27</v>
      </c>
      <c r="P72" s="1332">
        <f t="shared" si="12"/>
        <v>1.0010588733587464</v>
      </c>
      <c r="Q72" s="1331">
        <v>4</v>
      </c>
      <c r="R72" s="1332">
        <v>0.90784299999999996</v>
      </c>
      <c r="S72" s="1333" t="s">
        <v>2787</v>
      </c>
      <c r="T72" s="1334">
        <v>42506</v>
      </c>
      <c r="U72" s="821">
        <v>62.44</v>
      </c>
      <c r="V72" s="1332">
        <f t="shared" si="11"/>
        <v>1.3209223609054368</v>
      </c>
      <c r="W72" s="1280" t="s">
        <v>223</v>
      </c>
      <c r="X72" s="1331">
        <v>0</v>
      </c>
      <c r="Y72" s="1331">
        <v>0</v>
      </c>
      <c r="Z72" s="829" t="s">
        <v>2104</v>
      </c>
    </row>
    <row r="73" spans="1:27">
      <c r="A73" s="1326" t="s">
        <v>2078</v>
      </c>
      <c r="B73" s="1327">
        <v>174</v>
      </c>
      <c r="C73" s="1328" t="s">
        <v>2786</v>
      </c>
      <c r="D73" s="829" t="s">
        <v>2785</v>
      </c>
      <c r="E73" s="829" t="s">
        <v>2784</v>
      </c>
      <c r="F73" s="827">
        <v>17.2</v>
      </c>
      <c r="G73" s="827">
        <v>17.2</v>
      </c>
      <c r="H73" s="827">
        <f t="shared" si="7"/>
        <v>52.168722278399997</v>
      </c>
      <c r="I73" s="827">
        <f t="shared" si="8"/>
        <v>0.3296994683559944</v>
      </c>
      <c r="J73" s="1330">
        <v>42482</v>
      </c>
      <c r="K73" s="1280" t="s">
        <v>2693</v>
      </c>
      <c r="L73" s="1331">
        <v>7.28</v>
      </c>
      <c r="M73" s="1331">
        <v>6.23</v>
      </c>
      <c r="N73" s="1332">
        <f t="shared" si="9"/>
        <v>0.85576923076923084</v>
      </c>
      <c r="O73" s="782">
        <v>6.4</v>
      </c>
      <c r="P73" s="1332">
        <f t="shared" si="12"/>
        <v>0.87912087912087911</v>
      </c>
      <c r="Q73" s="1331">
        <v>7</v>
      </c>
      <c r="R73" s="1332">
        <v>7.1660332799999997</v>
      </c>
      <c r="S73" s="1333" t="s">
        <v>2783</v>
      </c>
      <c r="T73" s="1334">
        <v>42878</v>
      </c>
      <c r="U73" s="821">
        <v>3.02</v>
      </c>
      <c r="V73" s="1332">
        <f t="shared" si="11"/>
        <v>0.94374999999999998</v>
      </c>
      <c r="W73" s="1335" t="s">
        <v>2406</v>
      </c>
      <c r="X73" s="1331">
        <v>10</v>
      </c>
      <c r="Y73" s="1331">
        <v>0</v>
      </c>
      <c r="Z73" s="829" t="s">
        <v>2519</v>
      </c>
    </row>
    <row r="74" spans="1:27">
      <c r="A74" s="1326" t="s">
        <v>2078</v>
      </c>
      <c r="B74" s="1327">
        <v>175</v>
      </c>
      <c r="C74" s="1328" t="s">
        <v>2782</v>
      </c>
      <c r="D74" s="829" t="s">
        <v>2781</v>
      </c>
      <c r="E74" s="829" t="s">
        <v>2780</v>
      </c>
      <c r="F74" s="827">
        <v>40</v>
      </c>
      <c r="G74" s="827">
        <v>40</v>
      </c>
      <c r="H74" s="827">
        <f t="shared" si="7"/>
        <v>728.13464221259994</v>
      </c>
      <c r="I74" s="827">
        <f t="shared" si="8"/>
        <v>5.4934894840947351E-2</v>
      </c>
      <c r="J74" s="1330">
        <v>42487</v>
      </c>
      <c r="K74" s="1280" t="s">
        <v>151</v>
      </c>
      <c r="L74" s="1331">
        <v>21.82</v>
      </c>
      <c r="M74" s="1331">
        <v>19.399999999999999</v>
      </c>
      <c r="N74" s="1332">
        <f t="shared" si="9"/>
        <v>0.88909257561869837</v>
      </c>
      <c r="O74" s="782">
        <v>19.48</v>
      </c>
      <c r="P74" s="1332">
        <f t="shared" si="12"/>
        <v>0.8927589367552704</v>
      </c>
      <c r="Q74" s="1331">
        <v>4</v>
      </c>
      <c r="R74" s="1332">
        <v>33.370056929999997</v>
      </c>
      <c r="S74" s="1333" t="s">
        <v>2779</v>
      </c>
      <c r="T74" s="1334">
        <v>42872</v>
      </c>
      <c r="U74" s="821">
        <v>11.29</v>
      </c>
      <c r="V74" s="1332">
        <f t="shared" si="11"/>
        <v>0.69753593429158101</v>
      </c>
      <c r="W74" s="1335" t="s">
        <v>2778</v>
      </c>
      <c r="X74" s="1331">
        <v>2</v>
      </c>
      <c r="Y74" s="1331">
        <v>0.4</v>
      </c>
      <c r="Z74" s="829" t="s">
        <v>2431</v>
      </c>
    </row>
    <row r="75" spans="1:27">
      <c r="A75" s="1326" t="s">
        <v>2078</v>
      </c>
      <c r="B75" s="1327">
        <v>176</v>
      </c>
      <c r="C75" s="1328" t="s">
        <v>2777</v>
      </c>
      <c r="D75" s="829" t="s">
        <v>2776</v>
      </c>
      <c r="E75" s="829" t="s">
        <v>2775</v>
      </c>
      <c r="F75" s="827">
        <v>7.2</v>
      </c>
      <c r="G75" s="827">
        <v>7.2</v>
      </c>
      <c r="H75" s="827">
        <f t="shared" si="7"/>
        <v>66.437799999999996</v>
      </c>
      <c r="I75" s="827">
        <f t="shared" si="8"/>
        <v>0.10837204121749969</v>
      </c>
      <c r="J75" s="1330">
        <v>42478</v>
      </c>
      <c r="K75" s="1280" t="s">
        <v>2774</v>
      </c>
      <c r="L75" s="1331">
        <v>11.11</v>
      </c>
      <c r="M75" s="1331">
        <v>9.02</v>
      </c>
      <c r="N75" s="1332">
        <f t="shared" si="9"/>
        <v>0.81188118811881194</v>
      </c>
      <c r="O75" s="782">
        <v>11.19</v>
      </c>
      <c r="P75" s="1332">
        <f t="shared" si="12"/>
        <v>1.0072007200720072</v>
      </c>
      <c r="Q75" s="1331">
        <v>3</v>
      </c>
      <c r="R75" s="1331">
        <v>5.98</v>
      </c>
      <c r="S75" s="1333" t="s">
        <v>3675</v>
      </c>
      <c r="T75" s="1334">
        <v>42507</v>
      </c>
      <c r="U75" s="821">
        <v>12.89</v>
      </c>
      <c r="V75" s="1332">
        <f t="shared" si="11"/>
        <v>1.1519213583556749</v>
      </c>
      <c r="W75" s="1280" t="s">
        <v>223</v>
      </c>
      <c r="X75" s="1331">
        <v>0</v>
      </c>
      <c r="Y75" s="1331">
        <v>0</v>
      </c>
      <c r="Z75" s="829" t="s">
        <v>2216</v>
      </c>
    </row>
    <row r="76" spans="1:27">
      <c r="A76" s="1326" t="s">
        <v>2078</v>
      </c>
      <c r="B76" s="1327">
        <v>178</v>
      </c>
      <c r="C76" s="1328" t="s">
        <v>2773</v>
      </c>
      <c r="D76" s="829" t="s">
        <v>2772</v>
      </c>
      <c r="E76" s="829" t="s">
        <v>2771</v>
      </c>
      <c r="F76" s="827">
        <v>17.96</v>
      </c>
      <c r="G76" s="827">
        <v>17.96</v>
      </c>
      <c r="H76" s="827">
        <f t="shared" si="7"/>
        <v>145.18084200000001</v>
      </c>
      <c r="I76" s="827">
        <f t="shared" si="8"/>
        <v>0.12370778232571485</v>
      </c>
      <c r="J76" s="1330">
        <v>42475</v>
      </c>
      <c r="K76" s="1280" t="s">
        <v>2770</v>
      </c>
      <c r="L76" s="1331">
        <v>25.7</v>
      </c>
      <c r="M76" s="1331">
        <v>22.06</v>
      </c>
      <c r="N76" s="1332">
        <f t="shared" si="9"/>
        <v>0.85836575875486376</v>
      </c>
      <c r="O76" s="782">
        <v>22.88</v>
      </c>
      <c r="P76" s="1332">
        <f t="shared" si="12"/>
        <v>0.89027237354085598</v>
      </c>
      <c r="Q76" s="1331">
        <v>5</v>
      </c>
      <c r="R76" s="1332">
        <v>5.6490600000000004</v>
      </c>
      <c r="S76" s="1333" t="s">
        <v>2769</v>
      </c>
      <c r="T76" s="1334">
        <v>42872</v>
      </c>
      <c r="U76" s="821">
        <v>19.239999999999998</v>
      </c>
      <c r="V76" s="1332">
        <f t="shared" si="11"/>
        <v>0.84090909090909083</v>
      </c>
      <c r="W76" s="1280" t="s">
        <v>223</v>
      </c>
      <c r="X76" s="1331">
        <v>0</v>
      </c>
      <c r="Y76" s="1331">
        <v>0</v>
      </c>
      <c r="Z76" s="829" t="s">
        <v>2411</v>
      </c>
    </row>
    <row r="77" spans="1:27">
      <c r="A77" s="1326" t="s">
        <v>2078</v>
      </c>
      <c r="B77" s="1327">
        <v>181</v>
      </c>
      <c r="C77" s="1328" t="s">
        <v>2768</v>
      </c>
      <c r="D77" s="829" t="s">
        <v>2767</v>
      </c>
      <c r="E77" s="829" t="s">
        <v>2766</v>
      </c>
      <c r="F77" s="827">
        <v>3.2</v>
      </c>
      <c r="G77" s="827">
        <v>3.2</v>
      </c>
      <c r="H77" s="827">
        <f t="shared" si="7"/>
        <v>59.127377000000003</v>
      </c>
      <c r="I77" s="827">
        <f t="shared" si="8"/>
        <v>5.4120445762375013E-2</v>
      </c>
      <c r="J77" s="1330">
        <v>42487</v>
      </c>
      <c r="K77" s="1280" t="s">
        <v>2765</v>
      </c>
      <c r="L77" s="1331">
        <v>37.06</v>
      </c>
      <c r="M77" s="1331">
        <v>32.9</v>
      </c>
      <c r="N77" s="1332">
        <f t="shared" si="9"/>
        <v>0.88774959525094432</v>
      </c>
      <c r="O77" s="782">
        <v>33.5</v>
      </c>
      <c r="P77" s="1332">
        <f t="shared" si="12"/>
        <v>0.90393955747436583</v>
      </c>
      <c r="Q77" s="1331">
        <v>2</v>
      </c>
      <c r="R77" s="1332">
        <v>1.59545</v>
      </c>
      <c r="S77" s="1333" t="s">
        <v>2764</v>
      </c>
      <c r="T77" s="1334">
        <v>42874</v>
      </c>
      <c r="U77" s="821">
        <v>36.08</v>
      </c>
      <c r="V77" s="1332">
        <f t="shared" si="11"/>
        <v>1.0770149253731343</v>
      </c>
      <c r="W77" s="1280" t="s">
        <v>223</v>
      </c>
      <c r="X77" s="1331">
        <v>0</v>
      </c>
      <c r="Y77" s="1331">
        <v>0</v>
      </c>
      <c r="Z77" s="829" t="s">
        <v>2072</v>
      </c>
    </row>
    <row r="78" spans="1:27">
      <c r="A78" s="1326" t="s">
        <v>2078</v>
      </c>
      <c r="B78" s="1327">
        <v>187</v>
      </c>
      <c r="C78" s="1328" t="s">
        <v>2763</v>
      </c>
      <c r="D78" s="829" t="s">
        <v>2762</v>
      </c>
      <c r="E78" s="829" t="s">
        <v>2761</v>
      </c>
      <c r="F78" s="827">
        <v>9.11</v>
      </c>
      <c r="G78" s="827">
        <v>7.6</v>
      </c>
      <c r="H78" s="827">
        <f t="shared" si="7"/>
        <v>62.892157575900001</v>
      </c>
      <c r="I78" s="827">
        <f t="shared" si="8"/>
        <v>0.14485112852116416</v>
      </c>
      <c r="J78" s="1330">
        <v>42480</v>
      </c>
      <c r="K78" s="1280" t="s">
        <v>2089</v>
      </c>
      <c r="L78" s="1331">
        <v>9.11</v>
      </c>
      <c r="M78" s="1331">
        <v>7.44</v>
      </c>
      <c r="N78" s="1332">
        <f t="shared" si="9"/>
        <v>0.81668496158068071</v>
      </c>
      <c r="O78" s="782">
        <v>7.6</v>
      </c>
      <c r="P78" s="1332">
        <f t="shared" si="12"/>
        <v>0.83424807903402853</v>
      </c>
      <c r="Q78" s="1331">
        <v>2</v>
      </c>
      <c r="R78" s="1332">
        <v>6.9036396900000003</v>
      </c>
      <c r="S78" s="1333" t="s">
        <v>2760</v>
      </c>
      <c r="T78" s="1334">
        <v>42877</v>
      </c>
      <c r="U78" s="821">
        <v>6.33</v>
      </c>
      <c r="V78" s="1332">
        <f t="shared" si="11"/>
        <v>0.83289473684210535</v>
      </c>
      <c r="W78" s="1280" t="s">
        <v>223</v>
      </c>
      <c r="X78" s="1331">
        <v>0</v>
      </c>
      <c r="Y78" s="1331">
        <v>0</v>
      </c>
      <c r="Z78" s="829" t="s">
        <v>2160</v>
      </c>
    </row>
    <row r="79" spans="1:27">
      <c r="A79" s="1326" t="s">
        <v>2078</v>
      </c>
      <c r="B79" s="1327">
        <v>189</v>
      </c>
      <c r="C79" s="1328" t="s">
        <v>3676</v>
      </c>
      <c r="D79" s="829" t="s">
        <v>2759</v>
      </c>
      <c r="E79" s="829" t="s">
        <v>2758</v>
      </c>
      <c r="F79" s="827">
        <v>50</v>
      </c>
      <c r="G79" s="827">
        <v>50</v>
      </c>
      <c r="H79" s="827">
        <f t="shared" si="7"/>
        <v>636.41999999999996</v>
      </c>
      <c r="I79" s="827">
        <f t="shared" si="8"/>
        <v>7.8564470004085354E-2</v>
      </c>
      <c r="J79" s="1330">
        <v>42480</v>
      </c>
      <c r="K79" s="1280" t="s">
        <v>2757</v>
      </c>
      <c r="L79" s="1331">
        <v>125</v>
      </c>
      <c r="M79" s="1331">
        <v>29.58</v>
      </c>
      <c r="N79" s="1332">
        <f t="shared" si="9"/>
        <v>0.23663999999999999</v>
      </c>
      <c r="O79" s="782">
        <v>94</v>
      </c>
      <c r="P79" s="1332">
        <f t="shared" si="12"/>
        <v>0.752</v>
      </c>
      <c r="Q79" s="1331">
        <v>8</v>
      </c>
      <c r="R79" s="1362">
        <v>5.0913599999999999</v>
      </c>
      <c r="S79" s="1333" t="s">
        <v>2756</v>
      </c>
      <c r="T79" s="1334">
        <v>42881</v>
      </c>
      <c r="U79" s="821">
        <v>55</v>
      </c>
      <c r="V79" s="1332">
        <f t="shared" si="11"/>
        <v>1.7553191489361701</v>
      </c>
      <c r="W79" s="1335" t="s">
        <v>2755</v>
      </c>
      <c r="X79" s="1331">
        <v>20</v>
      </c>
      <c r="Y79" s="1331">
        <v>0</v>
      </c>
      <c r="Z79" s="829" t="s">
        <v>2166</v>
      </c>
    </row>
    <row r="80" spans="1:27">
      <c r="A80" s="1326" t="s">
        <v>2078</v>
      </c>
      <c r="B80" s="1327">
        <v>190</v>
      </c>
      <c r="C80" s="1328" t="s">
        <v>2754</v>
      </c>
      <c r="D80" s="829" t="s">
        <v>2753</v>
      </c>
      <c r="E80" s="829" t="s">
        <v>2752</v>
      </c>
      <c r="F80" s="827">
        <v>87.35</v>
      </c>
      <c r="G80" s="827">
        <v>87.03</v>
      </c>
      <c r="H80" s="827">
        <f t="shared" si="7"/>
        <v>110.5091962962</v>
      </c>
      <c r="I80" s="827">
        <f t="shared" si="8"/>
        <v>0.79043195433142099</v>
      </c>
      <c r="J80" s="1330">
        <v>42506</v>
      </c>
      <c r="K80" s="1280" t="s">
        <v>2089</v>
      </c>
      <c r="L80" s="1331">
        <v>6.63</v>
      </c>
      <c r="M80" s="1331">
        <v>7.31</v>
      </c>
      <c r="N80" s="1332">
        <f t="shared" si="9"/>
        <v>1.1025641025641024</v>
      </c>
      <c r="O80" s="782">
        <v>7.31</v>
      </c>
      <c r="P80" s="1332">
        <f t="shared" si="12"/>
        <v>1.1025641025641024</v>
      </c>
      <c r="Q80" s="1331">
        <v>5</v>
      </c>
      <c r="R80" s="1332">
        <v>16.668053740000001</v>
      </c>
      <c r="S80" s="1333" t="s">
        <v>2751</v>
      </c>
      <c r="T80" s="1334">
        <v>42881</v>
      </c>
      <c r="U80" s="821">
        <v>6.35</v>
      </c>
      <c r="V80" s="1332">
        <f t="shared" si="11"/>
        <v>0.86867305061559508</v>
      </c>
      <c r="W80" s="1280" t="s">
        <v>223</v>
      </c>
      <c r="X80" s="1331">
        <v>0</v>
      </c>
      <c r="Y80" s="1331">
        <v>0</v>
      </c>
      <c r="Z80" s="829" t="s">
        <v>2281</v>
      </c>
    </row>
    <row r="81" spans="1:26">
      <c r="A81" s="1326" t="s">
        <v>2078</v>
      </c>
      <c r="B81" s="1327">
        <v>193</v>
      </c>
      <c r="C81" s="1328" t="s">
        <v>2750</v>
      </c>
      <c r="D81" s="829" t="s">
        <v>2749</v>
      </c>
      <c r="E81" s="829" t="s">
        <v>2748</v>
      </c>
      <c r="F81" s="827">
        <v>5.4</v>
      </c>
      <c r="G81" s="827">
        <v>5.4</v>
      </c>
      <c r="H81" s="827">
        <f t="shared" si="7"/>
        <v>52.168762793400006</v>
      </c>
      <c r="I81" s="827">
        <f t="shared" si="8"/>
        <v>0.10351021781722543</v>
      </c>
      <c r="J81" s="1330">
        <v>42482</v>
      </c>
      <c r="K81" s="1280" t="s">
        <v>2747</v>
      </c>
      <c r="L81" s="1331">
        <v>39.18</v>
      </c>
      <c r="M81" s="1331">
        <v>32.89</v>
      </c>
      <c r="N81" s="1332">
        <f t="shared" si="9"/>
        <v>0.83945890760592146</v>
      </c>
      <c r="O81" s="782">
        <v>36.1</v>
      </c>
      <c r="P81" s="1332">
        <f t="shared" si="12"/>
        <v>0.92138846350178671</v>
      </c>
      <c r="Q81" s="1331">
        <v>3</v>
      </c>
      <c r="R81" s="1332">
        <v>1.3315151300000001</v>
      </c>
      <c r="S81" s="1333" t="s">
        <v>2746</v>
      </c>
      <c r="T81" s="1334">
        <v>42888</v>
      </c>
      <c r="U81" s="821">
        <v>32.96</v>
      </c>
      <c r="V81" s="1332">
        <f t="shared" si="11"/>
        <v>0.9157894736842106</v>
      </c>
      <c r="W81" s="1335" t="s">
        <v>2123</v>
      </c>
      <c r="X81" s="1331">
        <v>0</v>
      </c>
      <c r="Y81" s="1331">
        <v>1</v>
      </c>
      <c r="Z81" s="829" t="s">
        <v>2122</v>
      </c>
    </row>
    <row r="82" spans="1:26">
      <c r="A82" s="1326" t="s">
        <v>2078</v>
      </c>
      <c r="B82" s="1327">
        <v>194</v>
      </c>
      <c r="C82" s="1328" t="s">
        <v>2745</v>
      </c>
      <c r="D82" s="829" t="s">
        <v>2744</v>
      </c>
      <c r="E82" s="829" t="s">
        <v>2743</v>
      </c>
      <c r="F82" s="827">
        <v>23.16</v>
      </c>
      <c r="G82" s="827">
        <v>23.48</v>
      </c>
      <c r="H82" s="827">
        <f t="shared" si="7"/>
        <v>138.90625</v>
      </c>
      <c r="I82" s="827">
        <f t="shared" si="8"/>
        <v>0.16673115860517435</v>
      </c>
      <c r="J82" s="1330">
        <v>42496</v>
      </c>
      <c r="K82" s="1280" t="s">
        <v>2089</v>
      </c>
      <c r="L82" s="1331">
        <v>31.25</v>
      </c>
      <c r="M82" s="1331">
        <v>28</v>
      </c>
      <c r="N82" s="1332">
        <f t="shared" si="9"/>
        <v>0.89600000000000002</v>
      </c>
      <c r="O82" s="782">
        <v>28.01</v>
      </c>
      <c r="P82" s="1332">
        <f t="shared" si="12"/>
        <v>0.89632000000000001</v>
      </c>
      <c r="Q82" s="1331">
        <v>5</v>
      </c>
      <c r="R82" s="1332">
        <v>4.4450000000000003</v>
      </c>
      <c r="S82" s="1333" t="s">
        <v>2742</v>
      </c>
      <c r="T82" s="1334">
        <v>42886</v>
      </c>
      <c r="U82" s="821">
        <v>31.13</v>
      </c>
      <c r="V82" s="1332">
        <f t="shared" si="11"/>
        <v>1.1113887897179577</v>
      </c>
      <c r="W82" s="1280" t="s">
        <v>223</v>
      </c>
      <c r="X82" s="1331">
        <v>0</v>
      </c>
      <c r="Y82" s="1331">
        <v>0</v>
      </c>
      <c r="Z82" s="829" t="s">
        <v>2160</v>
      </c>
    </row>
    <row r="83" spans="1:26">
      <c r="A83" s="1326" t="s">
        <v>2078</v>
      </c>
      <c r="B83" s="1327">
        <v>195</v>
      </c>
      <c r="C83" s="1328" t="s">
        <v>2741</v>
      </c>
      <c r="D83" s="829" t="s">
        <v>2740</v>
      </c>
      <c r="E83" s="829" t="s">
        <v>2739</v>
      </c>
      <c r="F83" s="827">
        <v>12</v>
      </c>
      <c r="G83" s="827">
        <v>11.4</v>
      </c>
      <c r="H83" s="827">
        <f t="shared" si="7"/>
        <v>71.190721596000003</v>
      </c>
      <c r="I83" s="827">
        <f t="shared" si="8"/>
        <v>0.16856129185062571</v>
      </c>
      <c r="J83" s="1330">
        <v>42493</v>
      </c>
      <c r="K83" s="1280" t="s">
        <v>2738</v>
      </c>
      <c r="L83" s="1331">
        <v>20.45</v>
      </c>
      <c r="M83" s="1331">
        <v>17.62</v>
      </c>
      <c r="N83" s="1332">
        <f t="shared" si="9"/>
        <v>0.86161369193154047</v>
      </c>
      <c r="O83" s="782">
        <v>19</v>
      </c>
      <c r="P83" s="1332">
        <f t="shared" si="12"/>
        <v>0.92909535452322745</v>
      </c>
      <c r="Q83" s="1331">
        <v>4</v>
      </c>
      <c r="R83" s="1332">
        <v>3.4812088800000001</v>
      </c>
      <c r="S83" s="1333" t="s">
        <v>2737</v>
      </c>
      <c r="T83" s="1334">
        <v>42888</v>
      </c>
      <c r="U83" s="821">
        <v>14.77</v>
      </c>
      <c r="V83" s="1332">
        <f t="shared" si="11"/>
        <v>0.78</v>
      </c>
      <c r="W83" s="1335" t="s">
        <v>2105</v>
      </c>
      <c r="X83" s="1331">
        <v>0</v>
      </c>
      <c r="Y83" s="1331">
        <v>0.5</v>
      </c>
      <c r="Z83" s="829" t="s">
        <v>2436</v>
      </c>
    </row>
    <row r="84" spans="1:26">
      <c r="A84" s="1326" t="s">
        <v>2078</v>
      </c>
      <c r="B84" s="1327">
        <v>197</v>
      </c>
      <c r="C84" s="1328" t="s">
        <v>2736</v>
      </c>
      <c r="D84" s="829" t="s">
        <v>2735</v>
      </c>
      <c r="E84" s="829" t="s">
        <v>2734</v>
      </c>
      <c r="F84" s="827">
        <v>49</v>
      </c>
      <c r="G84" s="827">
        <v>49</v>
      </c>
      <c r="H84" s="827">
        <f t="shared" si="7"/>
        <v>450.02450982959999</v>
      </c>
      <c r="I84" s="827">
        <f t="shared" si="8"/>
        <v>0.1088829584383163</v>
      </c>
      <c r="J84" s="1330">
        <v>42510</v>
      </c>
      <c r="K84" s="1280" t="s">
        <v>151</v>
      </c>
      <c r="L84" s="1331">
        <v>4.0199999999999996</v>
      </c>
      <c r="M84" s="1331">
        <v>3.98</v>
      </c>
      <c r="N84" s="1332">
        <f t="shared" si="9"/>
        <v>0.99004975124378114</v>
      </c>
      <c r="O84" s="782">
        <v>3.98</v>
      </c>
      <c r="P84" s="1332">
        <f t="shared" si="12"/>
        <v>0.99004975124378114</v>
      </c>
      <c r="Q84" s="1331">
        <v>8</v>
      </c>
      <c r="R84" s="1332">
        <v>111.94639548000001</v>
      </c>
      <c r="S84" s="1333" t="s">
        <v>2733</v>
      </c>
      <c r="T84" s="1334">
        <v>42886</v>
      </c>
      <c r="U84" s="821">
        <v>3.53</v>
      </c>
      <c r="V84" s="1332">
        <f t="shared" si="11"/>
        <v>0.89698492462311552</v>
      </c>
      <c r="W84" s="1335" t="s">
        <v>2732</v>
      </c>
      <c r="X84" s="1331">
        <v>0</v>
      </c>
      <c r="Y84" s="1331">
        <v>0.4</v>
      </c>
      <c r="Z84" s="829" t="s">
        <v>2731</v>
      </c>
    </row>
    <row r="85" spans="1:26">
      <c r="A85" s="1326" t="s">
        <v>2078</v>
      </c>
      <c r="B85" s="1327">
        <v>201</v>
      </c>
      <c r="C85" s="1328" t="s">
        <v>2730</v>
      </c>
      <c r="D85" s="829" t="s">
        <v>2729</v>
      </c>
      <c r="E85" s="829" t="s">
        <v>2728</v>
      </c>
      <c r="F85" s="827">
        <v>12.83</v>
      </c>
      <c r="G85" s="827">
        <v>12.7</v>
      </c>
      <c r="H85" s="827">
        <f t="shared" si="7"/>
        <v>88.921999999999997</v>
      </c>
      <c r="I85" s="827">
        <f t="shared" si="8"/>
        <v>0.14428375430152268</v>
      </c>
      <c r="J85" s="1330">
        <v>42499</v>
      </c>
      <c r="K85" s="1280" t="s">
        <v>2174</v>
      </c>
      <c r="L85" s="1331">
        <v>17.3</v>
      </c>
      <c r="M85" s="1331">
        <v>15.63</v>
      </c>
      <c r="N85" s="1332">
        <f t="shared" si="9"/>
        <v>0.90346820809248551</v>
      </c>
      <c r="O85" s="782">
        <v>15.88</v>
      </c>
      <c r="P85" s="1332">
        <f t="shared" si="12"/>
        <v>0.91791907514450866</v>
      </c>
      <c r="Q85" s="1331">
        <v>5</v>
      </c>
      <c r="R85" s="1363">
        <v>5.14</v>
      </c>
      <c r="S85" s="1333" t="s">
        <v>2727</v>
      </c>
      <c r="T85" s="1334">
        <v>42898</v>
      </c>
      <c r="U85" s="821">
        <v>11.44</v>
      </c>
      <c r="V85" s="1332">
        <f>((U85*(1+X85/10)+Y85/10)/O85)</f>
        <v>0.72040302267002509</v>
      </c>
      <c r="W85" s="1280" t="s">
        <v>223</v>
      </c>
      <c r="X85" s="1331">
        <v>0</v>
      </c>
      <c r="Y85" s="1331">
        <v>0</v>
      </c>
      <c r="Z85" s="829" t="s">
        <v>2259</v>
      </c>
    </row>
    <row r="86" spans="1:26">
      <c r="A86" s="1326" t="s">
        <v>2078</v>
      </c>
      <c r="B86" s="1327">
        <v>204</v>
      </c>
      <c r="C86" s="1328" t="s">
        <v>2726</v>
      </c>
      <c r="D86" s="829" t="s">
        <v>2725</v>
      </c>
      <c r="E86" s="829" t="s">
        <v>2724</v>
      </c>
      <c r="F86" s="827">
        <v>16</v>
      </c>
      <c r="G86" s="827">
        <v>16</v>
      </c>
      <c r="H86" s="827">
        <f t="shared" si="7"/>
        <v>111.13099541909999</v>
      </c>
      <c r="I86" s="827">
        <f t="shared" si="8"/>
        <v>0.14397423454780009</v>
      </c>
      <c r="J86" s="1330">
        <v>42509</v>
      </c>
      <c r="K86" s="1280" t="s">
        <v>151</v>
      </c>
      <c r="L86" s="1331">
        <v>5.13</v>
      </c>
      <c r="M86" s="821">
        <v>6.01</v>
      </c>
      <c r="N86" s="1332">
        <f t="shared" si="9"/>
        <v>1.1715399610136452</v>
      </c>
      <c r="O86" s="782">
        <v>6.01</v>
      </c>
      <c r="P86" s="1332">
        <f t="shared" si="12"/>
        <v>1.1715399610136452</v>
      </c>
      <c r="Q86" s="1331">
        <v>1</v>
      </c>
      <c r="R86" s="1332">
        <v>21.662962069999999</v>
      </c>
      <c r="S86" s="1333" t="s">
        <v>2723</v>
      </c>
      <c r="T86" s="1334">
        <v>42893</v>
      </c>
      <c r="U86" s="821">
        <v>4.3899999999999997</v>
      </c>
      <c r="V86" s="1332">
        <f t="shared" si="11"/>
        <v>0.7470881863560731</v>
      </c>
      <c r="W86" s="1335" t="s">
        <v>2123</v>
      </c>
      <c r="X86" s="1331">
        <v>0</v>
      </c>
      <c r="Y86" s="1331">
        <v>1</v>
      </c>
      <c r="Z86" s="829" t="s">
        <v>2233</v>
      </c>
    </row>
    <row r="87" spans="1:26">
      <c r="A87" s="1326" t="s">
        <v>2078</v>
      </c>
      <c r="B87" s="1327">
        <v>205</v>
      </c>
      <c r="C87" s="1328" t="s">
        <v>2722</v>
      </c>
      <c r="D87" s="829" t="s">
        <v>2721</v>
      </c>
      <c r="E87" s="829" t="s">
        <v>2720</v>
      </c>
      <c r="F87" s="827">
        <v>30</v>
      </c>
      <c r="G87" s="827">
        <v>30</v>
      </c>
      <c r="H87" s="827">
        <f t="shared" si="7"/>
        <v>173.84677124999999</v>
      </c>
      <c r="I87" s="827">
        <f t="shared" si="8"/>
        <v>0.1725657588248134</v>
      </c>
      <c r="J87" s="1330">
        <v>42515</v>
      </c>
      <c r="K87" s="1337" t="s">
        <v>2719</v>
      </c>
      <c r="L87" s="1331">
        <v>14.5</v>
      </c>
      <c r="M87" s="1331">
        <v>13.35</v>
      </c>
      <c r="N87" s="1332">
        <f t="shared" si="9"/>
        <v>0.92068965517241375</v>
      </c>
      <c r="O87" s="782">
        <v>13.63</v>
      </c>
      <c r="P87" s="1332">
        <f t="shared" si="12"/>
        <v>0.94000000000000006</v>
      </c>
      <c r="Q87" s="1331">
        <v>5</v>
      </c>
      <c r="R87" s="1332">
        <v>11.989432499999999</v>
      </c>
      <c r="S87" s="1333" t="s">
        <v>2718</v>
      </c>
      <c r="T87" s="1334">
        <v>42893</v>
      </c>
      <c r="U87" s="821">
        <v>10.24</v>
      </c>
      <c r="V87" s="1332">
        <f t="shared" si="11"/>
        <v>0.75128393250183412</v>
      </c>
      <c r="W87" s="1280" t="s">
        <v>223</v>
      </c>
      <c r="X87" s="1331">
        <v>0</v>
      </c>
      <c r="Y87" s="1331">
        <v>0</v>
      </c>
      <c r="Z87" s="829" t="s">
        <v>2144</v>
      </c>
    </row>
    <row r="88" spans="1:26">
      <c r="A88" s="1326" t="s">
        <v>2078</v>
      </c>
      <c r="B88" s="1327">
        <v>208</v>
      </c>
      <c r="C88" s="1328" t="s">
        <v>2717</v>
      </c>
      <c r="D88" s="829" t="s">
        <v>2716</v>
      </c>
      <c r="E88" s="829" t="s">
        <v>2715</v>
      </c>
      <c r="F88" s="827">
        <v>7.8</v>
      </c>
      <c r="G88" s="827">
        <v>7.62</v>
      </c>
      <c r="H88" s="827">
        <f t="shared" si="7"/>
        <v>45.804384000000006</v>
      </c>
      <c r="I88" s="827">
        <f t="shared" si="8"/>
        <v>0.17028937666752594</v>
      </c>
      <c r="J88" s="1330">
        <v>42500</v>
      </c>
      <c r="K88" s="1280" t="s">
        <v>2089</v>
      </c>
      <c r="L88" s="1331">
        <v>7.12</v>
      </c>
      <c r="M88" s="1364" t="s">
        <v>3677</v>
      </c>
      <c r="N88" s="1332" t="e">
        <f t="shared" si="9"/>
        <v>#VALUE!</v>
      </c>
      <c r="O88" s="782">
        <v>6.99</v>
      </c>
      <c r="P88" s="1332">
        <f t="shared" si="12"/>
        <v>0.9817415730337079</v>
      </c>
      <c r="Q88" s="1331">
        <v>5</v>
      </c>
      <c r="R88" s="1331">
        <v>6.4332000000000003</v>
      </c>
      <c r="S88" s="1333" t="s">
        <v>2714</v>
      </c>
      <c r="T88" s="1334">
        <v>42894</v>
      </c>
      <c r="U88" s="821">
        <v>6.82</v>
      </c>
      <c r="V88" s="1332">
        <f t="shared" si="11"/>
        <v>0.97567954220314734</v>
      </c>
      <c r="W88" s="1280" t="s">
        <v>223</v>
      </c>
      <c r="X88" s="1331">
        <v>0</v>
      </c>
      <c r="Y88" s="1331">
        <v>0</v>
      </c>
      <c r="Z88" s="829" t="s">
        <v>2713</v>
      </c>
    </row>
    <row r="89" spans="1:26">
      <c r="A89" s="1326" t="s">
        <v>2078</v>
      </c>
      <c r="B89" s="1327">
        <v>211</v>
      </c>
      <c r="C89" s="1328" t="s">
        <v>2712</v>
      </c>
      <c r="D89" s="829" t="s">
        <v>2711</v>
      </c>
      <c r="E89" s="829" t="s">
        <v>2710</v>
      </c>
      <c r="F89" s="827">
        <v>30</v>
      </c>
      <c r="G89" s="827">
        <v>30</v>
      </c>
      <c r="H89" s="827">
        <f t="shared" si="7"/>
        <v>111.39215999999999</v>
      </c>
      <c r="I89" s="827">
        <f t="shared" si="8"/>
        <v>0.26931877431948537</v>
      </c>
      <c r="J89" s="1330">
        <v>42515</v>
      </c>
      <c r="K89" s="1280" t="s">
        <v>2709</v>
      </c>
      <c r="L89" s="1331">
        <v>11.56</v>
      </c>
      <c r="M89" s="1331">
        <v>11.18</v>
      </c>
      <c r="N89" s="1332">
        <f t="shared" si="9"/>
        <v>0.96712802768166084</v>
      </c>
      <c r="O89" s="782">
        <v>11.18</v>
      </c>
      <c r="P89" s="1332">
        <f t="shared" si="12"/>
        <v>0.96712802768166084</v>
      </c>
      <c r="Q89" s="1331">
        <v>6</v>
      </c>
      <c r="R89" s="1332">
        <v>9.6359999999999992</v>
      </c>
      <c r="S89" s="1333" t="s">
        <v>2708</v>
      </c>
      <c r="T89" s="1334">
        <v>42894</v>
      </c>
      <c r="U89" s="821">
        <v>12.15</v>
      </c>
      <c r="V89" s="1332">
        <f t="shared" si="11"/>
        <v>1.0912343470483006</v>
      </c>
      <c r="W89" s="1335" t="s">
        <v>2105</v>
      </c>
      <c r="X89" s="1331">
        <v>0</v>
      </c>
      <c r="Y89" s="1331">
        <v>0.5</v>
      </c>
      <c r="Z89" s="829" t="s">
        <v>2519</v>
      </c>
    </row>
    <row r="90" spans="1:26">
      <c r="A90" s="1326" t="s">
        <v>2078</v>
      </c>
      <c r="B90" s="1327">
        <v>217</v>
      </c>
      <c r="C90" s="1328" t="s">
        <v>2707</v>
      </c>
      <c r="D90" s="1329" t="s">
        <v>2706</v>
      </c>
      <c r="E90" s="829" t="s">
        <v>2705</v>
      </c>
      <c r="F90" s="827">
        <v>14.85</v>
      </c>
      <c r="G90" s="827">
        <v>14.04</v>
      </c>
      <c r="H90" s="827">
        <f t="shared" si="7"/>
        <v>67.5</v>
      </c>
      <c r="I90" s="827">
        <f t="shared" si="8"/>
        <v>0.22</v>
      </c>
      <c r="J90" s="1330">
        <v>42499</v>
      </c>
      <c r="K90" s="1280" t="s">
        <v>2704</v>
      </c>
      <c r="L90" s="1331">
        <v>7.5</v>
      </c>
      <c r="M90" s="1331">
        <v>7.42</v>
      </c>
      <c r="N90" s="1332">
        <f t="shared" si="9"/>
        <v>0.98933333333333329</v>
      </c>
      <c r="O90" s="782">
        <v>7.42</v>
      </c>
      <c r="P90" s="1332">
        <f t="shared" si="12"/>
        <v>0.98933333333333329</v>
      </c>
      <c r="Q90" s="1331">
        <v>4</v>
      </c>
      <c r="R90" s="1331">
        <v>9</v>
      </c>
      <c r="S90" s="1333" t="s">
        <v>2703</v>
      </c>
      <c r="T90" s="1334">
        <v>42535</v>
      </c>
      <c r="U90" s="821">
        <v>8.24</v>
      </c>
      <c r="V90" s="1332">
        <f t="shared" si="11"/>
        <v>1.1105121293800539</v>
      </c>
      <c r="W90" s="1280" t="s">
        <v>223</v>
      </c>
      <c r="X90" s="1331">
        <v>0</v>
      </c>
      <c r="Y90" s="1331">
        <v>0</v>
      </c>
      <c r="Z90" s="829" t="s">
        <v>2104</v>
      </c>
    </row>
    <row r="91" spans="1:26">
      <c r="A91" s="1326" t="s">
        <v>2078</v>
      </c>
      <c r="B91" s="1327"/>
      <c r="C91" s="1328"/>
      <c r="D91" s="829"/>
      <c r="E91" s="829"/>
      <c r="F91" s="827"/>
      <c r="G91" s="827"/>
      <c r="H91" s="827"/>
      <c r="I91" s="827"/>
      <c r="J91" s="1330">
        <v>42507</v>
      </c>
      <c r="K91" s="1280" t="s">
        <v>2702</v>
      </c>
      <c r="L91" s="1331"/>
      <c r="M91" s="1331"/>
      <c r="N91" s="1332"/>
      <c r="O91" s="782"/>
      <c r="P91" s="1332"/>
      <c r="Q91" s="1331"/>
      <c r="R91" s="1331"/>
      <c r="S91" s="1338"/>
      <c r="T91" s="1334"/>
      <c r="U91" s="821"/>
      <c r="V91" s="1332"/>
      <c r="W91" s="1335"/>
      <c r="X91" s="1331"/>
      <c r="Y91" s="1331"/>
      <c r="Z91" s="829"/>
    </row>
    <row r="92" spans="1:26">
      <c r="A92" s="1326" t="s">
        <v>2078</v>
      </c>
      <c r="B92" s="1327"/>
      <c r="C92" s="1328"/>
      <c r="D92" s="829"/>
      <c r="E92" s="829"/>
      <c r="F92" s="827"/>
      <c r="G92" s="827"/>
      <c r="H92" s="827"/>
      <c r="I92" s="827"/>
      <c r="J92" s="1330">
        <v>42508</v>
      </c>
      <c r="K92" s="1280" t="s">
        <v>2701</v>
      </c>
      <c r="L92" s="1331"/>
      <c r="M92" s="1331"/>
      <c r="N92" s="1332"/>
      <c r="O92" s="782"/>
      <c r="P92" s="1332"/>
      <c r="Q92" s="1331"/>
      <c r="R92" s="1331"/>
      <c r="S92" s="1338"/>
      <c r="T92" s="1334"/>
      <c r="U92" s="821"/>
      <c r="V92" s="1332"/>
      <c r="W92" s="1335"/>
      <c r="X92" s="1331"/>
      <c r="Y92" s="1331"/>
      <c r="Z92" s="829"/>
    </row>
    <row r="93" spans="1:26">
      <c r="A93" s="1326" t="s">
        <v>2078</v>
      </c>
      <c r="B93" s="1327">
        <v>218</v>
      </c>
      <c r="C93" s="1328" t="s">
        <v>2700</v>
      </c>
      <c r="D93" s="829" t="s">
        <v>2699</v>
      </c>
      <c r="E93" s="829" t="s">
        <v>2698</v>
      </c>
      <c r="F93" s="827">
        <v>1.32</v>
      </c>
      <c r="G93" s="827">
        <v>1.32</v>
      </c>
      <c r="H93" s="827">
        <f t="shared" ref="H93:H106" si="13">L93*R93</f>
        <v>73.39209919999999</v>
      </c>
      <c r="I93" s="827">
        <f t="shared" si="8"/>
        <v>1.7985587200645164E-2</v>
      </c>
      <c r="J93" s="1365">
        <v>42509</v>
      </c>
      <c r="K93" s="1326" t="s">
        <v>2089</v>
      </c>
      <c r="L93" s="1331">
        <v>40.72</v>
      </c>
      <c r="M93" s="1331">
        <v>36.35</v>
      </c>
      <c r="N93" s="1332">
        <f t="shared" si="9"/>
        <v>0.89268172888015718</v>
      </c>
      <c r="O93" s="782">
        <v>36.35</v>
      </c>
      <c r="P93" s="1332">
        <f t="shared" ref="P93:P149" si="14">O93/L93</f>
        <v>0.89268172888015718</v>
      </c>
      <c r="Q93" s="1331">
        <v>2</v>
      </c>
      <c r="R93" s="1332">
        <v>1.80236</v>
      </c>
      <c r="S93" s="1333" t="s">
        <v>2697</v>
      </c>
      <c r="T93" s="1334">
        <v>42901</v>
      </c>
      <c r="U93" s="821">
        <v>13.28</v>
      </c>
      <c r="V93" s="1332">
        <f t="shared" si="11"/>
        <v>0.73342503438789541</v>
      </c>
      <c r="W93" s="1335" t="s">
        <v>891</v>
      </c>
      <c r="X93" s="1331">
        <v>10</v>
      </c>
      <c r="Y93" s="1331">
        <v>1</v>
      </c>
      <c r="Z93" s="829" t="s">
        <v>2411</v>
      </c>
    </row>
    <row r="94" spans="1:26">
      <c r="A94" s="1326" t="s">
        <v>2078</v>
      </c>
      <c r="B94" s="1327">
        <v>219</v>
      </c>
      <c r="C94" s="1328" t="s">
        <v>2696</v>
      </c>
      <c r="D94" s="829" t="s">
        <v>2695</v>
      </c>
      <c r="E94" s="829" t="s">
        <v>2694</v>
      </c>
      <c r="F94" s="827">
        <v>5.93</v>
      </c>
      <c r="G94" s="827">
        <v>5.93</v>
      </c>
      <c r="H94" s="827">
        <f t="shared" si="13"/>
        <v>70.499739779999999</v>
      </c>
      <c r="I94" s="827">
        <f t="shared" si="8"/>
        <v>8.4113785646656752E-2</v>
      </c>
      <c r="J94" s="1330">
        <v>42488</v>
      </c>
      <c r="K94" s="1280" t="s">
        <v>2693</v>
      </c>
      <c r="L94" s="1331">
        <v>21.9</v>
      </c>
      <c r="M94" s="1331">
        <v>14.72</v>
      </c>
      <c r="N94" s="1332">
        <f t="shared" si="9"/>
        <v>0.67214611872146124</v>
      </c>
      <c r="O94" s="782">
        <v>21.85</v>
      </c>
      <c r="P94" s="1332">
        <f t="shared" si="14"/>
        <v>0.99771689497716909</v>
      </c>
      <c r="Q94" s="1331">
        <v>5</v>
      </c>
      <c r="R94" s="1332">
        <v>3.2191662000000001</v>
      </c>
      <c r="S94" s="1333" t="s">
        <v>2692</v>
      </c>
      <c r="T94" s="1334">
        <v>42901</v>
      </c>
      <c r="U94" s="821">
        <v>20.59</v>
      </c>
      <c r="V94" s="1332">
        <f t="shared" si="11"/>
        <v>0.94233409610983976</v>
      </c>
      <c r="W94" s="1280" t="s">
        <v>223</v>
      </c>
      <c r="X94" s="1331">
        <v>0</v>
      </c>
      <c r="Y94" s="1331">
        <v>0</v>
      </c>
      <c r="Z94" s="829" t="s">
        <v>2116</v>
      </c>
    </row>
    <row r="95" spans="1:26">
      <c r="A95" s="1326" t="s">
        <v>2078</v>
      </c>
      <c r="B95" s="1327">
        <v>222</v>
      </c>
      <c r="C95" s="1328" t="s">
        <v>2691</v>
      </c>
      <c r="D95" s="829" t="s">
        <v>2690</v>
      </c>
      <c r="E95" s="829" t="s">
        <v>2689</v>
      </c>
      <c r="F95" s="827">
        <v>29.09</v>
      </c>
      <c r="G95" s="827">
        <v>29.09</v>
      </c>
      <c r="H95" s="827">
        <f t="shared" si="13"/>
        <v>201.16813920000001</v>
      </c>
      <c r="I95" s="827">
        <f t="shared" si="8"/>
        <v>0.14460540379646758</v>
      </c>
      <c r="J95" s="1330">
        <v>42513</v>
      </c>
      <c r="K95" s="1280" t="s">
        <v>151</v>
      </c>
      <c r="L95" s="1331">
        <v>31.92</v>
      </c>
      <c r="M95" s="1331">
        <v>31.31</v>
      </c>
      <c r="N95" s="1332">
        <f t="shared" si="9"/>
        <v>0.98088972431077681</v>
      </c>
      <c r="O95" s="782">
        <v>31.31</v>
      </c>
      <c r="P95" s="1332">
        <f t="shared" si="14"/>
        <v>0.98088972431077681</v>
      </c>
      <c r="Q95" s="1331">
        <v>3</v>
      </c>
      <c r="R95" s="1332">
        <v>6.3022600000000004</v>
      </c>
      <c r="S95" s="1333" t="s">
        <v>2688</v>
      </c>
      <c r="T95" s="1334">
        <v>42878</v>
      </c>
      <c r="U95" s="821">
        <v>12</v>
      </c>
      <c r="V95" s="1332">
        <f t="shared" si="11"/>
        <v>0.76972213350367302</v>
      </c>
      <c r="W95" s="1335" t="s">
        <v>891</v>
      </c>
      <c r="X95" s="1331">
        <v>10</v>
      </c>
      <c r="Y95" s="1331">
        <v>1</v>
      </c>
      <c r="Z95" s="829" t="s">
        <v>2411</v>
      </c>
    </row>
    <row r="96" spans="1:26">
      <c r="A96" s="1326" t="s">
        <v>2078</v>
      </c>
      <c r="B96" s="1327">
        <v>223</v>
      </c>
      <c r="C96" s="1328" t="s">
        <v>2687</v>
      </c>
      <c r="D96" s="829" t="s">
        <v>2686</v>
      </c>
      <c r="E96" s="829" t="s">
        <v>2685</v>
      </c>
      <c r="F96" s="827">
        <v>15.95</v>
      </c>
      <c r="G96" s="827">
        <v>15.95</v>
      </c>
      <c r="H96" s="827">
        <f t="shared" si="13"/>
        <v>117.87301800000002</v>
      </c>
      <c r="I96" s="827">
        <f t="shared" si="8"/>
        <v>0.13531510663449711</v>
      </c>
      <c r="J96" s="1330">
        <v>42523</v>
      </c>
      <c r="K96" s="1280" t="s">
        <v>2638</v>
      </c>
      <c r="L96" s="1331">
        <v>38.1</v>
      </c>
      <c r="M96" s="1331">
        <v>30.21</v>
      </c>
      <c r="N96" s="1332">
        <f t="shared" si="9"/>
        <v>0.79291338582677162</v>
      </c>
      <c r="O96" s="782">
        <v>34.5</v>
      </c>
      <c r="P96" s="1332">
        <f t="shared" si="14"/>
        <v>0.90551181102362199</v>
      </c>
      <c r="Q96" s="1331">
        <v>8</v>
      </c>
      <c r="R96" s="1332">
        <v>3.0937800000000002</v>
      </c>
      <c r="S96" s="1333" t="s">
        <v>2684</v>
      </c>
      <c r="T96" s="1334">
        <v>42905</v>
      </c>
      <c r="U96" s="821">
        <v>13.29</v>
      </c>
      <c r="V96" s="1332">
        <f t="shared" si="11"/>
        <v>0.85617391304347823</v>
      </c>
      <c r="W96" s="1335" t="s">
        <v>2683</v>
      </c>
      <c r="X96" s="1331">
        <v>12</v>
      </c>
      <c r="Y96" s="1331">
        <v>3</v>
      </c>
      <c r="Z96" s="829" t="s">
        <v>2160</v>
      </c>
    </row>
    <row r="97" spans="1:26">
      <c r="A97" s="1326" t="s">
        <v>2078</v>
      </c>
      <c r="B97" s="1327">
        <v>224</v>
      </c>
      <c r="C97" s="1328" t="s">
        <v>2682</v>
      </c>
      <c r="D97" s="829" t="s">
        <v>2681</v>
      </c>
      <c r="E97" s="829" t="s">
        <v>2680</v>
      </c>
      <c r="F97" s="827">
        <v>100</v>
      </c>
      <c r="G97" s="827">
        <v>90</v>
      </c>
      <c r="H97" s="827">
        <f t="shared" si="13"/>
        <v>913.24510350000003</v>
      </c>
      <c r="I97" s="827">
        <f>F97/H97</f>
        <v>0.10949962897884839</v>
      </c>
      <c r="J97" s="1330">
        <v>42528</v>
      </c>
      <c r="K97" s="1280" t="s">
        <v>2679</v>
      </c>
      <c r="L97" s="1331">
        <v>8.49</v>
      </c>
      <c r="M97" s="1331">
        <v>8.19</v>
      </c>
      <c r="N97" s="1332">
        <f t="shared" si="9"/>
        <v>0.96466431095406358</v>
      </c>
      <c r="O97" s="782">
        <v>8.19</v>
      </c>
      <c r="P97" s="1332">
        <f t="shared" si="14"/>
        <v>0.96466431095406358</v>
      </c>
      <c r="Q97" s="1331">
        <v>4</v>
      </c>
      <c r="R97" s="1332">
        <v>107.56715</v>
      </c>
      <c r="S97" s="1333" t="s">
        <v>2678</v>
      </c>
      <c r="T97" s="1334">
        <v>42906</v>
      </c>
      <c r="U97" s="821">
        <v>9.3800000000000008</v>
      </c>
      <c r="V97" s="1332">
        <f t="shared" si="11"/>
        <v>1.1837606837606838</v>
      </c>
      <c r="W97" s="1335" t="s">
        <v>2677</v>
      </c>
      <c r="X97" s="1331">
        <v>0</v>
      </c>
      <c r="Y97" s="1331">
        <v>3.15</v>
      </c>
      <c r="Z97" s="829" t="s">
        <v>2233</v>
      </c>
    </row>
    <row r="98" spans="1:26">
      <c r="A98" s="1326" t="s">
        <v>2078</v>
      </c>
      <c r="B98" s="1327">
        <v>225</v>
      </c>
      <c r="C98" s="1328" t="s">
        <v>2676</v>
      </c>
      <c r="D98" s="829" t="s">
        <v>2675</v>
      </c>
      <c r="E98" s="829" t="s">
        <v>2674</v>
      </c>
      <c r="F98" s="827">
        <v>15</v>
      </c>
      <c r="G98" s="827">
        <v>14.87</v>
      </c>
      <c r="H98" s="827">
        <f t="shared" si="13"/>
        <v>59.669258799999994</v>
      </c>
      <c r="I98" s="827">
        <f t="shared" si="8"/>
        <v>0.25138572694990474</v>
      </c>
      <c r="J98" s="1330">
        <v>42507</v>
      </c>
      <c r="K98" s="1280" t="s">
        <v>2255</v>
      </c>
      <c r="L98" s="1331">
        <v>10.54</v>
      </c>
      <c r="M98" s="1331">
        <v>10.45</v>
      </c>
      <c r="N98" s="1332">
        <f t="shared" si="9"/>
        <v>0.99146110056925996</v>
      </c>
      <c r="O98" s="782">
        <v>10.46</v>
      </c>
      <c r="P98" s="1332">
        <f t="shared" si="14"/>
        <v>0.99240986717267565</v>
      </c>
      <c r="Q98" s="1331">
        <v>5</v>
      </c>
      <c r="R98" s="1332">
        <v>5.6612200000000001</v>
      </c>
      <c r="S98" s="1333" t="s">
        <v>2673</v>
      </c>
      <c r="T98" s="1334">
        <v>42907</v>
      </c>
      <c r="U98" s="821">
        <v>6.33</v>
      </c>
      <c r="V98" s="1332">
        <f t="shared" si="11"/>
        <v>1.2198852772466537</v>
      </c>
      <c r="W98" s="1335" t="s">
        <v>891</v>
      </c>
      <c r="X98" s="1331">
        <v>10</v>
      </c>
      <c r="Y98" s="1331">
        <v>1</v>
      </c>
      <c r="Z98" s="829" t="s">
        <v>2093</v>
      </c>
    </row>
    <row r="99" spans="1:26">
      <c r="A99" s="1326" t="s">
        <v>2078</v>
      </c>
      <c r="B99" s="1327">
        <v>226</v>
      </c>
      <c r="C99" s="1328" t="s">
        <v>2672</v>
      </c>
      <c r="D99" s="829" t="s">
        <v>2671</v>
      </c>
      <c r="E99" s="829" t="s">
        <v>2670</v>
      </c>
      <c r="F99" s="827">
        <v>5.8</v>
      </c>
      <c r="G99" s="827">
        <v>5.8</v>
      </c>
      <c r="H99" s="827">
        <f t="shared" si="13"/>
        <v>57.212157300000001</v>
      </c>
      <c r="I99" s="827">
        <f t="shared" si="8"/>
        <v>0.10137705469812794</v>
      </c>
      <c r="J99" s="1330">
        <v>42514</v>
      </c>
      <c r="K99" s="1280" t="s">
        <v>2089</v>
      </c>
      <c r="L99" s="1331">
        <v>10.59</v>
      </c>
      <c r="M99" s="1331">
        <v>9.89</v>
      </c>
      <c r="N99" s="1332">
        <f t="shared" si="9"/>
        <v>0.93389990557129376</v>
      </c>
      <c r="O99" s="782">
        <v>9.89</v>
      </c>
      <c r="P99" s="1332">
        <f t="shared" si="14"/>
        <v>0.93389990557129376</v>
      </c>
      <c r="Q99" s="1331">
        <v>7</v>
      </c>
      <c r="R99" s="1332">
        <v>5.4024700000000001</v>
      </c>
      <c r="S99" s="1333" t="s">
        <v>2669</v>
      </c>
      <c r="T99" s="1334">
        <v>42906</v>
      </c>
      <c r="U99" s="821">
        <v>6.84</v>
      </c>
      <c r="V99" s="1332">
        <f t="shared" si="11"/>
        <v>0.97836198179979761</v>
      </c>
      <c r="W99" s="1335" t="s">
        <v>2343</v>
      </c>
      <c r="X99" s="1331">
        <v>4</v>
      </c>
      <c r="Y99" s="1331">
        <v>1</v>
      </c>
      <c r="Z99" s="829" t="s">
        <v>2104</v>
      </c>
    </row>
    <row r="100" spans="1:26">
      <c r="A100" s="1326" t="s">
        <v>2078</v>
      </c>
      <c r="B100" s="1327">
        <v>227</v>
      </c>
      <c r="C100" s="1328" t="s">
        <v>2668</v>
      </c>
      <c r="D100" s="829" t="s">
        <v>2667</v>
      </c>
      <c r="E100" s="829" t="s">
        <v>2666</v>
      </c>
      <c r="F100" s="827">
        <v>6</v>
      </c>
      <c r="G100" s="827">
        <v>6</v>
      </c>
      <c r="H100" s="827">
        <f t="shared" si="13"/>
        <v>78.433608582000005</v>
      </c>
      <c r="I100" s="827">
        <f t="shared" si="8"/>
        <v>7.6497819091508185E-2</v>
      </c>
      <c r="J100" s="1330">
        <v>42509</v>
      </c>
      <c r="K100" s="1280" t="s">
        <v>2246</v>
      </c>
      <c r="L100" s="1331">
        <v>21.35</v>
      </c>
      <c r="M100" s="821">
        <v>20</v>
      </c>
      <c r="N100" s="1332">
        <f t="shared" si="9"/>
        <v>0.93676814988290391</v>
      </c>
      <c r="O100" s="782">
        <v>20.41</v>
      </c>
      <c r="P100" s="1332">
        <f t="shared" si="14"/>
        <v>0.95597189695550344</v>
      </c>
      <c r="Q100" s="1331">
        <v>2</v>
      </c>
      <c r="R100" s="1332">
        <v>3.6737053199999998</v>
      </c>
      <c r="S100" s="1333" t="s">
        <v>2665</v>
      </c>
      <c r="T100" s="1334">
        <v>42906</v>
      </c>
      <c r="U100" s="821">
        <v>19.55</v>
      </c>
      <c r="V100" s="1332">
        <f t="shared" si="11"/>
        <v>0.9627633512983832</v>
      </c>
      <c r="W100" s="1335" t="s">
        <v>2123</v>
      </c>
      <c r="X100" s="1331">
        <v>0</v>
      </c>
      <c r="Y100" s="1331">
        <v>1</v>
      </c>
      <c r="Z100" s="829" t="s">
        <v>2166</v>
      </c>
    </row>
    <row r="101" spans="1:26">
      <c r="A101" s="1326" t="s">
        <v>2078</v>
      </c>
      <c r="B101" s="1327">
        <v>229</v>
      </c>
      <c r="C101" s="1328" t="s">
        <v>2664</v>
      </c>
      <c r="D101" s="829" t="s">
        <v>2663</v>
      </c>
      <c r="E101" s="829" t="s">
        <v>2662</v>
      </c>
      <c r="F101" s="827">
        <v>7.25</v>
      </c>
      <c r="G101" s="827">
        <v>7.25</v>
      </c>
      <c r="H101" s="827">
        <f t="shared" si="13"/>
        <v>77.470781849999995</v>
      </c>
      <c r="I101" s="827">
        <f t="shared" si="8"/>
        <v>9.358366892485416E-2</v>
      </c>
      <c r="J101" s="1330">
        <v>42514</v>
      </c>
      <c r="K101" s="1280" t="s">
        <v>2240</v>
      </c>
      <c r="L101" s="1331">
        <v>12.6</v>
      </c>
      <c r="M101" s="1331">
        <v>10.9</v>
      </c>
      <c r="N101" s="1332">
        <f t="shared" si="9"/>
        <v>0.86507936507936511</v>
      </c>
      <c r="O101" s="782">
        <v>12.81</v>
      </c>
      <c r="P101" s="1332">
        <f t="shared" si="14"/>
        <v>1.0166666666666668</v>
      </c>
      <c r="Q101" s="1331">
        <v>4</v>
      </c>
      <c r="R101" s="1332">
        <v>6.1484747500000001</v>
      </c>
      <c r="S101" s="1333" t="s">
        <v>2661</v>
      </c>
      <c r="T101" s="1334">
        <v>42542</v>
      </c>
      <c r="U101" s="821">
        <v>14.57</v>
      </c>
      <c r="V101" s="1332">
        <f t="shared" si="11"/>
        <v>1.1373926619828258</v>
      </c>
      <c r="W101" s="1280" t="s">
        <v>223</v>
      </c>
      <c r="X101" s="1331">
        <v>0</v>
      </c>
      <c r="Y101" s="1331">
        <v>0</v>
      </c>
      <c r="Z101" s="829" t="s">
        <v>2160</v>
      </c>
    </row>
    <row r="102" spans="1:26">
      <c r="A102" s="1326" t="s">
        <v>2078</v>
      </c>
      <c r="B102" s="1327">
        <v>234</v>
      </c>
      <c r="C102" s="1328" t="s">
        <v>2660</v>
      </c>
      <c r="D102" s="829" t="s">
        <v>2659</v>
      </c>
      <c r="E102" s="829" t="s">
        <v>2658</v>
      </c>
      <c r="F102" s="827">
        <v>11.75</v>
      </c>
      <c r="G102" s="827">
        <v>11.75</v>
      </c>
      <c r="H102" s="827">
        <f t="shared" si="13"/>
        <v>131.6693665656</v>
      </c>
      <c r="I102" s="827">
        <f t="shared" si="8"/>
        <v>8.9238676439944306E-2</v>
      </c>
      <c r="J102" s="1330">
        <v>42510</v>
      </c>
      <c r="K102" s="1280" t="s">
        <v>2657</v>
      </c>
      <c r="L102" s="1331">
        <v>12.58</v>
      </c>
      <c r="M102" s="1331">
        <v>7.35</v>
      </c>
      <c r="N102" s="1332">
        <f t="shared" si="9"/>
        <v>0.5842607313195548</v>
      </c>
      <c r="O102" s="782">
        <v>9</v>
      </c>
      <c r="P102" s="1332">
        <f t="shared" si="14"/>
        <v>0.71542130365659773</v>
      </c>
      <c r="Q102" s="1331">
        <v>6</v>
      </c>
      <c r="R102" s="1332">
        <v>10.466563320000001</v>
      </c>
      <c r="S102" s="1333" t="s">
        <v>2656</v>
      </c>
      <c r="T102" s="1334">
        <v>42912</v>
      </c>
      <c r="U102" s="821">
        <v>6.25</v>
      </c>
      <c r="V102" s="1332">
        <f t="shared" si="11"/>
        <v>0.7</v>
      </c>
      <c r="W102" s="1335" t="s">
        <v>2105</v>
      </c>
      <c r="X102" s="1331">
        <v>0</v>
      </c>
      <c r="Y102" s="1331">
        <v>0.5</v>
      </c>
      <c r="Z102" s="829" t="s">
        <v>2160</v>
      </c>
    </row>
    <row r="103" spans="1:26">
      <c r="A103" s="1326" t="s">
        <v>2078</v>
      </c>
      <c r="B103" s="1327">
        <v>235</v>
      </c>
      <c r="C103" s="1328" t="s">
        <v>2655</v>
      </c>
      <c r="D103" s="829" t="s">
        <v>2654</v>
      </c>
      <c r="E103" s="829" t="s">
        <v>2653</v>
      </c>
      <c r="F103" s="827">
        <v>10.68</v>
      </c>
      <c r="G103" s="827">
        <v>10.68</v>
      </c>
      <c r="H103" s="827">
        <f t="shared" si="13"/>
        <v>81.916008362500008</v>
      </c>
      <c r="I103" s="827">
        <f t="shared" si="8"/>
        <v>0.1303774465271571</v>
      </c>
      <c r="J103" s="1330">
        <v>42513</v>
      </c>
      <c r="K103" s="1280" t="s">
        <v>2638</v>
      </c>
      <c r="L103" s="1331">
        <v>16.25</v>
      </c>
      <c r="M103" s="1331">
        <v>9.7899999999999991</v>
      </c>
      <c r="N103" s="1332">
        <f t="shared" si="9"/>
        <v>0.60246153846153838</v>
      </c>
      <c r="O103" s="782">
        <v>14</v>
      </c>
      <c r="P103" s="1332">
        <f t="shared" si="14"/>
        <v>0.86153846153846159</v>
      </c>
      <c r="Q103" s="1331">
        <v>8</v>
      </c>
      <c r="R103" s="1332">
        <v>5.0409851300000001</v>
      </c>
      <c r="S103" s="1333" t="s">
        <v>2652</v>
      </c>
      <c r="T103" s="1334">
        <v>42912</v>
      </c>
      <c r="U103" s="821">
        <v>11.77</v>
      </c>
      <c r="V103" s="1332">
        <f t="shared" si="11"/>
        <v>0.84071428571428564</v>
      </c>
      <c r="W103" s="1280" t="s">
        <v>223</v>
      </c>
      <c r="X103" s="1331">
        <v>0</v>
      </c>
      <c r="Y103" s="1331">
        <v>0</v>
      </c>
      <c r="Z103" s="829" t="s">
        <v>2233</v>
      </c>
    </row>
    <row r="104" spans="1:26">
      <c r="A104" s="1326" t="s">
        <v>2078</v>
      </c>
      <c r="B104" s="1327">
        <v>236</v>
      </c>
      <c r="C104" s="1328" t="s">
        <v>2651</v>
      </c>
      <c r="D104" s="829" t="s">
        <v>2650</v>
      </c>
      <c r="E104" s="829" t="s">
        <v>2649</v>
      </c>
      <c r="F104" s="827">
        <v>7.25</v>
      </c>
      <c r="G104" s="827">
        <v>7.21</v>
      </c>
      <c r="H104" s="827">
        <f t="shared" si="13"/>
        <v>48.615699999999997</v>
      </c>
      <c r="I104" s="827">
        <f t="shared" si="8"/>
        <v>0.1491287793860831</v>
      </c>
      <c r="J104" s="1330">
        <v>42514</v>
      </c>
      <c r="K104" s="1280" t="s">
        <v>2125</v>
      </c>
      <c r="L104" s="1331">
        <v>17.45</v>
      </c>
      <c r="M104" s="1331">
        <v>15.42</v>
      </c>
      <c r="N104" s="1332">
        <f t="shared" si="9"/>
        <v>0.88366762177650438</v>
      </c>
      <c r="O104" s="782">
        <v>17.88</v>
      </c>
      <c r="P104" s="1332">
        <f t="shared" si="14"/>
        <v>1.0246418338108882</v>
      </c>
      <c r="Q104" s="1331">
        <v>3</v>
      </c>
      <c r="R104" s="1332">
        <v>2.786</v>
      </c>
      <c r="S104" s="1333" t="s">
        <v>2648</v>
      </c>
      <c r="T104" s="1334">
        <v>42912</v>
      </c>
      <c r="U104" s="821">
        <v>8</v>
      </c>
      <c r="V104" s="1332">
        <f t="shared" si="11"/>
        <v>1.1241610738255035</v>
      </c>
      <c r="W104" s="1335" t="s">
        <v>2647</v>
      </c>
      <c r="X104" s="1331">
        <v>15</v>
      </c>
      <c r="Y104" s="1331">
        <v>1</v>
      </c>
      <c r="Z104" s="829" t="s">
        <v>2316</v>
      </c>
    </row>
    <row r="105" spans="1:26">
      <c r="A105" s="1326" t="s">
        <v>2078</v>
      </c>
      <c r="B105" s="1327">
        <v>238</v>
      </c>
      <c r="C105" s="1328" t="s">
        <v>2646</v>
      </c>
      <c r="D105" s="829" t="s">
        <v>2645</v>
      </c>
      <c r="E105" s="829" t="s">
        <v>2644</v>
      </c>
      <c r="F105" s="827">
        <v>25.6</v>
      </c>
      <c r="G105" s="827">
        <v>25.6</v>
      </c>
      <c r="H105" s="827">
        <f t="shared" si="13"/>
        <v>186.36525564800002</v>
      </c>
      <c r="I105" s="827">
        <f t="shared" si="8"/>
        <v>0.13736466011858112</v>
      </c>
      <c r="J105" s="1330">
        <v>42527</v>
      </c>
      <c r="K105" s="1280" t="s">
        <v>2240</v>
      </c>
      <c r="L105" s="1331">
        <v>31.87</v>
      </c>
      <c r="M105" s="1331">
        <v>27.35</v>
      </c>
      <c r="N105" s="1332">
        <f t="shared" si="9"/>
        <v>0.8581738311892062</v>
      </c>
      <c r="O105" s="782">
        <v>30.64</v>
      </c>
      <c r="P105" s="1332">
        <f t="shared" si="14"/>
        <v>0.96140571069971759</v>
      </c>
      <c r="Q105" s="1331">
        <v>8</v>
      </c>
      <c r="R105" s="1332">
        <v>5.8476704000000002</v>
      </c>
      <c r="S105" s="1333" t="s">
        <v>2643</v>
      </c>
      <c r="T105" s="1334">
        <v>42912</v>
      </c>
      <c r="U105" s="821">
        <v>23</v>
      </c>
      <c r="V105" s="1332">
        <f t="shared" si="11"/>
        <v>1.1390339425587466</v>
      </c>
      <c r="W105" s="1335" t="s">
        <v>2642</v>
      </c>
      <c r="X105" s="1331">
        <v>5</v>
      </c>
      <c r="Y105" s="1331">
        <v>4</v>
      </c>
      <c r="Z105" s="829" t="s">
        <v>2072</v>
      </c>
    </row>
    <row r="106" spans="1:26">
      <c r="A106" s="1326" t="s">
        <v>2078</v>
      </c>
      <c r="B106" s="1327">
        <v>240</v>
      </c>
      <c r="C106" s="1328" t="s">
        <v>2641</v>
      </c>
      <c r="D106" s="829" t="s">
        <v>2640</v>
      </c>
      <c r="E106" s="829" t="s">
        <v>2639</v>
      </c>
      <c r="F106" s="827">
        <v>9.24</v>
      </c>
      <c r="G106" s="827">
        <v>9.24</v>
      </c>
      <c r="H106" s="827">
        <f t="shared" si="13"/>
        <v>67.555199999999999</v>
      </c>
      <c r="I106" s="827">
        <f t="shared" si="8"/>
        <v>0.1367770356686088</v>
      </c>
      <c r="J106" s="1330">
        <v>42534</v>
      </c>
      <c r="K106" s="1280" t="s">
        <v>2638</v>
      </c>
      <c r="L106" s="1331">
        <v>18.16</v>
      </c>
      <c r="M106" s="1331">
        <v>12.67</v>
      </c>
      <c r="N106" s="1332">
        <f t="shared" si="9"/>
        <v>0.69768722466960353</v>
      </c>
      <c r="O106" s="782">
        <v>15.2</v>
      </c>
      <c r="P106" s="1332">
        <f t="shared" si="14"/>
        <v>0.83700440528634357</v>
      </c>
      <c r="Q106" s="1331">
        <v>4</v>
      </c>
      <c r="R106" s="1331">
        <v>3.72</v>
      </c>
      <c r="S106" s="1333" t="s">
        <v>2637</v>
      </c>
      <c r="T106" s="1334">
        <v>42913</v>
      </c>
      <c r="U106" s="821">
        <v>11.69</v>
      </c>
      <c r="V106" s="1332">
        <f t="shared" si="11"/>
        <v>0.76907894736842108</v>
      </c>
      <c r="W106" s="1280" t="s">
        <v>223</v>
      </c>
      <c r="X106" s="1331">
        <v>0</v>
      </c>
      <c r="Y106" s="1331">
        <v>0</v>
      </c>
      <c r="Z106" s="829" t="s">
        <v>2072</v>
      </c>
    </row>
    <row r="107" spans="1:26">
      <c r="A107" s="1326" t="s">
        <v>2078</v>
      </c>
      <c r="B107" s="1327">
        <v>243</v>
      </c>
      <c r="C107" s="1328" t="s">
        <v>2636</v>
      </c>
      <c r="D107" s="829" t="s">
        <v>1701</v>
      </c>
      <c r="E107" s="829" t="s">
        <v>1700</v>
      </c>
      <c r="F107" s="827">
        <v>20</v>
      </c>
      <c r="G107" s="827">
        <v>20</v>
      </c>
      <c r="H107" s="827">
        <f t="shared" si="7"/>
        <v>135.51779134080002</v>
      </c>
      <c r="I107" s="827">
        <f t="shared" si="8"/>
        <v>0.14758209827744329</v>
      </c>
      <c r="J107" s="1330">
        <v>42538</v>
      </c>
      <c r="K107" s="1280" t="s">
        <v>2089</v>
      </c>
      <c r="L107" s="1331">
        <v>6.42</v>
      </c>
      <c r="M107" s="1331">
        <v>4.4000000000000004</v>
      </c>
      <c r="N107" s="1332">
        <f t="shared" si="9"/>
        <v>0.68535825545171347</v>
      </c>
      <c r="O107" s="782">
        <v>5.71</v>
      </c>
      <c r="P107" s="1332">
        <f t="shared" si="14"/>
        <v>0.88940809968847356</v>
      </c>
      <c r="Q107" s="1331">
        <v>8</v>
      </c>
      <c r="R107" s="1332">
        <v>21.108690240000001</v>
      </c>
      <c r="S107" s="1333" t="s">
        <v>2635</v>
      </c>
      <c r="T107" s="1334">
        <v>42914</v>
      </c>
      <c r="U107" s="821">
        <v>5.53</v>
      </c>
      <c r="V107" s="1332">
        <f t="shared" si="11"/>
        <v>0.98248686514886174</v>
      </c>
      <c r="W107" s="1335" t="s">
        <v>2630</v>
      </c>
      <c r="X107" s="1331">
        <v>0</v>
      </c>
      <c r="Y107" s="1331">
        <v>0.8</v>
      </c>
      <c r="Z107" s="829" t="s">
        <v>2454</v>
      </c>
    </row>
    <row r="108" spans="1:26">
      <c r="A108" s="1326" t="s">
        <v>2078</v>
      </c>
      <c r="B108" s="1327">
        <v>244</v>
      </c>
      <c r="C108" s="1328" t="s">
        <v>2634</v>
      </c>
      <c r="D108" s="829" t="s">
        <v>2633</v>
      </c>
      <c r="E108" s="829" t="s">
        <v>2632</v>
      </c>
      <c r="F108" s="827">
        <v>14</v>
      </c>
      <c r="G108" s="827">
        <v>14</v>
      </c>
      <c r="H108" s="827">
        <f t="shared" si="7"/>
        <v>223.14</v>
      </c>
      <c r="I108" s="827">
        <f t="shared" si="8"/>
        <v>6.2740880164918883E-2</v>
      </c>
      <c r="J108" s="1330">
        <v>42524</v>
      </c>
      <c r="K108" s="1280" t="s">
        <v>2089</v>
      </c>
      <c r="L108" s="1331">
        <v>37.19</v>
      </c>
      <c r="M108" s="1331">
        <v>32.54</v>
      </c>
      <c r="N108" s="1332">
        <f t="shared" si="9"/>
        <v>0.87496638881419742</v>
      </c>
      <c r="O108" s="782">
        <v>32.54</v>
      </c>
      <c r="P108" s="1332">
        <f t="shared" si="14"/>
        <v>0.87496638881419742</v>
      </c>
      <c r="Q108" s="1331">
        <v>7</v>
      </c>
      <c r="R108" s="1331">
        <v>6</v>
      </c>
      <c r="S108" s="1333" t="s">
        <v>2631</v>
      </c>
      <c r="T108" s="1334">
        <v>42914</v>
      </c>
      <c r="U108" s="821">
        <v>28.1</v>
      </c>
      <c r="V108" s="1332">
        <f t="shared" si="11"/>
        <v>0.86601106330669941</v>
      </c>
      <c r="W108" s="1335" t="s">
        <v>2630</v>
      </c>
      <c r="X108" s="1331">
        <v>0</v>
      </c>
      <c r="Y108" s="1331">
        <v>0.8</v>
      </c>
      <c r="Z108" s="829" t="s">
        <v>2160</v>
      </c>
    </row>
    <row r="109" spans="1:26">
      <c r="A109" s="1326" t="s">
        <v>2078</v>
      </c>
      <c r="B109" s="1327">
        <v>245</v>
      </c>
      <c r="C109" s="1328" t="s">
        <v>2629</v>
      </c>
      <c r="D109" s="829" t="s">
        <v>2628</v>
      </c>
      <c r="E109" s="829" t="s">
        <v>2627</v>
      </c>
      <c r="F109" s="827">
        <v>47.56</v>
      </c>
      <c r="G109" s="827">
        <v>47.56</v>
      </c>
      <c r="H109" s="827">
        <f t="shared" si="7"/>
        <v>165.16730999999999</v>
      </c>
      <c r="I109" s="827">
        <f t="shared" si="8"/>
        <v>0.28795044249373564</v>
      </c>
      <c r="J109" s="1330">
        <v>42468</v>
      </c>
      <c r="K109" s="1280" t="s">
        <v>2626</v>
      </c>
      <c r="L109" s="1331">
        <v>16.5</v>
      </c>
      <c r="M109" s="1331">
        <v>12.39</v>
      </c>
      <c r="N109" s="1332">
        <f t="shared" si="9"/>
        <v>0.75090909090909097</v>
      </c>
      <c r="O109" s="782">
        <v>13</v>
      </c>
      <c r="P109" s="1332">
        <f t="shared" si="14"/>
        <v>0.78787878787878785</v>
      </c>
      <c r="Q109" s="1331">
        <v>8</v>
      </c>
      <c r="R109" s="1332">
        <v>10.01014</v>
      </c>
      <c r="S109" s="1333" t="s">
        <v>2625</v>
      </c>
      <c r="T109" s="1334">
        <v>42914</v>
      </c>
      <c r="U109" s="821">
        <v>5.19</v>
      </c>
      <c r="V109" s="1332">
        <f t="shared" si="11"/>
        <v>0.88230769230769235</v>
      </c>
      <c r="W109" s="1348" t="s">
        <v>2624</v>
      </c>
      <c r="X109" s="1361">
        <v>12</v>
      </c>
      <c r="Y109" s="1361">
        <v>0.52</v>
      </c>
      <c r="Z109" s="829" t="s">
        <v>2468</v>
      </c>
    </row>
    <row r="110" spans="1:26">
      <c r="A110" s="1326" t="s">
        <v>2078</v>
      </c>
      <c r="B110" s="1327">
        <v>247</v>
      </c>
      <c r="C110" s="1328" t="s">
        <v>2623</v>
      </c>
      <c r="D110" s="829" t="s">
        <v>2622</v>
      </c>
      <c r="E110" s="829" t="s">
        <v>2621</v>
      </c>
      <c r="F110" s="827">
        <v>40</v>
      </c>
      <c r="G110" s="827">
        <v>40</v>
      </c>
      <c r="H110" s="827">
        <f t="shared" si="7"/>
        <v>265.67848125</v>
      </c>
      <c r="I110" s="827">
        <f t="shared" si="8"/>
        <v>0.15055792178501848</v>
      </c>
      <c r="J110" s="1330">
        <v>42542</v>
      </c>
      <c r="K110" s="1280" t="s">
        <v>2620</v>
      </c>
      <c r="L110" s="1331">
        <v>11.85</v>
      </c>
      <c r="M110" s="1331">
        <v>11.85</v>
      </c>
      <c r="N110" s="1332">
        <f t="shared" si="9"/>
        <v>1</v>
      </c>
      <c r="O110" s="782">
        <v>11.85</v>
      </c>
      <c r="P110" s="1332">
        <f t="shared" si="14"/>
        <v>1</v>
      </c>
      <c r="Q110" s="1331">
        <v>5</v>
      </c>
      <c r="R110" s="1332">
        <v>22.420124999999999</v>
      </c>
      <c r="S110" s="1333" t="s">
        <v>2619</v>
      </c>
      <c r="T110" s="1334">
        <v>42914</v>
      </c>
      <c r="U110" s="821">
        <v>11.37</v>
      </c>
      <c r="V110" s="1332">
        <f t="shared" si="11"/>
        <v>1.0101265822784808</v>
      </c>
      <c r="W110" s="1335" t="s">
        <v>2618</v>
      </c>
      <c r="X110" s="1331">
        <v>0</v>
      </c>
      <c r="Y110" s="1331">
        <v>6</v>
      </c>
      <c r="Z110" s="829" t="s">
        <v>2233</v>
      </c>
    </row>
    <row r="111" spans="1:26">
      <c r="A111" s="1326" t="s">
        <v>2078</v>
      </c>
      <c r="B111" s="1327">
        <v>248</v>
      </c>
      <c r="C111" s="1328" t="s">
        <v>2617</v>
      </c>
      <c r="D111" s="829" t="s">
        <v>2616</v>
      </c>
      <c r="E111" s="829" t="s">
        <v>2615</v>
      </c>
      <c r="F111" s="827">
        <v>7.5</v>
      </c>
      <c r="G111" s="827">
        <v>7.36</v>
      </c>
      <c r="H111" s="827">
        <f t="shared" si="7"/>
        <v>43.740900000000003</v>
      </c>
      <c r="I111" s="827">
        <f t="shared" si="8"/>
        <v>0.17146423598965727</v>
      </c>
      <c r="J111" s="1330">
        <v>42538</v>
      </c>
      <c r="K111" s="1280" t="s">
        <v>2614</v>
      </c>
      <c r="L111" s="1331">
        <v>39.75</v>
      </c>
      <c r="M111" s="1331">
        <v>25.05</v>
      </c>
      <c r="N111" s="1332">
        <f t="shared" si="9"/>
        <v>0.63018867924528299</v>
      </c>
      <c r="O111" s="782">
        <v>35.020000000000003</v>
      </c>
      <c r="P111" s="1332">
        <f t="shared" si="14"/>
        <v>0.88100628930817615</v>
      </c>
      <c r="Q111" s="1331">
        <v>8</v>
      </c>
      <c r="R111" s="1332">
        <v>1.1004</v>
      </c>
      <c r="S111" s="1333" t="s">
        <v>2613</v>
      </c>
      <c r="T111" s="1334">
        <v>42916</v>
      </c>
      <c r="U111" s="821">
        <v>41.53</v>
      </c>
      <c r="V111" s="1332">
        <f t="shared" si="11"/>
        <v>1.1924614505996571</v>
      </c>
      <c r="W111" s="1335" t="s">
        <v>2612</v>
      </c>
      <c r="X111" s="1331">
        <v>0</v>
      </c>
      <c r="Y111" s="1331">
        <v>2.3000000000000003</v>
      </c>
      <c r="Z111" s="829" t="s">
        <v>2374</v>
      </c>
    </row>
    <row r="112" spans="1:26">
      <c r="A112" s="1326" t="s">
        <v>2078</v>
      </c>
      <c r="B112" s="1327">
        <v>249</v>
      </c>
      <c r="C112" s="1328" t="s">
        <v>2611</v>
      </c>
      <c r="D112" s="1329" t="s">
        <v>2610</v>
      </c>
      <c r="E112" s="829" t="s">
        <v>2609</v>
      </c>
      <c r="F112" s="827">
        <v>150</v>
      </c>
      <c r="G112" s="827">
        <v>85.48</v>
      </c>
      <c r="H112" s="827">
        <f t="shared" si="7"/>
        <v>600.460383288</v>
      </c>
      <c r="I112" s="827">
        <f t="shared" si="8"/>
        <v>0.24980832070657225</v>
      </c>
      <c r="J112" s="1330">
        <v>42537</v>
      </c>
      <c r="K112" s="1280" t="s">
        <v>2240</v>
      </c>
      <c r="L112" s="1331">
        <v>7.08</v>
      </c>
      <c r="M112" s="1331">
        <v>6.44</v>
      </c>
      <c r="N112" s="1332">
        <f t="shared" si="9"/>
        <v>0.90960451977401136</v>
      </c>
      <c r="O112" s="782">
        <v>6.44</v>
      </c>
      <c r="P112" s="1332">
        <f t="shared" si="14"/>
        <v>0.90960451977401136</v>
      </c>
      <c r="Q112" s="1331">
        <v>4</v>
      </c>
      <c r="R112" s="1332">
        <v>84.810788599999995</v>
      </c>
      <c r="S112" s="1333" t="s">
        <v>2608</v>
      </c>
      <c r="T112" s="1334">
        <v>42919</v>
      </c>
      <c r="U112" s="821">
        <v>6.8</v>
      </c>
      <c r="V112" s="1332">
        <f t="shared" si="11"/>
        <v>1.0638198757763975</v>
      </c>
      <c r="W112" s="1335" t="s">
        <v>2607</v>
      </c>
      <c r="X112" s="1331">
        <v>0</v>
      </c>
      <c r="Y112" s="1331">
        <v>0.51</v>
      </c>
      <c r="Z112" s="829" t="s">
        <v>2204</v>
      </c>
    </row>
    <row r="113" spans="1:26">
      <c r="A113" s="1326"/>
      <c r="B113" s="1327"/>
      <c r="C113" s="1328"/>
      <c r="D113" s="829"/>
      <c r="E113" s="829"/>
      <c r="F113" s="827"/>
      <c r="G113" s="827"/>
      <c r="H113" s="827"/>
      <c r="I113" s="827"/>
      <c r="J113" s="1330" t="s">
        <v>3678</v>
      </c>
      <c r="K113" s="1280" t="s">
        <v>2606</v>
      </c>
      <c r="L113" s="1331"/>
      <c r="M113" s="1331"/>
      <c r="N113" s="1332"/>
      <c r="O113" s="782"/>
      <c r="P113" s="1332"/>
      <c r="Q113" s="1331"/>
      <c r="R113" s="1332" t="s">
        <v>2605</v>
      </c>
      <c r="S113" s="1338"/>
      <c r="T113" s="1334"/>
      <c r="U113" s="821"/>
      <c r="V113" s="1332"/>
      <c r="W113" s="1335"/>
      <c r="X113" s="1331"/>
      <c r="Y113" s="1331"/>
      <c r="Z113" s="829"/>
    </row>
    <row r="114" spans="1:26">
      <c r="A114" s="1326"/>
      <c r="B114" s="1327"/>
      <c r="C114" s="1328"/>
      <c r="D114" s="829"/>
      <c r="E114" s="829"/>
      <c r="F114" s="827"/>
      <c r="G114" s="827"/>
      <c r="H114" s="827"/>
      <c r="I114" s="827"/>
      <c r="J114" s="1330">
        <v>42545</v>
      </c>
      <c r="K114" s="1337">
        <v>0.5</v>
      </c>
      <c r="L114" s="1331"/>
      <c r="M114" s="1331"/>
      <c r="N114" s="1332"/>
      <c r="O114" s="782"/>
      <c r="P114" s="1332"/>
      <c r="Q114" s="1331"/>
      <c r="R114" s="1332"/>
      <c r="S114" s="1338"/>
      <c r="T114" s="1334"/>
      <c r="U114" s="821"/>
      <c r="V114" s="1332"/>
      <c r="W114" s="1335"/>
      <c r="X114" s="1331"/>
      <c r="Y114" s="1331"/>
      <c r="Z114" s="829"/>
    </row>
    <row r="115" spans="1:26">
      <c r="A115" s="1326" t="s">
        <v>2078</v>
      </c>
      <c r="B115" s="1327">
        <v>250</v>
      </c>
      <c r="C115" s="1328" t="s">
        <v>2604</v>
      </c>
      <c r="D115" s="829" t="s">
        <v>2603</v>
      </c>
      <c r="E115" s="829" t="s">
        <v>2602</v>
      </c>
      <c r="F115" s="827">
        <v>6.3</v>
      </c>
      <c r="G115" s="827">
        <v>6.3</v>
      </c>
      <c r="H115" s="827">
        <f t="shared" si="7"/>
        <v>40.189020000000006</v>
      </c>
      <c r="I115" s="827">
        <f t="shared" si="8"/>
        <v>0.15675923423860544</v>
      </c>
      <c r="J115" s="1365">
        <v>42537</v>
      </c>
      <c r="K115" s="1280" t="s">
        <v>2089</v>
      </c>
      <c r="L115" s="1331">
        <v>38.130000000000003</v>
      </c>
      <c r="M115" s="1331">
        <v>32.89</v>
      </c>
      <c r="N115" s="1332">
        <f t="shared" si="9"/>
        <v>0.86257539994754784</v>
      </c>
      <c r="O115" s="782">
        <v>35.68</v>
      </c>
      <c r="P115" s="1332">
        <f t="shared" si="14"/>
        <v>0.93574613165486487</v>
      </c>
      <c r="Q115" s="1331">
        <v>6</v>
      </c>
      <c r="R115" s="1331">
        <v>1.054</v>
      </c>
      <c r="S115" s="1333" t="s">
        <v>2601</v>
      </c>
      <c r="T115" s="1334">
        <v>42916</v>
      </c>
      <c r="U115" s="821">
        <v>11.58</v>
      </c>
      <c r="V115" s="1332">
        <f t="shared" si="11"/>
        <v>0.84943946188340802</v>
      </c>
      <c r="W115" s="1335" t="s">
        <v>2600</v>
      </c>
      <c r="X115" s="1331">
        <v>16</v>
      </c>
      <c r="Y115" s="1331">
        <v>2</v>
      </c>
      <c r="Z115" s="829" t="s">
        <v>2172</v>
      </c>
    </row>
    <row r="116" spans="1:26">
      <c r="A116" s="1326" t="s">
        <v>2078</v>
      </c>
      <c r="B116" s="1327">
        <v>257</v>
      </c>
      <c r="C116" s="1328" t="s">
        <v>2599</v>
      </c>
      <c r="D116" s="829" t="s">
        <v>2598</v>
      </c>
      <c r="E116" s="829" t="s">
        <v>2597</v>
      </c>
      <c r="F116" s="827">
        <v>10.1</v>
      </c>
      <c r="G116" s="827">
        <v>9.41</v>
      </c>
      <c r="H116" s="827">
        <f t="shared" si="7"/>
        <v>163.66691589570001</v>
      </c>
      <c r="I116" s="827">
        <f t="shared" si="8"/>
        <v>6.1710700325265641E-2</v>
      </c>
      <c r="J116" s="1330">
        <v>42538</v>
      </c>
      <c r="K116" s="1280" t="s">
        <v>2240</v>
      </c>
      <c r="L116" s="1331">
        <v>4.49</v>
      </c>
      <c r="M116" s="1331">
        <v>3.58</v>
      </c>
      <c r="N116" s="1332">
        <f t="shared" si="9"/>
        <v>0.79732739420935406</v>
      </c>
      <c r="O116" s="782">
        <v>3.58</v>
      </c>
      <c r="P116" s="1332">
        <f t="shared" si="14"/>
        <v>0.79732739420935406</v>
      </c>
      <c r="Q116" s="1331">
        <v>4</v>
      </c>
      <c r="R116" s="1332">
        <v>36.451428929999999</v>
      </c>
      <c r="S116" s="1333" t="s">
        <v>2596</v>
      </c>
      <c r="T116" s="1334">
        <v>42922</v>
      </c>
      <c r="U116" s="821">
        <v>4.16</v>
      </c>
      <c r="V116" s="1332">
        <f t="shared" si="11"/>
        <v>1.1620111731843576</v>
      </c>
      <c r="W116" s="1280" t="s">
        <v>223</v>
      </c>
      <c r="X116" s="1331">
        <v>0</v>
      </c>
      <c r="Y116" s="1331">
        <v>0</v>
      </c>
      <c r="Z116" s="829" t="s">
        <v>2595</v>
      </c>
    </row>
    <row r="117" spans="1:26">
      <c r="A117" s="1326" t="s">
        <v>2078</v>
      </c>
      <c r="B117" s="1327">
        <v>260</v>
      </c>
      <c r="C117" s="1328" t="s">
        <v>2594</v>
      </c>
      <c r="D117" s="829" t="s">
        <v>2593</v>
      </c>
      <c r="E117" s="829" t="s">
        <v>2592</v>
      </c>
      <c r="F117" s="827">
        <v>15.5</v>
      </c>
      <c r="G117" s="827">
        <v>15.34</v>
      </c>
      <c r="H117" s="827">
        <f t="shared" si="7"/>
        <v>80.128557143999998</v>
      </c>
      <c r="I117" s="827">
        <f t="shared" si="8"/>
        <v>0.19343915019142005</v>
      </c>
      <c r="J117" s="1330">
        <v>42535</v>
      </c>
      <c r="K117" s="1280" t="s">
        <v>2089</v>
      </c>
      <c r="L117" s="1331">
        <v>5.49</v>
      </c>
      <c r="M117" s="1331">
        <v>5.64</v>
      </c>
      <c r="N117" s="1332">
        <f t="shared" si="9"/>
        <v>1.0273224043715845</v>
      </c>
      <c r="O117" s="782">
        <v>5.64</v>
      </c>
      <c r="P117" s="1332">
        <f t="shared" si="14"/>
        <v>1.0273224043715845</v>
      </c>
      <c r="Q117" s="1331">
        <v>4</v>
      </c>
      <c r="R117" s="1332">
        <v>14.595365599999999</v>
      </c>
      <c r="S117" s="1333" t="s">
        <v>2591</v>
      </c>
      <c r="T117" s="1334">
        <v>42921</v>
      </c>
      <c r="U117" s="821">
        <v>5.47</v>
      </c>
      <c r="V117" s="1332">
        <f t="shared" si="11"/>
        <v>0.97872340425531912</v>
      </c>
      <c r="W117" s="1335" t="s">
        <v>2105</v>
      </c>
      <c r="X117" s="1331">
        <v>0</v>
      </c>
      <c r="Y117" s="1331">
        <v>0.5</v>
      </c>
      <c r="Z117" s="829" t="s">
        <v>2233</v>
      </c>
    </row>
    <row r="118" spans="1:26">
      <c r="A118" s="1326" t="s">
        <v>2078</v>
      </c>
      <c r="B118" s="1327">
        <v>261</v>
      </c>
      <c r="C118" s="1328" t="s">
        <v>2590</v>
      </c>
      <c r="D118" s="829" t="s">
        <v>2589</v>
      </c>
      <c r="E118" s="829" t="s">
        <v>2588</v>
      </c>
      <c r="F118" s="827">
        <v>7.61</v>
      </c>
      <c r="G118" s="827">
        <v>7.61</v>
      </c>
      <c r="H118" s="827">
        <f t="shared" si="7"/>
        <v>38.773976640000001</v>
      </c>
      <c r="I118" s="827">
        <f t="shared" si="8"/>
        <v>0.19626565700638954</v>
      </c>
      <c r="J118" s="1330">
        <v>42534</v>
      </c>
      <c r="K118" s="1280" t="s">
        <v>2174</v>
      </c>
      <c r="L118" s="1331">
        <v>7.46</v>
      </c>
      <c r="M118" s="1331">
        <v>6.75</v>
      </c>
      <c r="N118" s="1332">
        <f t="shared" si="9"/>
        <v>0.9048257372654156</v>
      </c>
      <c r="O118" s="782">
        <v>7.01</v>
      </c>
      <c r="P118" s="1332">
        <f t="shared" si="14"/>
        <v>0.93967828418230559</v>
      </c>
      <c r="Q118" s="1331">
        <v>7</v>
      </c>
      <c r="R118" s="1332">
        <v>5.197584</v>
      </c>
      <c r="S118" s="1333" t="s">
        <v>2587</v>
      </c>
      <c r="T118" s="1334">
        <v>42922</v>
      </c>
      <c r="U118" s="821">
        <v>5.71</v>
      </c>
      <c r="V118" s="1332">
        <f t="shared" si="11"/>
        <v>1.0589158345221112</v>
      </c>
      <c r="W118" s="1335" t="s">
        <v>2586</v>
      </c>
      <c r="X118" s="1331">
        <v>3</v>
      </c>
      <c r="Y118" s="1331">
        <v>0</v>
      </c>
      <c r="Z118" s="829" t="s">
        <v>2380</v>
      </c>
    </row>
    <row r="119" spans="1:26">
      <c r="A119" s="1326" t="s">
        <v>2078</v>
      </c>
      <c r="B119" s="1327">
        <v>262</v>
      </c>
      <c r="C119" s="1328" t="s">
        <v>2585</v>
      </c>
      <c r="D119" s="829" t="s">
        <v>2584</v>
      </c>
      <c r="E119" s="829" t="s">
        <v>2583</v>
      </c>
      <c r="F119" s="827">
        <v>134.82</v>
      </c>
      <c r="G119" s="827">
        <v>134.82</v>
      </c>
      <c r="H119" s="827">
        <f t="shared" si="7"/>
        <v>450.36775</v>
      </c>
      <c r="I119" s="827">
        <f t="shared" si="8"/>
        <v>0.29935536014734626</v>
      </c>
      <c r="J119" s="1330">
        <v>42538</v>
      </c>
      <c r="K119" s="1280" t="s">
        <v>2089</v>
      </c>
      <c r="L119" s="1331">
        <v>35</v>
      </c>
      <c r="M119" s="1331">
        <v>25.9</v>
      </c>
      <c r="N119" s="1332">
        <f t="shared" si="9"/>
        <v>0.74</v>
      </c>
      <c r="O119" s="782">
        <v>29.8</v>
      </c>
      <c r="P119" s="1332">
        <f t="shared" si="14"/>
        <v>0.85142857142857142</v>
      </c>
      <c r="Q119" s="1331">
        <v>6</v>
      </c>
      <c r="R119" s="1332">
        <v>12.867649999999999</v>
      </c>
      <c r="S119" s="1333" t="s">
        <v>2582</v>
      </c>
      <c r="T119" s="1334">
        <v>42926</v>
      </c>
      <c r="U119" s="821">
        <v>25.51</v>
      </c>
      <c r="V119" s="1332">
        <f>((U119*(1+X119/10)+Y119/10)/O119)</f>
        <v>0.86342281879194627</v>
      </c>
      <c r="W119" s="1366" t="s">
        <v>2581</v>
      </c>
      <c r="X119" s="1331">
        <v>0</v>
      </c>
      <c r="Y119" s="1331">
        <v>2.2000000000000002</v>
      </c>
      <c r="Z119" s="829" t="s">
        <v>2386</v>
      </c>
    </row>
    <row r="120" spans="1:26">
      <c r="A120" s="1326" t="s">
        <v>2078</v>
      </c>
      <c r="B120" s="1327">
        <v>263</v>
      </c>
      <c r="C120" s="1328" t="s">
        <v>2580</v>
      </c>
      <c r="D120" s="829" t="s">
        <v>2579</v>
      </c>
      <c r="E120" s="829" t="s">
        <v>2578</v>
      </c>
      <c r="F120" s="827">
        <v>20</v>
      </c>
      <c r="G120" s="827">
        <v>20</v>
      </c>
      <c r="H120" s="827">
        <f t="shared" si="7"/>
        <v>106.2276970584</v>
      </c>
      <c r="I120" s="827">
        <f t="shared" si="8"/>
        <v>0.1882748148913061</v>
      </c>
      <c r="J120" s="1330">
        <v>42548</v>
      </c>
      <c r="K120" s="1280" t="s">
        <v>2174</v>
      </c>
      <c r="L120" s="1331">
        <v>2.82</v>
      </c>
      <c r="M120" s="1331">
        <v>2.4500000000000002</v>
      </c>
      <c r="N120" s="1332">
        <f t="shared" si="9"/>
        <v>0.86879432624113484</v>
      </c>
      <c r="O120" s="782">
        <v>2.5499999999999998</v>
      </c>
      <c r="P120" s="1332">
        <f t="shared" si="14"/>
        <v>0.9042553191489362</v>
      </c>
      <c r="Q120" s="1331">
        <v>5</v>
      </c>
      <c r="R120" s="1332">
        <v>37.669396120000002</v>
      </c>
      <c r="S120" s="1333" t="s">
        <v>2577</v>
      </c>
      <c r="T120" s="1334">
        <v>42923</v>
      </c>
      <c r="U120" s="821">
        <v>3.89</v>
      </c>
      <c r="V120" s="1332">
        <f t="shared" si="11"/>
        <v>1.5352941176470589</v>
      </c>
      <c r="W120" s="1335" t="s">
        <v>2576</v>
      </c>
      <c r="X120" s="1331">
        <v>0</v>
      </c>
      <c r="Y120" s="1331">
        <v>0.25</v>
      </c>
      <c r="Z120" s="829" t="s">
        <v>2575</v>
      </c>
    </row>
    <row r="121" spans="1:26">
      <c r="A121" s="1326" t="s">
        <v>2078</v>
      </c>
      <c r="B121" s="1327">
        <v>264</v>
      </c>
      <c r="C121" s="1328" t="s">
        <v>2574</v>
      </c>
      <c r="D121" s="829" t="s">
        <v>2573</v>
      </c>
      <c r="E121" s="829" t="s">
        <v>2572</v>
      </c>
      <c r="F121" s="827">
        <v>12</v>
      </c>
      <c r="G121" s="827">
        <v>12</v>
      </c>
      <c r="H121" s="827">
        <f t="shared" si="7"/>
        <v>213.714682686</v>
      </c>
      <c r="I121" s="827">
        <f t="shared" si="8"/>
        <v>5.6149628323061841E-2</v>
      </c>
      <c r="J121" s="1330">
        <v>42548</v>
      </c>
      <c r="K121" s="1280" t="s">
        <v>2240</v>
      </c>
      <c r="L121" s="1331">
        <v>10.26</v>
      </c>
      <c r="M121" s="1331">
        <v>7.58</v>
      </c>
      <c r="N121" s="1332">
        <f t="shared" si="9"/>
        <v>0.73879142300194933</v>
      </c>
      <c r="O121" s="782">
        <v>8.8000000000000007</v>
      </c>
      <c r="P121" s="1332">
        <f t="shared" si="14"/>
        <v>0.85769980506822618</v>
      </c>
      <c r="Q121" s="1331">
        <v>6</v>
      </c>
      <c r="R121" s="1332">
        <v>20.829891100000001</v>
      </c>
      <c r="S121" s="1333" t="s">
        <v>2571</v>
      </c>
      <c r="T121" s="1334">
        <v>42923</v>
      </c>
      <c r="U121" s="821">
        <v>6.9</v>
      </c>
      <c r="V121" s="1332">
        <f t="shared" si="11"/>
        <v>0.78409090909090906</v>
      </c>
      <c r="W121" s="1280" t="s">
        <v>223</v>
      </c>
      <c r="X121" s="1331">
        <v>0</v>
      </c>
      <c r="Y121" s="1331">
        <v>0</v>
      </c>
      <c r="Z121" s="829" t="s">
        <v>2122</v>
      </c>
    </row>
    <row r="122" spans="1:26">
      <c r="A122" s="1326" t="s">
        <v>2078</v>
      </c>
      <c r="B122" s="1327">
        <v>267</v>
      </c>
      <c r="C122" s="1328" t="s">
        <v>2570</v>
      </c>
      <c r="D122" s="829" t="s">
        <v>2569</v>
      </c>
      <c r="E122" s="829" t="s">
        <v>2568</v>
      </c>
      <c r="F122" s="827">
        <v>17.96</v>
      </c>
      <c r="G122" s="827">
        <v>17.96</v>
      </c>
      <c r="H122" s="827">
        <f t="shared" si="7"/>
        <v>146.61160000000001</v>
      </c>
      <c r="I122" s="827">
        <f t="shared" si="8"/>
        <v>0.12250053883867307</v>
      </c>
      <c r="J122" s="1330">
        <v>42527</v>
      </c>
      <c r="K122" s="1280" t="s">
        <v>2174</v>
      </c>
      <c r="L122" s="1331">
        <v>19.190000000000001</v>
      </c>
      <c r="M122" s="1331">
        <v>16.809999999999999</v>
      </c>
      <c r="N122" s="1332">
        <f t="shared" si="9"/>
        <v>0.8759770713913495</v>
      </c>
      <c r="O122" s="782">
        <v>17.809999999999999</v>
      </c>
      <c r="P122" s="1332">
        <f t="shared" si="14"/>
        <v>0.92808754559666484</v>
      </c>
      <c r="Q122" s="1331">
        <v>4</v>
      </c>
      <c r="R122" s="1331">
        <v>7.64</v>
      </c>
      <c r="S122" s="1333" t="s">
        <v>2567</v>
      </c>
      <c r="T122" s="1334">
        <v>42926</v>
      </c>
      <c r="U122" s="821">
        <v>13.1</v>
      </c>
      <c r="V122" s="1332">
        <f t="shared" ref="V122:V149" si="15">((U122*(1+X122/10)+Y122/10)/O122)</f>
        <v>0.73554183043234145</v>
      </c>
      <c r="W122" s="1280" t="s">
        <v>223</v>
      </c>
      <c r="X122" s="1331">
        <v>0</v>
      </c>
      <c r="Y122" s="1331">
        <v>0</v>
      </c>
      <c r="Z122" s="829" t="s">
        <v>2411</v>
      </c>
    </row>
    <row r="123" spans="1:26">
      <c r="A123" s="1326" t="s">
        <v>2078</v>
      </c>
      <c r="B123" s="1327">
        <v>269</v>
      </c>
      <c r="C123" s="1328" t="s">
        <v>2566</v>
      </c>
      <c r="D123" s="829" t="s">
        <v>2565</v>
      </c>
      <c r="E123" s="829" t="s">
        <v>2564</v>
      </c>
      <c r="F123" s="827">
        <v>4.5</v>
      </c>
      <c r="G123" s="827">
        <v>4.5</v>
      </c>
      <c r="H123" s="827">
        <f t="shared" ref="H123:H149" si="16">L123*R123</f>
        <v>89.207745172000003</v>
      </c>
      <c r="I123" s="827">
        <f t="shared" ref="I123:I149" si="17">F123/H123</f>
        <v>5.0444050472564048E-2</v>
      </c>
      <c r="J123" s="1330">
        <v>42535</v>
      </c>
      <c r="K123" s="1337" t="s">
        <v>2563</v>
      </c>
      <c r="L123" s="1331">
        <v>18.2</v>
      </c>
      <c r="M123" s="1331">
        <v>15.17</v>
      </c>
      <c r="N123" s="1332">
        <f t="shared" ref="N123:N149" si="18">M123/L123</f>
        <v>0.83351648351648355</v>
      </c>
      <c r="O123" s="782">
        <v>16.8</v>
      </c>
      <c r="P123" s="1332">
        <f t="shared" si="14"/>
        <v>0.92307692307692313</v>
      </c>
      <c r="Q123" s="1331">
        <v>5</v>
      </c>
      <c r="R123" s="1332">
        <v>4.9015244600000001</v>
      </c>
      <c r="S123" s="1333" t="s">
        <v>2562</v>
      </c>
      <c r="T123" s="1334">
        <v>42927</v>
      </c>
      <c r="U123" s="821">
        <v>12.4</v>
      </c>
      <c r="V123" s="1332">
        <f t="shared" si="15"/>
        <v>0.74095238095238092</v>
      </c>
      <c r="W123" s="1335" t="s">
        <v>2561</v>
      </c>
      <c r="X123" s="1331">
        <v>0</v>
      </c>
      <c r="Y123" s="1331">
        <v>0.48</v>
      </c>
      <c r="Z123" s="829" t="s">
        <v>2160</v>
      </c>
    </row>
    <row r="124" spans="1:26">
      <c r="A124" s="1326" t="s">
        <v>2078</v>
      </c>
      <c r="B124" s="1327">
        <v>271</v>
      </c>
      <c r="C124" s="1328" t="s">
        <v>2560</v>
      </c>
      <c r="D124" s="829" t="s">
        <v>2559</v>
      </c>
      <c r="E124" s="829" t="s">
        <v>2558</v>
      </c>
      <c r="F124" s="827">
        <v>0.39</v>
      </c>
      <c r="G124" s="827">
        <v>0.39</v>
      </c>
      <c r="H124" s="827">
        <f t="shared" si="16"/>
        <v>31.387161232000004</v>
      </c>
      <c r="I124" s="827">
        <f t="shared" si="17"/>
        <v>1.2425462663453143E-2</v>
      </c>
      <c r="J124" s="1330">
        <v>42536</v>
      </c>
      <c r="K124" s="1280" t="s">
        <v>2445</v>
      </c>
      <c r="L124" s="1331">
        <v>16.100000000000001</v>
      </c>
      <c r="M124" s="1331">
        <v>16.100000000000001</v>
      </c>
      <c r="N124" s="1332">
        <f t="shared" si="18"/>
        <v>1</v>
      </c>
      <c r="O124" s="782">
        <v>16.239999999999998</v>
      </c>
      <c r="P124" s="1332">
        <f>O124/L124</f>
        <v>1.0086956521739128</v>
      </c>
      <c r="Q124" s="1331">
        <v>1</v>
      </c>
      <c r="R124" s="1332">
        <v>1.94951312</v>
      </c>
      <c r="S124" s="1333" t="s">
        <v>2557</v>
      </c>
      <c r="T124" s="1334">
        <v>42563</v>
      </c>
      <c r="U124" s="1331">
        <v>17.03</v>
      </c>
      <c r="V124" s="1332">
        <f t="shared" si="15"/>
        <v>1.0486453201970445</v>
      </c>
      <c r="W124" s="1280" t="s">
        <v>223</v>
      </c>
      <c r="X124" s="1331">
        <v>0</v>
      </c>
      <c r="Y124" s="1331">
        <v>0</v>
      </c>
      <c r="Z124" s="829" t="s">
        <v>2556</v>
      </c>
    </row>
    <row r="125" spans="1:26">
      <c r="A125" s="1326" t="s">
        <v>2078</v>
      </c>
      <c r="B125" s="1327">
        <v>272</v>
      </c>
      <c r="C125" s="1328" t="s">
        <v>2555</v>
      </c>
      <c r="D125" s="829" t="s">
        <v>2554</v>
      </c>
      <c r="E125" s="829" t="s">
        <v>2553</v>
      </c>
      <c r="F125" s="827">
        <v>1.73</v>
      </c>
      <c r="G125" s="827">
        <v>1.73</v>
      </c>
      <c r="H125" s="827">
        <f t="shared" si="16"/>
        <v>76.1691</v>
      </c>
      <c r="I125" s="827">
        <f t="shared" si="17"/>
        <v>2.2712622310096877E-2</v>
      </c>
      <c r="J125" s="1330">
        <v>42480</v>
      </c>
      <c r="K125" s="1280" t="s">
        <v>2552</v>
      </c>
      <c r="L125" s="1331">
        <v>95.45</v>
      </c>
      <c r="M125" s="1331">
        <v>77.86</v>
      </c>
      <c r="N125" s="1332">
        <f t="shared" si="18"/>
        <v>0.8157150340492404</v>
      </c>
      <c r="O125" s="782">
        <v>95.72</v>
      </c>
      <c r="P125" s="1332">
        <f t="shared" si="14"/>
        <v>1.0028287061288632</v>
      </c>
      <c r="Q125" s="1331">
        <v>1</v>
      </c>
      <c r="R125" s="1331">
        <v>0.79800000000000004</v>
      </c>
      <c r="S125" s="1333" t="s">
        <v>2551</v>
      </c>
      <c r="T125" s="1334">
        <v>42563</v>
      </c>
      <c r="U125" s="821">
        <v>131.69999999999999</v>
      </c>
      <c r="V125" s="1332">
        <f t="shared" si="15"/>
        <v>1.3781863769327203</v>
      </c>
      <c r="W125" s="1335" t="s">
        <v>2550</v>
      </c>
      <c r="X125" s="1331">
        <v>0</v>
      </c>
      <c r="Y125" s="1331">
        <v>2.2000000000000002</v>
      </c>
      <c r="Z125" s="829" t="s">
        <v>2116</v>
      </c>
    </row>
    <row r="126" spans="1:26">
      <c r="A126" s="1326" t="s">
        <v>2078</v>
      </c>
      <c r="B126" s="1350">
        <v>273</v>
      </c>
      <c r="C126" s="1328" t="s">
        <v>2549</v>
      </c>
      <c r="D126" s="1351" t="s">
        <v>2548</v>
      </c>
      <c r="E126" s="1351" t="s">
        <v>2547</v>
      </c>
      <c r="F126" s="1352">
        <v>11.2</v>
      </c>
      <c r="G126" s="1352">
        <v>11.2</v>
      </c>
      <c r="H126" s="827">
        <f t="shared" si="16"/>
        <v>124.09558577499999</v>
      </c>
      <c r="I126" s="827">
        <f t="shared" si="17"/>
        <v>9.0253008840354143E-2</v>
      </c>
      <c r="J126" s="1353">
        <v>42535</v>
      </c>
      <c r="K126" s="1280" t="s">
        <v>2546</v>
      </c>
      <c r="L126" s="821">
        <v>24.5</v>
      </c>
      <c r="M126" s="821">
        <v>22.08</v>
      </c>
      <c r="N126" s="1332">
        <f t="shared" si="18"/>
        <v>0.90122448979591829</v>
      </c>
      <c r="O126" s="1354">
        <v>22.09</v>
      </c>
      <c r="P126" s="1355">
        <f t="shared" si="14"/>
        <v>0.90163265306122453</v>
      </c>
      <c r="Q126" s="821">
        <v>5</v>
      </c>
      <c r="R126" s="1332">
        <v>5.0651259499999997</v>
      </c>
      <c r="S126" s="1333" t="s">
        <v>2545</v>
      </c>
      <c r="T126" s="1356">
        <v>42934</v>
      </c>
      <c r="U126" s="821">
        <v>17</v>
      </c>
      <c r="V126" s="1332">
        <f t="shared" si="15"/>
        <v>0.77863286555002265</v>
      </c>
      <c r="W126" s="1335" t="s">
        <v>2348</v>
      </c>
      <c r="X126" s="821">
        <v>0</v>
      </c>
      <c r="Y126" s="821">
        <v>2</v>
      </c>
      <c r="Z126" s="829" t="s">
        <v>2192</v>
      </c>
    </row>
    <row r="127" spans="1:26">
      <c r="A127" s="1367" t="s">
        <v>2078</v>
      </c>
      <c r="B127" s="1368">
        <v>275</v>
      </c>
      <c r="C127" s="1328" t="s">
        <v>2544</v>
      </c>
      <c r="D127" s="1369" t="s">
        <v>2543</v>
      </c>
      <c r="E127" s="829" t="s">
        <v>2542</v>
      </c>
      <c r="F127" s="827">
        <v>33</v>
      </c>
      <c r="G127" s="827">
        <v>26.5</v>
      </c>
      <c r="H127" s="827">
        <f t="shared" si="16"/>
        <v>162.3099160854</v>
      </c>
      <c r="I127" s="827">
        <f t="shared" si="17"/>
        <v>0.20331474992961562</v>
      </c>
      <c r="J127" s="1330">
        <v>42543</v>
      </c>
      <c r="K127" s="1280" t="s">
        <v>2240</v>
      </c>
      <c r="L127" s="1331">
        <v>24.54</v>
      </c>
      <c r="M127" s="1331">
        <v>20.66</v>
      </c>
      <c r="N127" s="1332">
        <f t="shared" si="18"/>
        <v>0.84189079054604732</v>
      </c>
      <c r="O127" s="782">
        <v>22.08</v>
      </c>
      <c r="P127" s="1332">
        <f t="shared" si="14"/>
        <v>0.89975550122249381</v>
      </c>
      <c r="Q127" s="1331">
        <v>4</v>
      </c>
      <c r="R127" s="1332">
        <v>6.6140960099999999</v>
      </c>
      <c r="S127" s="1333" t="s">
        <v>2541</v>
      </c>
      <c r="T127" s="1334">
        <v>42934</v>
      </c>
      <c r="U127" s="821">
        <v>10.33</v>
      </c>
      <c r="V127" s="1332">
        <f t="shared" si="15"/>
        <v>0.85062768387681176</v>
      </c>
      <c r="W127" s="1370" t="s">
        <v>2540</v>
      </c>
      <c r="X127" s="1361">
        <v>8</v>
      </c>
      <c r="Y127" s="1361">
        <f>1+0.488107*1.8</f>
        <v>1.8785926000000002</v>
      </c>
      <c r="Z127" s="829" t="s">
        <v>2122</v>
      </c>
    </row>
    <row r="128" spans="1:26">
      <c r="A128" s="1326" t="s">
        <v>2078</v>
      </c>
      <c r="B128" s="1327">
        <v>276</v>
      </c>
      <c r="C128" s="1328" t="s">
        <v>2539</v>
      </c>
      <c r="D128" s="829" t="s">
        <v>2538</v>
      </c>
      <c r="E128" s="829" t="s">
        <v>2537</v>
      </c>
      <c r="F128" s="827">
        <v>32</v>
      </c>
      <c r="G128" s="827">
        <v>27.38</v>
      </c>
      <c r="H128" s="827">
        <f t="shared" si="16"/>
        <v>196.1048330319</v>
      </c>
      <c r="I128" s="827">
        <f t="shared" si="17"/>
        <v>0.16317802832934067</v>
      </c>
      <c r="J128" s="1330">
        <v>42543</v>
      </c>
      <c r="K128" s="1280" t="s">
        <v>2147</v>
      </c>
      <c r="L128" s="1331">
        <v>15.97</v>
      </c>
      <c r="M128" s="1331">
        <v>15.36</v>
      </c>
      <c r="N128" s="1332">
        <f t="shared" si="18"/>
        <v>0.96180338134001242</v>
      </c>
      <c r="O128" s="782">
        <v>15.36</v>
      </c>
      <c r="P128" s="1332">
        <f t="shared" si="14"/>
        <v>0.96180338134001242</v>
      </c>
      <c r="Q128" s="1331">
        <v>4</v>
      </c>
      <c r="R128" s="1332">
        <v>12.27957627</v>
      </c>
      <c r="S128" s="1333" t="s">
        <v>2536</v>
      </c>
      <c r="T128" s="1334">
        <v>42933</v>
      </c>
      <c r="U128" s="821">
        <v>14.96</v>
      </c>
      <c r="V128" s="1332">
        <f t="shared" si="15"/>
        <v>0.97395833333333337</v>
      </c>
      <c r="W128" s="1280" t="s">
        <v>223</v>
      </c>
      <c r="X128" s="1331">
        <v>0</v>
      </c>
      <c r="Y128" s="1331">
        <v>0</v>
      </c>
      <c r="Z128" s="829" t="s">
        <v>2233</v>
      </c>
    </row>
    <row r="129" spans="1:26">
      <c r="A129" s="1326" t="s">
        <v>2078</v>
      </c>
      <c r="B129" s="1327">
        <v>278</v>
      </c>
      <c r="C129" s="1328" t="s">
        <v>2535</v>
      </c>
      <c r="D129" s="829" t="s">
        <v>2534</v>
      </c>
      <c r="E129" s="829" t="s">
        <v>2533</v>
      </c>
      <c r="F129" s="827">
        <v>12</v>
      </c>
      <c r="G129" s="827">
        <v>12</v>
      </c>
      <c r="H129" s="827">
        <f t="shared" si="16"/>
        <v>93.4919779178</v>
      </c>
      <c r="I129" s="827">
        <f t="shared" si="17"/>
        <v>0.12835325839988793</v>
      </c>
      <c r="J129" s="1330">
        <v>42557</v>
      </c>
      <c r="K129" s="1280" t="s">
        <v>2125</v>
      </c>
      <c r="L129" s="1331">
        <v>10.69</v>
      </c>
      <c r="M129" s="1331">
        <v>9</v>
      </c>
      <c r="N129" s="1332">
        <f t="shared" si="18"/>
        <v>0.84190832553788586</v>
      </c>
      <c r="O129" s="782">
        <v>9.6300000000000008</v>
      </c>
      <c r="P129" s="1332">
        <f t="shared" si="14"/>
        <v>0.90084190832553801</v>
      </c>
      <c r="Q129" s="1331">
        <v>6</v>
      </c>
      <c r="R129" s="1332">
        <v>8.7457416200000004</v>
      </c>
      <c r="S129" s="1333" t="s">
        <v>2532</v>
      </c>
      <c r="T129" s="1334">
        <v>42933</v>
      </c>
      <c r="U129" s="821">
        <v>8.26</v>
      </c>
      <c r="V129" s="1332">
        <f t="shared" si="15"/>
        <v>0.86708203530633432</v>
      </c>
      <c r="W129" s="1335" t="s">
        <v>2363</v>
      </c>
      <c r="X129" s="1331">
        <v>0</v>
      </c>
      <c r="Y129" s="1331">
        <v>0.89999999999999991</v>
      </c>
      <c r="Z129" s="829" t="s">
        <v>2531</v>
      </c>
    </row>
    <row r="130" spans="1:26">
      <c r="A130" s="1326" t="s">
        <v>2078</v>
      </c>
      <c r="B130" s="1327">
        <v>279</v>
      </c>
      <c r="C130" s="1328" t="s">
        <v>2530</v>
      </c>
      <c r="D130" s="829" t="s">
        <v>2529</v>
      </c>
      <c r="E130" s="829" t="s">
        <v>2528</v>
      </c>
      <c r="F130" s="827">
        <v>4.5</v>
      </c>
      <c r="G130" s="827">
        <v>4.5</v>
      </c>
      <c r="H130" s="827">
        <f t="shared" si="16"/>
        <v>65.780407546000006</v>
      </c>
      <c r="I130" s="827">
        <f t="shared" si="17"/>
        <v>6.8409427181690324E-2</v>
      </c>
      <c r="J130" s="1330">
        <v>42543</v>
      </c>
      <c r="K130" s="1337" t="s">
        <v>2527</v>
      </c>
      <c r="L130" s="1331">
        <v>10.55</v>
      </c>
      <c r="M130" s="1331">
        <v>8.07</v>
      </c>
      <c r="N130" s="1332">
        <f t="shared" si="18"/>
        <v>0.76492890995260665</v>
      </c>
      <c r="O130" s="782">
        <v>8.9</v>
      </c>
      <c r="P130" s="1332">
        <f t="shared" si="14"/>
        <v>0.8436018957345971</v>
      </c>
      <c r="Q130" s="1331">
        <v>5</v>
      </c>
      <c r="R130" s="1362">
        <v>6.2351097199999996</v>
      </c>
      <c r="S130" s="1333" t="s">
        <v>2526</v>
      </c>
      <c r="T130" s="1334">
        <v>42933</v>
      </c>
      <c r="U130" s="821">
        <v>8.24</v>
      </c>
      <c r="V130" s="1332">
        <f t="shared" si="15"/>
        <v>0.92750561797752795</v>
      </c>
      <c r="W130" s="1335" t="s">
        <v>2525</v>
      </c>
      <c r="X130" s="1331">
        <v>0</v>
      </c>
      <c r="Y130" s="1331">
        <v>0.14800000000000002</v>
      </c>
      <c r="Z130" s="829" t="s">
        <v>2104</v>
      </c>
    </row>
    <row r="131" spans="1:26">
      <c r="A131" s="1326" t="s">
        <v>2078</v>
      </c>
      <c r="B131" s="1327">
        <v>281</v>
      </c>
      <c r="C131" s="1328" t="s">
        <v>2524</v>
      </c>
      <c r="D131" s="829" t="s">
        <v>2523</v>
      </c>
      <c r="E131" s="829" t="s">
        <v>2522</v>
      </c>
      <c r="F131" s="827">
        <v>6</v>
      </c>
      <c r="G131" s="827">
        <v>6</v>
      </c>
      <c r="H131" s="827">
        <f t="shared" si="16"/>
        <v>77.922821249999998</v>
      </c>
      <c r="I131" s="827">
        <f t="shared" si="17"/>
        <v>7.6999265475131903E-2</v>
      </c>
      <c r="J131" s="1330">
        <v>42545</v>
      </c>
      <c r="K131" s="1280" t="s">
        <v>2174</v>
      </c>
      <c r="L131" s="1331">
        <v>17.25</v>
      </c>
      <c r="M131" s="1331">
        <v>14.08</v>
      </c>
      <c r="N131" s="1332">
        <f t="shared" si="18"/>
        <v>0.81623188405797098</v>
      </c>
      <c r="O131" s="782">
        <v>16.899999999999999</v>
      </c>
      <c r="P131" s="1332">
        <f t="shared" si="14"/>
        <v>0.97971014492753616</v>
      </c>
      <c r="Q131" s="1331">
        <v>7</v>
      </c>
      <c r="R131" s="1332">
        <v>4.5172650000000001</v>
      </c>
      <c r="S131" s="1333" t="s">
        <v>2521</v>
      </c>
      <c r="T131" s="1334">
        <v>42934</v>
      </c>
      <c r="U131" s="821">
        <v>6.83</v>
      </c>
      <c r="V131" s="1332">
        <f t="shared" si="15"/>
        <v>1.039940828402367</v>
      </c>
      <c r="W131" s="1335" t="s">
        <v>2520</v>
      </c>
      <c r="X131" s="1331">
        <v>15</v>
      </c>
      <c r="Y131" s="1331">
        <v>5</v>
      </c>
      <c r="Z131" s="829" t="s">
        <v>2519</v>
      </c>
    </row>
    <row r="132" spans="1:26">
      <c r="A132" s="1326" t="s">
        <v>2078</v>
      </c>
      <c r="B132" s="1327">
        <v>284</v>
      </c>
      <c r="C132" s="1328" t="s">
        <v>2518</v>
      </c>
      <c r="D132" s="829" t="s">
        <v>2517</v>
      </c>
      <c r="E132" s="829" t="s">
        <v>2516</v>
      </c>
      <c r="F132" s="827">
        <v>8</v>
      </c>
      <c r="G132" s="827">
        <v>8</v>
      </c>
      <c r="H132" s="827">
        <f t="shared" si="16"/>
        <v>123.35720935999998</v>
      </c>
      <c r="I132" s="827">
        <f t="shared" si="17"/>
        <v>6.4852310144704786E-2</v>
      </c>
      <c r="J132" s="1330">
        <v>42542</v>
      </c>
      <c r="K132" s="1280" t="s">
        <v>2240</v>
      </c>
      <c r="L132" s="1331">
        <v>28</v>
      </c>
      <c r="M132" s="1331">
        <v>24.07</v>
      </c>
      <c r="N132" s="1332">
        <f t="shared" si="18"/>
        <v>0.85964285714285715</v>
      </c>
      <c r="O132" s="782">
        <v>25.2</v>
      </c>
      <c r="P132" s="1332">
        <f t="shared" si="14"/>
        <v>0.9</v>
      </c>
      <c r="Q132" s="1331">
        <v>4</v>
      </c>
      <c r="R132" s="1362">
        <v>4.4056146199999997</v>
      </c>
      <c r="S132" s="1333" t="s">
        <v>2515</v>
      </c>
      <c r="T132" s="1334">
        <v>42936</v>
      </c>
      <c r="U132" s="821">
        <v>15.77</v>
      </c>
      <c r="V132" s="1332">
        <f t="shared" si="15"/>
        <v>1.1343941626190475</v>
      </c>
      <c r="W132" s="1335" t="s">
        <v>2514</v>
      </c>
      <c r="X132" s="1371">
        <v>8.0633739999999996</v>
      </c>
      <c r="Y132" s="1371">
        <v>1.0079210000000001</v>
      </c>
      <c r="Z132" s="829" t="s">
        <v>2122</v>
      </c>
    </row>
    <row r="133" spans="1:26">
      <c r="A133" s="1326" t="s">
        <v>2078</v>
      </c>
      <c r="B133" s="1327">
        <v>285</v>
      </c>
      <c r="C133" s="1328" t="s">
        <v>2513</v>
      </c>
      <c r="D133" s="829" t="s">
        <v>2512</v>
      </c>
      <c r="E133" s="829" t="s">
        <v>2511</v>
      </c>
      <c r="F133" s="827">
        <v>8.5</v>
      </c>
      <c r="G133" s="827">
        <v>8.5</v>
      </c>
      <c r="H133" s="827">
        <f t="shared" si="16"/>
        <v>42.036000000000001</v>
      </c>
      <c r="I133" s="827">
        <f t="shared" si="17"/>
        <v>0.20220763155390617</v>
      </c>
      <c r="J133" s="1330">
        <v>42545</v>
      </c>
      <c r="K133" s="1280" t="s">
        <v>2089</v>
      </c>
      <c r="L133" s="1331">
        <v>35.03</v>
      </c>
      <c r="M133" s="1331">
        <v>24.18</v>
      </c>
      <c r="N133" s="1332">
        <f t="shared" si="18"/>
        <v>0.69026548672566368</v>
      </c>
      <c r="O133" s="782">
        <v>34</v>
      </c>
      <c r="P133" s="1332">
        <f t="shared" si="14"/>
        <v>0.97059663145874964</v>
      </c>
      <c r="Q133" s="1331">
        <v>6</v>
      </c>
      <c r="R133" s="1331">
        <v>1.2</v>
      </c>
      <c r="S133" s="1333" t="s">
        <v>2510</v>
      </c>
      <c r="T133" s="1334">
        <v>42935</v>
      </c>
      <c r="U133" s="821">
        <v>12.47</v>
      </c>
      <c r="V133" s="1332">
        <f t="shared" si="15"/>
        <v>0.92426470588235299</v>
      </c>
      <c r="W133" s="1335" t="s">
        <v>2509</v>
      </c>
      <c r="X133" s="1331">
        <v>15</v>
      </c>
      <c r="Y133" s="1331">
        <v>2.5</v>
      </c>
      <c r="Z133" s="829" t="s">
        <v>2079</v>
      </c>
    </row>
    <row r="134" spans="1:26">
      <c r="A134" s="1326" t="s">
        <v>2078</v>
      </c>
      <c r="B134" s="1327">
        <v>287</v>
      </c>
      <c r="C134" s="1328" t="s">
        <v>2508</v>
      </c>
      <c r="D134" s="829" t="s">
        <v>2507</v>
      </c>
      <c r="E134" s="829" t="s">
        <v>2506</v>
      </c>
      <c r="F134" s="827">
        <v>20.34</v>
      </c>
      <c r="G134" s="827">
        <v>20.34</v>
      </c>
      <c r="H134" s="827">
        <f t="shared" si="16"/>
        <v>148.02129980479998</v>
      </c>
      <c r="I134" s="827">
        <f t="shared" si="17"/>
        <v>0.13741265633272343</v>
      </c>
      <c r="J134" s="1330">
        <v>42559</v>
      </c>
      <c r="K134" s="1280" t="s">
        <v>204</v>
      </c>
      <c r="L134" s="1331">
        <v>11.84</v>
      </c>
      <c r="M134" s="1331">
        <v>10.31</v>
      </c>
      <c r="N134" s="1332">
        <f t="shared" si="18"/>
        <v>0.87077702702702708</v>
      </c>
      <c r="O134" s="782">
        <v>11.05</v>
      </c>
      <c r="P134" s="1332">
        <f t="shared" si="14"/>
        <v>0.93327702702702708</v>
      </c>
      <c r="Q134" s="1331">
        <v>9</v>
      </c>
      <c r="R134" s="1332">
        <v>12.501798969999999</v>
      </c>
      <c r="S134" s="1333" t="s">
        <v>2505</v>
      </c>
      <c r="T134" s="1334">
        <v>42936</v>
      </c>
      <c r="U134" s="821">
        <v>7.57</v>
      </c>
      <c r="V134" s="1332">
        <f t="shared" si="15"/>
        <v>0.68506787330316743</v>
      </c>
      <c r="W134" s="1280" t="s">
        <v>223</v>
      </c>
      <c r="X134" s="1331">
        <v>0</v>
      </c>
      <c r="Y134" s="1331">
        <v>0</v>
      </c>
      <c r="Z134" s="829" t="s">
        <v>2160</v>
      </c>
    </row>
    <row r="135" spans="1:26">
      <c r="A135" s="1326" t="s">
        <v>2078</v>
      </c>
      <c r="B135" s="1327">
        <v>288</v>
      </c>
      <c r="C135" s="1328" t="s">
        <v>2504</v>
      </c>
      <c r="D135" s="829" t="s">
        <v>2503</v>
      </c>
      <c r="E135" s="829" t="s">
        <v>2502</v>
      </c>
      <c r="F135" s="827">
        <v>13.55</v>
      </c>
      <c r="G135" s="827">
        <v>13.55</v>
      </c>
      <c r="H135" s="827">
        <f t="shared" si="16"/>
        <v>105.34400000000001</v>
      </c>
      <c r="I135" s="827">
        <f t="shared" si="17"/>
        <v>0.12862621506682867</v>
      </c>
      <c r="J135" s="1330">
        <v>42563</v>
      </c>
      <c r="K135" s="1280" t="s">
        <v>2501</v>
      </c>
      <c r="L135" s="1331">
        <v>32.92</v>
      </c>
      <c r="M135" s="1331">
        <v>23.71</v>
      </c>
      <c r="N135" s="1332">
        <f t="shared" si="18"/>
        <v>0.72023086269744829</v>
      </c>
      <c r="O135" s="782">
        <v>31.73</v>
      </c>
      <c r="P135" s="1332">
        <f t="shared" si="14"/>
        <v>0.96385176184690158</v>
      </c>
      <c r="Q135" s="1331">
        <v>7</v>
      </c>
      <c r="R135" s="1331">
        <v>3.2</v>
      </c>
      <c r="S135" s="1333" t="s">
        <v>2500</v>
      </c>
      <c r="T135" s="1334">
        <v>42941</v>
      </c>
      <c r="U135" s="821">
        <v>32.21</v>
      </c>
      <c r="V135" s="1332">
        <f t="shared" si="15"/>
        <v>1.02458241411913</v>
      </c>
      <c r="W135" s="1366" t="s">
        <v>2499</v>
      </c>
      <c r="X135" s="1331">
        <v>0</v>
      </c>
      <c r="Y135" s="1331">
        <v>3</v>
      </c>
      <c r="Z135" s="829" t="s">
        <v>2093</v>
      </c>
    </row>
    <row r="136" spans="1:26">
      <c r="A136" s="1326" t="s">
        <v>2078</v>
      </c>
      <c r="B136" s="1327">
        <v>289</v>
      </c>
      <c r="C136" s="1328" t="s">
        <v>2498</v>
      </c>
      <c r="D136" s="829" t="s">
        <v>2497</v>
      </c>
      <c r="E136" s="829" t="s">
        <v>2496</v>
      </c>
      <c r="F136" s="827">
        <v>3.36</v>
      </c>
      <c r="G136" s="827">
        <v>3.36</v>
      </c>
      <c r="H136" s="827">
        <f t="shared" si="16"/>
        <v>60.334848000000001</v>
      </c>
      <c r="I136" s="827">
        <f t="shared" si="17"/>
        <v>5.568920965873652E-2</v>
      </c>
      <c r="J136" s="1330">
        <v>42551</v>
      </c>
      <c r="K136" s="1280" t="s">
        <v>2125</v>
      </c>
      <c r="L136" s="1331">
        <v>73.08</v>
      </c>
      <c r="M136" s="1331">
        <v>55.29</v>
      </c>
      <c r="N136" s="1332">
        <f t="shared" si="18"/>
        <v>0.75656814449917897</v>
      </c>
      <c r="O136" s="782">
        <v>66.2</v>
      </c>
      <c r="P136" s="1332">
        <f t="shared" si="14"/>
        <v>0.905856595511768</v>
      </c>
      <c r="Q136" s="1331">
        <v>3</v>
      </c>
      <c r="R136" s="1332">
        <v>0.8256</v>
      </c>
      <c r="S136" s="1333" t="s">
        <v>2495</v>
      </c>
      <c r="T136" s="1334">
        <v>42940</v>
      </c>
      <c r="U136" s="821">
        <v>53.29</v>
      </c>
      <c r="V136" s="1332">
        <f t="shared" si="15"/>
        <v>0.81253776435045311</v>
      </c>
      <c r="W136" s="1335" t="s">
        <v>2099</v>
      </c>
      <c r="X136" s="1331">
        <v>0</v>
      </c>
      <c r="Y136" s="1331">
        <v>5</v>
      </c>
      <c r="Z136" s="829" t="s">
        <v>2494</v>
      </c>
    </row>
    <row r="137" spans="1:26">
      <c r="A137" s="1326" t="s">
        <v>2078</v>
      </c>
      <c r="B137" s="1327">
        <v>292</v>
      </c>
      <c r="C137" s="1328" t="s">
        <v>2493</v>
      </c>
      <c r="D137" s="1372" t="s">
        <v>2492</v>
      </c>
      <c r="E137" s="829" t="s">
        <v>2491</v>
      </c>
      <c r="F137" s="827">
        <v>150</v>
      </c>
      <c r="G137" s="827">
        <v>144.72999999999999</v>
      </c>
      <c r="H137" s="827">
        <f t="shared" si="16"/>
        <v>956.11249999999995</v>
      </c>
      <c r="I137" s="827">
        <f t="shared" si="17"/>
        <v>0.15688530376916943</v>
      </c>
      <c r="J137" s="1330">
        <v>42555</v>
      </c>
      <c r="K137" s="1280" t="s">
        <v>2240</v>
      </c>
      <c r="L137" s="1331">
        <v>61.25</v>
      </c>
      <c r="M137" s="1331">
        <v>57.4</v>
      </c>
      <c r="N137" s="1332">
        <f t="shared" si="18"/>
        <v>0.93714285714285717</v>
      </c>
      <c r="O137" s="782">
        <v>57.4</v>
      </c>
      <c r="P137" s="1332">
        <f t="shared" si="14"/>
        <v>0.93714285714285717</v>
      </c>
      <c r="Q137" s="1331">
        <v>6</v>
      </c>
      <c r="R137" s="1331">
        <v>15.61</v>
      </c>
      <c r="S137" s="1333" t="s">
        <v>2490</v>
      </c>
      <c r="T137" s="1334">
        <v>42941</v>
      </c>
      <c r="U137" s="821">
        <v>49.39</v>
      </c>
      <c r="V137" s="1332">
        <f t="shared" si="15"/>
        <v>0.86684668989547031</v>
      </c>
      <c r="W137" s="1335" t="s">
        <v>2489</v>
      </c>
      <c r="X137" s="1331">
        <v>0</v>
      </c>
      <c r="Y137" s="1331">
        <v>3.67</v>
      </c>
      <c r="Z137" s="829" t="s">
        <v>2374</v>
      </c>
    </row>
    <row r="138" spans="1:26">
      <c r="A138" s="1373"/>
      <c r="B138" s="1374"/>
      <c r="C138" s="829"/>
      <c r="D138" s="829"/>
      <c r="E138" s="829"/>
      <c r="F138" s="1374"/>
      <c r="G138" s="1374"/>
      <c r="H138" s="1374"/>
      <c r="I138" s="1374"/>
      <c r="J138" s="1365">
        <v>42563</v>
      </c>
      <c r="K138" s="829" t="s">
        <v>3679</v>
      </c>
      <c r="L138" s="829"/>
      <c r="M138" s="829"/>
      <c r="N138" s="829"/>
      <c r="O138" s="829"/>
      <c r="P138" s="829"/>
      <c r="Q138" s="829"/>
      <c r="R138" s="1375" t="s">
        <v>2488</v>
      </c>
      <c r="S138" s="1374"/>
      <c r="T138" s="829"/>
      <c r="U138" s="829"/>
      <c r="V138" s="829"/>
      <c r="W138" s="1373"/>
      <c r="X138" s="1375"/>
      <c r="Y138" s="1375"/>
      <c r="Z138" s="829"/>
    </row>
    <row r="139" spans="1:26">
      <c r="A139" s="1326" t="s">
        <v>2078</v>
      </c>
      <c r="B139" s="1327">
        <v>295</v>
      </c>
      <c r="C139" s="1328" t="s">
        <v>2487</v>
      </c>
      <c r="D139" s="829" t="s">
        <v>2486</v>
      </c>
      <c r="E139" s="829" t="s">
        <v>2485</v>
      </c>
      <c r="F139" s="827">
        <v>25</v>
      </c>
      <c r="G139" s="827">
        <v>25</v>
      </c>
      <c r="H139" s="827">
        <f t="shared" si="16"/>
        <v>135.86391789000001</v>
      </c>
      <c r="I139" s="827">
        <f t="shared" si="17"/>
        <v>0.1840076481545368</v>
      </c>
      <c r="J139" s="1330">
        <v>42551</v>
      </c>
      <c r="K139" s="1280" t="s">
        <v>2174</v>
      </c>
      <c r="L139" s="1331">
        <v>20.100000000000001</v>
      </c>
      <c r="M139" s="1331">
        <v>16.34</v>
      </c>
      <c r="N139" s="1332">
        <f t="shared" si="18"/>
        <v>0.8129353233830845</v>
      </c>
      <c r="O139" s="782">
        <v>18.100000000000001</v>
      </c>
      <c r="P139" s="1332">
        <f t="shared" si="14"/>
        <v>0.90049751243781095</v>
      </c>
      <c r="Q139" s="1331">
        <v>5</v>
      </c>
      <c r="R139" s="1332">
        <v>6.7593988999999999</v>
      </c>
      <c r="S139" s="1333" t="s">
        <v>2484</v>
      </c>
      <c r="T139" s="1334">
        <v>42943</v>
      </c>
      <c r="U139" s="821">
        <v>15.26</v>
      </c>
      <c r="V139" s="1332">
        <f t="shared" si="15"/>
        <v>0.8486937071823204</v>
      </c>
      <c r="W139" s="1335" t="s">
        <v>2483</v>
      </c>
      <c r="X139" s="1331">
        <v>0</v>
      </c>
      <c r="Y139" s="1376">
        <v>1.0135609999999999</v>
      </c>
      <c r="Z139" s="829" t="s">
        <v>2122</v>
      </c>
    </row>
    <row r="140" spans="1:26">
      <c r="A140" s="1326" t="s">
        <v>2078</v>
      </c>
      <c r="B140" s="1327">
        <v>296</v>
      </c>
      <c r="C140" s="1328" t="s">
        <v>2482</v>
      </c>
      <c r="D140" s="829" t="s">
        <v>2481</v>
      </c>
      <c r="E140" s="829" t="s">
        <v>2480</v>
      </c>
      <c r="F140" s="827">
        <v>19.89</v>
      </c>
      <c r="G140" s="827">
        <v>19.89</v>
      </c>
      <c r="H140" s="827">
        <f t="shared" si="16"/>
        <v>348.40637999999996</v>
      </c>
      <c r="I140" s="827">
        <f t="shared" si="17"/>
        <v>5.7088506817814307E-2</v>
      </c>
      <c r="J140" s="1330">
        <v>42566</v>
      </c>
      <c r="K140" s="1280" t="s">
        <v>2240</v>
      </c>
      <c r="L140" s="1331">
        <v>15.11</v>
      </c>
      <c r="M140" s="1331">
        <v>13</v>
      </c>
      <c r="N140" s="1332">
        <f t="shared" si="18"/>
        <v>0.8603573792190603</v>
      </c>
      <c r="O140" s="782">
        <v>14.86</v>
      </c>
      <c r="P140" s="1332">
        <f t="shared" si="14"/>
        <v>0.98345466578424889</v>
      </c>
      <c r="Q140" s="1331">
        <v>6</v>
      </c>
      <c r="R140" s="1331">
        <v>23.058</v>
      </c>
      <c r="S140" s="1333" t="s">
        <v>2479</v>
      </c>
      <c r="T140" s="1334">
        <v>42943</v>
      </c>
      <c r="U140" s="821">
        <v>10.39</v>
      </c>
      <c r="V140" s="1332">
        <f t="shared" si="15"/>
        <v>0.69919246298788706</v>
      </c>
      <c r="W140" s="1280" t="s">
        <v>223</v>
      </c>
      <c r="X140" s="1331">
        <v>0</v>
      </c>
      <c r="Y140" s="1331">
        <v>0</v>
      </c>
      <c r="Z140" s="829" t="s">
        <v>2160</v>
      </c>
    </row>
    <row r="141" spans="1:26">
      <c r="A141" s="1326" t="s">
        <v>2078</v>
      </c>
      <c r="B141" s="1327">
        <v>298</v>
      </c>
      <c r="C141" s="1328" t="s">
        <v>2478</v>
      </c>
      <c r="D141" s="829" t="s">
        <v>2477</v>
      </c>
      <c r="E141" s="829" t="s">
        <v>2476</v>
      </c>
      <c r="F141" s="827">
        <v>8.5</v>
      </c>
      <c r="G141" s="827">
        <v>8.5</v>
      </c>
      <c r="H141" s="827">
        <f t="shared" si="16"/>
        <v>121.355751465</v>
      </c>
      <c r="I141" s="827">
        <f t="shared" si="17"/>
        <v>7.004200375662846E-2</v>
      </c>
      <c r="J141" s="1330">
        <v>42552</v>
      </c>
      <c r="K141" s="1280" t="s">
        <v>2089</v>
      </c>
      <c r="L141" s="1331">
        <v>33.93</v>
      </c>
      <c r="M141" s="1331">
        <v>27.01</v>
      </c>
      <c r="N141" s="1332">
        <f t="shared" si="18"/>
        <v>0.79605069260241679</v>
      </c>
      <c r="O141" s="782">
        <v>31.55</v>
      </c>
      <c r="P141" s="1332">
        <f t="shared" si="14"/>
        <v>0.92985558502799881</v>
      </c>
      <c r="Q141" s="1331">
        <v>5</v>
      </c>
      <c r="R141" s="1332">
        <v>3.5766505</v>
      </c>
      <c r="S141" s="1333" t="s">
        <v>2475</v>
      </c>
      <c r="T141" s="1334">
        <v>42943</v>
      </c>
      <c r="U141" s="821">
        <v>16.78</v>
      </c>
      <c r="V141" s="1332">
        <f t="shared" si="15"/>
        <v>0.53391442155309043</v>
      </c>
      <c r="W141" s="1335" t="s">
        <v>2474</v>
      </c>
      <c r="X141" s="1331">
        <v>0</v>
      </c>
      <c r="Y141" s="1331">
        <v>0.65</v>
      </c>
      <c r="Z141" s="829" t="s">
        <v>2160</v>
      </c>
    </row>
    <row r="142" spans="1:26">
      <c r="A142" s="1326" t="s">
        <v>2078</v>
      </c>
      <c r="B142" s="1327">
        <v>302</v>
      </c>
      <c r="C142" s="1328" t="s">
        <v>2473</v>
      </c>
      <c r="D142" s="829" t="s">
        <v>2472</v>
      </c>
      <c r="E142" s="829" t="s">
        <v>2471</v>
      </c>
      <c r="F142" s="827">
        <v>95</v>
      </c>
      <c r="G142" s="827">
        <v>95</v>
      </c>
      <c r="H142" s="827">
        <f t="shared" si="16"/>
        <v>53.392765486799995</v>
      </c>
      <c r="I142" s="827">
        <f t="shared" si="17"/>
        <v>1.7792672683996176</v>
      </c>
      <c r="J142" s="1330">
        <v>42544</v>
      </c>
      <c r="K142" s="1280" t="s">
        <v>2089</v>
      </c>
      <c r="L142" s="1331">
        <v>11.37</v>
      </c>
      <c r="M142" s="1331">
        <v>10.95</v>
      </c>
      <c r="N142" s="1332">
        <f t="shared" si="18"/>
        <v>0.96306068601583117</v>
      </c>
      <c r="O142" s="782">
        <v>10.95</v>
      </c>
      <c r="P142" s="1332">
        <f t="shared" si="14"/>
        <v>0.96306068601583117</v>
      </c>
      <c r="Q142" s="1331">
        <v>10</v>
      </c>
      <c r="R142" s="1332">
        <v>4.6959336399999998</v>
      </c>
      <c r="S142" s="1333" t="s">
        <v>2470</v>
      </c>
      <c r="T142" s="1334">
        <v>42954</v>
      </c>
      <c r="U142" s="821">
        <v>12.51</v>
      </c>
      <c r="V142" s="1332">
        <f t="shared" si="15"/>
        <v>1.143744292237443</v>
      </c>
      <c r="W142" s="1335" t="s">
        <v>2469</v>
      </c>
      <c r="X142" s="1331">
        <v>0</v>
      </c>
      <c r="Y142" s="1331">
        <v>0.14000000000000001</v>
      </c>
      <c r="Z142" s="829" t="s">
        <v>2468</v>
      </c>
    </row>
    <row r="143" spans="1:26">
      <c r="A143" s="1326" t="s">
        <v>2078</v>
      </c>
      <c r="B143" s="1327">
        <v>304</v>
      </c>
      <c r="C143" s="1328" t="s">
        <v>2467</v>
      </c>
      <c r="D143" s="829" t="s">
        <v>2466</v>
      </c>
      <c r="E143" s="829" t="s">
        <v>2465</v>
      </c>
      <c r="F143" s="827">
        <v>13</v>
      </c>
      <c r="G143" s="827">
        <v>13</v>
      </c>
      <c r="H143" s="827">
        <f t="shared" si="16"/>
        <v>111.85816543199999</v>
      </c>
      <c r="I143" s="827">
        <f t="shared" si="17"/>
        <v>0.11621860549735966</v>
      </c>
      <c r="J143" s="1330">
        <v>42569</v>
      </c>
      <c r="K143" s="1280" t="s">
        <v>2240</v>
      </c>
      <c r="L143" s="1331">
        <v>17.55</v>
      </c>
      <c r="M143" s="1331">
        <v>17.47</v>
      </c>
      <c r="N143" s="1332">
        <f t="shared" si="18"/>
        <v>0.99544159544159538</v>
      </c>
      <c r="O143" s="782">
        <v>17.48</v>
      </c>
      <c r="P143" s="1332">
        <f t="shared" si="14"/>
        <v>0.99601139601139599</v>
      </c>
      <c r="Q143" s="1331">
        <v>4</v>
      </c>
      <c r="R143" s="1376">
        <v>6.3736846399999996</v>
      </c>
      <c r="S143" s="1333" t="s">
        <v>2464</v>
      </c>
      <c r="T143" s="1334">
        <v>42957</v>
      </c>
      <c r="U143" s="821">
        <v>7.41</v>
      </c>
      <c r="V143" s="1332">
        <f t="shared" si="15"/>
        <v>1.1898169336384439</v>
      </c>
      <c r="W143" s="1335" t="s">
        <v>2463</v>
      </c>
      <c r="X143" s="1331">
        <v>18</v>
      </c>
      <c r="Y143" s="1331">
        <v>0.5</v>
      </c>
      <c r="Z143" s="829" t="s">
        <v>2086</v>
      </c>
    </row>
    <row r="144" spans="1:26">
      <c r="A144" s="1326" t="s">
        <v>2078</v>
      </c>
      <c r="B144" s="1327">
        <v>305</v>
      </c>
      <c r="C144" s="1328" t="s">
        <v>2462</v>
      </c>
      <c r="D144" s="829" t="s">
        <v>2461</v>
      </c>
      <c r="E144" s="829" t="s">
        <v>2460</v>
      </c>
      <c r="F144" s="827">
        <v>11</v>
      </c>
      <c r="G144" s="827">
        <v>11</v>
      </c>
      <c r="H144" s="827">
        <f t="shared" si="16"/>
        <v>151.99023</v>
      </c>
      <c r="I144" s="827">
        <f t="shared" si="17"/>
        <v>7.2373072927121695E-2</v>
      </c>
      <c r="J144" s="1330">
        <v>42542</v>
      </c>
      <c r="K144" s="1280" t="s">
        <v>2089</v>
      </c>
      <c r="L144" s="1331">
        <v>13.93</v>
      </c>
      <c r="M144" s="1331">
        <v>12.57</v>
      </c>
      <c r="N144" s="1332">
        <f t="shared" si="18"/>
        <v>0.90236898779612351</v>
      </c>
      <c r="O144" s="782">
        <v>13.04</v>
      </c>
      <c r="P144" s="1332">
        <f t="shared" si="14"/>
        <v>0.93610911701363964</v>
      </c>
      <c r="Q144" s="1331">
        <v>4</v>
      </c>
      <c r="R144" s="1331">
        <v>10.911</v>
      </c>
      <c r="S144" s="1333" t="s">
        <v>2459</v>
      </c>
      <c r="T144" s="1334">
        <v>42947</v>
      </c>
      <c r="U144" s="821">
        <v>10.56</v>
      </c>
      <c r="V144" s="1332">
        <f t="shared" si="15"/>
        <v>0.81211656441717794</v>
      </c>
      <c r="W144" s="1335" t="s">
        <v>2111</v>
      </c>
      <c r="X144" s="1331">
        <v>0</v>
      </c>
      <c r="Y144" s="1331">
        <v>0.3</v>
      </c>
      <c r="Z144" s="829" t="s">
        <v>2411</v>
      </c>
    </row>
    <row r="145" spans="1:26">
      <c r="A145" s="1326" t="s">
        <v>2078</v>
      </c>
      <c r="B145" s="1327">
        <v>306</v>
      </c>
      <c r="C145" s="1328" t="s">
        <v>2458</v>
      </c>
      <c r="D145" s="829" t="s">
        <v>2457</v>
      </c>
      <c r="E145" s="829" t="s">
        <v>2456</v>
      </c>
      <c r="F145" s="827">
        <v>5.0999999999999996</v>
      </c>
      <c r="G145" s="827">
        <v>4.99</v>
      </c>
      <c r="H145" s="827">
        <f t="shared" si="16"/>
        <v>55.69476250000001</v>
      </c>
      <c r="I145" s="827">
        <f t="shared" si="17"/>
        <v>9.1570549385141892E-2</v>
      </c>
      <c r="J145" s="1330">
        <v>42559</v>
      </c>
      <c r="K145" s="1280" t="s">
        <v>2089</v>
      </c>
      <c r="L145" s="1331">
        <v>11.05</v>
      </c>
      <c r="M145" s="1331">
        <v>9.11</v>
      </c>
      <c r="N145" s="1332">
        <f t="shared" si="18"/>
        <v>0.82443438914027134</v>
      </c>
      <c r="O145" s="782">
        <v>10.5</v>
      </c>
      <c r="P145" s="1332">
        <f t="shared" si="14"/>
        <v>0.95022624434389136</v>
      </c>
      <c r="Q145" s="1331">
        <v>5</v>
      </c>
      <c r="R145" s="1331">
        <v>5.0402500000000003</v>
      </c>
      <c r="S145" s="1333" t="s">
        <v>2455</v>
      </c>
      <c r="T145" s="1334">
        <v>42948</v>
      </c>
      <c r="U145" s="821">
        <v>9.11</v>
      </c>
      <c r="V145" s="1332">
        <f t="shared" si="15"/>
        <v>0.86761904761904751</v>
      </c>
      <c r="W145" s="1280" t="s">
        <v>223</v>
      </c>
      <c r="X145" s="1331">
        <v>0</v>
      </c>
      <c r="Y145" s="1331">
        <v>0</v>
      </c>
      <c r="Z145" s="829" t="s">
        <v>2454</v>
      </c>
    </row>
    <row r="146" spans="1:26">
      <c r="A146" s="1326" t="s">
        <v>2078</v>
      </c>
      <c r="B146" s="1327">
        <v>307</v>
      </c>
      <c r="C146" s="1328" t="s">
        <v>2453</v>
      </c>
      <c r="D146" s="829" t="s">
        <v>2452</v>
      </c>
      <c r="E146" s="829" t="s">
        <v>2451</v>
      </c>
      <c r="F146" s="827">
        <v>4.7</v>
      </c>
      <c r="G146" s="827">
        <v>4.7</v>
      </c>
      <c r="H146" s="827">
        <f t="shared" si="16"/>
        <v>75.35161034299999</v>
      </c>
      <c r="I146" s="827">
        <f t="shared" si="17"/>
        <v>6.23742475921302E-2</v>
      </c>
      <c r="J146" s="1330">
        <v>42563</v>
      </c>
      <c r="K146" s="1280" t="s">
        <v>2174</v>
      </c>
      <c r="L146" s="1331">
        <v>17.899999999999999</v>
      </c>
      <c r="M146" s="1331">
        <v>9.69</v>
      </c>
      <c r="N146" s="1332">
        <f t="shared" si="18"/>
        <v>0.54134078212290504</v>
      </c>
      <c r="O146" s="782">
        <v>14.6</v>
      </c>
      <c r="P146" s="1332">
        <f t="shared" si="14"/>
        <v>0.81564245810055869</v>
      </c>
      <c r="Q146" s="1331">
        <v>7</v>
      </c>
      <c r="R146" s="1362">
        <v>4.2095871699999998</v>
      </c>
      <c r="S146" s="1333" t="s">
        <v>2450</v>
      </c>
      <c r="T146" s="1334">
        <v>42954</v>
      </c>
      <c r="U146" s="821">
        <v>8.01</v>
      </c>
      <c r="V146" s="1332">
        <f t="shared" si="15"/>
        <v>0.84691780821917817</v>
      </c>
      <c r="W146" s="1335" t="s">
        <v>2449</v>
      </c>
      <c r="X146" s="1331">
        <v>5</v>
      </c>
      <c r="Y146" s="1331">
        <v>3.5</v>
      </c>
      <c r="Z146" s="829" t="s">
        <v>2223</v>
      </c>
    </row>
    <row r="147" spans="1:26">
      <c r="A147" s="1326" t="s">
        <v>2078</v>
      </c>
      <c r="B147" s="1327">
        <v>308</v>
      </c>
      <c r="C147" s="1328" t="s">
        <v>2448</v>
      </c>
      <c r="D147" s="829" t="s">
        <v>2447</v>
      </c>
      <c r="E147" s="829" t="s">
        <v>2446</v>
      </c>
      <c r="F147" s="827">
        <v>11</v>
      </c>
      <c r="G147" s="827">
        <v>11</v>
      </c>
      <c r="H147" s="827">
        <f t="shared" si="16"/>
        <v>245.84523499999997</v>
      </c>
      <c r="I147" s="827">
        <f t="shared" si="17"/>
        <v>4.4743596515100244E-2</v>
      </c>
      <c r="J147" s="1330">
        <v>42557</v>
      </c>
      <c r="K147" s="1280" t="s">
        <v>2445</v>
      </c>
      <c r="L147" s="1331">
        <v>55.75</v>
      </c>
      <c r="M147" s="1331">
        <v>34.69</v>
      </c>
      <c r="N147" s="1332">
        <f t="shared" si="18"/>
        <v>0.62224215246636772</v>
      </c>
      <c r="O147" s="782">
        <v>53.05</v>
      </c>
      <c r="P147" s="1332">
        <f t="shared" si="14"/>
        <v>0.95156950672645735</v>
      </c>
      <c r="Q147" s="1331">
        <v>6</v>
      </c>
      <c r="R147" s="1331">
        <v>4.4097799999999996</v>
      </c>
      <c r="S147" s="1333" t="s">
        <v>2444</v>
      </c>
      <c r="T147" s="1334">
        <v>42948</v>
      </c>
      <c r="U147" s="821">
        <v>39.369999999999997</v>
      </c>
      <c r="V147" s="1332">
        <f t="shared" si="15"/>
        <v>1.4974552309142319</v>
      </c>
      <c r="W147" s="1335" t="s">
        <v>2443</v>
      </c>
      <c r="X147" s="1331">
        <v>10</v>
      </c>
      <c r="Y147" s="1331">
        <v>7</v>
      </c>
      <c r="Z147" s="829" t="s">
        <v>2442</v>
      </c>
    </row>
    <row r="148" spans="1:26">
      <c r="A148" s="1326" t="s">
        <v>2078</v>
      </c>
      <c r="B148" s="1327">
        <v>309</v>
      </c>
      <c r="C148" s="1328" t="s">
        <v>2441</v>
      </c>
      <c r="D148" s="829" t="s">
        <v>2440</v>
      </c>
      <c r="E148" s="829" t="s">
        <v>2439</v>
      </c>
      <c r="F148" s="827">
        <v>2.63</v>
      </c>
      <c r="G148" s="827">
        <v>2.62</v>
      </c>
      <c r="H148" s="827">
        <f t="shared" si="16"/>
        <v>66.658968295199998</v>
      </c>
      <c r="I148" s="827">
        <f t="shared" si="17"/>
        <v>3.9454556037426425E-2</v>
      </c>
      <c r="J148" s="1330">
        <v>42555</v>
      </c>
      <c r="K148" s="1280" t="s">
        <v>2125</v>
      </c>
      <c r="L148" s="1331">
        <v>7.11</v>
      </c>
      <c r="M148" s="1331">
        <v>6.24</v>
      </c>
      <c r="N148" s="1332">
        <f t="shared" si="18"/>
        <v>0.8776371308016877</v>
      </c>
      <c r="O148" s="782">
        <v>6.6</v>
      </c>
      <c r="P148" s="1332">
        <f t="shared" si="14"/>
        <v>0.9282700421940927</v>
      </c>
      <c r="Q148" s="1331">
        <v>4</v>
      </c>
      <c r="R148" s="1332">
        <v>9.3753823199999999</v>
      </c>
      <c r="S148" s="1333" t="s">
        <v>2438</v>
      </c>
      <c r="T148" s="1334">
        <v>42948</v>
      </c>
      <c r="U148" s="821">
        <v>11.38</v>
      </c>
      <c r="V148" s="1332">
        <f t="shared" si="15"/>
        <v>2.767878787878788</v>
      </c>
      <c r="W148" s="1335" t="s">
        <v>2437</v>
      </c>
      <c r="X148" s="1331">
        <v>6</v>
      </c>
      <c r="Y148" s="1331">
        <v>0.6</v>
      </c>
      <c r="Z148" s="829" t="s">
        <v>2436</v>
      </c>
    </row>
    <row r="149" spans="1:26">
      <c r="A149" s="1326" t="s">
        <v>2078</v>
      </c>
      <c r="B149" s="1327">
        <v>310</v>
      </c>
      <c r="C149" s="1328" t="s">
        <v>2435</v>
      </c>
      <c r="D149" s="1329" t="s">
        <v>2434</v>
      </c>
      <c r="E149" s="829" t="s">
        <v>2433</v>
      </c>
      <c r="F149" s="827">
        <v>120</v>
      </c>
      <c r="G149" s="827">
        <v>83.11</v>
      </c>
      <c r="H149" s="827">
        <f t="shared" si="16"/>
        <v>533.52753749999999</v>
      </c>
      <c r="I149" s="827">
        <f t="shared" si="17"/>
        <v>0.22491809993968681</v>
      </c>
      <c r="J149" s="1330">
        <v>42559</v>
      </c>
      <c r="K149" s="1280" t="s">
        <v>2125</v>
      </c>
      <c r="L149" s="1331">
        <v>11.25</v>
      </c>
      <c r="M149" s="1331">
        <v>10.56</v>
      </c>
      <c r="N149" s="1332">
        <f t="shared" si="18"/>
        <v>0.93866666666666676</v>
      </c>
      <c r="O149" s="782">
        <v>10.56</v>
      </c>
      <c r="P149" s="1332">
        <f t="shared" si="14"/>
        <v>0.93866666666666676</v>
      </c>
      <c r="Q149" s="1331">
        <v>9</v>
      </c>
      <c r="R149" s="1332">
        <v>47.424669999999999</v>
      </c>
      <c r="S149" s="1333" t="s">
        <v>2432</v>
      </c>
      <c r="T149" s="1334">
        <v>42948</v>
      </c>
      <c r="U149" s="821">
        <v>9.75</v>
      </c>
      <c r="V149" s="1332">
        <f t="shared" si="15"/>
        <v>0.9375</v>
      </c>
      <c r="W149" s="1335" t="s">
        <v>2117</v>
      </c>
      <c r="X149" s="1331">
        <v>0</v>
      </c>
      <c r="Y149" s="1331">
        <v>1.5</v>
      </c>
      <c r="Z149" s="829" t="s">
        <v>2431</v>
      </c>
    </row>
    <row r="150" spans="1:26">
      <c r="A150" s="1326"/>
      <c r="B150" s="1338"/>
      <c r="C150" s="1339"/>
      <c r="D150" s="1339"/>
      <c r="E150" s="1339"/>
      <c r="F150" s="1338"/>
      <c r="G150" s="1338"/>
      <c r="H150" s="1338"/>
      <c r="I150" s="1338"/>
      <c r="J150" s="1331" t="s">
        <v>3680</v>
      </c>
      <c r="K150" s="1326" t="s">
        <v>2430</v>
      </c>
      <c r="L150" s="1331"/>
      <c r="M150" s="1331"/>
      <c r="N150" s="1331"/>
      <c r="O150" s="1331"/>
      <c r="P150" s="1331"/>
      <c r="Q150" s="1331"/>
      <c r="R150" s="1331"/>
      <c r="S150" s="1338"/>
      <c r="T150" s="1331"/>
      <c r="U150" s="821"/>
      <c r="V150" s="1331"/>
      <c r="W150" s="1326"/>
      <c r="X150" s="1331"/>
      <c r="Y150" s="1331"/>
      <c r="Z150" s="1339"/>
    </row>
    <row r="151" spans="1:26">
      <c r="A151" s="1326"/>
      <c r="B151" s="1338"/>
      <c r="C151" s="1339"/>
      <c r="D151" s="1339"/>
      <c r="E151" s="1339"/>
      <c r="F151" s="1338"/>
      <c r="G151" s="1338"/>
      <c r="H151" s="1338"/>
      <c r="I151" s="1338"/>
      <c r="J151" s="1365">
        <v>42566</v>
      </c>
      <c r="K151" s="1326" t="s">
        <v>151</v>
      </c>
      <c r="L151" s="1331"/>
      <c r="M151" s="1331"/>
      <c r="N151" s="1331"/>
      <c r="O151" s="1331"/>
      <c r="P151" s="1331"/>
      <c r="Q151" s="1331"/>
      <c r="R151" s="1331"/>
      <c r="S151" s="1338"/>
      <c r="T151" s="1331"/>
      <c r="U151" s="821"/>
      <c r="V151" s="1331"/>
      <c r="W151" s="1326"/>
      <c r="X151" s="1331"/>
      <c r="Y151" s="1331"/>
      <c r="Z151" s="1339"/>
    </row>
    <row r="152" spans="1:26">
      <c r="A152" s="1326" t="s">
        <v>2078</v>
      </c>
      <c r="B152" s="1327">
        <v>313</v>
      </c>
      <c r="C152" s="1328" t="s">
        <v>2429</v>
      </c>
      <c r="D152" s="829" t="s">
        <v>2428</v>
      </c>
      <c r="E152" s="829" t="s">
        <v>2427</v>
      </c>
      <c r="F152" s="827">
        <v>30</v>
      </c>
      <c r="G152" s="827">
        <v>30</v>
      </c>
      <c r="H152" s="827">
        <f t="shared" ref="H152:H169" si="19">L152*R152</f>
        <v>106.4327502</v>
      </c>
      <c r="I152" s="827">
        <f t="shared" ref="I152:I169" si="20">F152/H152</f>
        <v>0.28186812746665263</v>
      </c>
      <c r="J152" s="1330">
        <v>42578</v>
      </c>
      <c r="K152" s="1280" t="s">
        <v>2426</v>
      </c>
      <c r="L152" s="1331">
        <v>6.58</v>
      </c>
      <c r="M152" s="1331">
        <v>6.78</v>
      </c>
      <c r="N152" s="1332">
        <f t="shared" ref="N152:N158" si="21">M152/L152</f>
        <v>1.0303951367781155</v>
      </c>
      <c r="O152" s="782">
        <v>6.78</v>
      </c>
      <c r="P152" s="1332">
        <f t="shared" ref="P152:P169" si="22">O152/L152</f>
        <v>1.0303951367781155</v>
      </c>
      <c r="Q152" s="1331">
        <v>6</v>
      </c>
      <c r="R152" s="1332">
        <v>16.175190000000001</v>
      </c>
      <c r="S152" s="1333" t="s">
        <v>2425</v>
      </c>
      <c r="T152" s="1334">
        <v>42950</v>
      </c>
      <c r="U152" s="821">
        <v>6.58</v>
      </c>
      <c r="V152" s="1332">
        <f t="shared" ref="V152:V169" si="23">((U152*(1+X152/10)+Y152/10)/O152)</f>
        <v>0.97345132743362828</v>
      </c>
      <c r="W152" s="1335" t="s">
        <v>2381</v>
      </c>
      <c r="X152" s="1331">
        <v>0</v>
      </c>
      <c r="Y152" s="1331">
        <v>0.2</v>
      </c>
      <c r="Z152" s="829" t="s">
        <v>2233</v>
      </c>
    </row>
    <row r="153" spans="1:26">
      <c r="A153" s="1326" t="s">
        <v>2078</v>
      </c>
      <c r="B153" s="1327">
        <v>316</v>
      </c>
      <c r="C153" s="1328" t="s">
        <v>2424</v>
      </c>
      <c r="D153" s="829" t="s">
        <v>2423</v>
      </c>
      <c r="E153" s="829" t="s">
        <v>2422</v>
      </c>
      <c r="F153" s="827">
        <v>8.9</v>
      </c>
      <c r="G153" s="827">
        <v>8.9</v>
      </c>
      <c r="H153" s="827">
        <f t="shared" si="19"/>
        <v>151.03461531699998</v>
      </c>
      <c r="I153" s="827">
        <f t="shared" si="20"/>
        <v>5.8926888920928344E-2</v>
      </c>
      <c r="J153" s="1330">
        <v>42559</v>
      </c>
      <c r="K153" s="1280" t="s">
        <v>2421</v>
      </c>
      <c r="L153" s="1331">
        <v>15.35</v>
      </c>
      <c r="M153" s="1331">
        <v>11.97</v>
      </c>
      <c r="N153" s="1332">
        <f t="shared" si="21"/>
        <v>0.77980456026058642</v>
      </c>
      <c r="O153" s="782">
        <v>14.5</v>
      </c>
      <c r="P153" s="1332">
        <f t="shared" si="22"/>
        <v>0.94462540716612375</v>
      </c>
      <c r="Q153" s="1331">
        <v>6</v>
      </c>
      <c r="R153" s="1332">
        <v>9.8393886199999994</v>
      </c>
      <c r="S153" s="1333" t="s">
        <v>2420</v>
      </c>
      <c r="T153" s="1334">
        <v>42951</v>
      </c>
      <c r="U153" s="821">
        <v>10.91</v>
      </c>
      <c r="V153" s="1332">
        <f t="shared" si="23"/>
        <v>0.75448275862068959</v>
      </c>
      <c r="W153" s="1335" t="s">
        <v>2111</v>
      </c>
      <c r="X153" s="1331">
        <v>0</v>
      </c>
      <c r="Y153" s="1331">
        <v>0.3</v>
      </c>
      <c r="Z153" s="829" t="s">
        <v>2160</v>
      </c>
    </row>
    <row r="154" spans="1:26">
      <c r="A154" s="1326" t="s">
        <v>2078</v>
      </c>
      <c r="B154" s="1327">
        <v>319</v>
      </c>
      <c r="C154" s="1328" t="s">
        <v>2419</v>
      </c>
      <c r="D154" s="829" t="s">
        <v>2418</v>
      </c>
      <c r="E154" s="829" t="s">
        <v>2417</v>
      </c>
      <c r="F154" s="827">
        <v>48</v>
      </c>
      <c r="G154" s="827">
        <v>48</v>
      </c>
      <c r="H154" s="827">
        <f t="shared" si="19"/>
        <v>980.01613438300001</v>
      </c>
      <c r="I154" s="827">
        <f t="shared" si="20"/>
        <v>4.8978785466853469E-2</v>
      </c>
      <c r="J154" s="1330">
        <v>42559</v>
      </c>
      <c r="K154" s="1280" t="s">
        <v>2089</v>
      </c>
      <c r="L154" s="1331">
        <v>52.3</v>
      </c>
      <c r="M154" s="1331">
        <v>45.01</v>
      </c>
      <c r="N154" s="1332">
        <f t="shared" si="21"/>
        <v>0.8606118546845124</v>
      </c>
      <c r="O154" s="782">
        <v>45.01</v>
      </c>
      <c r="P154" s="1332">
        <f t="shared" si="22"/>
        <v>0.8606118546845124</v>
      </c>
      <c r="Q154" s="1331">
        <v>4</v>
      </c>
      <c r="R154" s="1332">
        <v>18.738358210000001</v>
      </c>
      <c r="S154" s="1341" t="s">
        <v>2416</v>
      </c>
      <c r="T154" s="1334">
        <v>43139</v>
      </c>
      <c r="U154" s="821">
        <v>5.08</v>
      </c>
      <c r="V154" s="1332">
        <f>((U154*(1+X154/10)+Y154/10)/O154)</f>
        <v>0.22634970006665187</v>
      </c>
      <c r="W154" s="1335" t="s">
        <v>3681</v>
      </c>
      <c r="X154" s="1331">
        <v>10</v>
      </c>
      <c r="Y154" s="1331">
        <v>0.28000000000000003</v>
      </c>
      <c r="Z154" s="829" t="s">
        <v>2166</v>
      </c>
    </row>
    <row r="155" spans="1:26">
      <c r="A155" s="1326" t="s">
        <v>2078</v>
      </c>
      <c r="B155" s="1327">
        <v>322</v>
      </c>
      <c r="C155" s="1328" t="s">
        <v>2415</v>
      </c>
      <c r="D155" s="829" t="s">
        <v>2414</v>
      </c>
      <c r="E155" s="829" t="s">
        <v>2413</v>
      </c>
      <c r="F155" s="827">
        <v>4.5</v>
      </c>
      <c r="G155" s="827">
        <v>4.5</v>
      </c>
      <c r="H155" s="827">
        <f t="shared" si="19"/>
        <v>70.245974039999993</v>
      </c>
      <c r="I155" s="827">
        <f t="shared" si="20"/>
        <v>6.4060610753828767E-2</v>
      </c>
      <c r="J155" s="1330">
        <v>42578</v>
      </c>
      <c r="K155" s="1280" t="s">
        <v>2240</v>
      </c>
      <c r="L155" s="1331">
        <v>20.91</v>
      </c>
      <c r="M155" s="1331">
        <v>18.420000000000002</v>
      </c>
      <c r="N155" s="1332">
        <f t="shared" si="21"/>
        <v>0.88091822094691541</v>
      </c>
      <c r="O155" s="782">
        <v>20.67</v>
      </c>
      <c r="P155" s="1332">
        <f t="shared" si="22"/>
        <v>0.98852223816355822</v>
      </c>
      <c r="Q155" s="1331">
        <v>4</v>
      </c>
      <c r="R155" s="1332">
        <v>3.3594439999999999</v>
      </c>
      <c r="S155" s="1341" t="s">
        <v>2412</v>
      </c>
      <c r="T155" s="1334">
        <v>42592</v>
      </c>
      <c r="U155" s="821">
        <v>20.23</v>
      </c>
      <c r="V155" s="1332">
        <f t="shared" si="23"/>
        <v>0.97871311078858247</v>
      </c>
      <c r="W155" s="1280" t="s">
        <v>223</v>
      </c>
      <c r="X155" s="1331">
        <v>0</v>
      </c>
      <c r="Y155" s="1331">
        <v>0</v>
      </c>
      <c r="Z155" s="829" t="s">
        <v>2411</v>
      </c>
    </row>
    <row r="156" spans="1:26">
      <c r="A156" s="1326" t="s">
        <v>2078</v>
      </c>
      <c r="B156" s="1327">
        <v>325</v>
      </c>
      <c r="C156" s="1328" t="s">
        <v>2410</v>
      </c>
      <c r="D156" s="829" t="s">
        <v>2409</v>
      </c>
      <c r="E156" s="829" t="s">
        <v>2408</v>
      </c>
      <c r="F156" s="827">
        <v>9.41</v>
      </c>
      <c r="G156" s="827">
        <v>9.41</v>
      </c>
      <c r="H156" s="827">
        <f t="shared" si="19"/>
        <v>60.421979999999998</v>
      </c>
      <c r="I156" s="827">
        <f t="shared" si="20"/>
        <v>0.15573802778392898</v>
      </c>
      <c r="J156" s="1330">
        <v>42572</v>
      </c>
      <c r="K156" s="1280" t="s">
        <v>2125</v>
      </c>
      <c r="L156" s="1331">
        <v>34.6</v>
      </c>
      <c r="M156" s="1331">
        <v>14.61</v>
      </c>
      <c r="N156" s="1332">
        <f t="shared" si="21"/>
        <v>0.42225433526011558</v>
      </c>
      <c r="O156" s="782">
        <v>24.7</v>
      </c>
      <c r="P156" s="1332">
        <f t="shared" si="22"/>
        <v>0.71387283236994215</v>
      </c>
      <c r="Q156" s="1331">
        <v>7</v>
      </c>
      <c r="R156" s="1331">
        <v>1.7463</v>
      </c>
      <c r="S156" s="1333" t="s">
        <v>2407</v>
      </c>
      <c r="T156" s="1334">
        <v>42958</v>
      </c>
      <c r="U156" s="821">
        <v>11.9</v>
      </c>
      <c r="V156" s="1332">
        <f t="shared" si="23"/>
        <v>0.96356275303643735</v>
      </c>
      <c r="W156" s="1335" t="s">
        <v>2406</v>
      </c>
      <c r="X156" s="1331">
        <v>10</v>
      </c>
      <c r="Y156" s="1331">
        <v>0</v>
      </c>
      <c r="Z156" s="829" t="s">
        <v>2362</v>
      </c>
    </row>
    <row r="157" spans="1:26">
      <c r="A157" s="1326" t="s">
        <v>2078</v>
      </c>
      <c r="B157" s="1327">
        <v>327</v>
      </c>
      <c r="C157" s="1328" t="s">
        <v>2405</v>
      </c>
      <c r="D157" s="829" t="s">
        <v>2404</v>
      </c>
      <c r="E157" s="829" t="s">
        <v>2403</v>
      </c>
      <c r="F157" s="827">
        <v>20</v>
      </c>
      <c r="G157" s="827">
        <v>20</v>
      </c>
      <c r="H157" s="827">
        <f t="shared" si="19"/>
        <v>131.2202667148</v>
      </c>
      <c r="I157" s="827">
        <f t="shared" si="20"/>
        <v>0.152415480479619</v>
      </c>
      <c r="J157" s="1330">
        <v>42573</v>
      </c>
      <c r="K157" s="1280" t="s">
        <v>2125</v>
      </c>
      <c r="L157" s="1331">
        <v>54.28</v>
      </c>
      <c r="M157" s="1331">
        <v>46.79</v>
      </c>
      <c r="N157" s="1332">
        <f t="shared" si="21"/>
        <v>0.86201179071481204</v>
      </c>
      <c r="O157" s="782">
        <v>46.8</v>
      </c>
      <c r="P157" s="1332">
        <f t="shared" si="22"/>
        <v>0.86219602063375089</v>
      </c>
      <c r="Q157" s="1331">
        <v>5</v>
      </c>
      <c r="R157" s="1332">
        <v>2.4174699099999999</v>
      </c>
      <c r="S157" s="1333" t="s">
        <v>2402</v>
      </c>
      <c r="T157" s="1334">
        <v>42991</v>
      </c>
      <c r="U157" s="821">
        <v>14.38</v>
      </c>
      <c r="V157" s="1332">
        <f t="shared" si="23"/>
        <v>0.76938538179487193</v>
      </c>
      <c r="W157" s="1335" t="s">
        <v>2401</v>
      </c>
      <c r="X157" s="1331">
        <v>15.011986</v>
      </c>
      <c r="Y157" s="1331">
        <v>0.4</v>
      </c>
      <c r="Z157" s="829" t="s">
        <v>2135</v>
      </c>
    </row>
    <row r="158" spans="1:26">
      <c r="A158" s="1326" t="s">
        <v>2078</v>
      </c>
      <c r="B158" s="1327">
        <v>328</v>
      </c>
      <c r="C158" s="1328" t="s">
        <v>2400</v>
      </c>
      <c r="D158" s="829" t="s">
        <v>2399</v>
      </c>
      <c r="E158" s="829" t="s">
        <v>2398</v>
      </c>
      <c r="F158" s="827">
        <v>27.6</v>
      </c>
      <c r="G158" s="827">
        <v>27.6</v>
      </c>
      <c r="H158" s="827">
        <f t="shared" si="19"/>
        <v>162.96177849780003</v>
      </c>
      <c r="I158" s="827">
        <f t="shared" si="20"/>
        <v>0.16936486735981837</v>
      </c>
      <c r="J158" s="1330">
        <v>42565</v>
      </c>
      <c r="K158" s="1280" t="s">
        <v>2397</v>
      </c>
      <c r="L158" s="1331">
        <v>9.2100000000000009</v>
      </c>
      <c r="M158" s="1331">
        <v>7.3</v>
      </c>
      <c r="N158" s="1332">
        <f t="shared" si="21"/>
        <v>0.79261672095548308</v>
      </c>
      <c r="O158" s="782">
        <v>7.32</v>
      </c>
      <c r="P158" s="1332">
        <f t="shared" si="22"/>
        <v>0.79478827361563509</v>
      </c>
      <c r="Q158" s="1331">
        <v>6</v>
      </c>
      <c r="R158" s="1332">
        <v>17.69400418</v>
      </c>
      <c r="S158" s="1333" t="s">
        <v>2396</v>
      </c>
      <c r="T158" s="1334">
        <v>42962</v>
      </c>
      <c r="U158" s="821">
        <v>15.54</v>
      </c>
      <c r="V158" s="1332">
        <f t="shared" si="23"/>
        <v>2.1352459016393439</v>
      </c>
      <c r="W158" s="1335" t="s">
        <v>2363</v>
      </c>
      <c r="X158" s="1331">
        <v>0</v>
      </c>
      <c r="Y158" s="1331">
        <v>0.89999999999999991</v>
      </c>
      <c r="Z158" s="829" t="s">
        <v>2116</v>
      </c>
    </row>
    <row r="159" spans="1:26">
      <c r="A159" s="1326" t="s">
        <v>2078</v>
      </c>
      <c r="B159" s="1327">
        <v>329</v>
      </c>
      <c r="C159" s="1328" t="s">
        <v>2395</v>
      </c>
      <c r="D159" s="829" t="s">
        <v>2394</v>
      </c>
      <c r="E159" s="829" t="s">
        <v>2393</v>
      </c>
      <c r="F159" s="827">
        <v>45</v>
      </c>
      <c r="G159" s="827">
        <v>45.67</v>
      </c>
      <c r="H159" s="827">
        <f t="shared" si="19"/>
        <v>171.7835566654</v>
      </c>
      <c r="I159" s="827">
        <f t="shared" si="20"/>
        <v>0.26195755212852528</v>
      </c>
      <c r="J159" s="1330">
        <v>42584</v>
      </c>
      <c r="K159" s="1280" t="s">
        <v>2240</v>
      </c>
      <c r="L159" s="1331">
        <v>11.74</v>
      </c>
      <c r="M159" s="1331">
        <v>10.62</v>
      </c>
      <c r="N159" s="1332">
        <f>M159/L159</f>
        <v>0.90459965928449737</v>
      </c>
      <c r="O159" s="782">
        <v>10.62</v>
      </c>
      <c r="P159" s="1332">
        <f t="shared" si="22"/>
        <v>0.90459965928449737</v>
      </c>
      <c r="Q159" s="1331">
        <v>9</v>
      </c>
      <c r="R159" s="1332">
        <v>14.632330209999999</v>
      </c>
      <c r="S159" s="1333" t="s">
        <v>2392</v>
      </c>
      <c r="T159" s="1334">
        <v>42962</v>
      </c>
      <c r="U159" s="821">
        <v>9.6199999999999992</v>
      </c>
      <c r="V159" s="1332">
        <f t="shared" si="23"/>
        <v>0.92372881355932202</v>
      </c>
      <c r="W159" s="1335" t="s">
        <v>2391</v>
      </c>
      <c r="X159" s="1331">
        <v>0</v>
      </c>
      <c r="Y159" s="1331">
        <v>1.9</v>
      </c>
      <c r="Z159" s="829" t="s">
        <v>2374</v>
      </c>
    </row>
    <row r="160" spans="1:26">
      <c r="A160" s="1326" t="s">
        <v>2078</v>
      </c>
      <c r="B160" s="1327">
        <v>330</v>
      </c>
      <c r="C160" s="1328" t="s">
        <v>2390</v>
      </c>
      <c r="D160" s="829" t="s">
        <v>2389</v>
      </c>
      <c r="E160" s="829" t="s">
        <v>2388</v>
      </c>
      <c r="F160" s="827">
        <v>0.34</v>
      </c>
      <c r="G160" s="827">
        <v>0.34</v>
      </c>
      <c r="H160" s="827">
        <f t="shared" si="19"/>
        <v>45.093269286999998</v>
      </c>
      <c r="I160" s="827">
        <f t="shared" si="20"/>
        <v>7.5399279177573207E-3</v>
      </c>
      <c r="J160" s="1330">
        <v>42573</v>
      </c>
      <c r="K160" s="1280" t="s">
        <v>2207</v>
      </c>
      <c r="L160" s="1331">
        <v>15.07</v>
      </c>
      <c r="M160" s="1331">
        <v>13.1</v>
      </c>
      <c r="N160" s="1332">
        <f>M160/L160</f>
        <v>0.86927670869276707</v>
      </c>
      <c r="O160" s="782">
        <v>13.6</v>
      </c>
      <c r="P160" s="1332">
        <f t="shared" si="22"/>
        <v>0.90245520902455201</v>
      </c>
      <c r="Q160" s="1331">
        <v>5</v>
      </c>
      <c r="R160" s="1362">
        <v>2.9922540999999998</v>
      </c>
      <c r="S160" s="1333" t="s">
        <v>2387</v>
      </c>
      <c r="T160" s="1334">
        <v>42964</v>
      </c>
      <c r="U160" s="821">
        <v>14.76</v>
      </c>
      <c r="V160" s="1332">
        <f t="shared" si="23"/>
        <v>1.0852941176470587</v>
      </c>
      <c r="W160" s="1280" t="s">
        <v>223</v>
      </c>
      <c r="X160" s="1331">
        <v>0</v>
      </c>
      <c r="Y160" s="1331">
        <v>0</v>
      </c>
      <c r="Z160" s="829" t="s">
        <v>2386</v>
      </c>
    </row>
    <row r="161" spans="1:26">
      <c r="A161" s="1326" t="s">
        <v>2078</v>
      </c>
      <c r="B161" s="1327">
        <v>331</v>
      </c>
      <c r="C161" s="1328" t="s">
        <v>2385</v>
      </c>
      <c r="D161" s="829" t="s">
        <v>2384</v>
      </c>
      <c r="E161" s="829" t="s">
        <v>2383</v>
      </c>
      <c r="F161" s="827">
        <v>18.38</v>
      </c>
      <c r="G161" s="827">
        <v>18.38</v>
      </c>
      <c r="H161" s="827">
        <f t="shared" si="19"/>
        <v>29.776</v>
      </c>
      <c r="I161" s="827">
        <f t="shared" si="20"/>
        <v>0.61727565824825359</v>
      </c>
      <c r="J161" s="1330">
        <v>42577</v>
      </c>
      <c r="K161" s="1280" t="s">
        <v>2089</v>
      </c>
      <c r="L161" s="1331">
        <v>18.61</v>
      </c>
      <c r="M161" s="1331">
        <v>9.1199999999999992</v>
      </c>
      <c r="N161" s="1332">
        <f>M161/L161</f>
        <v>0.49005910800644814</v>
      </c>
      <c r="O161" s="782">
        <v>18.07</v>
      </c>
      <c r="P161" s="1332">
        <f t="shared" si="22"/>
        <v>0.97098334228909189</v>
      </c>
      <c r="Q161" s="1331">
        <v>5</v>
      </c>
      <c r="R161" s="1377">
        <v>1.6</v>
      </c>
      <c r="S161" s="1333" t="s">
        <v>2382</v>
      </c>
      <c r="T161" s="1334">
        <v>42963</v>
      </c>
      <c r="U161" s="821">
        <v>16.600000000000001</v>
      </c>
      <c r="V161" s="1332">
        <f t="shared" si="23"/>
        <v>0.91975650249031549</v>
      </c>
      <c r="W161" s="1335" t="s">
        <v>2381</v>
      </c>
      <c r="X161" s="1331">
        <v>0</v>
      </c>
      <c r="Y161" s="1331">
        <v>0.2</v>
      </c>
      <c r="Z161" s="829" t="s">
        <v>2380</v>
      </c>
    </row>
    <row r="162" spans="1:26">
      <c r="A162" s="1326" t="s">
        <v>2078</v>
      </c>
      <c r="B162" s="1327">
        <v>332</v>
      </c>
      <c r="C162" s="1328" t="s">
        <v>2379</v>
      </c>
      <c r="D162" s="829" t="s">
        <v>2378</v>
      </c>
      <c r="E162" s="829" t="s">
        <v>2377</v>
      </c>
      <c r="F162" s="827">
        <v>15</v>
      </c>
      <c r="G162" s="827">
        <v>15</v>
      </c>
      <c r="H162" s="827">
        <f t="shared" si="19"/>
        <v>105.30221</v>
      </c>
      <c r="I162" s="827">
        <f t="shared" si="20"/>
        <v>0.14244715281854009</v>
      </c>
      <c r="J162" s="1330">
        <v>42584</v>
      </c>
      <c r="K162" s="1280" t="s">
        <v>2089</v>
      </c>
      <c r="L162" s="1331">
        <v>43.94</v>
      </c>
      <c r="M162" s="1331">
        <v>22.12</v>
      </c>
      <c r="N162" s="1332">
        <f>M162/L162</f>
        <v>0.50341374601729638</v>
      </c>
      <c r="O162" s="782">
        <v>41.09</v>
      </c>
      <c r="P162" s="1332">
        <f t="shared" si="22"/>
        <v>0.93513882567137019</v>
      </c>
      <c r="Q162" s="1331">
        <v>7</v>
      </c>
      <c r="R162" s="1332">
        <v>2.3965000000000001</v>
      </c>
      <c r="S162" s="1333" t="s">
        <v>2376</v>
      </c>
      <c r="T162" s="1334">
        <v>42963</v>
      </c>
      <c r="U162" s="821">
        <v>43.96</v>
      </c>
      <c r="V162" s="1332">
        <f t="shared" si="23"/>
        <v>1.0873691895838402</v>
      </c>
      <c r="W162" s="1335" t="s">
        <v>2375</v>
      </c>
      <c r="X162" s="1331">
        <v>0</v>
      </c>
      <c r="Y162" s="1331">
        <v>7.1999999999999993</v>
      </c>
      <c r="Z162" s="829" t="s">
        <v>2374</v>
      </c>
    </row>
    <row r="163" spans="1:26">
      <c r="A163" s="1326" t="s">
        <v>2078</v>
      </c>
      <c r="B163" s="1327">
        <v>335</v>
      </c>
      <c r="C163" s="1328" t="s">
        <v>2373</v>
      </c>
      <c r="D163" s="829" t="s">
        <v>2372</v>
      </c>
      <c r="E163" s="829" t="s">
        <v>2371</v>
      </c>
      <c r="F163" s="827">
        <v>10.3</v>
      </c>
      <c r="G163" s="827">
        <v>10.3</v>
      </c>
      <c r="H163" s="827">
        <f t="shared" si="19"/>
        <v>153.96167624999998</v>
      </c>
      <c r="I163" s="827">
        <f t="shared" si="20"/>
        <v>6.6899765258953539E-2</v>
      </c>
      <c r="J163" s="1330">
        <v>42580</v>
      </c>
      <c r="K163" s="1280" t="s">
        <v>2370</v>
      </c>
      <c r="L163" s="1331">
        <v>45.3</v>
      </c>
      <c r="M163" s="1331">
        <v>21.48</v>
      </c>
      <c r="N163" s="1332">
        <f>M163/L163</f>
        <v>0.47417218543046363</v>
      </c>
      <c r="O163" s="782">
        <v>43.31</v>
      </c>
      <c r="P163" s="1332">
        <f t="shared" si="22"/>
        <v>0.95607064017660059</v>
      </c>
      <c r="Q163" s="1331">
        <v>7</v>
      </c>
      <c r="R163" s="1332">
        <v>3.3987124999999998</v>
      </c>
      <c r="S163" s="1333" t="s">
        <v>2369</v>
      </c>
      <c r="T163" s="1334">
        <v>42965</v>
      </c>
      <c r="U163" s="821">
        <v>13.47</v>
      </c>
      <c r="V163" s="1332">
        <f t="shared" si="23"/>
        <v>0.78561533133225592</v>
      </c>
      <c r="W163" s="1335" t="s">
        <v>2368</v>
      </c>
      <c r="X163" s="1331">
        <v>15</v>
      </c>
      <c r="Y163" s="1331">
        <v>3.5</v>
      </c>
      <c r="Z163" s="829" t="s">
        <v>2116</v>
      </c>
    </row>
    <row r="164" spans="1:26">
      <c r="A164" s="1326" t="s">
        <v>2078</v>
      </c>
      <c r="B164" s="1283">
        <v>337</v>
      </c>
      <c r="C164" s="1328" t="s">
        <v>2367</v>
      </c>
      <c r="D164" s="1358" t="s">
        <v>2366</v>
      </c>
      <c r="E164" s="1358" t="s">
        <v>2365</v>
      </c>
      <c r="F164" s="1359">
        <v>15</v>
      </c>
      <c r="G164" s="1359">
        <v>15</v>
      </c>
      <c r="H164" s="827">
        <f t="shared" si="19"/>
        <v>52.287999999999997</v>
      </c>
      <c r="I164" s="827">
        <f t="shared" si="20"/>
        <v>0.28687270501835987</v>
      </c>
      <c r="J164" s="1330">
        <v>42579</v>
      </c>
      <c r="K164" s="1280" t="s">
        <v>2089</v>
      </c>
      <c r="L164" s="1331">
        <v>12.16</v>
      </c>
      <c r="M164" s="1331">
        <v>11.17</v>
      </c>
      <c r="N164" s="1332">
        <f t="shared" ref="N164:N169" si="24">M164/L164</f>
        <v>0.91858552631578949</v>
      </c>
      <c r="O164" s="1360">
        <v>11.2</v>
      </c>
      <c r="P164" s="1332">
        <f t="shared" si="22"/>
        <v>0.92105263157894735</v>
      </c>
      <c r="Q164" s="1331">
        <v>6</v>
      </c>
      <c r="R164" s="1331">
        <v>4.3</v>
      </c>
      <c r="S164" s="1333" t="s">
        <v>2364</v>
      </c>
      <c r="T164" s="1334">
        <v>42965</v>
      </c>
      <c r="U164" s="821">
        <v>11.67</v>
      </c>
      <c r="V164" s="1332">
        <f t="shared" si="23"/>
        <v>1.05</v>
      </c>
      <c r="W164" s="1335" t="s">
        <v>2363</v>
      </c>
      <c r="X164" s="1331">
        <v>0</v>
      </c>
      <c r="Y164" s="1331">
        <v>0.89999999999999991</v>
      </c>
      <c r="Z164" s="829" t="s">
        <v>2362</v>
      </c>
    </row>
    <row r="165" spans="1:26">
      <c r="A165" s="1326" t="s">
        <v>2078</v>
      </c>
      <c r="B165" s="1327">
        <v>338</v>
      </c>
      <c r="C165" s="1328" t="s">
        <v>2361</v>
      </c>
      <c r="D165" s="829" t="s">
        <v>2360</v>
      </c>
      <c r="E165" s="829" t="s">
        <v>2359</v>
      </c>
      <c r="F165" s="827">
        <v>11</v>
      </c>
      <c r="G165" s="827">
        <v>4.0999999999999996</v>
      </c>
      <c r="H165" s="827">
        <f t="shared" si="19"/>
        <v>47.893144433400003</v>
      </c>
      <c r="I165" s="827">
        <f t="shared" si="20"/>
        <v>0.22967796602489846</v>
      </c>
      <c r="J165" s="1330">
        <v>42590</v>
      </c>
      <c r="K165" s="1280" t="s">
        <v>2207</v>
      </c>
      <c r="L165" s="1331">
        <v>9.18</v>
      </c>
      <c r="M165" s="1331">
        <v>8.9600000000000009</v>
      </c>
      <c r="N165" s="1332">
        <f t="shared" si="24"/>
        <v>0.97603485838779969</v>
      </c>
      <c r="O165" s="782">
        <v>9.02</v>
      </c>
      <c r="P165" s="1332">
        <f t="shared" si="22"/>
        <v>0.98257080610021785</v>
      </c>
      <c r="Q165" s="1331">
        <v>2</v>
      </c>
      <c r="R165" s="1332">
        <v>5.2171181300000002</v>
      </c>
      <c r="S165" s="1333" t="s">
        <v>2358</v>
      </c>
      <c r="T165" s="1334">
        <v>42965</v>
      </c>
      <c r="U165" s="821">
        <v>8.2799999999999994</v>
      </c>
      <c r="V165" s="1332">
        <f t="shared" si="23"/>
        <v>0.94013303769401324</v>
      </c>
      <c r="W165" s="1335" t="s">
        <v>2348</v>
      </c>
      <c r="X165" s="1331">
        <v>0</v>
      </c>
      <c r="Y165" s="1331">
        <v>2</v>
      </c>
      <c r="Z165" s="829" t="s">
        <v>2093</v>
      </c>
    </row>
    <row r="166" spans="1:26">
      <c r="A166" s="1326" t="s">
        <v>2078</v>
      </c>
      <c r="B166" s="1327">
        <v>340</v>
      </c>
      <c r="C166" s="1328" t="s">
        <v>2357</v>
      </c>
      <c r="D166" s="829" t="s">
        <v>2356</v>
      </c>
      <c r="E166" s="829" t="s">
        <v>2355</v>
      </c>
      <c r="F166" s="827">
        <v>11.22</v>
      </c>
      <c r="G166" s="827">
        <v>11.47</v>
      </c>
      <c r="H166" s="827">
        <f t="shared" si="19"/>
        <v>33.853859999999997</v>
      </c>
      <c r="I166" s="827">
        <f t="shared" si="20"/>
        <v>0.33142454065799298</v>
      </c>
      <c r="J166" s="1330">
        <v>42579</v>
      </c>
      <c r="K166" s="1280" t="s">
        <v>2240</v>
      </c>
      <c r="L166" s="1331">
        <v>13.95</v>
      </c>
      <c r="M166" s="1331">
        <v>12.29</v>
      </c>
      <c r="N166" s="1332">
        <f t="shared" si="24"/>
        <v>0.88100358422939062</v>
      </c>
      <c r="O166" s="782">
        <v>12.85</v>
      </c>
      <c r="P166" s="1332">
        <f t="shared" si="22"/>
        <v>0.92114695340501795</v>
      </c>
      <c r="Q166" s="1331">
        <v>7</v>
      </c>
      <c r="R166" s="1332">
        <v>2.4268000000000001</v>
      </c>
      <c r="S166" s="1333" t="s">
        <v>2354</v>
      </c>
      <c r="T166" s="1334">
        <v>42968</v>
      </c>
      <c r="U166" s="821">
        <v>16.170000000000002</v>
      </c>
      <c r="V166" s="1332">
        <f t="shared" si="23"/>
        <v>1.2607237354085605</v>
      </c>
      <c r="W166" s="1335" t="s">
        <v>2353</v>
      </c>
      <c r="X166" s="1331">
        <v>0</v>
      </c>
      <c r="Y166" s="1331">
        <v>0.30299999999999999</v>
      </c>
      <c r="Z166" s="829" t="s">
        <v>2223</v>
      </c>
    </row>
    <row r="167" spans="1:26">
      <c r="A167" s="1326" t="s">
        <v>2078</v>
      </c>
      <c r="B167" s="1327">
        <v>341</v>
      </c>
      <c r="C167" s="1328" t="s">
        <v>2352</v>
      </c>
      <c r="D167" s="829" t="s">
        <v>2351</v>
      </c>
      <c r="E167" s="829" t="s">
        <v>2350</v>
      </c>
      <c r="F167" s="827">
        <v>9.1</v>
      </c>
      <c r="G167" s="827">
        <v>9.1</v>
      </c>
      <c r="H167" s="827">
        <f t="shared" si="19"/>
        <v>117.14197966639999</v>
      </c>
      <c r="I167" s="827">
        <f t="shared" si="20"/>
        <v>7.7683508729451373E-2</v>
      </c>
      <c r="J167" s="1330">
        <v>42576</v>
      </c>
      <c r="K167" s="1280" t="s">
        <v>2174</v>
      </c>
      <c r="L167" s="1331">
        <v>15.86</v>
      </c>
      <c r="M167" s="1331">
        <v>15.11</v>
      </c>
      <c r="N167" s="1332">
        <f t="shared" si="24"/>
        <v>0.95271122320302648</v>
      </c>
      <c r="O167" s="782">
        <v>15.41</v>
      </c>
      <c r="P167" s="1332">
        <f t="shared" si="22"/>
        <v>0.97162673392181598</v>
      </c>
      <c r="Q167" s="1331">
        <v>7</v>
      </c>
      <c r="R167" s="1332">
        <v>7.3860012399999997</v>
      </c>
      <c r="S167" s="1333" t="s">
        <v>2349</v>
      </c>
      <c r="T167" s="1334">
        <v>42968</v>
      </c>
      <c r="U167" s="821">
        <v>11.83</v>
      </c>
      <c r="V167" s="1332">
        <f t="shared" si="23"/>
        <v>0.78066190785204403</v>
      </c>
      <c r="W167" s="1335" t="s">
        <v>2348</v>
      </c>
      <c r="X167" s="1331">
        <v>0</v>
      </c>
      <c r="Y167" s="1331">
        <v>2</v>
      </c>
      <c r="Z167" s="829" t="s">
        <v>2104</v>
      </c>
    </row>
    <row r="168" spans="1:26">
      <c r="A168" s="1326" t="s">
        <v>2078</v>
      </c>
      <c r="B168" s="1327">
        <v>342</v>
      </c>
      <c r="C168" s="1328" t="s">
        <v>2347</v>
      </c>
      <c r="D168" s="829" t="s">
        <v>2346</v>
      </c>
      <c r="E168" s="829" t="s">
        <v>2345</v>
      </c>
      <c r="F168" s="827">
        <v>18</v>
      </c>
      <c r="G168" s="827">
        <v>18</v>
      </c>
      <c r="H168" s="827">
        <f t="shared" si="19"/>
        <v>68.735520022399996</v>
      </c>
      <c r="I168" s="827">
        <f t="shared" si="20"/>
        <v>0.26187333701896831</v>
      </c>
      <c r="J168" s="1330">
        <v>42580</v>
      </c>
      <c r="K168" s="1280" t="s">
        <v>204</v>
      </c>
      <c r="L168" s="1331">
        <v>12.76</v>
      </c>
      <c r="M168" s="1331">
        <v>11.54</v>
      </c>
      <c r="N168" s="1332">
        <f t="shared" si="24"/>
        <v>0.90438871473354232</v>
      </c>
      <c r="O168" s="782">
        <v>11.54</v>
      </c>
      <c r="P168" s="1332">
        <f t="shared" si="22"/>
        <v>0.90438871473354232</v>
      </c>
      <c r="Q168" s="1331">
        <v>7</v>
      </c>
      <c r="R168" s="1332">
        <v>5.3867962399999998</v>
      </c>
      <c r="S168" s="1333" t="s">
        <v>2344</v>
      </c>
      <c r="T168" s="1334">
        <v>42968</v>
      </c>
      <c r="U168" s="821">
        <v>9.4499999999999993</v>
      </c>
      <c r="V168" s="1332">
        <f t="shared" si="23"/>
        <v>1.1551126516464472</v>
      </c>
      <c r="W168" s="1335" t="s">
        <v>2343</v>
      </c>
      <c r="X168" s="1331">
        <v>4</v>
      </c>
      <c r="Y168" s="1331">
        <v>1</v>
      </c>
      <c r="Z168" s="829" t="s">
        <v>2116</v>
      </c>
    </row>
    <row r="169" spans="1:26">
      <c r="A169" s="1326" t="s">
        <v>2078</v>
      </c>
      <c r="B169" s="1327">
        <v>343</v>
      </c>
      <c r="C169" s="1328" t="s">
        <v>2342</v>
      </c>
      <c r="D169" s="1357" t="s">
        <v>2341</v>
      </c>
      <c r="E169" s="1358" t="s">
        <v>2340</v>
      </c>
      <c r="F169" s="1359">
        <v>8.6999999999999993</v>
      </c>
      <c r="G169" s="1359">
        <v>8.6999998319999996</v>
      </c>
      <c r="H169" s="827">
        <f t="shared" si="19"/>
        <v>172.02541708000001</v>
      </c>
      <c r="I169" s="827">
        <f t="shared" si="20"/>
        <v>5.0573921852223064E-2</v>
      </c>
      <c r="J169" s="1330">
        <v>42544</v>
      </c>
      <c r="K169" s="1280" t="s">
        <v>2089</v>
      </c>
      <c r="L169" s="1331">
        <v>23</v>
      </c>
      <c r="M169" s="1332">
        <v>22.790112700000002</v>
      </c>
      <c r="N169" s="1332">
        <f t="shared" si="24"/>
        <v>0.99087446521739142</v>
      </c>
      <c r="O169" s="782">
        <v>22.8</v>
      </c>
      <c r="P169" s="1332">
        <f t="shared" si="22"/>
        <v>0.99130434782608701</v>
      </c>
      <c r="Q169" s="1331">
        <v>3</v>
      </c>
      <c r="R169" s="1332">
        <v>7.47936596</v>
      </c>
      <c r="S169" s="1333" t="s">
        <v>2339</v>
      </c>
      <c r="T169" s="1334">
        <v>42984</v>
      </c>
      <c r="U169" s="821">
        <v>15.12</v>
      </c>
      <c r="V169" s="1332">
        <f t="shared" si="23"/>
        <v>0.66469780701754377</v>
      </c>
      <c r="W169" s="1335" t="s">
        <v>2338</v>
      </c>
      <c r="X169" s="1331">
        <v>0</v>
      </c>
      <c r="Y169" s="1331">
        <v>0.35110000000000002</v>
      </c>
      <c r="Z169" s="829" t="s">
        <v>2337</v>
      </c>
    </row>
    <row r="170" spans="1:26">
      <c r="A170" s="1326" t="s">
        <v>2078</v>
      </c>
      <c r="B170" s="1327"/>
      <c r="C170" s="1336"/>
      <c r="D170" s="1358"/>
      <c r="E170" s="1358"/>
      <c r="F170" s="1359"/>
      <c r="G170" s="1359"/>
      <c r="H170" s="827"/>
      <c r="I170" s="827"/>
      <c r="J170" s="1330">
        <v>42545</v>
      </c>
      <c r="K170" s="1337">
        <v>0.47916666666666669</v>
      </c>
      <c r="L170" s="1331"/>
      <c r="M170" s="1331"/>
      <c r="N170" s="1332"/>
      <c r="O170" s="782"/>
      <c r="P170" s="1332"/>
      <c r="Q170" s="1331"/>
      <c r="R170" s="1331"/>
      <c r="S170" s="1338"/>
      <c r="T170" s="1334"/>
      <c r="U170" s="821"/>
      <c r="V170" s="1332"/>
      <c r="W170" s="1335"/>
      <c r="X170" s="1331"/>
      <c r="Y170" s="1331"/>
      <c r="Z170" s="1339"/>
    </row>
    <row r="171" spans="1:26">
      <c r="A171" s="1326" t="s">
        <v>2078</v>
      </c>
      <c r="B171" s="1327"/>
      <c r="C171" s="1336"/>
      <c r="D171" s="1358"/>
      <c r="E171" s="1358"/>
      <c r="F171" s="1359"/>
      <c r="G171" s="1359"/>
      <c r="H171" s="827"/>
      <c r="I171" s="827"/>
      <c r="J171" s="1330">
        <v>42557</v>
      </c>
      <c r="K171" s="1280" t="s">
        <v>2089</v>
      </c>
      <c r="L171" s="1331"/>
      <c r="M171" s="1331"/>
      <c r="N171" s="1332"/>
      <c r="O171" s="782"/>
      <c r="P171" s="1332"/>
      <c r="Q171" s="1331"/>
      <c r="R171" s="1331"/>
      <c r="S171" s="1338"/>
      <c r="T171" s="1334"/>
      <c r="U171" s="821"/>
      <c r="V171" s="1332"/>
      <c r="W171" s="1335"/>
      <c r="X171" s="1331"/>
      <c r="Y171" s="1331"/>
      <c r="Z171" s="1339"/>
    </row>
    <row r="172" spans="1:26">
      <c r="A172" s="1326" t="s">
        <v>2078</v>
      </c>
      <c r="B172" s="1327">
        <v>344</v>
      </c>
      <c r="C172" s="1328" t="s">
        <v>2336</v>
      </c>
      <c r="D172" s="829" t="s">
        <v>2335</v>
      </c>
      <c r="E172" s="829" t="s">
        <v>2334</v>
      </c>
      <c r="F172" s="827">
        <v>11.27</v>
      </c>
      <c r="G172" s="827">
        <v>11.27</v>
      </c>
      <c r="H172" s="827">
        <f t="shared" ref="H172:H235" si="25">L172*R172</f>
        <v>71.217434927200003</v>
      </c>
      <c r="I172" s="827">
        <f t="shared" ref="I172:I235" si="26">F172/H172</f>
        <v>0.15824776631621787</v>
      </c>
      <c r="J172" s="1330">
        <v>42585</v>
      </c>
      <c r="K172" s="1280" t="s">
        <v>2089</v>
      </c>
      <c r="L172" s="1331">
        <v>22.28</v>
      </c>
      <c r="M172" s="1331">
        <v>15.65</v>
      </c>
      <c r="N172" s="1332">
        <f t="shared" ref="N172:N235" si="27">M172/L172</f>
        <v>0.70242369838420105</v>
      </c>
      <c r="O172" s="782">
        <v>21</v>
      </c>
      <c r="P172" s="1332">
        <f t="shared" ref="P172:P235" si="28">O172/L172</f>
        <v>0.94254937163375219</v>
      </c>
      <c r="Q172" s="1331">
        <v>7</v>
      </c>
      <c r="R172" s="1332">
        <v>3.1964737400000001</v>
      </c>
      <c r="S172" s="1333" t="s">
        <v>2333</v>
      </c>
      <c r="T172" s="1334">
        <v>42969</v>
      </c>
      <c r="U172" s="821">
        <v>12.93</v>
      </c>
      <c r="V172" s="1332">
        <f t="shared" ref="V172:V218" si="29">((U172*(1+X172/10)+Y172/10)/O172)</f>
        <v>0.6204761904761904</v>
      </c>
      <c r="W172" s="1335" t="s">
        <v>2123</v>
      </c>
      <c r="X172" s="1331">
        <v>0</v>
      </c>
      <c r="Y172" s="1331">
        <v>1</v>
      </c>
      <c r="Z172" s="829" t="s">
        <v>2332</v>
      </c>
    </row>
    <row r="173" spans="1:26">
      <c r="A173" s="1326" t="s">
        <v>2078</v>
      </c>
      <c r="B173" s="1327">
        <v>346</v>
      </c>
      <c r="C173" s="1328" t="s">
        <v>2331</v>
      </c>
      <c r="D173" s="829" t="s">
        <v>2330</v>
      </c>
      <c r="E173" s="829" t="s">
        <v>2329</v>
      </c>
      <c r="F173" s="827">
        <v>21.6</v>
      </c>
      <c r="G173" s="827">
        <v>21.6</v>
      </c>
      <c r="H173" s="827">
        <f t="shared" si="25"/>
        <v>135.55880000000002</v>
      </c>
      <c r="I173" s="827">
        <f t="shared" si="26"/>
        <v>0.15934044857287022</v>
      </c>
      <c r="J173" s="1330">
        <v>42578</v>
      </c>
      <c r="K173" s="1280" t="s">
        <v>2089</v>
      </c>
      <c r="L173" s="1331">
        <v>17.03</v>
      </c>
      <c r="M173" s="1331">
        <v>13.88</v>
      </c>
      <c r="N173" s="1332">
        <f t="shared" si="27"/>
        <v>0.81503229594832649</v>
      </c>
      <c r="O173" s="782">
        <v>16.100000000000001</v>
      </c>
      <c r="P173" s="1332">
        <f t="shared" si="28"/>
        <v>0.94539048737522025</v>
      </c>
      <c r="Q173" s="1331">
        <v>9</v>
      </c>
      <c r="R173" s="1331">
        <v>7.96</v>
      </c>
      <c r="S173" s="1333" t="s">
        <v>2328</v>
      </c>
      <c r="T173" s="1334">
        <v>42970</v>
      </c>
      <c r="U173" s="821">
        <v>15.5</v>
      </c>
      <c r="V173" s="1332">
        <f t="shared" si="29"/>
        <v>0.97329192546583843</v>
      </c>
      <c r="W173" s="1335" t="s">
        <v>2327</v>
      </c>
      <c r="X173" s="1331">
        <v>0</v>
      </c>
      <c r="Y173" s="1331">
        <v>1.7000000000000002</v>
      </c>
      <c r="Z173" s="829" t="s">
        <v>2122</v>
      </c>
    </row>
    <row r="174" spans="1:26">
      <c r="A174" s="1326" t="s">
        <v>2078</v>
      </c>
      <c r="B174" s="1327">
        <v>347</v>
      </c>
      <c r="C174" s="1328" t="s">
        <v>2326</v>
      </c>
      <c r="D174" s="829" t="s">
        <v>2325</v>
      </c>
      <c r="E174" s="829" t="s">
        <v>2324</v>
      </c>
      <c r="F174" s="827">
        <v>8</v>
      </c>
      <c r="G174" s="827">
        <v>8</v>
      </c>
      <c r="H174" s="827">
        <f t="shared" si="25"/>
        <v>83.424000000000007</v>
      </c>
      <c r="I174" s="827">
        <f t="shared" si="26"/>
        <v>9.5895665515918674E-2</v>
      </c>
      <c r="J174" s="1330">
        <v>42580</v>
      </c>
      <c r="K174" s="1280" t="s">
        <v>2089</v>
      </c>
      <c r="L174" s="821">
        <v>43.45</v>
      </c>
      <c r="M174" s="1331">
        <v>37.15</v>
      </c>
      <c r="N174" s="1332">
        <f t="shared" si="27"/>
        <v>0.85500575373993082</v>
      </c>
      <c r="O174" s="782">
        <v>39.51</v>
      </c>
      <c r="P174" s="1332">
        <f t="shared" si="28"/>
        <v>0.90932105868814717</v>
      </c>
      <c r="Q174" s="1331">
        <v>5</v>
      </c>
      <c r="R174" s="1331">
        <v>1.92</v>
      </c>
      <c r="S174" s="1333" t="s">
        <v>2323</v>
      </c>
      <c r="T174" s="1334">
        <v>42969</v>
      </c>
      <c r="U174" s="821">
        <v>27.82</v>
      </c>
      <c r="V174" s="1332">
        <f t="shared" si="29"/>
        <v>0.71171855226524938</v>
      </c>
      <c r="W174" s="1335" t="s">
        <v>2322</v>
      </c>
      <c r="X174" s="1331">
        <v>0</v>
      </c>
      <c r="Y174" s="1331">
        <v>3</v>
      </c>
      <c r="Z174" s="829" t="s">
        <v>2172</v>
      </c>
    </row>
    <row r="175" spans="1:26">
      <c r="A175" s="1326" t="s">
        <v>2078</v>
      </c>
      <c r="B175" s="1327">
        <v>350</v>
      </c>
      <c r="C175" s="1328" t="s">
        <v>2321</v>
      </c>
      <c r="D175" s="829" t="s">
        <v>2320</v>
      </c>
      <c r="E175" s="829" t="s">
        <v>2319</v>
      </c>
      <c r="F175" s="827">
        <v>13.7</v>
      </c>
      <c r="G175" s="827">
        <v>13.7</v>
      </c>
      <c r="H175" s="827">
        <f t="shared" si="25"/>
        <v>64.897154862000008</v>
      </c>
      <c r="I175" s="827">
        <f t="shared" si="26"/>
        <v>0.21110324526756596</v>
      </c>
      <c r="J175" s="1330">
        <v>42573</v>
      </c>
      <c r="K175" s="1280" t="s">
        <v>2240</v>
      </c>
      <c r="L175" s="1331">
        <v>31.7</v>
      </c>
      <c r="M175" s="1331">
        <v>26.85</v>
      </c>
      <c r="N175" s="1332">
        <f t="shared" si="27"/>
        <v>0.84700315457413256</v>
      </c>
      <c r="O175" s="782">
        <v>29.03</v>
      </c>
      <c r="P175" s="1332">
        <f t="shared" si="28"/>
        <v>0.9157728706624606</v>
      </c>
      <c r="Q175" s="1331">
        <v>5</v>
      </c>
      <c r="R175" s="1332">
        <v>2.0472288600000002</v>
      </c>
      <c r="S175" s="1333" t="s">
        <v>2318</v>
      </c>
      <c r="T175" s="1334">
        <v>42970</v>
      </c>
      <c r="U175" s="821">
        <v>15.55</v>
      </c>
      <c r="V175" s="1332">
        <f t="shared" si="29"/>
        <v>0.97106441612125383</v>
      </c>
      <c r="W175" s="1335" t="s">
        <v>2317</v>
      </c>
      <c r="X175" s="1331">
        <v>8</v>
      </c>
      <c r="Y175" s="1331">
        <v>2</v>
      </c>
      <c r="Z175" s="829" t="s">
        <v>2316</v>
      </c>
    </row>
    <row r="176" spans="1:26">
      <c r="A176" s="1326" t="s">
        <v>2078</v>
      </c>
      <c r="B176" s="1327">
        <v>352</v>
      </c>
      <c r="C176" s="1328" t="s">
        <v>2315</v>
      </c>
      <c r="D176" s="829" t="s">
        <v>2314</v>
      </c>
      <c r="E176" s="829" t="s">
        <v>2313</v>
      </c>
      <c r="F176" s="827">
        <v>30.09</v>
      </c>
      <c r="G176" s="827">
        <v>21.09</v>
      </c>
      <c r="H176" s="827">
        <f t="shared" si="25"/>
        <v>184.14786852</v>
      </c>
      <c r="I176" s="827">
        <f t="shared" si="26"/>
        <v>0.16340129398093997</v>
      </c>
      <c r="J176" s="1330">
        <v>42576</v>
      </c>
      <c r="K176" s="1280" t="s">
        <v>2089</v>
      </c>
      <c r="L176" s="1331">
        <v>11.97</v>
      </c>
      <c r="M176" s="1331">
        <v>8.2200000000000006</v>
      </c>
      <c r="N176" s="1332">
        <f t="shared" si="27"/>
        <v>0.68671679197994984</v>
      </c>
      <c r="O176" s="782">
        <v>11.1</v>
      </c>
      <c r="P176" s="1332">
        <f t="shared" si="28"/>
        <v>0.92731829573934832</v>
      </c>
      <c r="Q176" s="1331">
        <v>8</v>
      </c>
      <c r="R176" s="1377">
        <v>15.384116000000001</v>
      </c>
      <c r="S176" s="1333" t="s">
        <v>2312</v>
      </c>
      <c r="T176" s="1334">
        <v>42970</v>
      </c>
      <c r="U176" s="821">
        <v>15.32</v>
      </c>
      <c r="V176" s="1332">
        <f t="shared" si="29"/>
        <v>1.3833333333333335</v>
      </c>
      <c r="W176" s="1335" t="s">
        <v>2311</v>
      </c>
      <c r="X176" s="1331">
        <v>0</v>
      </c>
      <c r="Y176" s="1331">
        <v>0.35000000000000003</v>
      </c>
      <c r="Z176" s="829" t="s">
        <v>2160</v>
      </c>
    </row>
    <row r="177" spans="1:26">
      <c r="A177" s="1326" t="s">
        <v>2078</v>
      </c>
      <c r="B177" s="1327">
        <v>354</v>
      </c>
      <c r="C177" s="1328" t="s">
        <v>2310</v>
      </c>
      <c r="D177" s="829" t="s">
        <v>2309</v>
      </c>
      <c r="E177" s="829" t="s">
        <v>2308</v>
      </c>
      <c r="F177" s="827">
        <v>31</v>
      </c>
      <c r="G177" s="827">
        <v>31</v>
      </c>
      <c r="H177" s="827">
        <f t="shared" si="25"/>
        <v>180.89208578559999</v>
      </c>
      <c r="I177" s="827">
        <f t="shared" si="26"/>
        <v>0.17137289265790406</v>
      </c>
      <c r="J177" s="1330">
        <v>42580</v>
      </c>
      <c r="K177" s="1280" t="s">
        <v>2240</v>
      </c>
      <c r="L177" s="1331">
        <v>32.619999999999997</v>
      </c>
      <c r="M177" s="1331">
        <v>24.72</v>
      </c>
      <c r="N177" s="1332">
        <f t="shared" si="27"/>
        <v>0.75781729000613118</v>
      </c>
      <c r="O177" s="782">
        <v>31.1</v>
      </c>
      <c r="P177" s="1332">
        <f t="shared" si="28"/>
        <v>0.95340282035561019</v>
      </c>
      <c r="Q177" s="1331">
        <v>9</v>
      </c>
      <c r="R177" s="1332">
        <v>5.5454348800000002</v>
      </c>
      <c r="S177" s="1333" t="s">
        <v>2307</v>
      </c>
      <c r="T177" s="1334">
        <v>42978</v>
      </c>
      <c r="U177" s="821">
        <v>14.62</v>
      </c>
      <c r="V177" s="1332">
        <f t="shared" si="29"/>
        <v>1.0841479099678455</v>
      </c>
      <c r="W177" s="1335" t="s">
        <v>2306</v>
      </c>
      <c r="X177" s="1331">
        <v>13</v>
      </c>
      <c r="Y177" s="1331">
        <v>0.90999999999999992</v>
      </c>
      <c r="Z177" s="829" t="s">
        <v>2281</v>
      </c>
    </row>
    <row r="178" spans="1:26">
      <c r="A178" s="1326" t="s">
        <v>2078</v>
      </c>
      <c r="B178" s="1327">
        <v>355</v>
      </c>
      <c r="C178" s="1328" t="s">
        <v>2305</v>
      </c>
      <c r="D178" s="829" t="s">
        <v>2304</v>
      </c>
      <c r="E178" s="829" t="s">
        <v>2303</v>
      </c>
      <c r="F178" s="827">
        <v>4.49</v>
      </c>
      <c r="G178" s="827">
        <v>4.49</v>
      </c>
      <c r="H178" s="827">
        <f t="shared" si="25"/>
        <v>86.212823999999998</v>
      </c>
      <c r="I178" s="827">
        <f t="shared" si="26"/>
        <v>5.2080419033715915E-2</v>
      </c>
      <c r="J178" s="1330">
        <v>42565</v>
      </c>
      <c r="K178" s="1280" t="s">
        <v>2302</v>
      </c>
      <c r="L178" s="1331">
        <v>76.62</v>
      </c>
      <c r="M178" s="1331">
        <v>61.17</v>
      </c>
      <c r="N178" s="1332">
        <f t="shared" si="27"/>
        <v>0.79835552075176197</v>
      </c>
      <c r="O178" s="782">
        <v>68.95</v>
      </c>
      <c r="P178" s="1332">
        <f t="shared" si="28"/>
        <v>0.89989558861915953</v>
      </c>
      <c r="Q178" s="1331">
        <v>2</v>
      </c>
      <c r="R178" s="1332">
        <v>1.1252</v>
      </c>
      <c r="S178" s="1333" t="s">
        <v>2301</v>
      </c>
      <c r="T178" s="1334">
        <v>42971</v>
      </c>
      <c r="U178" s="821">
        <v>22.3</v>
      </c>
      <c r="V178" s="1332">
        <f t="shared" si="29"/>
        <v>0.65206671501087743</v>
      </c>
      <c r="W178" s="1335" t="s">
        <v>2300</v>
      </c>
      <c r="X178" s="1331">
        <v>10</v>
      </c>
      <c r="Y178" s="1331">
        <v>3.5999999999999996</v>
      </c>
      <c r="Z178" s="829" t="s">
        <v>2072</v>
      </c>
    </row>
    <row r="179" spans="1:26">
      <c r="A179" s="1326" t="s">
        <v>2078</v>
      </c>
      <c r="B179" s="1327">
        <v>356</v>
      </c>
      <c r="C179" s="1328" t="s">
        <v>2299</v>
      </c>
      <c r="D179" s="829" t="s">
        <v>2298</v>
      </c>
      <c r="E179" s="829" t="s">
        <v>2297</v>
      </c>
      <c r="F179" s="827">
        <v>69.5</v>
      </c>
      <c r="G179" s="827">
        <v>69.5</v>
      </c>
      <c r="H179" s="827">
        <f t="shared" si="25"/>
        <v>508.90456980020002</v>
      </c>
      <c r="I179" s="827">
        <f t="shared" si="26"/>
        <v>0.13656784419775647</v>
      </c>
      <c r="J179" s="1330">
        <v>42586</v>
      </c>
      <c r="K179" s="1280" t="s">
        <v>2089</v>
      </c>
      <c r="L179" s="1331">
        <v>13.27</v>
      </c>
      <c r="M179" s="1331">
        <v>6.29</v>
      </c>
      <c r="N179" s="1332">
        <f t="shared" si="27"/>
        <v>0.4740015071590053</v>
      </c>
      <c r="O179" s="782">
        <v>6.29</v>
      </c>
      <c r="P179" s="1332">
        <f t="shared" si="28"/>
        <v>0.4740015071590053</v>
      </c>
      <c r="Q179" s="1331">
        <v>9</v>
      </c>
      <c r="R179" s="1362">
        <v>38.350005260000003</v>
      </c>
      <c r="S179" s="1333" t="s">
        <v>2296</v>
      </c>
      <c r="T179" s="1334">
        <v>42975</v>
      </c>
      <c r="U179" s="821">
        <v>10.29</v>
      </c>
      <c r="V179" s="1332">
        <f t="shared" si="29"/>
        <v>1.6470588235294117</v>
      </c>
      <c r="W179" s="1335" t="s">
        <v>2295</v>
      </c>
      <c r="X179" s="1331">
        <v>0</v>
      </c>
      <c r="Y179" s="1331">
        <v>0.70000000000000007</v>
      </c>
      <c r="Z179" s="829" t="s">
        <v>2160</v>
      </c>
    </row>
    <row r="180" spans="1:26">
      <c r="A180" s="1326" t="s">
        <v>2078</v>
      </c>
      <c r="B180" s="1327">
        <v>357</v>
      </c>
      <c r="C180" s="1328" t="s">
        <v>2294</v>
      </c>
      <c r="D180" s="829" t="s">
        <v>2293</v>
      </c>
      <c r="E180" s="829" t="s">
        <v>2292</v>
      </c>
      <c r="F180" s="827">
        <v>10.27</v>
      </c>
      <c r="G180" s="827">
        <v>10.26</v>
      </c>
      <c r="H180" s="827">
        <f t="shared" si="25"/>
        <v>131.78880000000001</v>
      </c>
      <c r="I180" s="827">
        <f t="shared" si="26"/>
        <v>7.7927714646464641E-2</v>
      </c>
      <c r="J180" s="1330">
        <v>42598</v>
      </c>
      <c r="K180" s="1280" t="s">
        <v>2240</v>
      </c>
      <c r="L180" s="1331">
        <v>79.2</v>
      </c>
      <c r="M180" s="1331">
        <v>65.349999999999994</v>
      </c>
      <c r="N180" s="1332">
        <f t="shared" si="27"/>
        <v>0.82512626262626254</v>
      </c>
      <c r="O180" s="782">
        <v>69.989999999999995</v>
      </c>
      <c r="P180" s="1332">
        <f t="shared" si="28"/>
        <v>0.88371212121212117</v>
      </c>
      <c r="Q180" s="1331">
        <v>7</v>
      </c>
      <c r="R180" s="1331">
        <v>1.6639999999999999</v>
      </c>
      <c r="S180" s="1333" t="s">
        <v>2291</v>
      </c>
      <c r="T180" s="1334">
        <v>42975</v>
      </c>
      <c r="U180" s="821">
        <v>24.07</v>
      </c>
      <c r="V180" s="1332">
        <f t="shared" si="29"/>
        <v>0.86305186455207883</v>
      </c>
      <c r="W180" s="1335" t="s">
        <v>2290</v>
      </c>
      <c r="X180" s="1331">
        <v>15</v>
      </c>
      <c r="Y180" s="1331">
        <v>2.3000000000000003</v>
      </c>
      <c r="Z180" s="829" t="s">
        <v>2160</v>
      </c>
    </row>
    <row r="181" spans="1:26">
      <c r="A181" s="1326" t="s">
        <v>2078</v>
      </c>
      <c r="B181" s="1327">
        <v>358</v>
      </c>
      <c r="C181" s="1328" t="s">
        <v>2289</v>
      </c>
      <c r="D181" s="829" t="s">
        <v>2288</v>
      </c>
      <c r="E181" s="829" t="s">
        <v>2287</v>
      </c>
      <c r="F181" s="827">
        <v>9.35</v>
      </c>
      <c r="G181" s="827">
        <v>9.35</v>
      </c>
      <c r="H181" s="827">
        <f t="shared" si="25"/>
        <v>77.203800000000001</v>
      </c>
      <c r="I181" s="827">
        <f t="shared" si="26"/>
        <v>0.12110802836129828</v>
      </c>
      <c r="J181" s="1330">
        <v>42584</v>
      </c>
      <c r="K181" s="1280" t="s">
        <v>2089</v>
      </c>
      <c r="L181" s="1331">
        <v>25.23</v>
      </c>
      <c r="M181" s="1331">
        <v>13.21</v>
      </c>
      <c r="N181" s="1332">
        <f t="shared" si="27"/>
        <v>0.5235830360681728</v>
      </c>
      <c r="O181" s="782">
        <v>21.2</v>
      </c>
      <c r="P181" s="1332">
        <f t="shared" si="28"/>
        <v>0.84026952041220759</v>
      </c>
      <c r="Q181" s="1331">
        <v>6</v>
      </c>
      <c r="R181" s="1331">
        <v>3.06</v>
      </c>
      <c r="S181" s="1333" t="s">
        <v>2286</v>
      </c>
      <c r="T181" s="1334">
        <v>42977</v>
      </c>
      <c r="U181" s="821">
        <v>16.600000000000001</v>
      </c>
      <c r="V181" s="1332">
        <f t="shared" si="29"/>
        <v>0.79009433962264153</v>
      </c>
      <c r="W181" s="1335" t="s">
        <v>2117</v>
      </c>
      <c r="X181" s="1331">
        <v>0</v>
      </c>
      <c r="Y181" s="1331">
        <v>1.5</v>
      </c>
      <c r="Z181" s="829" t="s">
        <v>2122</v>
      </c>
    </row>
    <row r="182" spans="1:26">
      <c r="A182" s="1326" t="s">
        <v>2078</v>
      </c>
      <c r="B182" s="1327">
        <v>359</v>
      </c>
      <c r="C182" s="1328" t="s">
        <v>2285</v>
      </c>
      <c r="D182" s="829" t="s">
        <v>2284</v>
      </c>
      <c r="E182" s="829" t="s">
        <v>2283</v>
      </c>
      <c r="F182" s="827">
        <v>10.7</v>
      </c>
      <c r="G182" s="827">
        <v>10.7</v>
      </c>
      <c r="H182" s="827">
        <f t="shared" si="25"/>
        <v>117.8720324355</v>
      </c>
      <c r="I182" s="827">
        <f t="shared" si="26"/>
        <v>9.0776410475954736E-2</v>
      </c>
      <c r="J182" s="1330">
        <v>42598</v>
      </c>
      <c r="K182" s="1280" t="s">
        <v>2089</v>
      </c>
      <c r="L182" s="1331">
        <v>12.53</v>
      </c>
      <c r="M182" s="1331">
        <v>11.12</v>
      </c>
      <c r="N182" s="1332">
        <f t="shared" si="27"/>
        <v>0.88747007182761373</v>
      </c>
      <c r="O182" s="782">
        <v>12.02</v>
      </c>
      <c r="P182" s="1332">
        <f t="shared" si="28"/>
        <v>0.95929768555466877</v>
      </c>
      <c r="Q182" s="1331">
        <v>7</v>
      </c>
      <c r="R182" s="1332">
        <v>9.4071853500000007</v>
      </c>
      <c r="S182" s="1333" t="s">
        <v>2282</v>
      </c>
      <c r="T182" s="1334">
        <v>42976</v>
      </c>
      <c r="U182" s="821">
        <v>13</v>
      </c>
      <c r="V182" s="1332">
        <f t="shared" si="29"/>
        <v>1.094009983361065</v>
      </c>
      <c r="W182" s="1366" t="s">
        <v>239</v>
      </c>
      <c r="X182" s="1331">
        <v>0</v>
      </c>
      <c r="Y182" s="1331">
        <v>1.5</v>
      </c>
      <c r="Z182" s="829" t="s">
        <v>2281</v>
      </c>
    </row>
    <row r="183" spans="1:26">
      <c r="A183" s="1326" t="s">
        <v>2078</v>
      </c>
      <c r="B183" s="1327">
        <v>360</v>
      </c>
      <c r="C183" s="1328" t="s">
        <v>2280</v>
      </c>
      <c r="D183" s="829" t="s">
        <v>2279</v>
      </c>
      <c r="E183" s="829" t="s">
        <v>2278</v>
      </c>
      <c r="F183" s="827">
        <v>27</v>
      </c>
      <c r="G183" s="827">
        <v>27</v>
      </c>
      <c r="H183" s="827">
        <f t="shared" si="25"/>
        <v>174.48817963049999</v>
      </c>
      <c r="I183" s="827">
        <f t="shared" si="26"/>
        <v>0.15473827543605415</v>
      </c>
      <c r="J183" s="1330">
        <v>42597</v>
      </c>
      <c r="K183" s="1280" t="s">
        <v>2277</v>
      </c>
      <c r="L183" s="1331">
        <v>22.95</v>
      </c>
      <c r="M183" s="1331">
        <v>15.28</v>
      </c>
      <c r="N183" s="1332">
        <f t="shared" si="27"/>
        <v>0.6657952069716776</v>
      </c>
      <c r="O183" s="782">
        <v>15.31</v>
      </c>
      <c r="P183" s="1332">
        <f t="shared" si="28"/>
        <v>0.66710239651416126</v>
      </c>
      <c r="Q183" s="1331">
        <v>7</v>
      </c>
      <c r="R183" s="1362">
        <v>7.6029707899999996</v>
      </c>
      <c r="S183" s="1333" t="s">
        <v>2276</v>
      </c>
      <c r="T183" s="1334">
        <v>42976</v>
      </c>
      <c r="U183" s="821">
        <v>9.6199999999999992</v>
      </c>
      <c r="V183" s="1332">
        <f t="shared" si="29"/>
        <v>1.258001306335728</v>
      </c>
      <c r="W183" s="1335" t="s">
        <v>2275</v>
      </c>
      <c r="X183" s="1331">
        <v>10</v>
      </c>
      <c r="Y183" s="1331">
        <v>0.2</v>
      </c>
      <c r="Z183" s="829" t="s">
        <v>2233</v>
      </c>
    </row>
    <row r="184" spans="1:26">
      <c r="A184" s="1326" t="s">
        <v>2078</v>
      </c>
      <c r="B184" s="1327">
        <v>361</v>
      </c>
      <c r="C184" s="1328" t="s">
        <v>2274</v>
      </c>
      <c r="D184" s="829" t="s">
        <v>2273</v>
      </c>
      <c r="E184" s="829" t="s">
        <v>2272</v>
      </c>
      <c r="F184" s="827">
        <v>5.98</v>
      </c>
      <c r="G184" s="827">
        <v>5.98</v>
      </c>
      <c r="H184" s="827">
        <f t="shared" si="25"/>
        <v>46.741659999999996</v>
      </c>
      <c r="I184" s="827">
        <f t="shared" si="26"/>
        <v>0.1279372619628828</v>
      </c>
      <c r="J184" s="1330">
        <v>42598</v>
      </c>
      <c r="K184" s="1280" t="s">
        <v>2174</v>
      </c>
      <c r="L184" s="1331">
        <v>19.18</v>
      </c>
      <c r="M184" s="1331">
        <v>14.3</v>
      </c>
      <c r="N184" s="1332">
        <f t="shared" si="27"/>
        <v>0.74556830031282595</v>
      </c>
      <c r="O184" s="782">
        <v>18.88</v>
      </c>
      <c r="P184" s="1332">
        <f t="shared" si="28"/>
        <v>0.98435870698644412</v>
      </c>
      <c r="Q184" s="1331">
        <v>9</v>
      </c>
      <c r="R184" s="1331">
        <v>2.4369999999999998</v>
      </c>
      <c r="S184" s="1333" t="s">
        <v>2271</v>
      </c>
      <c r="T184" s="1334">
        <v>42977</v>
      </c>
      <c r="U184" s="821">
        <v>17.66</v>
      </c>
      <c r="V184" s="1332">
        <f t="shared" si="29"/>
        <v>0.94253177966101709</v>
      </c>
      <c r="W184" s="1335" t="s">
        <v>2270</v>
      </c>
      <c r="X184" s="1331">
        <v>0</v>
      </c>
      <c r="Y184" s="1331">
        <v>1.35</v>
      </c>
      <c r="Z184" s="829" t="s">
        <v>2211</v>
      </c>
    </row>
    <row r="185" spans="1:26">
      <c r="A185" s="1326" t="s">
        <v>2078</v>
      </c>
      <c r="B185" s="1327">
        <v>363</v>
      </c>
      <c r="C185" s="1328" t="s">
        <v>2269</v>
      </c>
      <c r="D185" s="829" t="s">
        <v>2268</v>
      </c>
      <c r="E185" s="829" t="s">
        <v>2267</v>
      </c>
      <c r="F185" s="827">
        <v>10</v>
      </c>
      <c r="G185" s="827">
        <v>10</v>
      </c>
      <c r="H185" s="827">
        <f t="shared" si="25"/>
        <v>89.012917979999997</v>
      </c>
      <c r="I185" s="827">
        <f t="shared" si="26"/>
        <v>0.11234324440691704</v>
      </c>
      <c r="J185" s="1330">
        <v>42585</v>
      </c>
      <c r="K185" s="1280" t="s">
        <v>2089</v>
      </c>
      <c r="L185" s="1331">
        <v>21.09</v>
      </c>
      <c r="M185" s="1331">
        <v>18.96</v>
      </c>
      <c r="N185" s="1332">
        <f t="shared" si="27"/>
        <v>0.89900426742532014</v>
      </c>
      <c r="O185" s="782">
        <v>19.829999999999998</v>
      </c>
      <c r="P185" s="1332">
        <f t="shared" si="28"/>
        <v>0.94025604551920339</v>
      </c>
      <c r="Q185" s="1331">
        <v>5</v>
      </c>
      <c r="R185" s="1332">
        <v>4.2206219999999997</v>
      </c>
      <c r="S185" s="1333" t="s">
        <v>2266</v>
      </c>
      <c r="T185" s="1334">
        <v>42977</v>
      </c>
      <c r="U185" s="821">
        <v>21.04</v>
      </c>
      <c r="V185" s="1332">
        <f t="shared" si="29"/>
        <v>1.0670700958144226</v>
      </c>
      <c r="W185" s="1335" t="s">
        <v>2265</v>
      </c>
      <c r="X185" s="1331">
        <v>0</v>
      </c>
      <c r="Y185" s="1331">
        <v>1.2</v>
      </c>
      <c r="Z185" s="829" t="s">
        <v>2160</v>
      </c>
    </row>
    <row r="186" spans="1:26">
      <c r="A186" s="1326" t="s">
        <v>2078</v>
      </c>
      <c r="B186" s="1327">
        <v>364</v>
      </c>
      <c r="C186" s="1328" t="s">
        <v>2264</v>
      </c>
      <c r="D186" s="829" t="s">
        <v>2263</v>
      </c>
      <c r="E186" s="829" t="s">
        <v>2262</v>
      </c>
      <c r="F186" s="827">
        <v>18.100000000000001</v>
      </c>
      <c r="G186" s="827">
        <v>18.100000000000001</v>
      </c>
      <c r="H186" s="827">
        <f t="shared" si="25"/>
        <v>144.7903538676</v>
      </c>
      <c r="I186" s="827">
        <f t="shared" si="26"/>
        <v>0.12500832767182199</v>
      </c>
      <c r="J186" s="1330">
        <v>42601</v>
      </c>
      <c r="K186" s="1280" t="s">
        <v>2240</v>
      </c>
      <c r="L186" s="1331">
        <v>10.17</v>
      </c>
      <c r="M186" s="1331">
        <v>8.17</v>
      </c>
      <c r="N186" s="1332">
        <f t="shared" si="27"/>
        <v>0.80334316617502455</v>
      </c>
      <c r="O186" s="782">
        <v>8.18</v>
      </c>
      <c r="P186" s="1332">
        <f t="shared" si="28"/>
        <v>0.8043264503441494</v>
      </c>
      <c r="Q186" s="1331">
        <v>8</v>
      </c>
      <c r="R186" s="1332">
        <v>14.237006279999999</v>
      </c>
      <c r="S186" s="1333" t="s">
        <v>2261</v>
      </c>
      <c r="T186" s="1334">
        <v>42977</v>
      </c>
      <c r="U186" s="821">
        <v>6.83</v>
      </c>
      <c r="V186" s="1332">
        <f t="shared" si="29"/>
        <v>0.93068459657701719</v>
      </c>
      <c r="W186" s="1335" t="s">
        <v>2260</v>
      </c>
      <c r="X186" s="1331">
        <v>1</v>
      </c>
      <c r="Y186" s="1331">
        <v>1</v>
      </c>
      <c r="Z186" s="829" t="s">
        <v>2259</v>
      </c>
    </row>
    <row r="187" spans="1:26">
      <c r="A187" s="1326" t="s">
        <v>2078</v>
      </c>
      <c r="B187" s="1327">
        <v>365</v>
      </c>
      <c r="C187" s="1328" t="s">
        <v>2258</v>
      </c>
      <c r="D187" s="829" t="s">
        <v>2257</v>
      </c>
      <c r="E187" s="829" t="s">
        <v>2256</v>
      </c>
      <c r="F187" s="827">
        <v>7.52</v>
      </c>
      <c r="G187" s="827">
        <v>7.52</v>
      </c>
      <c r="H187" s="827">
        <f t="shared" si="25"/>
        <v>76.478062603200016</v>
      </c>
      <c r="I187" s="827">
        <f t="shared" si="26"/>
        <v>9.8328850706076151E-2</v>
      </c>
      <c r="J187" s="1330">
        <v>42597</v>
      </c>
      <c r="K187" s="1280" t="s">
        <v>2255</v>
      </c>
      <c r="L187" s="1331">
        <v>8.2200000000000006</v>
      </c>
      <c r="M187" s="1331">
        <v>6.67</v>
      </c>
      <c r="N187" s="1332">
        <f t="shared" si="27"/>
        <v>0.81143552311435518</v>
      </c>
      <c r="O187" s="782">
        <v>6.78</v>
      </c>
      <c r="P187" s="1332">
        <f t="shared" si="28"/>
        <v>0.82481751824817517</v>
      </c>
      <c r="Q187" s="1331">
        <v>6</v>
      </c>
      <c r="R187" s="1362">
        <v>9.3039005600000007</v>
      </c>
      <c r="S187" s="1333" t="s">
        <v>2254</v>
      </c>
      <c r="T187" s="1334">
        <v>42977</v>
      </c>
      <c r="U187" s="821">
        <v>6.12</v>
      </c>
      <c r="V187" s="1332">
        <f t="shared" si="29"/>
        <v>0.90265486725663713</v>
      </c>
      <c r="W187" s="1280" t="s">
        <v>223</v>
      </c>
      <c r="X187" s="1331">
        <v>0</v>
      </c>
      <c r="Y187" s="1331">
        <v>0</v>
      </c>
      <c r="Z187" s="829" t="s">
        <v>2160</v>
      </c>
    </row>
    <row r="188" spans="1:26">
      <c r="A188" s="1326" t="s">
        <v>2078</v>
      </c>
      <c r="B188" s="1327">
        <v>367</v>
      </c>
      <c r="C188" s="1328" t="s">
        <v>2253</v>
      </c>
      <c r="D188" s="829" t="s">
        <v>2252</v>
      </c>
      <c r="E188" s="829" t="s">
        <v>2251</v>
      </c>
      <c r="F188" s="827">
        <v>17.8</v>
      </c>
      <c r="G188" s="827">
        <v>17.8</v>
      </c>
      <c r="H188" s="827">
        <f t="shared" si="25"/>
        <v>60.498822018599995</v>
      </c>
      <c r="I188" s="827">
        <f t="shared" si="26"/>
        <v>0.29422060473388223</v>
      </c>
      <c r="J188" s="1330">
        <v>42604</v>
      </c>
      <c r="K188" s="1280" t="s">
        <v>2240</v>
      </c>
      <c r="L188" s="1331">
        <v>7.77</v>
      </c>
      <c r="M188" s="1331">
        <v>7.35</v>
      </c>
      <c r="N188" s="1332">
        <f t="shared" si="27"/>
        <v>0.94594594594594594</v>
      </c>
      <c r="O188" s="782">
        <v>7.48</v>
      </c>
      <c r="P188" s="1332">
        <f t="shared" si="28"/>
        <v>0.96267696267696279</v>
      </c>
      <c r="Q188" s="1331">
        <v>6</v>
      </c>
      <c r="R188" s="1362">
        <v>7.7862061799999998</v>
      </c>
      <c r="S188" s="1333" t="s">
        <v>2250</v>
      </c>
      <c r="T188" s="1334">
        <v>42979</v>
      </c>
      <c r="U188" s="821">
        <v>7.26</v>
      </c>
      <c r="V188" s="1332">
        <f t="shared" si="29"/>
        <v>0.97058823529411753</v>
      </c>
      <c r="W188" s="1280" t="s">
        <v>223</v>
      </c>
      <c r="X188" s="1331">
        <v>0</v>
      </c>
      <c r="Y188" s="1331">
        <v>0</v>
      </c>
      <c r="Z188" s="829" t="s">
        <v>2116</v>
      </c>
    </row>
    <row r="189" spans="1:26">
      <c r="A189" s="1326" t="s">
        <v>2078</v>
      </c>
      <c r="B189" s="1327">
        <v>369</v>
      </c>
      <c r="C189" s="1328" t="s">
        <v>2249</v>
      </c>
      <c r="D189" s="829" t="s">
        <v>2248</v>
      </c>
      <c r="E189" s="829" t="s">
        <v>2247</v>
      </c>
      <c r="F189" s="827">
        <v>19.420000000000002</v>
      </c>
      <c r="G189" s="827">
        <v>19.420000000000002</v>
      </c>
      <c r="H189" s="827">
        <f t="shared" si="25"/>
        <v>134.84766400000001</v>
      </c>
      <c r="I189" s="827">
        <f t="shared" si="26"/>
        <v>0.1440143597889838</v>
      </c>
      <c r="J189" s="1330">
        <v>42591</v>
      </c>
      <c r="K189" s="1280" t="s">
        <v>2246</v>
      </c>
      <c r="L189" s="1331">
        <v>26.92</v>
      </c>
      <c r="M189" s="1331">
        <v>24.07</v>
      </c>
      <c r="N189" s="1332">
        <f t="shared" si="27"/>
        <v>0.89413075780089146</v>
      </c>
      <c r="O189" s="782">
        <v>25.88</v>
      </c>
      <c r="P189" s="1332">
        <f t="shared" si="28"/>
        <v>0.96136701337295682</v>
      </c>
      <c r="Q189" s="1331">
        <v>5</v>
      </c>
      <c r="R189" s="1355">
        <v>5.0091999999999999</v>
      </c>
      <c r="S189" s="1333" t="s">
        <v>2245</v>
      </c>
      <c r="T189" s="1334">
        <v>42979</v>
      </c>
      <c r="U189" s="821">
        <v>8.73</v>
      </c>
      <c r="V189" s="1332">
        <f t="shared" si="29"/>
        <v>1.3527820710973728</v>
      </c>
      <c r="W189" s="1335" t="s">
        <v>2244</v>
      </c>
      <c r="X189" s="1331">
        <v>30</v>
      </c>
      <c r="Y189" s="1331">
        <v>0.89999999999999991</v>
      </c>
      <c r="Z189" s="829" t="s">
        <v>2122</v>
      </c>
    </row>
    <row r="190" spans="1:26">
      <c r="A190" s="1326" t="s">
        <v>2078</v>
      </c>
      <c r="B190" s="1327">
        <v>370</v>
      </c>
      <c r="C190" s="1328" t="s">
        <v>2243</v>
      </c>
      <c r="D190" s="829" t="s">
        <v>2242</v>
      </c>
      <c r="E190" s="829" t="s">
        <v>2241</v>
      </c>
      <c r="F190" s="827">
        <v>6.35</v>
      </c>
      <c r="G190" s="827">
        <v>6.35</v>
      </c>
      <c r="H190" s="827">
        <f t="shared" si="25"/>
        <v>104.264145</v>
      </c>
      <c r="I190" s="827">
        <f t="shared" si="26"/>
        <v>6.0903007452849683E-2</v>
      </c>
      <c r="J190" s="1330">
        <v>42604</v>
      </c>
      <c r="K190" s="1280" t="s">
        <v>2240</v>
      </c>
      <c r="L190" s="1331">
        <v>16.29</v>
      </c>
      <c r="M190" s="1331">
        <v>9.2100000000000009</v>
      </c>
      <c r="N190" s="1332">
        <f t="shared" si="27"/>
        <v>0.56537753222836107</v>
      </c>
      <c r="O190" s="782">
        <v>13.56</v>
      </c>
      <c r="P190" s="1332">
        <f t="shared" si="28"/>
        <v>0.83241252302025792</v>
      </c>
      <c r="Q190" s="1331">
        <v>4</v>
      </c>
      <c r="R190" s="1332">
        <v>6.4005000000000001</v>
      </c>
      <c r="S190" s="1333" t="s">
        <v>2239</v>
      </c>
      <c r="T190" s="1334">
        <v>42979</v>
      </c>
      <c r="U190" s="821">
        <v>9.42</v>
      </c>
      <c r="V190" s="1332">
        <f>((U190*(1+X190/10)+Y190/10)/O190)</f>
        <v>0.69837758112094395</v>
      </c>
      <c r="W190" s="1335" t="s">
        <v>2105</v>
      </c>
      <c r="X190" s="1331">
        <v>0</v>
      </c>
      <c r="Y190" s="1331">
        <v>0.5</v>
      </c>
      <c r="Z190" s="829" t="s">
        <v>2122</v>
      </c>
    </row>
    <row r="191" spans="1:26">
      <c r="A191" s="1326" t="s">
        <v>2078</v>
      </c>
      <c r="B191" s="1327">
        <v>371</v>
      </c>
      <c r="C191" s="1328" t="s">
        <v>2238</v>
      </c>
      <c r="D191" s="829" t="s">
        <v>2237</v>
      </c>
      <c r="E191" s="829" t="s">
        <v>2236</v>
      </c>
      <c r="F191" s="827">
        <v>24.1</v>
      </c>
      <c r="G191" s="827">
        <v>24.1</v>
      </c>
      <c r="H191" s="827">
        <f t="shared" si="25"/>
        <v>73.788389534399997</v>
      </c>
      <c r="I191" s="827">
        <f t="shared" si="26"/>
        <v>0.32660964891725452</v>
      </c>
      <c r="J191" s="1330">
        <v>42598</v>
      </c>
      <c r="K191" s="1280" t="s">
        <v>2207</v>
      </c>
      <c r="L191" s="1331">
        <v>12.72</v>
      </c>
      <c r="M191" s="1331">
        <v>9.8000000000000007</v>
      </c>
      <c r="N191" s="1332">
        <f t="shared" si="27"/>
        <v>0.77044025157232709</v>
      </c>
      <c r="O191" s="782">
        <v>11.01</v>
      </c>
      <c r="P191" s="1332">
        <f t="shared" si="28"/>
        <v>0.86556603773584895</v>
      </c>
      <c r="Q191" s="1331">
        <v>6</v>
      </c>
      <c r="R191" s="1332">
        <v>5.80097402</v>
      </c>
      <c r="S191" s="1333" t="s">
        <v>2235</v>
      </c>
      <c r="T191" s="1334">
        <v>42979</v>
      </c>
      <c r="U191" s="821">
        <v>11.91</v>
      </c>
      <c r="V191" s="1332">
        <f t="shared" si="29"/>
        <v>1.0987284287011807</v>
      </c>
      <c r="W191" s="1335" t="s">
        <v>2234</v>
      </c>
      <c r="X191" s="1331">
        <v>0</v>
      </c>
      <c r="Y191" s="1331">
        <v>1.87</v>
      </c>
      <c r="Z191" s="829" t="s">
        <v>2233</v>
      </c>
    </row>
    <row r="192" spans="1:26">
      <c r="A192" s="1326" t="s">
        <v>2078</v>
      </c>
      <c r="B192" s="1327">
        <v>372</v>
      </c>
      <c r="C192" s="1328" t="s">
        <v>2232</v>
      </c>
      <c r="D192" s="829" t="s">
        <v>2231</v>
      </c>
      <c r="E192" s="829" t="s">
        <v>2230</v>
      </c>
      <c r="F192" s="827">
        <v>20</v>
      </c>
      <c r="G192" s="827">
        <v>20</v>
      </c>
      <c r="H192" s="827">
        <f t="shared" si="25"/>
        <v>234.59800000000001</v>
      </c>
      <c r="I192" s="827">
        <f t="shared" si="26"/>
        <v>8.5252218688991382E-2</v>
      </c>
      <c r="J192" s="1330">
        <v>42601</v>
      </c>
      <c r="K192" s="1280" t="s">
        <v>2174</v>
      </c>
      <c r="L192" s="1331">
        <v>12.89</v>
      </c>
      <c r="M192" s="1331">
        <v>11.2</v>
      </c>
      <c r="N192" s="1332">
        <f t="shared" si="27"/>
        <v>0.86889061287820002</v>
      </c>
      <c r="O192" s="782">
        <v>11.82</v>
      </c>
      <c r="P192" s="1332">
        <f t="shared" si="28"/>
        <v>0.9169899146625291</v>
      </c>
      <c r="Q192" s="1331">
        <v>10</v>
      </c>
      <c r="R192" s="1331">
        <v>18.2</v>
      </c>
      <c r="S192" s="1333" t="s">
        <v>2229</v>
      </c>
      <c r="T192" s="1334">
        <v>42982</v>
      </c>
      <c r="U192" s="821">
        <v>12.6</v>
      </c>
      <c r="V192" s="1332">
        <f t="shared" si="29"/>
        <v>1.0795262267343486</v>
      </c>
      <c r="W192" s="1335" t="s">
        <v>2228</v>
      </c>
      <c r="X192" s="1331">
        <v>0</v>
      </c>
      <c r="Y192" s="1331">
        <v>1.6</v>
      </c>
      <c r="Z192" s="829" t="s">
        <v>2135</v>
      </c>
    </row>
    <row r="193" spans="1:26">
      <c r="A193" s="1326" t="s">
        <v>2078</v>
      </c>
      <c r="B193" s="1327">
        <v>373</v>
      </c>
      <c r="C193" s="1328" t="s">
        <v>2227</v>
      </c>
      <c r="D193" s="829" t="s">
        <v>2226</v>
      </c>
      <c r="E193" s="829" t="s">
        <v>2225</v>
      </c>
      <c r="F193" s="827">
        <v>12.18</v>
      </c>
      <c r="G193" s="827">
        <v>12.18</v>
      </c>
      <c r="H193" s="827">
        <f t="shared" si="25"/>
        <v>46.819600000000001</v>
      </c>
      <c r="I193" s="827">
        <f t="shared" si="26"/>
        <v>0.26014745961093216</v>
      </c>
      <c r="J193" s="1330">
        <v>42587</v>
      </c>
      <c r="K193" s="1280" t="s">
        <v>2174</v>
      </c>
      <c r="L193" s="1331">
        <v>17.47</v>
      </c>
      <c r="M193" s="1331">
        <v>13.66</v>
      </c>
      <c r="N193" s="1332">
        <f t="shared" si="27"/>
        <v>0.78191184888380083</v>
      </c>
      <c r="O193" s="782">
        <v>15.01</v>
      </c>
      <c r="P193" s="1332">
        <f t="shared" si="28"/>
        <v>0.85918717801946198</v>
      </c>
      <c r="Q193" s="1331">
        <v>8</v>
      </c>
      <c r="R193" s="1331">
        <v>2.68</v>
      </c>
      <c r="S193" s="1333" t="s">
        <v>2224</v>
      </c>
      <c r="T193" s="1334">
        <v>42982</v>
      </c>
      <c r="U193" s="821">
        <v>17.420000000000002</v>
      </c>
      <c r="V193" s="1332">
        <f t="shared" si="29"/>
        <v>1.1638907395069955</v>
      </c>
      <c r="W193" s="1335" t="s">
        <v>2105</v>
      </c>
      <c r="X193" s="1331">
        <v>0</v>
      </c>
      <c r="Y193" s="1331">
        <v>0.5</v>
      </c>
      <c r="Z193" s="829" t="s">
        <v>2223</v>
      </c>
    </row>
    <row r="194" spans="1:26">
      <c r="A194" s="1326" t="s">
        <v>2078</v>
      </c>
      <c r="B194" s="1327">
        <v>375</v>
      </c>
      <c r="C194" s="1328" t="s">
        <v>2222</v>
      </c>
      <c r="D194" s="829" t="s">
        <v>2221</v>
      </c>
      <c r="E194" s="829" t="s">
        <v>2220</v>
      </c>
      <c r="F194" s="827">
        <v>7.2</v>
      </c>
      <c r="G194" s="827">
        <v>7.08</v>
      </c>
      <c r="H194" s="827">
        <f t="shared" si="25"/>
        <v>41.407631595000005</v>
      </c>
      <c r="I194" s="827">
        <f t="shared" si="26"/>
        <v>0.17388099059665621</v>
      </c>
      <c r="J194" s="1330">
        <v>42587</v>
      </c>
      <c r="K194" s="1280" t="s">
        <v>2219</v>
      </c>
      <c r="L194" s="1331">
        <v>12.75</v>
      </c>
      <c r="M194" s="1331">
        <v>11.29</v>
      </c>
      <c r="N194" s="1332">
        <f t="shared" si="27"/>
        <v>0.88549019607843127</v>
      </c>
      <c r="O194" s="782">
        <v>11.8</v>
      </c>
      <c r="P194" s="1332">
        <f t="shared" si="28"/>
        <v>0.92549019607843142</v>
      </c>
      <c r="Q194" s="1331">
        <v>5</v>
      </c>
      <c r="R194" s="1332">
        <v>3.2476573800000001</v>
      </c>
      <c r="S194" s="1333" t="s">
        <v>2218</v>
      </c>
      <c r="T194" s="1334">
        <v>42982</v>
      </c>
      <c r="U194" s="821">
        <v>8.8699999999999992</v>
      </c>
      <c r="V194" s="1332">
        <f t="shared" si="29"/>
        <v>0.75254237288135584</v>
      </c>
      <c r="W194" s="1335" t="s">
        <v>2217</v>
      </c>
      <c r="X194" s="1331">
        <v>0</v>
      </c>
      <c r="Y194" s="1331">
        <v>0.1</v>
      </c>
      <c r="Z194" s="829" t="s">
        <v>2216</v>
      </c>
    </row>
    <row r="195" spans="1:26">
      <c r="A195" s="1326" t="s">
        <v>2078</v>
      </c>
      <c r="B195" s="1327">
        <v>376</v>
      </c>
      <c r="C195" s="1328" t="s">
        <v>2215</v>
      </c>
      <c r="D195" s="829" t="s">
        <v>2214</v>
      </c>
      <c r="E195" s="829" t="s">
        <v>2213</v>
      </c>
      <c r="F195" s="827">
        <v>5.3</v>
      </c>
      <c r="G195" s="827">
        <v>5.3</v>
      </c>
      <c r="H195" s="827">
        <f t="shared" si="25"/>
        <v>98.927999999999997</v>
      </c>
      <c r="I195" s="827">
        <f t="shared" si="26"/>
        <v>5.3574316674753354E-2</v>
      </c>
      <c r="J195" s="1330">
        <v>42592</v>
      </c>
      <c r="K195" s="1280" t="s">
        <v>2089</v>
      </c>
      <c r="L195" s="1331">
        <v>13.74</v>
      </c>
      <c r="M195" s="1331">
        <v>12.43</v>
      </c>
      <c r="N195" s="1332">
        <f t="shared" si="27"/>
        <v>0.90465793304221254</v>
      </c>
      <c r="O195" s="782">
        <v>13.83</v>
      </c>
      <c r="P195" s="1332">
        <f t="shared" si="28"/>
        <v>1.0065502183406114</v>
      </c>
      <c r="Q195" s="1331">
        <v>3</v>
      </c>
      <c r="R195" s="1331">
        <v>7.2</v>
      </c>
      <c r="S195" s="1333" t="s">
        <v>2212</v>
      </c>
      <c r="T195" s="1334">
        <v>42615</v>
      </c>
      <c r="U195" s="821">
        <v>17.989999999999998</v>
      </c>
      <c r="V195" s="1332">
        <f t="shared" si="29"/>
        <v>1.3007953723788863</v>
      </c>
      <c r="W195" s="1280" t="s">
        <v>223</v>
      </c>
      <c r="X195" s="1331">
        <v>0</v>
      </c>
      <c r="Y195" s="1331">
        <v>0</v>
      </c>
      <c r="Z195" s="829" t="s">
        <v>2211</v>
      </c>
    </row>
    <row r="196" spans="1:26">
      <c r="A196" s="1326" t="s">
        <v>2078</v>
      </c>
      <c r="B196" s="1327">
        <v>378</v>
      </c>
      <c r="C196" s="1328" t="s">
        <v>2210</v>
      </c>
      <c r="D196" s="829" t="s">
        <v>2209</v>
      </c>
      <c r="E196" s="829" t="s">
        <v>2208</v>
      </c>
      <c r="F196" s="827">
        <v>165.54</v>
      </c>
      <c r="G196" s="827">
        <v>165.54</v>
      </c>
      <c r="H196" s="827">
        <f t="shared" si="25"/>
        <v>415.41239903900004</v>
      </c>
      <c r="I196" s="827">
        <f t="shared" si="26"/>
        <v>0.39849556821836379</v>
      </c>
      <c r="J196" s="1330">
        <v>42611</v>
      </c>
      <c r="K196" s="1280" t="s">
        <v>2207</v>
      </c>
      <c r="L196" s="1331">
        <v>3.41</v>
      </c>
      <c r="M196" s="1331">
        <v>3.58</v>
      </c>
      <c r="N196" s="1332">
        <f t="shared" si="27"/>
        <v>1.0498533724340176</v>
      </c>
      <c r="O196" s="782">
        <v>3.58</v>
      </c>
      <c r="P196" s="1332">
        <f t="shared" si="28"/>
        <v>1.0498533724340176</v>
      </c>
      <c r="Q196" s="1331">
        <v>10</v>
      </c>
      <c r="R196" s="1332">
        <v>121.8218179</v>
      </c>
      <c r="S196" s="1333" t="s">
        <v>2206</v>
      </c>
      <c r="T196" s="1334">
        <v>42984</v>
      </c>
      <c r="U196" s="821">
        <v>3.31</v>
      </c>
      <c r="V196" s="1332">
        <f t="shared" si="29"/>
        <v>0.93893854748603356</v>
      </c>
      <c r="W196" s="1335" t="s">
        <v>2205</v>
      </c>
      <c r="X196" s="1331">
        <v>0</v>
      </c>
      <c r="Y196" s="1331">
        <v>0.51400000000000001</v>
      </c>
      <c r="Z196" s="829" t="s">
        <v>2204</v>
      </c>
    </row>
    <row r="197" spans="1:26">
      <c r="A197" s="1326" t="s">
        <v>2078</v>
      </c>
      <c r="B197" s="1327">
        <v>379</v>
      </c>
      <c r="C197" s="1328" t="s">
        <v>2203</v>
      </c>
      <c r="D197" s="829" t="s">
        <v>2202</v>
      </c>
      <c r="E197" s="829" t="s">
        <v>2201</v>
      </c>
      <c r="F197" s="827">
        <v>7.84</v>
      </c>
      <c r="G197" s="827">
        <v>7.84</v>
      </c>
      <c r="H197" s="827">
        <f t="shared" si="25"/>
        <v>72.787202600000001</v>
      </c>
      <c r="I197" s="827">
        <f t="shared" si="26"/>
        <v>0.10771124208584436</v>
      </c>
      <c r="J197" s="1330">
        <v>42579</v>
      </c>
      <c r="K197" s="1280" t="s">
        <v>2174</v>
      </c>
      <c r="L197" s="1331">
        <v>24.41</v>
      </c>
      <c r="M197" s="1331">
        <v>19.420000000000002</v>
      </c>
      <c r="N197" s="1332">
        <f t="shared" si="27"/>
        <v>0.79557558377714055</v>
      </c>
      <c r="O197" s="782">
        <v>22.4</v>
      </c>
      <c r="P197" s="1332">
        <f t="shared" si="28"/>
        <v>0.91765669807455952</v>
      </c>
      <c r="Q197" s="1331">
        <v>6</v>
      </c>
      <c r="R197" s="1332">
        <v>2.9818600000000002</v>
      </c>
      <c r="S197" s="1333" t="s">
        <v>2200</v>
      </c>
      <c r="T197" s="1334">
        <v>42984</v>
      </c>
      <c r="U197" s="821">
        <v>11.54</v>
      </c>
      <c r="V197" s="1332">
        <f t="shared" si="29"/>
        <v>0.7734375</v>
      </c>
      <c r="W197" s="1335" t="s">
        <v>2199</v>
      </c>
      <c r="X197" s="1331">
        <v>5</v>
      </c>
      <c r="Y197" s="1331">
        <v>0.15</v>
      </c>
      <c r="Z197" s="829" t="s">
        <v>2198</v>
      </c>
    </row>
    <row r="198" spans="1:26">
      <c r="A198" s="1326" t="s">
        <v>2078</v>
      </c>
      <c r="B198" s="1327">
        <v>381</v>
      </c>
      <c r="C198" s="1328" t="s">
        <v>2197</v>
      </c>
      <c r="D198" s="829" t="s">
        <v>2196</v>
      </c>
      <c r="E198" s="829" t="s">
        <v>2195</v>
      </c>
      <c r="F198" s="827">
        <v>8.5</v>
      </c>
      <c r="G198" s="827">
        <v>8.5</v>
      </c>
      <c r="H198" s="827">
        <f t="shared" si="25"/>
        <v>77.338200000000001</v>
      </c>
      <c r="I198" s="827">
        <f t="shared" si="26"/>
        <v>0.10990687655001022</v>
      </c>
      <c r="J198" s="1330">
        <v>42607</v>
      </c>
      <c r="K198" s="1280" t="s">
        <v>2174</v>
      </c>
      <c r="L198" s="1331">
        <v>18.84</v>
      </c>
      <c r="M198" s="1331">
        <v>16.41</v>
      </c>
      <c r="N198" s="1332">
        <f t="shared" si="27"/>
        <v>0.87101910828025475</v>
      </c>
      <c r="O198" s="782">
        <v>16.41</v>
      </c>
      <c r="P198" s="1332">
        <f t="shared" si="28"/>
        <v>0.87101910828025475</v>
      </c>
      <c r="Q198" s="1331">
        <v>8</v>
      </c>
      <c r="R198" s="1331">
        <v>4.1050000000000004</v>
      </c>
      <c r="S198" s="1333" t="s">
        <v>2194</v>
      </c>
      <c r="T198" s="1334">
        <v>42984</v>
      </c>
      <c r="U198" s="821">
        <v>11.7</v>
      </c>
      <c r="V198" s="1332">
        <f t="shared" si="29"/>
        <v>0.71907373552711751</v>
      </c>
      <c r="W198" s="1366" t="s">
        <v>2193</v>
      </c>
      <c r="X198" s="1331">
        <v>0</v>
      </c>
      <c r="Y198" s="1331">
        <v>1</v>
      </c>
      <c r="Z198" s="829" t="s">
        <v>2192</v>
      </c>
    </row>
    <row r="199" spans="1:26">
      <c r="A199" s="1326" t="s">
        <v>2078</v>
      </c>
      <c r="B199" s="1327">
        <v>383</v>
      </c>
      <c r="C199" s="1328" t="s">
        <v>2191</v>
      </c>
      <c r="D199" s="829" t="s">
        <v>2190</v>
      </c>
      <c r="E199" s="829" t="s">
        <v>2189</v>
      </c>
      <c r="F199" s="827">
        <v>4.97</v>
      </c>
      <c r="G199" s="827">
        <v>4.97</v>
      </c>
      <c r="H199" s="827">
        <f t="shared" si="25"/>
        <v>51.292928599200003</v>
      </c>
      <c r="I199" s="827">
        <f t="shared" si="26"/>
        <v>9.6894447943015577E-2</v>
      </c>
      <c r="J199" s="1365">
        <v>42600</v>
      </c>
      <c r="K199" s="1280" t="s">
        <v>2174</v>
      </c>
      <c r="L199" s="1331">
        <v>13.83</v>
      </c>
      <c r="M199" s="1331">
        <v>9.35</v>
      </c>
      <c r="N199" s="1332">
        <f t="shared" si="27"/>
        <v>0.67606652205350681</v>
      </c>
      <c r="O199" s="782">
        <v>12.5</v>
      </c>
      <c r="P199" s="1332">
        <f t="shared" si="28"/>
        <v>0.90383224873463486</v>
      </c>
      <c r="Q199" s="1331">
        <v>8</v>
      </c>
      <c r="R199" s="1332">
        <v>3.70881624</v>
      </c>
      <c r="S199" s="1333" t="s">
        <v>2188</v>
      </c>
      <c r="T199" s="1334">
        <v>42989</v>
      </c>
      <c r="U199" s="821">
        <v>13.98</v>
      </c>
      <c r="V199" s="1332">
        <f t="shared" si="29"/>
        <v>1.1184000000000001</v>
      </c>
      <c r="W199" s="1280" t="s">
        <v>223</v>
      </c>
      <c r="X199" s="1331">
        <v>0</v>
      </c>
      <c r="Y199" s="1331">
        <v>0</v>
      </c>
      <c r="Z199" s="829" t="s">
        <v>2072</v>
      </c>
    </row>
    <row r="200" spans="1:26">
      <c r="A200" s="1326" t="s">
        <v>2078</v>
      </c>
      <c r="B200" s="1327">
        <v>384</v>
      </c>
      <c r="C200" s="1328" t="s">
        <v>2187</v>
      </c>
      <c r="D200" s="829" t="s">
        <v>2186</v>
      </c>
      <c r="E200" s="829" t="s">
        <v>2185</v>
      </c>
      <c r="F200" s="827">
        <v>15</v>
      </c>
      <c r="G200" s="827">
        <v>15</v>
      </c>
      <c r="H200" s="827">
        <f t="shared" si="25"/>
        <v>242.078747832</v>
      </c>
      <c r="I200" s="827">
        <f t="shared" si="26"/>
        <v>6.19633079497331E-2</v>
      </c>
      <c r="J200" s="1330">
        <v>42597</v>
      </c>
      <c r="K200" s="1280" t="s">
        <v>2089</v>
      </c>
      <c r="L200" s="1331">
        <v>31.8</v>
      </c>
      <c r="M200" s="1331">
        <v>28.35</v>
      </c>
      <c r="N200" s="1332">
        <f t="shared" si="27"/>
        <v>0.89150943396226423</v>
      </c>
      <c r="O200" s="782">
        <v>28.4</v>
      </c>
      <c r="P200" s="1332">
        <f t="shared" si="28"/>
        <v>0.89308176100628922</v>
      </c>
      <c r="Q200" s="1331">
        <v>5</v>
      </c>
      <c r="R200" s="1332">
        <v>7.6125392400000003</v>
      </c>
      <c r="S200" s="1333" t="s">
        <v>2184</v>
      </c>
      <c r="T200" s="1334">
        <v>42986</v>
      </c>
      <c r="U200" s="821">
        <v>18.43</v>
      </c>
      <c r="V200" s="1332">
        <f t="shared" si="29"/>
        <v>1.3024647887323946</v>
      </c>
      <c r="W200" s="1335" t="s">
        <v>2183</v>
      </c>
      <c r="X200" s="1331">
        <v>10</v>
      </c>
      <c r="Y200" s="1331">
        <v>1.3</v>
      </c>
      <c r="Z200" s="829" t="s">
        <v>2160</v>
      </c>
    </row>
    <row r="201" spans="1:26">
      <c r="A201" s="1326" t="s">
        <v>2078</v>
      </c>
      <c r="B201" s="1327">
        <v>385</v>
      </c>
      <c r="C201" s="1328" t="s">
        <v>2182</v>
      </c>
      <c r="D201" s="829" t="s">
        <v>2181</v>
      </c>
      <c r="E201" s="829" t="s">
        <v>2180</v>
      </c>
      <c r="F201" s="827">
        <v>9.5</v>
      </c>
      <c r="G201" s="827">
        <v>9.5</v>
      </c>
      <c r="H201" s="827">
        <f t="shared" si="25"/>
        <v>78.829878399999998</v>
      </c>
      <c r="I201" s="827">
        <f t="shared" si="26"/>
        <v>0.12051268114096191</v>
      </c>
      <c r="J201" s="1330">
        <v>42605</v>
      </c>
      <c r="K201" s="1280" t="s">
        <v>2089</v>
      </c>
      <c r="L201" s="1331">
        <v>32.42</v>
      </c>
      <c r="M201" s="1331">
        <v>27.66</v>
      </c>
      <c r="N201" s="1332">
        <f t="shared" si="27"/>
        <v>0.85317705120296106</v>
      </c>
      <c r="O201" s="782">
        <v>29.03</v>
      </c>
      <c r="P201" s="1332">
        <f t="shared" si="28"/>
        <v>0.89543491671807529</v>
      </c>
      <c r="Q201" s="1331">
        <v>6</v>
      </c>
      <c r="R201" s="1332">
        <v>2.4315199999999999</v>
      </c>
      <c r="S201" s="1333" t="s">
        <v>2179</v>
      </c>
      <c r="T201" s="1334">
        <v>42986</v>
      </c>
      <c r="U201" s="821">
        <v>13.47</v>
      </c>
      <c r="V201" s="1332">
        <f t="shared" si="29"/>
        <v>1.3988976920427145</v>
      </c>
      <c r="W201" s="1335" t="s">
        <v>2178</v>
      </c>
      <c r="X201" s="1331">
        <v>20</v>
      </c>
      <c r="Y201" s="1331">
        <v>2</v>
      </c>
      <c r="Z201" s="829" t="s">
        <v>2144</v>
      </c>
    </row>
    <row r="202" spans="1:26">
      <c r="A202" s="1326" t="s">
        <v>2078</v>
      </c>
      <c r="B202" s="1327">
        <v>386</v>
      </c>
      <c r="C202" s="1328" t="s">
        <v>2177</v>
      </c>
      <c r="D202" s="829" t="s">
        <v>2176</v>
      </c>
      <c r="E202" s="829" t="s">
        <v>2175</v>
      </c>
      <c r="F202" s="827">
        <v>29.8</v>
      </c>
      <c r="G202" s="827">
        <v>29.8</v>
      </c>
      <c r="H202" s="827">
        <f t="shared" si="25"/>
        <v>267.57039283</v>
      </c>
      <c r="I202" s="827">
        <f t="shared" si="26"/>
        <v>0.11137256138399937</v>
      </c>
      <c r="J202" s="1330">
        <v>42608</v>
      </c>
      <c r="K202" s="1280" t="s">
        <v>2174</v>
      </c>
      <c r="L202" s="1331">
        <v>15.08</v>
      </c>
      <c r="M202" s="1331">
        <v>12.42</v>
      </c>
      <c r="N202" s="1332">
        <f t="shared" si="27"/>
        <v>0.82360742705570289</v>
      </c>
      <c r="O202" s="782">
        <v>14.2</v>
      </c>
      <c r="P202" s="1332">
        <f t="shared" si="28"/>
        <v>0.94164456233421745</v>
      </c>
      <c r="Q202" s="1331">
        <v>8</v>
      </c>
      <c r="R202" s="1332">
        <v>17.74339475</v>
      </c>
      <c r="S202" s="1333" t="s">
        <v>2173</v>
      </c>
      <c r="T202" s="1334">
        <v>42986</v>
      </c>
      <c r="U202" s="821">
        <v>22.78</v>
      </c>
      <c r="V202" s="1332">
        <f t="shared" si="29"/>
        <v>1.6112676056338031</v>
      </c>
      <c r="W202" s="1335" t="s">
        <v>2123</v>
      </c>
      <c r="X202" s="1331">
        <v>0</v>
      </c>
      <c r="Y202" s="1331">
        <v>1</v>
      </c>
      <c r="Z202" s="829" t="s">
        <v>2172</v>
      </c>
    </row>
    <row r="203" spans="1:26">
      <c r="A203" s="1326" t="s">
        <v>2078</v>
      </c>
      <c r="B203" s="1327">
        <v>387</v>
      </c>
      <c r="C203" s="1328" t="s">
        <v>2171</v>
      </c>
      <c r="D203" s="829" t="s">
        <v>2170</v>
      </c>
      <c r="E203" s="829" t="s">
        <v>2169</v>
      </c>
      <c r="F203" s="827">
        <v>7.25</v>
      </c>
      <c r="G203" s="827">
        <v>7.25</v>
      </c>
      <c r="H203" s="827">
        <f t="shared" si="25"/>
        <v>309.10381911919995</v>
      </c>
      <c r="I203" s="827">
        <f t="shared" si="26"/>
        <v>2.3454902694696814E-2</v>
      </c>
      <c r="J203" s="1330">
        <v>42601</v>
      </c>
      <c r="K203" s="1280" t="s">
        <v>2089</v>
      </c>
      <c r="L203" s="1331">
        <v>20.079999999999998</v>
      </c>
      <c r="M203" s="1331">
        <v>16.170000000000002</v>
      </c>
      <c r="N203" s="1332">
        <f t="shared" si="27"/>
        <v>0.80527888446215157</v>
      </c>
      <c r="O203" s="782">
        <v>17.39</v>
      </c>
      <c r="P203" s="1332">
        <f t="shared" si="28"/>
        <v>0.8660358565737053</v>
      </c>
      <c r="Q203" s="1331">
        <v>8</v>
      </c>
      <c r="R203" s="1332">
        <v>15.393616489999999</v>
      </c>
      <c r="S203" s="1333" t="s">
        <v>2168</v>
      </c>
      <c r="T203" s="1334">
        <v>42989</v>
      </c>
      <c r="U203" s="821">
        <v>3.06</v>
      </c>
      <c r="V203" s="1332">
        <f t="shared" si="29"/>
        <v>0.61799884991374365</v>
      </c>
      <c r="W203" s="1335" t="s">
        <v>2167</v>
      </c>
      <c r="X203" s="1331">
        <v>25</v>
      </c>
      <c r="Y203" s="1331">
        <v>0.37</v>
      </c>
      <c r="Z203" s="829" t="s">
        <v>2166</v>
      </c>
    </row>
    <row r="204" spans="1:26">
      <c r="A204" s="1326" t="s">
        <v>2078</v>
      </c>
      <c r="B204" s="1327">
        <v>389</v>
      </c>
      <c r="C204" s="1328" t="s">
        <v>2165</v>
      </c>
      <c r="D204" s="829" t="s">
        <v>2164</v>
      </c>
      <c r="E204" s="829" t="s">
        <v>2163</v>
      </c>
      <c r="F204" s="827">
        <v>12</v>
      </c>
      <c r="G204" s="827">
        <v>12</v>
      </c>
      <c r="H204" s="827">
        <f t="shared" si="25"/>
        <v>75.984895999999992</v>
      </c>
      <c r="I204" s="827">
        <f t="shared" si="26"/>
        <v>0.15792612258099295</v>
      </c>
      <c r="J204" s="1330">
        <v>42579</v>
      </c>
      <c r="K204" s="1280" t="s">
        <v>2089</v>
      </c>
      <c r="L204" s="1331">
        <v>14.27</v>
      </c>
      <c r="M204" s="1331">
        <v>10.97</v>
      </c>
      <c r="N204" s="1332">
        <f t="shared" si="27"/>
        <v>0.7687456201822005</v>
      </c>
      <c r="O204" s="782">
        <v>12.69</v>
      </c>
      <c r="P204" s="1332">
        <f t="shared" si="28"/>
        <v>0.88927820602662933</v>
      </c>
      <c r="Q204" s="1331">
        <v>7</v>
      </c>
      <c r="R204" s="1332">
        <v>5.3247999999999998</v>
      </c>
      <c r="S204" s="1333" t="s">
        <v>2162</v>
      </c>
      <c r="T204" s="1334">
        <v>42989</v>
      </c>
      <c r="U204" s="821">
        <v>10.38</v>
      </c>
      <c r="V204" s="1332">
        <f t="shared" si="29"/>
        <v>1.0712371946414501</v>
      </c>
      <c r="W204" s="1335" t="s">
        <v>2161</v>
      </c>
      <c r="X204" s="1331">
        <v>3</v>
      </c>
      <c r="Y204" s="1331">
        <v>1</v>
      </c>
      <c r="Z204" s="829" t="s">
        <v>2160</v>
      </c>
    </row>
    <row r="205" spans="1:26">
      <c r="A205" s="1326" t="s">
        <v>2078</v>
      </c>
      <c r="B205" s="1327">
        <v>390</v>
      </c>
      <c r="C205" s="1328" t="s">
        <v>2159</v>
      </c>
      <c r="D205" s="829" t="s">
        <v>2158</v>
      </c>
      <c r="E205" s="829" t="s">
        <v>2157</v>
      </c>
      <c r="F205" s="827">
        <v>30</v>
      </c>
      <c r="G205" s="827">
        <v>30</v>
      </c>
      <c r="H205" s="827">
        <f t="shared" si="25"/>
        <v>147.78725707199999</v>
      </c>
      <c r="I205" s="827">
        <f t="shared" si="26"/>
        <v>0.20299449759314769</v>
      </c>
      <c r="J205" s="1330">
        <v>42601</v>
      </c>
      <c r="K205" s="1280" t="s">
        <v>2089</v>
      </c>
      <c r="L205" s="1331">
        <v>13.55</v>
      </c>
      <c r="M205" s="1331">
        <v>11.07</v>
      </c>
      <c r="N205" s="1332">
        <f t="shared" si="27"/>
        <v>0.81697416974169734</v>
      </c>
      <c r="O205" s="782">
        <v>12.23</v>
      </c>
      <c r="P205" s="1332">
        <f t="shared" si="28"/>
        <v>0.90258302583025829</v>
      </c>
      <c r="Q205" s="1331">
        <v>7</v>
      </c>
      <c r="R205" s="1332">
        <v>10.906808639999999</v>
      </c>
      <c r="S205" s="1333" t="s">
        <v>2156</v>
      </c>
      <c r="T205" s="1334">
        <v>42991</v>
      </c>
      <c r="U205" s="821">
        <v>12.98</v>
      </c>
      <c r="V205" s="1332">
        <f t="shared" si="29"/>
        <v>1.0735895339329518</v>
      </c>
      <c r="W205" s="1335" t="s">
        <v>2117</v>
      </c>
      <c r="X205" s="1331">
        <v>0</v>
      </c>
      <c r="Y205" s="1331">
        <v>1.5</v>
      </c>
      <c r="Z205" s="829" t="s">
        <v>2086</v>
      </c>
    </row>
    <row r="206" spans="1:26">
      <c r="A206" s="1326" t="s">
        <v>2078</v>
      </c>
      <c r="B206" s="1327">
        <v>393</v>
      </c>
      <c r="C206" s="1328" t="s">
        <v>2155</v>
      </c>
      <c r="D206" s="829" t="s">
        <v>2154</v>
      </c>
      <c r="E206" s="829" t="s">
        <v>2153</v>
      </c>
      <c r="F206" s="827">
        <v>5.4</v>
      </c>
      <c r="G206" s="827">
        <v>5.4</v>
      </c>
      <c r="H206" s="827">
        <f t="shared" si="25"/>
        <v>95.580569851899995</v>
      </c>
      <c r="I206" s="827">
        <f t="shared" si="26"/>
        <v>5.6496838304764055E-2</v>
      </c>
      <c r="J206" s="1330">
        <v>42599</v>
      </c>
      <c r="K206" s="1337" t="s">
        <v>2152</v>
      </c>
      <c r="L206" s="1331">
        <v>26.47</v>
      </c>
      <c r="M206" s="1331">
        <v>23.63</v>
      </c>
      <c r="N206" s="1332">
        <f t="shared" si="27"/>
        <v>0.89270872686059688</v>
      </c>
      <c r="O206" s="782">
        <v>26.04</v>
      </c>
      <c r="P206" s="1332">
        <f t="shared" si="28"/>
        <v>0.98375519455987914</v>
      </c>
      <c r="Q206" s="1331">
        <v>4</v>
      </c>
      <c r="R206" s="1376">
        <v>3.6109017699999999</v>
      </c>
      <c r="S206" s="1333" t="s">
        <v>2151</v>
      </c>
      <c r="T206" s="1334">
        <v>42991</v>
      </c>
      <c r="U206" s="821">
        <v>17.71</v>
      </c>
      <c r="V206" s="1332">
        <f t="shared" si="29"/>
        <v>0.68586789554531491</v>
      </c>
      <c r="W206" s="1335" t="s">
        <v>2117</v>
      </c>
      <c r="X206" s="1331">
        <v>0</v>
      </c>
      <c r="Y206" s="1331">
        <v>1.5</v>
      </c>
      <c r="Z206" s="829" t="s">
        <v>2072</v>
      </c>
    </row>
    <row r="207" spans="1:26">
      <c r="A207" s="1326" t="s">
        <v>2078</v>
      </c>
      <c r="B207" s="1327">
        <v>394</v>
      </c>
      <c r="C207" s="1328" t="s">
        <v>2150</v>
      </c>
      <c r="D207" s="829" t="s">
        <v>2149</v>
      </c>
      <c r="E207" s="829" t="s">
        <v>2148</v>
      </c>
      <c r="F207" s="827">
        <v>4</v>
      </c>
      <c r="G207" s="827">
        <v>4</v>
      </c>
      <c r="H207" s="827">
        <f t="shared" si="25"/>
        <v>54.060269804800001</v>
      </c>
      <c r="I207" s="827">
        <f t="shared" si="26"/>
        <v>7.3991491615619742E-2</v>
      </c>
      <c r="J207" s="1330">
        <v>42600</v>
      </c>
      <c r="K207" s="1280" t="s">
        <v>2147</v>
      </c>
      <c r="L207" s="1331">
        <v>10.09</v>
      </c>
      <c r="M207" s="1331">
        <v>9.1300000000000008</v>
      </c>
      <c r="N207" s="1332">
        <f t="shared" si="27"/>
        <v>0.90485629335976225</v>
      </c>
      <c r="O207" s="782">
        <v>9.2799999999999994</v>
      </c>
      <c r="P207" s="1332">
        <f t="shared" si="28"/>
        <v>0.91972249752229929</v>
      </c>
      <c r="Q207" s="1331">
        <v>5</v>
      </c>
      <c r="R207" s="1332">
        <v>5.3578067200000001</v>
      </c>
      <c r="S207" s="1333" t="s">
        <v>2146</v>
      </c>
      <c r="T207" s="1334">
        <v>42992</v>
      </c>
      <c r="U207" s="821">
        <v>4.5599999999999996</v>
      </c>
      <c r="V207" s="1332">
        <f t="shared" si="29"/>
        <v>0.78943965517241377</v>
      </c>
      <c r="W207" s="1335" t="s">
        <v>2145</v>
      </c>
      <c r="X207" s="1331">
        <v>6</v>
      </c>
      <c r="Y207" s="1331">
        <v>0.3</v>
      </c>
      <c r="Z207" s="829" t="s">
        <v>2144</v>
      </c>
    </row>
    <row r="208" spans="1:26">
      <c r="A208" s="1326" t="s">
        <v>2078</v>
      </c>
      <c r="B208" s="1327">
        <v>397</v>
      </c>
      <c r="C208" s="1328" t="s">
        <v>2143</v>
      </c>
      <c r="D208" s="829" t="s">
        <v>2142</v>
      </c>
      <c r="E208" s="829" t="s">
        <v>2141</v>
      </c>
      <c r="F208" s="827">
        <v>15.12</v>
      </c>
      <c r="G208" s="827">
        <v>15.12</v>
      </c>
      <c r="H208" s="827">
        <f t="shared" si="25"/>
        <v>81.283378196800001</v>
      </c>
      <c r="I208" s="827">
        <f t="shared" si="26"/>
        <v>0.18601589076910746</v>
      </c>
      <c r="J208" s="1330">
        <v>42594</v>
      </c>
      <c r="K208" s="1280" t="s">
        <v>2089</v>
      </c>
      <c r="L208" s="1331">
        <v>19.09</v>
      </c>
      <c r="M208" s="1331">
        <v>15.05</v>
      </c>
      <c r="N208" s="1332">
        <f t="shared" si="27"/>
        <v>0.78837087480356216</v>
      </c>
      <c r="O208" s="782">
        <v>16.100000000000001</v>
      </c>
      <c r="P208" s="1332">
        <f t="shared" si="28"/>
        <v>0.84337349397590367</v>
      </c>
      <c r="Q208" s="1331">
        <v>5</v>
      </c>
      <c r="R208" s="1332">
        <v>4.2579035200000002</v>
      </c>
      <c r="S208" s="1333" t="s">
        <v>2140</v>
      </c>
      <c r="T208" s="1334">
        <v>42992</v>
      </c>
      <c r="U208" s="821">
        <v>13</v>
      </c>
      <c r="V208" s="1332">
        <f t="shared" si="29"/>
        <v>0.81055900621118004</v>
      </c>
      <c r="W208" s="1335" t="s">
        <v>2105</v>
      </c>
      <c r="X208" s="1331">
        <v>0</v>
      </c>
      <c r="Y208" s="1331">
        <v>0.5</v>
      </c>
      <c r="Z208" s="829" t="s">
        <v>2104</v>
      </c>
    </row>
    <row r="209" spans="1:27">
      <c r="A209" s="1326" t="s">
        <v>2078</v>
      </c>
      <c r="B209" s="1327">
        <v>399</v>
      </c>
      <c r="C209" s="1328" t="s">
        <v>2139</v>
      </c>
      <c r="D209" s="829" t="s">
        <v>2138</v>
      </c>
      <c r="E209" s="829" t="s">
        <v>2137</v>
      </c>
      <c r="F209" s="827">
        <v>11.44</v>
      </c>
      <c r="G209" s="827">
        <v>11.44</v>
      </c>
      <c r="H209" s="827">
        <f t="shared" si="25"/>
        <v>93.084825480000006</v>
      </c>
      <c r="I209" s="827">
        <f t="shared" si="26"/>
        <v>0.12289865658563191</v>
      </c>
      <c r="J209" s="1330">
        <v>42611</v>
      </c>
      <c r="K209" s="1280" t="s">
        <v>2089</v>
      </c>
      <c r="L209" s="1331">
        <v>16.05</v>
      </c>
      <c r="M209" s="1331">
        <v>13.74</v>
      </c>
      <c r="N209" s="1332">
        <f t="shared" si="27"/>
        <v>0.85607476635514013</v>
      </c>
      <c r="O209" s="782">
        <v>16.34</v>
      </c>
      <c r="P209" s="1332">
        <f t="shared" si="28"/>
        <v>1.018068535825545</v>
      </c>
      <c r="Q209" s="1331">
        <v>4</v>
      </c>
      <c r="R209" s="1332">
        <v>5.7996775999999999</v>
      </c>
      <c r="S209" s="1333" t="s">
        <v>2136</v>
      </c>
      <c r="T209" s="1334">
        <v>42632</v>
      </c>
      <c r="U209" s="821">
        <v>19.489999999999998</v>
      </c>
      <c r="V209" s="1332">
        <f t="shared" si="29"/>
        <v>1.1927784577723377</v>
      </c>
      <c r="W209" s="1280" t="s">
        <v>223</v>
      </c>
      <c r="X209" s="1331">
        <v>0</v>
      </c>
      <c r="Y209" s="1331">
        <v>0</v>
      </c>
      <c r="Z209" s="829" t="s">
        <v>2135</v>
      </c>
    </row>
    <row r="210" spans="1:27">
      <c r="A210" s="1326" t="s">
        <v>2078</v>
      </c>
      <c r="B210" s="1327">
        <v>400</v>
      </c>
      <c r="C210" s="1328" t="s">
        <v>2134</v>
      </c>
      <c r="D210" s="829" t="s">
        <v>2133</v>
      </c>
      <c r="E210" s="829" t="s">
        <v>2132</v>
      </c>
      <c r="F210" s="827">
        <v>14.58</v>
      </c>
      <c r="G210" s="827">
        <v>14.58</v>
      </c>
      <c r="H210" s="827">
        <f t="shared" si="25"/>
        <v>199.50585726899999</v>
      </c>
      <c r="I210" s="827">
        <f t="shared" si="26"/>
        <v>7.3080561140324463E-2</v>
      </c>
      <c r="J210" s="1330">
        <v>42611</v>
      </c>
      <c r="K210" s="1280" t="s">
        <v>2131</v>
      </c>
      <c r="L210" s="1331">
        <v>50.3</v>
      </c>
      <c r="M210" s="1331">
        <v>37.86</v>
      </c>
      <c r="N210" s="1332">
        <f t="shared" si="27"/>
        <v>0.75268389662027835</v>
      </c>
      <c r="O210" s="782">
        <v>50.1</v>
      </c>
      <c r="P210" s="1332">
        <f t="shared" si="28"/>
        <v>0.99602385685884698</v>
      </c>
      <c r="Q210" s="1331">
        <v>5</v>
      </c>
      <c r="R210" s="1362">
        <v>3.9663192299999999</v>
      </c>
      <c r="S210" s="1333" t="s">
        <v>2130</v>
      </c>
      <c r="T210" s="1334">
        <v>42998</v>
      </c>
      <c r="U210" s="821">
        <v>48.93</v>
      </c>
      <c r="V210" s="1332">
        <f t="shared" si="29"/>
        <v>1.2796207584830341</v>
      </c>
      <c r="W210" s="1335" t="s">
        <v>2129</v>
      </c>
      <c r="X210" s="1331">
        <v>3</v>
      </c>
      <c r="Y210" s="1331">
        <v>5</v>
      </c>
      <c r="Z210" s="829" t="s">
        <v>2086</v>
      </c>
    </row>
    <row r="211" spans="1:27">
      <c r="A211" s="1326" t="s">
        <v>2078</v>
      </c>
      <c r="B211" s="1327">
        <v>401</v>
      </c>
      <c r="C211" s="1328" t="s">
        <v>2128</v>
      </c>
      <c r="D211" s="829" t="s">
        <v>2127</v>
      </c>
      <c r="E211" s="829" t="s">
        <v>2126</v>
      </c>
      <c r="F211" s="827">
        <v>10</v>
      </c>
      <c r="G211" s="827">
        <v>10</v>
      </c>
      <c r="H211" s="827">
        <f t="shared" si="25"/>
        <v>134.31631894600002</v>
      </c>
      <c r="I211" s="827">
        <f t="shared" si="26"/>
        <v>7.4451117172295037E-2</v>
      </c>
      <c r="J211" s="1330">
        <v>42607</v>
      </c>
      <c r="K211" s="1280" t="s">
        <v>2125</v>
      </c>
      <c r="L211" s="1331">
        <v>25.67</v>
      </c>
      <c r="M211" s="1331">
        <v>16.22</v>
      </c>
      <c r="N211" s="1332">
        <f t="shared" si="27"/>
        <v>0.63186599142968436</v>
      </c>
      <c r="O211" s="782">
        <v>24.8</v>
      </c>
      <c r="P211" s="1332">
        <f t="shared" si="28"/>
        <v>0.96610829762368522</v>
      </c>
      <c r="Q211" s="1331">
        <v>7</v>
      </c>
      <c r="R211" s="1332">
        <v>5.2324238000000003</v>
      </c>
      <c r="S211" s="1333" t="s">
        <v>2124</v>
      </c>
      <c r="T211" s="1334">
        <v>42998</v>
      </c>
      <c r="U211" s="821">
        <v>15.21</v>
      </c>
      <c r="V211" s="1332">
        <f t="shared" si="29"/>
        <v>0.61733870967741933</v>
      </c>
      <c r="W211" s="1335" t="s">
        <v>2123</v>
      </c>
      <c r="X211" s="1331">
        <v>0</v>
      </c>
      <c r="Y211" s="1331">
        <v>1</v>
      </c>
      <c r="Z211" s="829" t="s">
        <v>2122</v>
      </c>
    </row>
    <row r="212" spans="1:27">
      <c r="A212" s="1326" t="s">
        <v>2078</v>
      </c>
      <c r="B212" s="1327">
        <v>402</v>
      </c>
      <c r="C212" s="1328" t="s">
        <v>2121</v>
      </c>
      <c r="D212" s="1358" t="s">
        <v>2120</v>
      </c>
      <c r="E212" s="1358" t="s">
        <v>2119</v>
      </c>
      <c r="F212" s="1359">
        <v>32</v>
      </c>
      <c r="G212" s="1359">
        <v>31.9998300048</v>
      </c>
      <c r="H212" s="827">
        <f t="shared" si="25"/>
        <v>194.31128154230001</v>
      </c>
      <c r="I212" s="827">
        <f t="shared" si="26"/>
        <v>0.16468421054098115</v>
      </c>
      <c r="J212" s="1330">
        <v>42621</v>
      </c>
      <c r="K212" s="1280" t="s">
        <v>2089</v>
      </c>
      <c r="L212" s="1331">
        <v>10.73</v>
      </c>
      <c r="M212" s="1331">
        <v>10.64</v>
      </c>
      <c r="N212" s="1332">
        <f t="shared" si="27"/>
        <v>0.99161230195712957</v>
      </c>
      <c r="O212" s="1360">
        <v>10.64</v>
      </c>
      <c r="P212" s="1332">
        <f t="shared" si="28"/>
        <v>0.99161230195712957</v>
      </c>
      <c r="Q212" s="1331">
        <v>4</v>
      </c>
      <c r="R212" s="1332">
        <v>18.109159510000001</v>
      </c>
      <c r="S212" s="1333" t="s">
        <v>2118</v>
      </c>
      <c r="T212" s="1334">
        <v>42998</v>
      </c>
      <c r="U212" s="821">
        <v>12.16</v>
      </c>
      <c r="V212" s="1332">
        <f t="shared" si="29"/>
        <v>1.1569548872180451</v>
      </c>
      <c r="W212" s="1335" t="s">
        <v>2117</v>
      </c>
      <c r="X212" s="1331">
        <v>0</v>
      </c>
      <c r="Y212" s="1331">
        <v>1.5</v>
      </c>
      <c r="Z212" s="829" t="s">
        <v>2116</v>
      </c>
    </row>
    <row r="213" spans="1:27">
      <c r="A213" s="1326" t="s">
        <v>2078</v>
      </c>
      <c r="B213" s="1327">
        <v>403</v>
      </c>
      <c r="C213" s="1328" t="s">
        <v>2115</v>
      </c>
      <c r="D213" s="829" t="s">
        <v>2114</v>
      </c>
      <c r="E213" s="829" t="s">
        <v>2113</v>
      </c>
      <c r="F213" s="827">
        <v>11.3</v>
      </c>
      <c r="G213" s="827">
        <v>10.27</v>
      </c>
      <c r="H213" s="827">
        <f t="shared" si="25"/>
        <v>167.364207577</v>
      </c>
      <c r="I213" s="827">
        <f t="shared" si="26"/>
        <v>6.7517423011734204E-2</v>
      </c>
      <c r="J213" s="1330">
        <v>42608</v>
      </c>
      <c r="K213" s="1280" t="s">
        <v>2089</v>
      </c>
      <c r="L213" s="1331">
        <v>10.99</v>
      </c>
      <c r="M213" s="1331">
        <v>10.28</v>
      </c>
      <c r="N213" s="1332">
        <f t="shared" si="27"/>
        <v>0.93539581437670605</v>
      </c>
      <c r="O213" s="782">
        <v>10.28</v>
      </c>
      <c r="P213" s="1332">
        <f t="shared" si="28"/>
        <v>0.93539581437670605</v>
      </c>
      <c r="Q213" s="1331">
        <v>7</v>
      </c>
      <c r="R213" s="1332">
        <v>15.228772299999999</v>
      </c>
      <c r="S213" s="1333" t="s">
        <v>2112</v>
      </c>
      <c r="T213" s="1334">
        <v>42998</v>
      </c>
      <c r="U213" s="821">
        <v>6.82</v>
      </c>
      <c r="V213" s="1332">
        <f t="shared" si="29"/>
        <v>0.66634241245136194</v>
      </c>
      <c r="W213" s="1335" t="s">
        <v>2111</v>
      </c>
      <c r="X213" s="1331">
        <v>0</v>
      </c>
      <c r="Y213" s="1331">
        <v>0.3</v>
      </c>
      <c r="Z213" s="829" t="s">
        <v>2086</v>
      </c>
    </row>
    <row r="214" spans="1:27">
      <c r="A214" s="1326" t="s">
        <v>2078</v>
      </c>
      <c r="B214" s="1327">
        <v>404</v>
      </c>
      <c r="C214" s="1328" t="s">
        <v>2110</v>
      </c>
      <c r="D214" s="829" t="s">
        <v>2109</v>
      </c>
      <c r="E214" s="829" t="s">
        <v>2108</v>
      </c>
      <c r="F214" s="827">
        <v>25</v>
      </c>
      <c r="G214" s="827">
        <v>25</v>
      </c>
      <c r="H214" s="827">
        <f t="shared" si="25"/>
        <v>103.40765998160001</v>
      </c>
      <c r="I214" s="827">
        <f t="shared" si="26"/>
        <v>0.24176158714401247</v>
      </c>
      <c r="J214" s="1330">
        <v>42614</v>
      </c>
      <c r="K214" s="1280" t="s">
        <v>2107</v>
      </c>
      <c r="L214" s="1331">
        <v>13.91</v>
      </c>
      <c r="M214" s="1331">
        <v>11.17</v>
      </c>
      <c r="N214" s="1332">
        <f t="shared" si="27"/>
        <v>0.80301941049604597</v>
      </c>
      <c r="O214" s="782">
        <v>12.35</v>
      </c>
      <c r="P214" s="1332">
        <f t="shared" si="28"/>
        <v>0.88785046728971961</v>
      </c>
      <c r="Q214" s="1331">
        <v>9</v>
      </c>
      <c r="R214" s="1332">
        <v>7.43405176</v>
      </c>
      <c r="S214" s="1333" t="s">
        <v>2106</v>
      </c>
      <c r="T214" s="1334">
        <v>42998</v>
      </c>
      <c r="U214" s="821">
        <v>12.34</v>
      </c>
      <c r="V214" s="1332">
        <f t="shared" si="29"/>
        <v>1.0032388663967613</v>
      </c>
      <c r="W214" s="1335" t="s">
        <v>2105</v>
      </c>
      <c r="X214" s="1331">
        <v>0</v>
      </c>
      <c r="Y214" s="1331">
        <v>0.5</v>
      </c>
      <c r="Z214" s="829" t="s">
        <v>2104</v>
      </c>
    </row>
    <row r="215" spans="1:27">
      <c r="A215" s="1326" t="s">
        <v>2078</v>
      </c>
      <c r="B215" s="1327">
        <v>405</v>
      </c>
      <c r="C215" s="1328" t="s">
        <v>2103</v>
      </c>
      <c r="D215" s="829" t="s">
        <v>2102</v>
      </c>
      <c r="E215" s="829" t="s">
        <v>2101</v>
      </c>
      <c r="F215" s="827">
        <v>12.5</v>
      </c>
      <c r="G215" s="827">
        <v>12.5</v>
      </c>
      <c r="H215" s="827">
        <f t="shared" si="25"/>
        <v>172.880051748</v>
      </c>
      <c r="I215" s="827">
        <f t="shared" si="26"/>
        <v>7.2304467019831328E-2</v>
      </c>
      <c r="J215" s="1330">
        <v>42614</v>
      </c>
      <c r="K215" s="1280" t="s">
        <v>2089</v>
      </c>
      <c r="L215" s="1331">
        <v>30.18</v>
      </c>
      <c r="M215" s="1331">
        <v>24.03</v>
      </c>
      <c r="N215" s="1332">
        <f t="shared" si="27"/>
        <v>0.79622266401590458</v>
      </c>
      <c r="O215" s="782">
        <v>31</v>
      </c>
      <c r="P215" s="1332">
        <f t="shared" si="28"/>
        <v>1.0271703114645461</v>
      </c>
      <c r="Q215" s="1331">
        <v>7</v>
      </c>
      <c r="R215" s="1332">
        <v>5.7282985999999996</v>
      </c>
      <c r="S215" s="1333" t="s">
        <v>2100</v>
      </c>
      <c r="T215" s="1334">
        <v>42998</v>
      </c>
      <c r="U215" s="821">
        <v>33.92</v>
      </c>
      <c r="V215" s="1332">
        <f t="shared" si="29"/>
        <v>1.1103225806451613</v>
      </c>
      <c r="W215" s="1335" t="s">
        <v>2099</v>
      </c>
      <c r="X215" s="1331">
        <v>0</v>
      </c>
      <c r="Y215" s="1331">
        <v>5</v>
      </c>
      <c r="Z215" s="829" t="s">
        <v>2086</v>
      </c>
    </row>
    <row r="216" spans="1:27">
      <c r="A216" s="1326" t="s">
        <v>2078</v>
      </c>
      <c r="B216" s="1327">
        <v>406</v>
      </c>
      <c r="C216" s="1328" t="s">
        <v>2098</v>
      </c>
      <c r="D216" s="829" t="s">
        <v>2097</v>
      </c>
      <c r="E216" s="829" t="s">
        <v>2096</v>
      </c>
      <c r="F216" s="827">
        <v>20.78</v>
      </c>
      <c r="G216" s="827">
        <v>20.78</v>
      </c>
      <c r="H216" s="827">
        <f t="shared" si="25"/>
        <v>216.64882820099999</v>
      </c>
      <c r="I216" s="827">
        <f t="shared" si="26"/>
        <v>9.5915589170512239E-2</v>
      </c>
      <c r="J216" s="1330">
        <v>42600</v>
      </c>
      <c r="K216" s="1280" t="s">
        <v>2089</v>
      </c>
      <c r="L216" s="1331">
        <v>16.809999999999999</v>
      </c>
      <c r="M216" s="1331">
        <v>10.44</v>
      </c>
      <c r="N216" s="1332">
        <f t="shared" si="27"/>
        <v>0.62105889351576449</v>
      </c>
      <c r="O216" s="782">
        <v>14.81</v>
      </c>
      <c r="P216" s="1332">
        <f t="shared" si="28"/>
        <v>0.88102320047590732</v>
      </c>
      <c r="Q216" s="1331">
        <v>10</v>
      </c>
      <c r="R216" s="1332">
        <v>12.8880921</v>
      </c>
      <c r="S216" s="1333" t="s">
        <v>2095</v>
      </c>
      <c r="T216" s="1334">
        <v>42999</v>
      </c>
      <c r="U216" s="821">
        <v>20.8</v>
      </c>
      <c r="V216" s="1332">
        <f t="shared" si="29"/>
        <v>1.4082376772451046</v>
      </c>
      <c r="W216" s="1335" t="s">
        <v>2094</v>
      </c>
      <c r="X216" s="1331">
        <v>0</v>
      </c>
      <c r="Y216" s="1331">
        <v>0.56000000000000005</v>
      </c>
      <c r="Z216" s="829" t="s">
        <v>2093</v>
      </c>
    </row>
    <row r="217" spans="1:27">
      <c r="A217" s="1326" t="s">
        <v>2078</v>
      </c>
      <c r="B217" s="1327">
        <v>408</v>
      </c>
      <c r="C217" s="1328" t="s">
        <v>2092</v>
      </c>
      <c r="D217" s="829" t="s">
        <v>2091</v>
      </c>
      <c r="E217" s="829" t="s">
        <v>2090</v>
      </c>
      <c r="F217" s="827">
        <v>10</v>
      </c>
      <c r="G217" s="827">
        <v>10</v>
      </c>
      <c r="H217" s="827">
        <f t="shared" si="25"/>
        <v>96.897561800000005</v>
      </c>
      <c r="I217" s="827">
        <f t="shared" si="26"/>
        <v>0.10320177117191405</v>
      </c>
      <c r="J217" s="1330">
        <v>42607</v>
      </c>
      <c r="K217" s="1280" t="s">
        <v>2089</v>
      </c>
      <c r="L217" s="1331">
        <v>13.13</v>
      </c>
      <c r="M217" s="1331">
        <v>11.23</v>
      </c>
      <c r="N217" s="1332">
        <f t="shared" si="27"/>
        <v>0.85529322162985533</v>
      </c>
      <c r="O217" s="782">
        <v>13</v>
      </c>
      <c r="P217" s="1332">
        <f t="shared" si="28"/>
        <v>0.99009900990099009</v>
      </c>
      <c r="Q217" s="1331">
        <v>8</v>
      </c>
      <c r="R217" s="1332">
        <v>7.3798599999999999</v>
      </c>
      <c r="S217" s="1333" t="s">
        <v>2088</v>
      </c>
      <c r="T217" s="1334">
        <v>42999</v>
      </c>
      <c r="U217" s="821">
        <v>11.83</v>
      </c>
      <c r="V217" s="1332">
        <f t="shared" si="29"/>
        <v>0.92384615384615387</v>
      </c>
      <c r="W217" s="1335" t="s">
        <v>2087</v>
      </c>
      <c r="X217" s="1331">
        <v>0</v>
      </c>
      <c r="Y217" s="1331">
        <v>1.7999999999999998</v>
      </c>
      <c r="Z217" s="829" t="s">
        <v>2086</v>
      </c>
    </row>
    <row r="218" spans="1:27">
      <c r="A218" s="1326" t="s">
        <v>2078</v>
      </c>
      <c r="B218" s="1327">
        <v>409</v>
      </c>
      <c r="C218" s="1328" t="s">
        <v>2085</v>
      </c>
      <c r="D218" s="829" t="s">
        <v>2084</v>
      </c>
      <c r="E218" s="829" t="s">
        <v>2083</v>
      </c>
      <c r="F218" s="827">
        <v>5</v>
      </c>
      <c r="G218" s="827">
        <v>5</v>
      </c>
      <c r="H218" s="827">
        <f t="shared" si="25"/>
        <v>48.496000000000002</v>
      </c>
      <c r="I218" s="827">
        <f t="shared" si="26"/>
        <v>0.10310128670405806</v>
      </c>
      <c r="J218" s="1330">
        <v>42614</v>
      </c>
      <c r="K218" s="1280" t="s">
        <v>2082</v>
      </c>
      <c r="L218" s="1331">
        <v>30.31</v>
      </c>
      <c r="M218" s="1331">
        <v>26.28</v>
      </c>
      <c r="N218" s="1332">
        <f t="shared" si="27"/>
        <v>0.86704058066644674</v>
      </c>
      <c r="O218" s="782">
        <v>28.8</v>
      </c>
      <c r="P218" s="1332">
        <f t="shared" si="28"/>
        <v>0.95018145826459921</v>
      </c>
      <c r="Q218" s="1331">
        <v>6</v>
      </c>
      <c r="R218" s="1331">
        <v>1.6</v>
      </c>
      <c r="S218" s="1333" t="s">
        <v>2081</v>
      </c>
      <c r="T218" s="1334">
        <v>42999</v>
      </c>
      <c r="U218" s="821">
        <v>8.58</v>
      </c>
      <c r="V218" s="1332">
        <f t="shared" si="29"/>
        <v>0.89583333333333337</v>
      </c>
      <c r="W218" s="1335" t="s">
        <v>2080</v>
      </c>
      <c r="X218" s="1331">
        <v>20</v>
      </c>
      <c r="Y218" s="1331">
        <v>0.6</v>
      </c>
      <c r="Z218" s="829" t="s">
        <v>2079</v>
      </c>
    </row>
    <row r="219" spans="1:27">
      <c r="A219" s="1326" t="s">
        <v>2078</v>
      </c>
      <c r="B219" s="1327">
        <v>410</v>
      </c>
      <c r="C219" s="1328" t="s">
        <v>2077</v>
      </c>
      <c r="D219" s="829" t="s">
        <v>2076</v>
      </c>
      <c r="E219" s="829" t="s">
        <v>2075</v>
      </c>
      <c r="F219" s="827">
        <v>5.07</v>
      </c>
      <c r="G219" s="827">
        <v>5.07</v>
      </c>
      <c r="H219" s="827">
        <f t="shared" si="25"/>
        <v>46.3</v>
      </c>
      <c r="I219" s="827">
        <f t="shared" si="26"/>
        <v>0.10950323974082074</v>
      </c>
      <c r="J219" s="1330">
        <v>42619</v>
      </c>
      <c r="K219" s="1280" t="s">
        <v>2074</v>
      </c>
      <c r="L219" s="1331">
        <v>46.3</v>
      </c>
      <c r="M219" s="1331">
        <v>27.69</v>
      </c>
      <c r="N219" s="1332">
        <f t="shared" si="27"/>
        <v>0.59805615550755942</v>
      </c>
      <c r="O219" s="782">
        <v>42.55</v>
      </c>
      <c r="P219" s="1332">
        <f t="shared" si="28"/>
        <v>0.91900647948164149</v>
      </c>
      <c r="Q219" s="1331">
        <v>8</v>
      </c>
      <c r="R219" s="1331">
        <v>1</v>
      </c>
      <c r="S219" s="1333" t="s">
        <v>2073</v>
      </c>
      <c r="T219" s="1334">
        <v>42999</v>
      </c>
      <c r="U219" s="821">
        <v>29.56</v>
      </c>
      <c r="V219" s="1332">
        <f>((U219*(1+X219/10)+Y219/10)/O219)</f>
        <v>1.391774383078731</v>
      </c>
      <c r="W219" s="1335" t="s">
        <v>891</v>
      </c>
      <c r="X219" s="1331">
        <v>10</v>
      </c>
      <c r="Y219" s="1331">
        <v>1</v>
      </c>
      <c r="Z219" s="829" t="s">
        <v>2072</v>
      </c>
    </row>
    <row r="220" spans="1:27" s="1384" customFormat="1">
      <c r="A220" s="1280" t="s">
        <v>3682</v>
      </c>
      <c r="B220" s="1283">
        <v>411</v>
      </c>
      <c r="C220" s="1378" t="s">
        <v>752</v>
      </c>
      <c r="D220" s="1379" t="s">
        <v>753</v>
      </c>
      <c r="E220" s="1379">
        <v>300437</v>
      </c>
      <c r="F220" s="1344">
        <v>4.1094999999999997</v>
      </c>
      <c r="G220" s="1344">
        <v>4.10949981</v>
      </c>
      <c r="H220" s="1302">
        <f t="shared" si="25"/>
        <v>52.420799999999993</v>
      </c>
      <c r="I220" s="1302">
        <f t="shared" si="26"/>
        <v>7.8394454109819003E-2</v>
      </c>
      <c r="J220" s="1380">
        <v>42608</v>
      </c>
      <c r="K220" s="1381" t="s">
        <v>151</v>
      </c>
      <c r="L220" s="1345">
        <v>26.08</v>
      </c>
      <c r="M220" s="1284">
        <v>23.36</v>
      </c>
      <c r="N220" s="1345">
        <f t="shared" si="27"/>
        <v>0.89570552147239269</v>
      </c>
      <c r="O220" s="1345">
        <v>23.4</v>
      </c>
      <c r="P220" s="1345">
        <f t="shared" si="28"/>
        <v>0.89723926380368102</v>
      </c>
      <c r="Q220" s="1284">
        <v>3</v>
      </c>
      <c r="R220" s="896">
        <v>2.0099999999999998</v>
      </c>
      <c r="S220" s="1341" t="s">
        <v>3683</v>
      </c>
      <c r="T220" s="1347">
        <v>43000</v>
      </c>
      <c r="U220" s="1345">
        <v>18.25</v>
      </c>
      <c r="V220" s="1345">
        <f t="shared" ref="V220:V259" si="30">(U220*(1+X220/10)+Y220/10)/O220</f>
        <v>0.78333333333333333</v>
      </c>
      <c r="W220" s="1382" t="s">
        <v>754</v>
      </c>
      <c r="X220" s="1284">
        <f t="shared" ref="X220:X243" si="31">IFERROR(MID(W220,FIND("转",W220)+1,FIND("股",W220)-(FIND("转",W220)+1)),0)</f>
        <v>0</v>
      </c>
      <c r="Y220" s="1284" t="str">
        <f t="shared" ref="Y220:Y259" si="32">IFERROR(MID(W220,FIND("派",W220)+1,FIND("元",W220)-FIND("派",W220)-1),0)</f>
        <v>0.80</v>
      </c>
      <c r="Z220" s="1343" t="s">
        <v>2116</v>
      </c>
      <c r="AA220" s="1383" t="s">
        <v>3684</v>
      </c>
    </row>
    <row r="221" spans="1:27" s="1384" customFormat="1">
      <c r="A221" s="1280" t="s">
        <v>3682</v>
      </c>
      <c r="B221" s="1283">
        <v>412</v>
      </c>
      <c r="C221" s="1378" t="s">
        <v>3685</v>
      </c>
      <c r="D221" s="1379" t="s">
        <v>755</v>
      </c>
      <c r="E221" s="1379" t="s">
        <v>756</v>
      </c>
      <c r="F221" s="1344">
        <v>8.3775999999999993</v>
      </c>
      <c r="G221" s="1344">
        <v>8.3775998724999994</v>
      </c>
      <c r="H221" s="1302">
        <f t="shared" si="25"/>
        <v>74.173500000000004</v>
      </c>
      <c r="I221" s="1302">
        <f t="shared" si="26"/>
        <v>0.11294599823387057</v>
      </c>
      <c r="J221" s="1380">
        <v>42608</v>
      </c>
      <c r="K221" s="1381" t="s">
        <v>151</v>
      </c>
      <c r="L221" s="1345">
        <v>46.65</v>
      </c>
      <c r="M221" s="1345">
        <v>24.79</v>
      </c>
      <c r="N221" s="1345">
        <f t="shared" si="27"/>
        <v>0.5314040728831726</v>
      </c>
      <c r="O221" s="1345">
        <v>37.25</v>
      </c>
      <c r="P221" s="1345">
        <f t="shared" si="28"/>
        <v>0.79849946409431938</v>
      </c>
      <c r="Q221" s="1284">
        <v>5</v>
      </c>
      <c r="R221" s="896">
        <v>1.59</v>
      </c>
      <c r="S221" s="1341" t="s">
        <v>3686</v>
      </c>
      <c r="T221" s="1347">
        <v>43000</v>
      </c>
      <c r="U221" s="1345">
        <v>30.3</v>
      </c>
      <c r="V221" s="1345">
        <f t="shared" si="30"/>
        <v>0.81879194630872487</v>
      </c>
      <c r="W221" s="1382" t="s">
        <v>268</v>
      </c>
      <c r="X221" s="1284">
        <f t="shared" si="31"/>
        <v>0</v>
      </c>
      <c r="Y221" s="1284" t="str">
        <f t="shared" si="32"/>
        <v>2.00</v>
      </c>
      <c r="Z221" s="1343" t="s">
        <v>2556</v>
      </c>
      <c r="AA221" s="1383"/>
    </row>
    <row r="222" spans="1:27" s="1384" customFormat="1">
      <c r="A222" s="1280" t="s">
        <v>3682</v>
      </c>
      <c r="B222" s="1283">
        <v>413</v>
      </c>
      <c r="C222" s="1378" t="s">
        <v>757</v>
      </c>
      <c r="D222" s="1379" t="s">
        <v>758</v>
      </c>
      <c r="E222" s="1379" t="s">
        <v>759</v>
      </c>
      <c r="F222" s="1344">
        <v>6.6</v>
      </c>
      <c r="G222" s="1344">
        <v>6.5999998432</v>
      </c>
      <c r="H222" s="1302">
        <f t="shared" si="25"/>
        <v>55.915199999999999</v>
      </c>
      <c r="I222" s="1302">
        <f t="shared" si="26"/>
        <v>0.11803588290840415</v>
      </c>
      <c r="J222" s="1380">
        <v>42622</v>
      </c>
      <c r="K222" s="1381" t="s">
        <v>151</v>
      </c>
      <c r="L222" s="1345">
        <v>14.12</v>
      </c>
      <c r="M222" s="1345">
        <v>12.26</v>
      </c>
      <c r="N222" s="1345">
        <f t="shared" si="27"/>
        <v>0.86827195467422102</v>
      </c>
      <c r="O222" s="1345">
        <v>13.28</v>
      </c>
      <c r="P222" s="1345">
        <f t="shared" si="28"/>
        <v>0.94050991501416437</v>
      </c>
      <c r="Q222" s="1284">
        <v>3</v>
      </c>
      <c r="R222" s="896">
        <v>3.96</v>
      </c>
      <c r="S222" s="1341" t="s">
        <v>3687</v>
      </c>
      <c r="T222" s="1347">
        <v>43000</v>
      </c>
      <c r="U222" s="1345">
        <v>10.76</v>
      </c>
      <c r="V222" s="1345">
        <f t="shared" si="30"/>
        <v>0.81400602409638567</v>
      </c>
      <c r="W222" s="1385" t="s">
        <v>267</v>
      </c>
      <c r="X222" s="1284">
        <f t="shared" si="31"/>
        <v>0</v>
      </c>
      <c r="Y222" s="1284" t="str">
        <f t="shared" si="32"/>
        <v>0.5</v>
      </c>
      <c r="Z222" s="1343" t="s">
        <v>2104</v>
      </c>
      <c r="AA222" s="1383"/>
    </row>
    <row r="223" spans="1:27" s="1384" customFormat="1">
      <c r="A223" s="1280" t="s">
        <v>3682</v>
      </c>
      <c r="B223" s="1283">
        <v>414</v>
      </c>
      <c r="C223" s="1378" t="s">
        <v>3688</v>
      </c>
      <c r="D223" s="1379" t="s">
        <v>760</v>
      </c>
      <c r="E223" s="1379" t="s">
        <v>761</v>
      </c>
      <c r="F223" s="1344">
        <v>48</v>
      </c>
      <c r="G223" s="1344">
        <v>47.999999902500001</v>
      </c>
      <c r="H223" s="1302">
        <f t="shared" si="25"/>
        <v>220.26581999999999</v>
      </c>
      <c r="I223" s="1302">
        <f t="shared" si="26"/>
        <v>0.21791851318556824</v>
      </c>
      <c r="J223" s="1380">
        <v>42621</v>
      </c>
      <c r="K223" s="1381" t="s">
        <v>151</v>
      </c>
      <c r="L223" s="1345">
        <v>10.95</v>
      </c>
      <c r="M223" s="1345">
        <v>10.32</v>
      </c>
      <c r="N223" s="1345">
        <f t="shared" si="27"/>
        <v>0.94246575342465766</v>
      </c>
      <c r="O223" s="1345">
        <v>10.35</v>
      </c>
      <c r="P223" s="1345">
        <f t="shared" si="28"/>
        <v>0.9452054794520548</v>
      </c>
      <c r="Q223" s="1284">
        <v>5</v>
      </c>
      <c r="R223" s="896">
        <v>20.115600000000001</v>
      </c>
      <c r="S223" s="1341" t="s">
        <v>3689</v>
      </c>
      <c r="T223" s="1347">
        <v>43000</v>
      </c>
      <c r="U223" s="1345">
        <v>8.06</v>
      </c>
      <c r="V223" s="1345">
        <f t="shared" si="30"/>
        <v>0.78357487922705327</v>
      </c>
      <c r="W223" s="1385" t="s">
        <v>267</v>
      </c>
      <c r="X223" s="1284">
        <f t="shared" si="31"/>
        <v>0</v>
      </c>
      <c r="Y223" s="1284" t="str">
        <f t="shared" si="32"/>
        <v>0.5</v>
      </c>
      <c r="Z223" s="1343" t="s">
        <v>2233</v>
      </c>
      <c r="AA223" s="1383"/>
    </row>
    <row r="224" spans="1:27" s="1384" customFormat="1">
      <c r="A224" s="1280" t="s">
        <v>3682</v>
      </c>
      <c r="B224" s="1283">
        <v>415</v>
      </c>
      <c r="C224" s="1378" t="s">
        <v>762</v>
      </c>
      <c r="D224" s="1379" t="s">
        <v>763</v>
      </c>
      <c r="E224" s="1379" t="s">
        <v>764</v>
      </c>
      <c r="F224" s="1344">
        <v>22.392600000000002</v>
      </c>
      <c r="G224" s="1344">
        <v>22.392599903800001</v>
      </c>
      <c r="H224" s="1302">
        <f t="shared" si="25"/>
        <v>178.75199999999998</v>
      </c>
      <c r="I224" s="1302">
        <f t="shared" si="26"/>
        <v>0.12527188506981743</v>
      </c>
      <c r="J224" s="1380">
        <v>42608</v>
      </c>
      <c r="K224" s="1381" t="s">
        <v>153</v>
      </c>
      <c r="L224" s="1345">
        <v>15.2</v>
      </c>
      <c r="M224" s="1284">
        <v>12.26</v>
      </c>
      <c r="N224" s="1345">
        <f t="shared" si="27"/>
        <v>0.80657894736842106</v>
      </c>
      <c r="O224" s="1345">
        <v>13.58</v>
      </c>
      <c r="P224" s="1345">
        <f t="shared" si="28"/>
        <v>0.893421052631579</v>
      </c>
      <c r="Q224" s="1284">
        <v>10</v>
      </c>
      <c r="R224" s="896">
        <v>11.76</v>
      </c>
      <c r="S224" s="1341" t="s">
        <v>3690</v>
      </c>
      <c r="T224" s="1347">
        <v>43000</v>
      </c>
      <c r="U224" s="1345">
        <v>7.29</v>
      </c>
      <c r="V224" s="1345">
        <f t="shared" si="30"/>
        <v>0.7006627393225332</v>
      </c>
      <c r="W224" s="1385" t="s">
        <v>765</v>
      </c>
      <c r="X224" s="1284" t="str">
        <f t="shared" si="31"/>
        <v>3</v>
      </c>
      <c r="Y224" s="1284" t="str">
        <f t="shared" si="32"/>
        <v>0.38</v>
      </c>
      <c r="Z224" s="1343" t="s">
        <v>2192</v>
      </c>
      <c r="AA224" s="1383"/>
    </row>
    <row r="225" spans="1:27" s="1384" customFormat="1">
      <c r="A225" s="1280" t="s">
        <v>3682</v>
      </c>
      <c r="B225" s="1283">
        <v>417</v>
      </c>
      <c r="C225" s="1386" t="s">
        <v>766</v>
      </c>
      <c r="D225" s="1379" t="s">
        <v>767</v>
      </c>
      <c r="E225" s="1379" t="s">
        <v>768</v>
      </c>
      <c r="F225" s="1344">
        <v>11.425000000000001</v>
      </c>
      <c r="G225" s="1344">
        <v>11.424999616299999</v>
      </c>
      <c r="H225" s="1302">
        <f t="shared" si="25"/>
        <v>42.475099999999998</v>
      </c>
      <c r="I225" s="1302">
        <f t="shared" si="26"/>
        <v>0.26898112070365937</v>
      </c>
      <c r="J225" s="1380">
        <v>42592</v>
      </c>
      <c r="K225" s="1324" t="s">
        <v>151</v>
      </c>
      <c r="L225" s="1345">
        <v>15.79</v>
      </c>
      <c r="M225" s="1345">
        <v>10.7</v>
      </c>
      <c r="N225" s="1345">
        <f t="shared" si="27"/>
        <v>0.67764407853071562</v>
      </c>
      <c r="O225" s="1345">
        <v>14.59</v>
      </c>
      <c r="P225" s="1345">
        <f t="shared" si="28"/>
        <v>0.9240025332488917</v>
      </c>
      <c r="Q225" s="1284">
        <v>6</v>
      </c>
      <c r="R225" s="896">
        <v>2.69</v>
      </c>
      <c r="S225" s="1341" t="s">
        <v>3691</v>
      </c>
      <c r="T225" s="1347">
        <v>43007</v>
      </c>
      <c r="U225" s="1345">
        <v>16.8</v>
      </c>
      <c r="V225" s="1345">
        <f t="shared" si="30"/>
        <v>1.1549006168608638</v>
      </c>
      <c r="W225" s="1385" t="s">
        <v>267</v>
      </c>
      <c r="X225" s="1284">
        <f t="shared" si="31"/>
        <v>0</v>
      </c>
      <c r="Y225" s="1284" t="str">
        <f t="shared" si="32"/>
        <v>0.5</v>
      </c>
      <c r="Z225" s="1343" t="s">
        <v>3692</v>
      </c>
      <c r="AA225" s="1383"/>
    </row>
    <row r="226" spans="1:27" s="1384" customFormat="1">
      <c r="A226" s="1280" t="s">
        <v>3682</v>
      </c>
      <c r="B226" s="1283">
        <v>420</v>
      </c>
      <c r="C226" s="1386" t="s">
        <v>766</v>
      </c>
      <c r="D226" s="1379" t="s">
        <v>769</v>
      </c>
      <c r="E226" s="1379" t="s">
        <v>770</v>
      </c>
      <c r="F226" s="1344">
        <v>25.5</v>
      </c>
      <c r="G226" s="1344">
        <v>25.499999971699999</v>
      </c>
      <c r="H226" s="1302">
        <f t="shared" si="25"/>
        <v>56.906199999999998</v>
      </c>
      <c r="I226" s="1302">
        <f t="shared" si="26"/>
        <v>0.44810583029617163</v>
      </c>
      <c r="J226" s="1380">
        <v>42625</v>
      </c>
      <c r="K226" s="1324" t="s">
        <v>151</v>
      </c>
      <c r="L226" s="1345">
        <v>5.59</v>
      </c>
      <c r="M226" s="1345">
        <v>4.09</v>
      </c>
      <c r="N226" s="1345">
        <f t="shared" si="27"/>
        <v>0.73166368515205726</v>
      </c>
      <c r="O226" s="1345">
        <v>4.3899999999999997</v>
      </c>
      <c r="P226" s="1345">
        <f t="shared" si="28"/>
        <v>0.78533094812164572</v>
      </c>
      <c r="Q226" s="1284">
        <v>7</v>
      </c>
      <c r="R226" s="896">
        <v>10.18</v>
      </c>
      <c r="S226" s="1341" t="s">
        <v>3693</v>
      </c>
      <c r="T226" s="1347">
        <v>43004</v>
      </c>
      <c r="U226" s="1345">
        <v>4.92</v>
      </c>
      <c r="V226" s="1345">
        <f t="shared" si="30"/>
        <v>1.1275626423690206</v>
      </c>
      <c r="W226" s="1385" t="s">
        <v>236</v>
      </c>
      <c r="X226" s="1284">
        <f t="shared" si="31"/>
        <v>0</v>
      </c>
      <c r="Y226" s="1284" t="str">
        <f t="shared" si="32"/>
        <v>0.30</v>
      </c>
      <c r="Z226" s="1343" t="s">
        <v>3672</v>
      </c>
      <c r="AA226" s="1383"/>
    </row>
    <row r="227" spans="1:27" s="1384" customFormat="1">
      <c r="A227" s="1280" t="s">
        <v>3682</v>
      </c>
      <c r="B227" s="1283">
        <v>421</v>
      </c>
      <c r="C227" s="1386" t="s">
        <v>771</v>
      </c>
      <c r="D227" s="1379" t="s">
        <v>772</v>
      </c>
      <c r="E227" s="1379" t="s">
        <v>773</v>
      </c>
      <c r="F227" s="1344">
        <v>35.054200000000002</v>
      </c>
      <c r="G227" s="1344">
        <v>35.054199920199999</v>
      </c>
      <c r="H227" s="1302">
        <f t="shared" si="25"/>
        <v>45.328800000000001</v>
      </c>
      <c r="I227" s="1302">
        <f t="shared" si="26"/>
        <v>0.77333174493919987</v>
      </c>
      <c r="J227" s="1380">
        <v>42625</v>
      </c>
      <c r="K227" s="1381" t="s">
        <v>151</v>
      </c>
      <c r="L227" s="1345">
        <v>22.44</v>
      </c>
      <c r="M227" s="1345">
        <v>14.61</v>
      </c>
      <c r="N227" s="1345">
        <f t="shared" si="27"/>
        <v>0.65106951871657748</v>
      </c>
      <c r="O227" s="1345">
        <v>14.66</v>
      </c>
      <c r="P227" s="1345">
        <f t="shared" si="28"/>
        <v>0.65329768270944744</v>
      </c>
      <c r="Q227" s="1284">
        <v>9</v>
      </c>
      <c r="R227" s="896">
        <v>2.02</v>
      </c>
      <c r="S227" s="1341" t="s">
        <v>3694</v>
      </c>
      <c r="T227" s="1347">
        <v>43005</v>
      </c>
      <c r="U227" s="1345">
        <v>14.36</v>
      </c>
      <c r="V227" s="1345">
        <f t="shared" si="30"/>
        <v>0.98035470668485669</v>
      </c>
      <c r="W227" s="1385" t="s">
        <v>774</v>
      </c>
      <c r="X227" s="1284">
        <f t="shared" si="31"/>
        <v>0</v>
      </c>
      <c r="Y227" s="1284" t="str">
        <f t="shared" si="32"/>
        <v>0.12</v>
      </c>
      <c r="Z227" s="1343" t="s">
        <v>2281</v>
      </c>
      <c r="AA227" s="1383"/>
    </row>
    <row r="228" spans="1:27" s="1384" customFormat="1">
      <c r="A228" s="1280" t="s">
        <v>3682</v>
      </c>
      <c r="B228" s="1283">
        <v>422</v>
      </c>
      <c r="C228" s="1386" t="s">
        <v>775</v>
      </c>
      <c r="D228" s="1379" t="s">
        <v>776</v>
      </c>
      <c r="E228" s="1379" t="s">
        <v>777</v>
      </c>
      <c r="F228" s="1344">
        <v>11.5</v>
      </c>
      <c r="G228" s="1344">
        <v>11.499999868</v>
      </c>
      <c r="H228" s="1302">
        <f t="shared" si="25"/>
        <v>108.39649999999999</v>
      </c>
      <c r="I228" s="1302">
        <f t="shared" si="26"/>
        <v>0.10609198636487341</v>
      </c>
      <c r="J228" s="1380">
        <v>42613</v>
      </c>
      <c r="K228" s="1381" t="s">
        <v>151</v>
      </c>
      <c r="L228" s="1345">
        <v>25.15</v>
      </c>
      <c r="M228" s="1345">
        <v>19.579999999999998</v>
      </c>
      <c r="N228" s="1345">
        <f t="shared" si="27"/>
        <v>0.77852882703777337</v>
      </c>
      <c r="O228" s="1345">
        <v>24.4</v>
      </c>
      <c r="P228" s="1345">
        <f t="shared" si="28"/>
        <v>0.97017892644135184</v>
      </c>
      <c r="Q228" s="1284">
        <v>7</v>
      </c>
      <c r="R228" s="896">
        <v>4.3099999999999996</v>
      </c>
      <c r="S228" s="1341" t="s">
        <v>3695</v>
      </c>
      <c r="T228" s="1347">
        <v>43035</v>
      </c>
      <c r="U228" s="1345">
        <v>15.48</v>
      </c>
      <c r="V228" s="1345">
        <f t="shared" si="30"/>
        <v>0.63442622950819683</v>
      </c>
      <c r="W228" s="1385" t="s">
        <v>223</v>
      </c>
      <c r="X228" s="1284">
        <f t="shared" si="31"/>
        <v>0</v>
      </c>
      <c r="Y228" s="1284">
        <f t="shared" si="32"/>
        <v>0</v>
      </c>
      <c r="Z228" s="1343" t="s">
        <v>2411</v>
      </c>
      <c r="AA228" s="1383" t="s">
        <v>3696</v>
      </c>
    </row>
    <row r="229" spans="1:27" s="1384" customFormat="1">
      <c r="A229" s="1280" t="s">
        <v>3682</v>
      </c>
      <c r="B229" s="1283">
        <v>426</v>
      </c>
      <c r="C229" s="1378" t="s">
        <v>3697</v>
      </c>
      <c r="D229" s="1379" t="s">
        <v>778</v>
      </c>
      <c r="E229" s="1379" t="s">
        <v>779</v>
      </c>
      <c r="F229" s="1344">
        <v>4.9450000000000003</v>
      </c>
      <c r="G229" s="1344">
        <v>4.9449999840999999</v>
      </c>
      <c r="H229" s="1302">
        <f t="shared" si="25"/>
        <v>55.762499999999996</v>
      </c>
      <c r="I229" s="1302">
        <f t="shared" si="26"/>
        <v>8.8679668235821574E-2</v>
      </c>
      <c r="J229" s="1380">
        <v>42613</v>
      </c>
      <c r="K229" s="1381" t="s">
        <v>151</v>
      </c>
      <c r="L229" s="1345">
        <v>14.87</v>
      </c>
      <c r="M229" s="1345">
        <v>12.66</v>
      </c>
      <c r="N229" s="1345">
        <f t="shared" si="27"/>
        <v>0.85137861466039011</v>
      </c>
      <c r="O229" s="1345">
        <v>14.99</v>
      </c>
      <c r="P229" s="1345">
        <f t="shared" si="28"/>
        <v>1.008069939475454</v>
      </c>
      <c r="Q229" s="1284">
        <v>5</v>
      </c>
      <c r="R229" s="896">
        <v>3.75</v>
      </c>
      <c r="S229" s="1341" t="s">
        <v>3698</v>
      </c>
      <c r="T229" s="1347">
        <v>42641</v>
      </c>
      <c r="U229" s="1345">
        <v>16.5</v>
      </c>
      <c r="V229" s="1345">
        <f t="shared" si="30"/>
        <v>1.1007338225483656</v>
      </c>
      <c r="W229" s="1385" t="s">
        <v>223</v>
      </c>
      <c r="X229" s="1284">
        <f t="shared" si="31"/>
        <v>0</v>
      </c>
      <c r="Y229" s="1284">
        <f t="shared" si="32"/>
        <v>0</v>
      </c>
      <c r="Z229" s="1343" t="s">
        <v>2172</v>
      </c>
      <c r="AA229" s="1383" t="s">
        <v>780</v>
      </c>
    </row>
    <row r="230" spans="1:27" s="1384" customFormat="1">
      <c r="A230" s="1280" t="s">
        <v>3682</v>
      </c>
      <c r="B230" s="1283">
        <v>428</v>
      </c>
      <c r="C230" s="1378" t="s">
        <v>3699</v>
      </c>
      <c r="D230" s="1379" t="s">
        <v>781</v>
      </c>
      <c r="E230" s="1379" t="s">
        <v>782</v>
      </c>
      <c r="F230" s="1344">
        <v>3.4910000000000001</v>
      </c>
      <c r="G230" s="1344">
        <v>3.4470000000000001</v>
      </c>
      <c r="H230" s="1302">
        <f t="shared" si="25"/>
        <v>42.014699999999991</v>
      </c>
      <c r="I230" s="1302">
        <f t="shared" si="26"/>
        <v>8.3089966130901818E-2</v>
      </c>
      <c r="J230" s="1380">
        <v>42615</v>
      </c>
      <c r="K230" s="1381" t="s">
        <v>151</v>
      </c>
      <c r="L230" s="1345">
        <v>35.909999999999997</v>
      </c>
      <c r="M230" s="1345">
        <v>31.77</v>
      </c>
      <c r="N230" s="1345">
        <f t="shared" si="27"/>
        <v>0.88471177944862167</v>
      </c>
      <c r="O230" s="1345">
        <v>34.47</v>
      </c>
      <c r="P230" s="1345">
        <f t="shared" si="28"/>
        <v>0.9598997493734337</v>
      </c>
      <c r="Q230" s="1284">
        <v>4</v>
      </c>
      <c r="R230" s="896">
        <v>1.17</v>
      </c>
      <c r="S230" s="1341" t="s">
        <v>3700</v>
      </c>
      <c r="T230" s="1347">
        <v>43006</v>
      </c>
      <c r="U230" s="1345">
        <v>12.5</v>
      </c>
      <c r="V230" s="1345">
        <f t="shared" si="30"/>
        <v>0.73252103278212943</v>
      </c>
      <c r="W230" s="1382" t="s">
        <v>783</v>
      </c>
      <c r="X230" s="1284" t="str">
        <f t="shared" si="31"/>
        <v>10</v>
      </c>
      <c r="Y230" s="1284" t="str">
        <f t="shared" si="32"/>
        <v>2.50</v>
      </c>
      <c r="Z230" s="1343" t="s">
        <v>2072</v>
      </c>
      <c r="AA230" s="1383" t="s">
        <v>784</v>
      </c>
    </row>
    <row r="231" spans="1:27" s="1384" customFormat="1">
      <c r="A231" s="1280" t="s">
        <v>3682</v>
      </c>
      <c r="B231" s="1283">
        <v>432</v>
      </c>
      <c r="C231" s="1378" t="s">
        <v>3701</v>
      </c>
      <c r="D231" s="1379" t="s">
        <v>785</v>
      </c>
      <c r="E231" s="1379" t="s">
        <v>786</v>
      </c>
      <c r="F231" s="1344">
        <v>20</v>
      </c>
      <c r="G231" s="1344">
        <v>19.999999949999999</v>
      </c>
      <c r="H231" s="1302">
        <f t="shared" si="25"/>
        <v>322.06790000000001</v>
      </c>
      <c r="I231" s="1302">
        <f t="shared" si="26"/>
        <v>6.2098706514992642E-2</v>
      </c>
      <c r="J231" s="1380">
        <v>42597</v>
      </c>
      <c r="K231" s="1381" t="s">
        <v>151</v>
      </c>
      <c r="L231" s="1345">
        <v>16.61</v>
      </c>
      <c r="M231" s="1345">
        <v>5.3</v>
      </c>
      <c r="N231" s="1345">
        <f t="shared" si="27"/>
        <v>0.31908488862131246</v>
      </c>
      <c r="O231" s="1345">
        <v>15</v>
      </c>
      <c r="P231" s="1345">
        <f t="shared" si="28"/>
        <v>0.90307043949428056</v>
      </c>
      <c r="Q231" s="1284">
        <v>9</v>
      </c>
      <c r="R231" s="896">
        <v>19.39</v>
      </c>
      <c r="S231" s="1341" t="s">
        <v>3702</v>
      </c>
      <c r="T231" s="1347">
        <v>43018</v>
      </c>
      <c r="U231" s="1345">
        <v>18.190000000000001</v>
      </c>
      <c r="V231" s="1345">
        <f t="shared" si="30"/>
        <v>1.2126666666666668</v>
      </c>
      <c r="W231" s="1385" t="s">
        <v>223</v>
      </c>
      <c r="X231" s="1284">
        <f t="shared" si="31"/>
        <v>0</v>
      </c>
      <c r="Y231" s="1284">
        <f t="shared" si="32"/>
        <v>0</v>
      </c>
      <c r="Z231" s="1343" t="s">
        <v>2116</v>
      </c>
      <c r="AA231" s="1387" t="s">
        <v>3703</v>
      </c>
    </row>
    <row r="232" spans="1:27" s="1384" customFormat="1" ht="16" customHeight="1">
      <c r="A232" s="1280" t="s">
        <v>3682</v>
      </c>
      <c r="B232" s="1482">
        <v>433</v>
      </c>
      <c r="C232" s="1378" t="s">
        <v>3704</v>
      </c>
      <c r="D232" s="1483" t="s">
        <v>787</v>
      </c>
      <c r="E232" s="1484" t="s">
        <v>788</v>
      </c>
      <c r="F232" s="1485">
        <v>29</v>
      </c>
      <c r="G232" s="1485">
        <v>26.0506665672</v>
      </c>
      <c r="H232" s="1302">
        <f t="shared" si="25"/>
        <v>89.459800000000001</v>
      </c>
      <c r="I232" s="1302">
        <f t="shared" si="26"/>
        <v>0.32416795029722845</v>
      </c>
      <c r="J232" s="1380">
        <v>42615</v>
      </c>
      <c r="K232" s="1381" t="s">
        <v>153</v>
      </c>
      <c r="L232" s="1345">
        <v>3.07</v>
      </c>
      <c r="M232" s="1345">
        <v>2.64</v>
      </c>
      <c r="N232" s="1345">
        <f t="shared" si="27"/>
        <v>0.85993485342019549</v>
      </c>
      <c r="O232" s="1345">
        <v>2.64</v>
      </c>
      <c r="P232" s="1345">
        <f t="shared" si="28"/>
        <v>0.85993485342019549</v>
      </c>
      <c r="Q232" s="1481">
        <v>8</v>
      </c>
      <c r="R232" s="1346">
        <v>29.14</v>
      </c>
      <c r="S232" s="1341" t="s">
        <v>3705</v>
      </c>
      <c r="T232" s="1347">
        <v>43019</v>
      </c>
      <c r="U232" s="1345">
        <v>3.2</v>
      </c>
      <c r="V232" s="1345">
        <f t="shared" si="30"/>
        <v>1.2121212121212122</v>
      </c>
      <c r="W232" s="1385" t="s">
        <v>223</v>
      </c>
      <c r="X232" s="1284">
        <f t="shared" si="31"/>
        <v>0</v>
      </c>
      <c r="Y232" s="1284">
        <f t="shared" si="32"/>
        <v>0</v>
      </c>
      <c r="Z232" s="1343" t="s">
        <v>2116</v>
      </c>
      <c r="AA232" s="1383"/>
    </row>
    <row r="233" spans="1:27" s="1384" customFormat="1" ht="16" customHeight="1">
      <c r="A233" s="1280" t="s">
        <v>3682</v>
      </c>
      <c r="B233" s="1482"/>
      <c r="C233" s="1378"/>
      <c r="D233" s="1483"/>
      <c r="E233" s="1484"/>
      <c r="F233" s="1485"/>
      <c r="G233" s="1485"/>
      <c r="H233" s="1302">
        <f t="shared" si="25"/>
        <v>89.168400000000005</v>
      </c>
      <c r="I233" s="1302">
        <f t="shared" si="26"/>
        <v>0</v>
      </c>
      <c r="J233" s="1380">
        <v>42621</v>
      </c>
      <c r="K233" s="1381" t="s">
        <v>3706</v>
      </c>
      <c r="L233" s="1345">
        <v>3.06</v>
      </c>
      <c r="M233" s="1345">
        <v>2.64</v>
      </c>
      <c r="N233" s="1345">
        <f t="shared" si="27"/>
        <v>0.86274509803921573</v>
      </c>
      <c r="O233" s="1345">
        <v>2.64</v>
      </c>
      <c r="P233" s="1345">
        <f t="shared" si="28"/>
        <v>0.86274509803921573</v>
      </c>
      <c r="Q233" s="1481"/>
      <c r="R233" s="896">
        <v>29.14</v>
      </c>
      <c r="S233" s="1341" t="s">
        <v>3705</v>
      </c>
      <c r="T233" s="1347">
        <v>43019</v>
      </c>
      <c r="U233" s="1345">
        <v>3.2</v>
      </c>
      <c r="V233" s="1345">
        <f t="shared" si="30"/>
        <v>1.2121212121212122</v>
      </c>
      <c r="W233" s="1385" t="s">
        <v>223</v>
      </c>
      <c r="X233" s="1284">
        <f t="shared" si="31"/>
        <v>0</v>
      </c>
      <c r="Y233" s="1284">
        <f t="shared" si="32"/>
        <v>0</v>
      </c>
      <c r="Z233" s="1343" t="s">
        <v>2116</v>
      </c>
      <c r="AA233" s="1383"/>
    </row>
    <row r="234" spans="1:27" s="1384" customFormat="1">
      <c r="A234" s="1280" t="s">
        <v>3682</v>
      </c>
      <c r="B234" s="1283">
        <v>434</v>
      </c>
      <c r="C234" s="1378" t="s">
        <v>3707</v>
      </c>
      <c r="D234" s="1379" t="s">
        <v>789</v>
      </c>
      <c r="E234" s="1379" t="s">
        <v>790</v>
      </c>
      <c r="F234" s="1344">
        <v>30</v>
      </c>
      <c r="G234" s="1344">
        <v>29.999999890000002</v>
      </c>
      <c r="H234" s="1302">
        <f t="shared" si="25"/>
        <v>78.856200000000001</v>
      </c>
      <c r="I234" s="1302">
        <f t="shared" si="26"/>
        <v>0.38043933133983121</v>
      </c>
      <c r="J234" s="1380">
        <v>42606</v>
      </c>
      <c r="K234" s="1381" t="s">
        <v>151</v>
      </c>
      <c r="L234" s="1345">
        <v>8.59</v>
      </c>
      <c r="M234" s="1345">
        <v>6.58</v>
      </c>
      <c r="N234" s="1345">
        <f t="shared" si="27"/>
        <v>0.7660069848661234</v>
      </c>
      <c r="O234" s="1345">
        <v>6.58</v>
      </c>
      <c r="P234" s="1345">
        <f t="shared" si="28"/>
        <v>0.7660069848661234</v>
      </c>
      <c r="Q234" s="1284">
        <v>7</v>
      </c>
      <c r="R234" s="896">
        <v>9.18</v>
      </c>
      <c r="S234" s="1341" t="s">
        <v>3708</v>
      </c>
      <c r="T234" s="1347">
        <v>43017</v>
      </c>
      <c r="U234" s="1345">
        <v>17.23</v>
      </c>
      <c r="V234" s="1345">
        <f t="shared" si="30"/>
        <v>2.6489361702127661</v>
      </c>
      <c r="W234" s="1385" t="s">
        <v>268</v>
      </c>
      <c r="X234" s="1284">
        <f t="shared" si="31"/>
        <v>0</v>
      </c>
      <c r="Y234" s="1284" t="str">
        <f t="shared" si="32"/>
        <v>2.00</v>
      </c>
      <c r="Z234" s="1343" t="s">
        <v>3709</v>
      </c>
      <c r="AA234" s="1383" t="s">
        <v>791</v>
      </c>
    </row>
    <row r="235" spans="1:27" s="1384" customFormat="1" ht="16" customHeight="1">
      <c r="A235" s="1280" t="s">
        <v>3682</v>
      </c>
      <c r="B235" s="1482">
        <v>436</v>
      </c>
      <c r="C235" s="1378" t="s">
        <v>3710</v>
      </c>
      <c r="D235" s="1483" t="s">
        <v>792</v>
      </c>
      <c r="E235" s="1484" t="s">
        <v>793</v>
      </c>
      <c r="F235" s="1485">
        <v>50</v>
      </c>
      <c r="G235" s="1485">
        <v>49.999999949900001</v>
      </c>
      <c r="H235" s="1302">
        <f t="shared" si="25"/>
        <v>176.8938</v>
      </c>
      <c r="I235" s="1302">
        <f t="shared" si="26"/>
        <v>0.28265546898760724</v>
      </c>
      <c r="J235" s="1380">
        <v>42627</v>
      </c>
      <c r="K235" s="1381" t="s">
        <v>151</v>
      </c>
      <c r="L235" s="1345">
        <v>11.21</v>
      </c>
      <c r="M235" s="1345">
        <v>9.43</v>
      </c>
      <c r="N235" s="1345">
        <f t="shared" si="27"/>
        <v>0.84121320249776976</v>
      </c>
      <c r="O235" s="1345">
        <v>9.43</v>
      </c>
      <c r="P235" s="1345">
        <f t="shared" si="28"/>
        <v>0.84121320249776976</v>
      </c>
      <c r="Q235" s="1481">
        <v>8</v>
      </c>
      <c r="R235" s="896">
        <v>15.78</v>
      </c>
      <c r="S235" s="1341" t="s">
        <v>3711</v>
      </c>
      <c r="T235" s="1486">
        <v>43017</v>
      </c>
      <c r="U235" s="1345">
        <v>8.65</v>
      </c>
      <c r="V235" s="1345">
        <f t="shared" si="30"/>
        <v>0.92788971367974549</v>
      </c>
      <c r="W235" s="1382" t="s">
        <v>242</v>
      </c>
      <c r="X235" s="1284">
        <f t="shared" si="31"/>
        <v>0</v>
      </c>
      <c r="Y235" s="1284" t="str">
        <f t="shared" si="32"/>
        <v>1.00</v>
      </c>
      <c r="Z235" s="1343" t="s">
        <v>2431</v>
      </c>
      <c r="AA235" s="1383"/>
    </row>
    <row r="236" spans="1:27" s="1384" customFormat="1" ht="15" customHeight="1">
      <c r="A236" s="1280" t="s">
        <v>3682</v>
      </c>
      <c r="B236" s="1482"/>
      <c r="C236" s="1280"/>
      <c r="D236" s="1483"/>
      <c r="E236" s="1484"/>
      <c r="F236" s="1485"/>
      <c r="G236" s="1485"/>
      <c r="H236" s="1302">
        <f t="shared" ref="H236:H293" si="33">L236*R236</f>
        <v>176.57819999999998</v>
      </c>
      <c r="I236" s="1302">
        <f t="shared" ref="I236:I293" si="34">F236/H236</f>
        <v>0</v>
      </c>
      <c r="J236" s="1380">
        <v>42633</v>
      </c>
      <c r="K236" s="1381" t="s">
        <v>3712</v>
      </c>
      <c r="L236" s="1345">
        <v>11.19</v>
      </c>
      <c r="M236" s="1345">
        <v>9.43</v>
      </c>
      <c r="N236" s="1345">
        <f t="shared" ref="N236:N293" si="35">M236/L236</f>
        <v>0.84271671134941917</v>
      </c>
      <c r="O236" s="1345">
        <v>9.43</v>
      </c>
      <c r="P236" s="1345">
        <f t="shared" ref="P236:P293" si="36">O236/L236</f>
        <v>0.84271671134941917</v>
      </c>
      <c r="Q236" s="1481"/>
      <c r="R236" s="896">
        <v>15.78</v>
      </c>
      <c r="S236" s="1388"/>
      <c r="T236" s="1486"/>
      <c r="U236" s="1345">
        <v>8.65</v>
      </c>
      <c r="V236" s="1345">
        <f t="shared" si="30"/>
        <v>0.92788971367974549</v>
      </c>
      <c r="W236" s="1382" t="s">
        <v>242</v>
      </c>
      <c r="X236" s="1284">
        <f t="shared" si="31"/>
        <v>0</v>
      </c>
      <c r="Y236" s="1284" t="str">
        <f t="shared" si="32"/>
        <v>1.00</v>
      </c>
      <c r="Z236" s="1343"/>
      <c r="AA236" s="1383"/>
    </row>
    <row r="237" spans="1:27" s="1384" customFormat="1" ht="15" customHeight="1">
      <c r="A237" s="1280" t="s">
        <v>3682</v>
      </c>
      <c r="B237" s="1482"/>
      <c r="C237" s="1280"/>
      <c r="D237" s="1483"/>
      <c r="E237" s="1484"/>
      <c r="F237" s="1485"/>
      <c r="G237" s="1485"/>
      <c r="H237" s="1302">
        <f t="shared" si="33"/>
        <v>177.84059999999999</v>
      </c>
      <c r="I237" s="1302">
        <f t="shared" si="34"/>
        <v>0</v>
      </c>
      <c r="J237" s="1380">
        <v>42634</v>
      </c>
      <c r="K237" s="1381" t="s">
        <v>209</v>
      </c>
      <c r="L237" s="1345">
        <v>11.27</v>
      </c>
      <c r="M237" s="1345">
        <v>9.43</v>
      </c>
      <c r="N237" s="1345">
        <f t="shared" si="35"/>
        <v>0.83673469387755106</v>
      </c>
      <c r="O237" s="1345">
        <v>9.43</v>
      </c>
      <c r="P237" s="1345">
        <f t="shared" si="36"/>
        <v>0.83673469387755106</v>
      </c>
      <c r="Q237" s="1481"/>
      <c r="R237" s="896">
        <v>15.78</v>
      </c>
      <c r="S237" s="1388"/>
      <c r="T237" s="1486"/>
      <c r="U237" s="1345">
        <v>8.65</v>
      </c>
      <c r="V237" s="1345">
        <f t="shared" si="30"/>
        <v>0.92788971367974549</v>
      </c>
      <c r="W237" s="1382" t="s">
        <v>242</v>
      </c>
      <c r="X237" s="1284">
        <f t="shared" si="31"/>
        <v>0</v>
      </c>
      <c r="Y237" s="1284" t="str">
        <f t="shared" si="32"/>
        <v>1.00</v>
      </c>
      <c r="Z237" s="1343"/>
      <c r="AA237" s="1383"/>
    </row>
    <row r="238" spans="1:27" s="1384" customFormat="1">
      <c r="A238" s="1280" t="s">
        <v>3682</v>
      </c>
      <c r="B238" s="1283">
        <v>438</v>
      </c>
      <c r="C238" s="1378" t="s">
        <v>3713</v>
      </c>
      <c r="D238" s="1379" t="s">
        <v>794</v>
      </c>
      <c r="E238" s="1379" t="s">
        <v>795</v>
      </c>
      <c r="F238" s="1344">
        <v>3.4327260000000002</v>
      </c>
      <c r="G238" s="1344">
        <v>3.43272573</v>
      </c>
      <c r="H238" s="1302">
        <f t="shared" si="33"/>
        <v>48.075299999999999</v>
      </c>
      <c r="I238" s="1302">
        <f t="shared" si="34"/>
        <v>7.1403111369039818E-2</v>
      </c>
      <c r="J238" s="1380">
        <v>42612</v>
      </c>
      <c r="K238" s="1381" t="s">
        <v>151</v>
      </c>
      <c r="L238" s="1345">
        <v>41.09</v>
      </c>
      <c r="M238" s="1345">
        <v>34.56</v>
      </c>
      <c r="N238" s="1345">
        <f t="shared" si="35"/>
        <v>0.8410805548795327</v>
      </c>
      <c r="O238" s="1345">
        <v>43.14</v>
      </c>
      <c r="P238" s="1345">
        <f t="shared" si="36"/>
        <v>1.0498904843027499</v>
      </c>
      <c r="Q238" s="1284">
        <v>3</v>
      </c>
      <c r="R238" s="896">
        <v>1.17</v>
      </c>
      <c r="S238" s="1341" t="s">
        <v>3714</v>
      </c>
      <c r="T238" s="1347">
        <v>42643</v>
      </c>
      <c r="U238" s="1345">
        <v>46.3</v>
      </c>
      <c r="V238" s="1345">
        <f t="shared" si="30"/>
        <v>1.0732498840982845</v>
      </c>
      <c r="W238" s="1385" t="s">
        <v>223</v>
      </c>
      <c r="X238" s="1284">
        <f t="shared" si="31"/>
        <v>0</v>
      </c>
      <c r="Y238" s="1284">
        <f t="shared" si="32"/>
        <v>0</v>
      </c>
      <c r="Z238" s="1343" t="s">
        <v>2072</v>
      </c>
      <c r="AA238" s="1383" t="s">
        <v>796</v>
      </c>
    </row>
    <row r="239" spans="1:27" s="1384" customFormat="1">
      <c r="A239" s="1280" t="s">
        <v>3682</v>
      </c>
      <c r="B239" s="1283">
        <v>439</v>
      </c>
      <c r="C239" s="1378" t="s">
        <v>3715</v>
      </c>
      <c r="D239" s="1379" t="s">
        <v>797</v>
      </c>
      <c r="E239" s="1379" t="s">
        <v>798</v>
      </c>
      <c r="F239" s="1344">
        <v>7.3807140000000002</v>
      </c>
      <c r="G239" s="1344">
        <v>6.2095439360000002</v>
      </c>
      <c r="H239" s="1302">
        <f t="shared" si="33"/>
        <v>159.84</v>
      </c>
      <c r="I239" s="1302">
        <f t="shared" si="34"/>
        <v>4.6175638138138138E-2</v>
      </c>
      <c r="J239" s="1380">
        <v>42615</v>
      </c>
      <c r="K239" s="1381" t="s">
        <v>151</v>
      </c>
      <c r="L239" s="1345">
        <v>26.64</v>
      </c>
      <c r="M239" s="1345">
        <v>23.08</v>
      </c>
      <c r="N239" s="1345">
        <f t="shared" si="35"/>
        <v>0.86636636636636633</v>
      </c>
      <c r="O239" s="1345">
        <v>25.6</v>
      </c>
      <c r="P239" s="1345">
        <f t="shared" si="36"/>
        <v>0.96096096096096095</v>
      </c>
      <c r="Q239" s="1284">
        <v>7</v>
      </c>
      <c r="R239" s="896">
        <v>6</v>
      </c>
      <c r="S239" s="1341" t="s">
        <v>3716</v>
      </c>
      <c r="T239" s="1347">
        <v>43017</v>
      </c>
      <c r="U239" s="1345">
        <v>20.48</v>
      </c>
      <c r="V239" s="1345">
        <f t="shared" si="30"/>
        <v>0.80058593749999996</v>
      </c>
      <c r="W239" s="1382" t="s">
        <v>272</v>
      </c>
      <c r="X239" s="1284">
        <f t="shared" si="31"/>
        <v>0</v>
      </c>
      <c r="Y239" s="1284" t="str">
        <f t="shared" si="32"/>
        <v>0.15</v>
      </c>
      <c r="Z239" s="1343" t="s">
        <v>2160</v>
      </c>
      <c r="AA239" s="1383"/>
    </row>
    <row r="240" spans="1:27" s="1384" customFormat="1">
      <c r="A240" s="1280" t="s">
        <v>3682</v>
      </c>
      <c r="B240" s="1283">
        <v>440</v>
      </c>
      <c r="C240" s="1378" t="s">
        <v>3717</v>
      </c>
      <c r="D240" s="1379" t="s">
        <v>799</v>
      </c>
      <c r="E240" s="1379" t="s">
        <v>800</v>
      </c>
      <c r="F240" s="1344">
        <v>100</v>
      </c>
      <c r="G240" s="1344">
        <v>99.999999964799997</v>
      </c>
      <c r="H240" s="1302">
        <f t="shared" si="33"/>
        <v>119.1091</v>
      </c>
      <c r="I240" s="1302">
        <f t="shared" si="34"/>
        <v>0.83956641432098811</v>
      </c>
      <c r="J240" s="1380">
        <v>42621</v>
      </c>
      <c r="K240" s="1381" t="s">
        <v>151</v>
      </c>
      <c r="L240" s="1345">
        <v>15.29</v>
      </c>
      <c r="M240" s="1345">
        <v>10.5</v>
      </c>
      <c r="N240" s="1345">
        <f t="shared" si="35"/>
        <v>0.6867233485938522</v>
      </c>
      <c r="O240" s="1345">
        <v>10.53</v>
      </c>
      <c r="P240" s="1345">
        <f t="shared" si="36"/>
        <v>0.68868541530412031</v>
      </c>
      <c r="Q240" s="1284">
        <v>9</v>
      </c>
      <c r="R240" s="896">
        <v>7.79</v>
      </c>
      <c r="S240" s="1341" t="s">
        <v>3718</v>
      </c>
      <c r="T240" s="1347">
        <v>43019</v>
      </c>
      <c r="U240" s="1345">
        <v>5.79</v>
      </c>
      <c r="V240" s="1345">
        <f t="shared" si="30"/>
        <v>0.88926875593542276</v>
      </c>
      <c r="W240" s="1385" t="s">
        <v>801</v>
      </c>
      <c r="X240" s="1284" t="str">
        <f t="shared" si="31"/>
        <v>6</v>
      </c>
      <c r="Y240" s="1284" t="str">
        <f t="shared" si="32"/>
        <v>1</v>
      </c>
      <c r="Z240" s="1343" t="s">
        <v>2160</v>
      </c>
      <c r="AA240" s="1383"/>
    </row>
    <row r="241" spans="1:27" s="1384" customFormat="1">
      <c r="A241" s="1280" t="s">
        <v>3682</v>
      </c>
      <c r="B241" s="1283">
        <v>441</v>
      </c>
      <c r="C241" s="1378" t="s">
        <v>3719</v>
      </c>
      <c r="D241" s="1379" t="s">
        <v>802</v>
      </c>
      <c r="E241" s="1379" t="s">
        <v>803</v>
      </c>
      <c r="F241" s="1344">
        <v>12</v>
      </c>
      <c r="G241" s="1344">
        <v>11.999999838400001</v>
      </c>
      <c r="H241" s="1302">
        <f t="shared" si="33"/>
        <v>69.526600000000002</v>
      </c>
      <c r="I241" s="1302">
        <f t="shared" si="34"/>
        <v>0.17259581225027543</v>
      </c>
      <c r="J241" s="1380">
        <v>42615</v>
      </c>
      <c r="K241" s="1381" t="s">
        <v>151</v>
      </c>
      <c r="L241" s="1345">
        <v>18.59</v>
      </c>
      <c r="M241" s="1345">
        <v>15.45</v>
      </c>
      <c r="N241" s="1345">
        <f t="shared" si="35"/>
        <v>0.83109198493813874</v>
      </c>
      <c r="O241" s="1345">
        <v>16.48</v>
      </c>
      <c r="P241" s="1345">
        <f t="shared" si="36"/>
        <v>0.88649811726734806</v>
      </c>
      <c r="Q241" s="1284">
        <v>4</v>
      </c>
      <c r="R241" s="896">
        <v>3.74</v>
      </c>
      <c r="S241" s="1341" t="s">
        <v>3720</v>
      </c>
      <c r="T241" s="1347">
        <v>43018</v>
      </c>
      <c r="U241" s="1345">
        <v>10</v>
      </c>
      <c r="V241" s="1345">
        <f t="shared" si="30"/>
        <v>0.91080097087378642</v>
      </c>
      <c r="W241" s="1385" t="s">
        <v>804</v>
      </c>
      <c r="X241" s="1284" t="str">
        <f t="shared" si="31"/>
        <v>5</v>
      </c>
      <c r="Y241" s="1284" t="str">
        <f t="shared" si="32"/>
        <v>0.10</v>
      </c>
      <c r="Z241" s="1343" t="s">
        <v>2436</v>
      </c>
      <c r="AA241" s="1383" t="s">
        <v>784</v>
      </c>
    </row>
    <row r="242" spans="1:27" s="1384" customFormat="1">
      <c r="A242" s="1280" t="s">
        <v>3682</v>
      </c>
      <c r="B242" s="1283">
        <v>442</v>
      </c>
      <c r="C242" s="1378" t="s">
        <v>3721</v>
      </c>
      <c r="D242" s="1379" t="s">
        <v>805</v>
      </c>
      <c r="E242" s="1379" t="s">
        <v>806</v>
      </c>
      <c r="F242" s="1344">
        <v>13</v>
      </c>
      <c r="G242" s="1344">
        <v>1.2999998838</v>
      </c>
      <c r="H242" s="1302">
        <f t="shared" si="33"/>
        <v>94.019599999999997</v>
      </c>
      <c r="I242" s="1302">
        <f t="shared" si="34"/>
        <v>0.13826904177426835</v>
      </c>
      <c r="J242" s="1380">
        <v>42618</v>
      </c>
      <c r="K242" s="1381" t="s">
        <v>151</v>
      </c>
      <c r="L242" s="1345">
        <v>16.91</v>
      </c>
      <c r="M242" s="1345">
        <v>14.79</v>
      </c>
      <c r="N242" s="1345">
        <f t="shared" si="35"/>
        <v>0.87463039621525718</v>
      </c>
      <c r="O242" s="1345">
        <v>14.79</v>
      </c>
      <c r="P242" s="1345">
        <f t="shared" si="36"/>
        <v>0.87463039621525718</v>
      </c>
      <c r="Q242" s="1284">
        <v>1</v>
      </c>
      <c r="R242" s="896">
        <v>5.56</v>
      </c>
      <c r="S242" s="1341" t="s">
        <v>3722</v>
      </c>
      <c r="T242" s="1347">
        <v>43018</v>
      </c>
      <c r="U242" s="1345">
        <v>13.88</v>
      </c>
      <c r="V242" s="1345">
        <f t="shared" si="30"/>
        <v>0.93847194050033822</v>
      </c>
      <c r="W242" s="1385" t="s">
        <v>223</v>
      </c>
      <c r="X242" s="1284">
        <f t="shared" si="31"/>
        <v>0</v>
      </c>
      <c r="Y242" s="1284">
        <f t="shared" si="32"/>
        <v>0</v>
      </c>
      <c r="Z242" s="1343" t="s">
        <v>2160</v>
      </c>
      <c r="AA242" s="1383" t="s">
        <v>807</v>
      </c>
    </row>
    <row r="243" spans="1:27" s="1384" customFormat="1">
      <c r="A243" s="1280" t="s">
        <v>3682</v>
      </c>
      <c r="B243" s="1283">
        <v>446</v>
      </c>
      <c r="C243" s="1378" t="s">
        <v>3723</v>
      </c>
      <c r="D243" s="1379" t="s">
        <v>808</v>
      </c>
      <c r="E243" s="1379" t="s">
        <v>809</v>
      </c>
      <c r="F243" s="1344">
        <v>24.2</v>
      </c>
      <c r="G243" s="1344">
        <v>24.199999924</v>
      </c>
      <c r="H243" s="1302">
        <f t="shared" si="33"/>
        <v>109.312</v>
      </c>
      <c r="I243" s="1302">
        <f t="shared" si="34"/>
        <v>0.22138466042154567</v>
      </c>
      <c r="J243" s="1380">
        <v>42636</v>
      </c>
      <c r="K243" s="1381" t="s">
        <v>151</v>
      </c>
      <c r="L243" s="1345">
        <v>12.2</v>
      </c>
      <c r="M243" s="1345">
        <v>11.51</v>
      </c>
      <c r="N243" s="1345">
        <f t="shared" si="35"/>
        <v>0.94344262295081971</v>
      </c>
      <c r="O243" s="1345">
        <v>11.6</v>
      </c>
      <c r="P243" s="1345">
        <f t="shared" si="36"/>
        <v>0.9508196721311476</v>
      </c>
      <c r="Q243" s="1284">
        <v>5</v>
      </c>
      <c r="R243" s="896">
        <v>8.9600000000000009</v>
      </c>
      <c r="S243" s="1341" t="s">
        <v>3724</v>
      </c>
      <c r="T243" s="1347">
        <v>43020</v>
      </c>
      <c r="U243" s="1345">
        <v>11.22</v>
      </c>
      <c r="V243" s="1345">
        <f t="shared" si="30"/>
        <v>0.96982758620689657</v>
      </c>
      <c r="W243" s="1385" t="s">
        <v>236</v>
      </c>
      <c r="X243" s="1284">
        <f t="shared" si="31"/>
        <v>0</v>
      </c>
      <c r="Y243" s="1284" t="str">
        <f t="shared" si="32"/>
        <v>0.30</v>
      </c>
      <c r="Z243" s="1343" t="s">
        <v>2411</v>
      </c>
      <c r="AA243" s="1383"/>
    </row>
    <row r="244" spans="1:27" s="1384" customFormat="1">
      <c r="A244" s="1280" t="s">
        <v>3682</v>
      </c>
      <c r="B244" s="1283">
        <v>447</v>
      </c>
      <c r="C244" s="1378" t="s">
        <v>810</v>
      </c>
      <c r="D244" s="1379" t="s">
        <v>811</v>
      </c>
      <c r="E244" s="1379" t="s">
        <v>812</v>
      </c>
      <c r="F244" s="1344">
        <v>39.310099999999998</v>
      </c>
      <c r="G244" s="1344">
        <v>39.310099975999997</v>
      </c>
      <c r="H244" s="1302">
        <f t="shared" si="33"/>
        <v>185.47199999999998</v>
      </c>
      <c r="I244" s="1302">
        <f t="shared" si="34"/>
        <v>0.21194627760524501</v>
      </c>
      <c r="J244" s="1380">
        <v>42639</v>
      </c>
      <c r="K244" s="1381" t="s">
        <v>204</v>
      </c>
      <c r="L244" s="1345">
        <v>5.6</v>
      </c>
      <c r="M244" s="1345">
        <v>5.6</v>
      </c>
      <c r="N244" s="1345">
        <f t="shared" si="35"/>
        <v>1</v>
      </c>
      <c r="O244" s="1345">
        <v>5.6</v>
      </c>
      <c r="P244" s="1345">
        <f t="shared" si="36"/>
        <v>1</v>
      </c>
      <c r="Q244" s="1284">
        <v>4</v>
      </c>
      <c r="R244" s="896">
        <v>33.119999999999997</v>
      </c>
      <c r="S244" s="1341" t="s">
        <v>3725</v>
      </c>
      <c r="T244" s="1347">
        <v>43020</v>
      </c>
      <c r="U244" s="1345">
        <v>2.34</v>
      </c>
      <c r="V244" s="1345">
        <f t="shared" si="30"/>
        <v>0.92107142857142854</v>
      </c>
      <c r="W244" s="1385" t="s">
        <v>813</v>
      </c>
      <c r="X244" s="1284">
        <v>12</v>
      </c>
      <c r="Y244" s="1284" t="str">
        <f t="shared" si="32"/>
        <v>0.1</v>
      </c>
      <c r="Z244" s="1343" t="s">
        <v>2116</v>
      </c>
      <c r="AA244" s="1383"/>
    </row>
    <row r="245" spans="1:27" s="1384" customFormat="1">
      <c r="A245" s="1280" t="s">
        <v>3682</v>
      </c>
      <c r="B245" s="1283">
        <v>450</v>
      </c>
      <c r="C245" s="1378" t="s">
        <v>814</v>
      </c>
      <c r="D245" s="1379" t="s">
        <v>815</v>
      </c>
      <c r="E245" s="1379" t="s">
        <v>816</v>
      </c>
      <c r="F245" s="1344">
        <v>80</v>
      </c>
      <c r="G245" s="1344">
        <v>47.769999581699999</v>
      </c>
      <c r="H245" s="1302">
        <f t="shared" si="33"/>
        <v>544.87040000000002</v>
      </c>
      <c r="I245" s="1302">
        <f t="shared" si="34"/>
        <v>0.14682390528096223</v>
      </c>
      <c r="J245" s="1380">
        <v>42640</v>
      </c>
      <c r="K245" s="1381" t="s">
        <v>153</v>
      </c>
      <c r="L245" s="1345">
        <v>21.76</v>
      </c>
      <c r="M245" s="1345">
        <v>18.809999999999999</v>
      </c>
      <c r="N245" s="1345">
        <f t="shared" si="35"/>
        <v>0.86443014705882337</v>
      </c>
      <c r="O245" s="1345">
        <v>18.809999999999999</v>
      </c>
      <c r="P245" s="1345">
        <f t="shared" si="36"/>
        <v>0.86443014705882337</v>
      </c>
      <c r="Q245" s="1284">
        <v>4</v>
      </c>
      <c r="R245" s="896">
        <v>25.04</v>
      </c>
      <c r="S245" s="1341" t="s">
        <v>3726</v>
      </c>
      <c r="T245" s="1347">
        <v>43025</v>
      </c>
      <c r="U245" s="1345">
        <v>17.5</v>
      </c>
      <c r="V245" s="1345">
        <f t="shared" si="30"/>
        <v>0.93833067517278046</v>
      </c>
      <c r="W245" s="1382" t="s">
        <v>239</v>
      </c>
      <c r="X245" s="1284">
        <f t="shared" ref="X245:X259" si="37">IFERROR(MID(W245,FIND("转",W245)+1,FIND("股",W245)-(FIND("转",W245)+1)),0)</f>
        <v>0</v>
      </c>
      <c r="Y245" s="1284" t="str">
        <f t="shared" si="32"/>
        <v>1.50</v>
      </c>
      <c r="Z245" s="1343" t="s">
        <v>2431</v>
      </c>
      <c r="AA245" s="1383"/>
    </row>
    <row r="246" spans="1:27" s="1384" customFormat="1">
      <c r="A246" s="1280" t="s">
        <v>3682</v>
      </c>
      <c r="B246" s="1283">
        <v>451</v>
      </c>
      <c r="C246" s="1378" t="s">
        <v>3727</v>
      </c>
      <c r="D246" s="1379" t="s">
        <v>817</v>
      </c>
      <c r="E246" s="1379" t="s">
        <v>818</v>
      </c>
      <c r="F246" s="1344">
        <v>10.5</v>
      </c>
      <c r="G246" s="1344">
        <v>10.499992819999999</v>
      </c>
      <c r="H246" s="1302">
        <f t="shared" si="33"/>
        <v>101.53319999999999</v>
      </c>
      <c r="I246" s="1302">
        <f t="shared" si="34"/>
        <v>0.10341444965784591</v>
      </c>
      <c r="J246" s="1380">
        <v>42622</v>
      </c>
      <c r="K246" s="1381" t="s">
        <v>151</v>
      </c>
      <c r="L246" s="1345">
        <v>16.04</v>
      </c>
      <c r="M246" s="1345">
        <v>12.44</v>
      </c>
      <c r="N246" s="1345">
        <f t="shared" si="35"/>
        <v>0.77556109725685785</v>
      </c>
      <c r="O246" s="1345">
        <v>14.78</v>
      </c>
      <c r="P246" s="1345">
        <f t="shared" si="36"/>
        <v>0.92144638403990031</v>
      </c>
      <c r="Q246" s="1284">
        <v>9</v>
      </c>
      <c r="R246" s="896">
        <v>6.33</v>
      </c>
      <c r="S246" s="1341" t="s">
        <v>3728</v>
      </c>
      <c r="T246" s="1347">
        <v>43021</v>
      </c>
      <c r="U246" s="1345">
        <v>11.23</v>
      </c>
      <c r="V246" s="1345">
        <f t="shared" si="30"/>
        <v>0.76251691474966166</v>
      </c>
      <c r="W246" s="1385" t="s">
        <v>819</v>
      </c>
      <c r="X246" s="1284">
        <f t="shared" si="37"/>
        <v>0</v>
      </c>
      <c r="Y246" s="1284" t="str">
        <f t="shared" si="32"/>
        <v>0.40</v>
      </c>
      <c r="Z246" s="1343" t="s">
        <v>2411</v>
      </c>
      <c r="AA246" s="1383"/>
    </row>
    <row r="247" spans="1:27" s="1384" customFormat="1">
      <c r="A247" s="1280" t="s">
        <v>3682</v>
      </c>
      <c r="B247" s="1283">
        <v>453</v>
      </c>
      <c r="C247" s="1378" t="s">
        <v>3729</v>
      </c>
      <c r="D247" s="1379" t="s">
        <v>820</v>
      </c>
      <c r="E247" s="1379" t="s">
        <v>821</v>
      </c>
      <c r="F247" s="1344">
        <v>9.9</v>
      </c>
      <c r="G247" s="1344">
        <v>9.6865799579999994</v>
      </c>
      <c r="H247" s="1302">
        <f t="shared" si="33"/>
        <v>53.686599999999991</v>
      </c>
      <c r="I247" s="1302">
        <f t="shared" si="34"/>
        <v>0.18440355693972058</v>
      </c>
      <c r="J247" s="1380">
        <v>42625</v>
      </c>
      <c r="K247" s="1381" t="s">
        <v>153</v>
      </c>
      <c r="L247" s="1345">
        <v>5.0599999999999996</v>
      </c>
      <c r="M247" s="1345">
        <v>3.25</v>
      </c>
      <c r="N247" s="1345">
        <f t="shared" si="35"/>
        <v>0.64229249011857714</v>
      </c>
      <c r="O247" s="1345">
        <v>4.95</v>
      </c>
      <c r="P247" s="1345">
        <f t="shared" si="36"/>
        <v>0.97826086956521752</v>
      </c>
      <c r="Q247" s="1284">
        <v>7</v>
      </c>
      <c r="R247" s="896">
        <v>10.61</v>
      </c>
      <c r="S247" s="1341" t="s">
        <v>3730</v>
      </c>
      <c r="T247" s="1347">
        <v>43021</v>
      </c>
      <c r="U247" s="1345">
        <v>5.37</v>
      </c>
      <c r="V247" s="1345">
        <f t="shared" si="30"/>
        <v>1.0949511717171716</v>
      </c>
      <c r="W247" s="1385" t="s">
        <v>822</v>
      </c>
      <c r="X247" s="1284">
        <f t="shared" si="37"/>
        <v>0</v>
      </c>
      <c r="Y247" s="1284" t="str">
        <f t="shared" si="32"/>
        <v>0.500083</v>
      </c>
      <c r="Z247" s="1343" t="s">
        <v>2223</v>
      </c>
      <c r="AA247" s="1383"/>
    </row>
    <row r="248" spans="1:27" s="1384" customFormat="1">
      <c r="A248" s="1280" t="s">
        <v>3682</v>
      </c>
      <c r="B248" s="1283">
        <v>454</v>
      </c>
      <c r="C248" s="1378" t="s">
        <v>3731</v>
      </c>
      <c r="D248" s="1379" t="s">
        <v>823</v>
      </c>
      <c r="E248" s="1379" t="s">
        <v>824</v>
      </c>
      <c r="F248" s="1344">
        <v>10</v>
      </c>
      <c r="G248" s="1344">
        <v>9.9999999763999998</v>
      </c>
      <c r="H248" s="1302">
        <f t="shared" si="33"/>
        <v>44.263699999999993</v>
      </c>
      <c r="I248" s="1302">
        <f t="shared" si="34"/>
        <v>0.22591875509729195</v>
      </c>
      <c r="J248" s="1380">
        <v>42625</v>
      </c>
      <c r="K248" s="1381" t="s">
        <v>151</v>
      </c>
      <c r="L248" s="1345">
        <v>4.3099999999999996</v>
      </c>
      <c r="M248" s="1345">
        <v>4.18</v>
      </c>
      <c r="N248" s="1345">
        <f t="shared" si="35"/>
        <v>0.96983758700696054</v>
      </c>
      <c r="O248" s="1345">
        <v>4.34</v>
      </c>
      <c r="P248" s="1345">
        <f t="shared" si="36"/>
        <v>1.0069605568445477</v>
      </c>
      <c r="Q248" s="1284">
        <v>4</v>
      </c>
      <c r="R248" s="896">
        <v>10.27</v>
      </c>
      <c r="S248" s="1341" t="s">
        <v>3732</v>
      </c>
      <c r="T248" s="1347">
        <v>43026</v>
      </c>
      <c r="U248" s="1345">
        <v>4.4400000000000004</v>
      </c>
      <c r="V248" s="1345">
        <f t="shared" si="30"/>
        <v>1.0299539170506915</v>
      </c>
      <c r="W248" s="1382" t="s">
        <v>256</v>
      </c>
      <c r="X248" s="1284">
        <f t="shared" si="37"/>
        <v>0</v>
      </c>
      <c r="Y248" s="1284" t="str">
        <f t="shared" si="32"/>
        <v>0.3</v>
      </c>
      <c r="Z248" s="1343" t="s">
        <v>2519</v>
      </c>
      <c r="AA248" s="1383"/>
    </row>
    <row r="249" spans="1:27" s="1384" customFormat="1">
      <c r="A249" s="1280" t="s">
        <v>3682</v>
      </c>
      <c r="B249" s="1283">
        <v>455</v>
      </c>
      <c r="C249" s="1378" t="s">
        <v>3733</v>
      </c>
      <c r="D249" s="1379" t="s">
        <v>825</v>
      </c>
      <c r="E249" s="1379" t="s">
        <v>826</v>
      </c>
      <c r="F249" s="1344">
        <v>15.167999999999999</v>
      </c>
      <c r="G249" s="1344">
        <v>15.167999925</v>
      </c>
      <c r="H249" s="1302">
        <f t="shared" si="33"/>
        <v>67.308000000000007</v>
      </c>
      <c r="I249" s="1302">
        <f t="shared" si="34"/>
        <v>0.22535211267605632</v>
      </c>
      <c r="J249" s="1380">
        <v>42620</v>
      </c>
      <c r="K249" s="1381" t="s">
        <v>151</v>
      </c>
      <c r="L249" s="1345">
        <v>21.3</v>
      </c>
      <c r="M249" s="1345">
        <v>14.42</v>
      </c>
      <c r="N249" s="1345">
        <f t="shared" si="35"/>
        <v>0.67699530516431927</v>
      </c>
      <c r="O249" s="1345">
        <v>19.5</v>
      </c>
      <c r="P249" s="1345">
        <f t="shared" si="36"/>
        <v>0.91549295774647887</v>
      </c>
      <c r="Q249" s="1284">
        <v>9</v>
      </c>
      <c r="R249" s="896">
        <v>3.16</v>
      </c>
      <c r="S249" s="1341" t="s">
        <v>3734</v>
      </c>
      <c r="T249" s="1347">
        <v>43021</v>
      </c>
      <c r="U249" s="1345">
        <v>6.93</v>
      </c>
      <c r="V249" s="1345">
        <f t="shared" si="30"/>
        <v>0.72</v>
      </c>
      <c r="W249" s="1385" t="s">
        <v>827</v>
      </c>
      <c r="X249" s="1284" t="str">
        <f t="shared" si="37"/>
        <v>10</v>
      </c>
      <c r="Y249" s="1284" t="str">
        <f t="shared" si="32"/>
        <v>1.80</v>
      </c>
      <c r="Z249" s="1343" t="s">
        <v>2122</v>
      </c>
      <c r="AA249" s="1383"/>
    </row>
    <row r="250" spans="1:27" s="1384" customFormat="1">
      <c r="A250" s="1280" t="s">
        <v>3682</v>
      </c>
      <c r="B250" s="1283">
        <v>456</v>
      </c>
      <c r="C250" s="1378" t="s">
        <v>3735</v>
      </c>
      <c r="D250" s="1379" t="s">
        <v>828</v>
      </c>
      <c r="E250" s="1379" t="s">
        <v>829</v>
      </c>
      <c r="F250" s="1344">
        <v>6</v>
      </c>
      <c r="G250" s="1344">
        <v>5.9999969699999998</v>
      </c>
      <c r="H250" s="1302">
        <f t="shared" si="33"/>
        <v>134.98560000000001</v>
      </c>
      <c r="I250" s="1302">
        <f t="shared" si="34"/>
        <v>4.4449185690918137E-2</v>
      </c>
      <c r="J250" s="1380">
        <v>42635</v>
      </c>
      <c r="K250" s="1389" t="s">
        <v>3736</v>
      </c>
      <c r="L250" s="1345">
        <v>19.62</v>
      </c>
      <c r="M250" s="1345">
        <v>17.48</v>
      </c>
      <c r="N250" s="1345">
        <f t="shared" si="35"/>
        <v>0.89092762487257893</v>
      </c>
      <c r="O250" s="1345">
        <v>17.489999999999998</v>
      </c>
      <c r="P250" s="1345">
        <f t="shared" si="36"/>
        <v>0.89143730886850137</v>
      </c>
      <c r="Q250" s="1284">
        <v>6</v>
      </c>
      <c r="R250" s="896">
        <v>6.88</v>
      </c>
      <c r="S250" s="1341" t="s">
        <v>3737</v>
      </c>
      <c r="T250" s="1347">
        <v>43024</v>
      </c>
      <c r="U250" s="1345">
        <v>13.72</v>
      </c>
      <c r="V250" s="1345">
        <f t="shared" si="30"/>
        <v>0.78616352201257866</v>
      </c>
      <c r="W250" s="1385" t="s">
        <v>256</v>
      </c>
      <c r="X250" s="1284">
        <f t="shared" si="37"/>
        <v>0</v>
      </c>
      <c r="Y250" s="1284" t="str">
        <f t="shared" si="32"/>
        <v>0.3</v>
      </c>
      <c r="Z250" s="1343" t="s">
        <v>3738</v>
      </c>
      <c r="AA250" s="1390" t="s">
        <v>3739</v>
      </c>
    </row>
    <row r="251" spans="1:27" s="1384" customFormat="1">
      <c r="A251" s="1280" t="s">
        <v>3682</v>
      </c>
      <c r="B251" s="1283">
        <v>460</v>
      </c>
      <c r="C251" s="1378" t="s">
        <v>3740</v>
      </c>
      <c r="D251" s="1379" t="s">
        <v>830</v>
      </c>
      <c r="E251" s="1379" t="s">
        <v>831</v>
      </c>
      <c r="F251" s="1344">
        <v>5.98</v>
      </c>
      <c r="G251" s="1344">
        <v>5.9799999844</v>
      </c>
      <c r="H251" s="1302">
        <f t="shared" si="33"/>
        <v>152.8956</v>
      </c>
      <c r="I251" s="1302">
        <f t="shared" si="34"/>
        <v>3.9111655273271435E-2</v>
      </c>
      <c r="J251" s="1380">
        <v>42425</v>
      </c>
      <c r="K251" s="1381" t="s">
        <v>204</v>
      </c>
      <c r="L251" s="1345">
        <v>10.89</v>
      </c>
      <c r="M251" s="1345">
        <v>8.9</v>
      </c>
      <c r="N251" s="1345">
        <f t="shared" si="35"/>
        <v>0.81726354453627181</v>
      </c>
      <c r="O251" s="1345">
        <v>9.2200000000000006</v>
      </c>
      <c r="P251" s="1345">
        <f t="shared" si="36"/>
        <v>0.84664830119375578</v>
      </c>
      <c r="Q251" s="1284">
        <v>3</v>
      </c>
      <c r="R251" s="896">
        <v>14.04</v>
      </c>
      <c r="S251" s="1341" t="s">
        <v>3741</v>
      </c>
      <c r="T251" s="1347">
        <v>43024</v>
      </c>
      <c r="U251" s="1345">
        <v>16.75</v>
      </c>
      <c r="V251" s="1345">
        <f t="shared" si="30"/>
        <v>1.816702819956616</v>
      </c>
      <c r="W251" s="1385" t="s">
        <v>223</v>
      </c>
      <c r="X251" s="1284">
        <f t="shared" si="37"/>
        <v>0</v>
      </c>
      <c r="Y251" s="1284">
        <f t="shared" si="32"/>
        <v>0</v>
      </c>
      <c r="Z251" s="1343" t="s">
        <v>2086</v>
      </c>
      <c r="AA251" s="1383" t="s">
        <v>832</v>
      </c>
    </row>
    <row r="252" spans="1:27" s="1384" customFormat="1">
      <c r="A252" s="1280" t="s">
        <v>3682</v>
      </c>
      <c r="B252" s="1283">
        <v>461</v>
      </c>
      <c r="C252" s="1378" t="s">
        <v>3742</v>
      </c>
      <c r="D252" s="1379" t="s">
        <v>833</v>
      </c>
      <c r="E252" s="1379" t="s">
        <v>834</v>
      </c>
      <c r="F252" s="1344">
        <v>15.7</v>
      </c>
      <c r="G252" s="1344">
        <v>15.6999999884</v>
      </c>
      <c r="H252" s="1302">
        <f t="shared" si="33"/>
        <v>49.261178722499999</v>
      </c>
      <c r="I252" s="1302">
        <f t="shared" si="34"/>
        <v>0.31870938550703087</v>
      </c>
      <c r="J252" s="1380">
        <v>42615</v>
      </c>
      <c r="K252" s="1381" t="s">
        <v>151</v>
      </c>
      <c r="L252" s="1345">
        <v>6.45</v>
      </c>
      <c r="M252" s="1345">
        <v>4.7</v>
      </c>
      <c r="N252" s="1345">
        <f t="shared" si="35"/>
        <v>0.72868217054263562</v>
      </c>
      <c r="O252" s="1345">
        <v>5.59</v>
      </c>
      <c r="P252" s="1345">
        <f t="shared" si="36"/>
        <v>0.86666666666666659</v>
      </c>
      <c r="Q252" s="1284">
        <v>7</v>
      </c>
      <c r="R252" s="1391">
        <v>7.6373920499999999</v>
      </c>
      <c r="S252" s="1341" t="s">
        <v>3743</v>
      </c>
      <c r="T252" s="1347">
        <v>43024</v>
      </c>
      <c r="U252" s="1345">
        <v>5.81</v>
      </c>
      <c r="V252" s="1345">
        <f t="shared" si="30"/>
        <v>1.0500894454382825</v>
      </c>
      <c r="W252" s="1385" t="s">
        <v>241</v>
      </c>
      <c r="X252" s="1284">
        <f t="shared" si="37"/>
        <v>0</v>
      </c>
      <c r="Y252" s="1284" t="str">
        <f t="shared" si="32"/>
        <v>0.6</v>
      </c>
      <c r="Z252" s="1343" t="s">
        <v>2122</v>
      </c>
      <c r="AA252" s="1383"/>
    </row>
    <row r="253" spans="1:27" s="1384" customFormat="1">
      <c r="A253" s="1280" t="s">
        <v>3682</v>
      </c>
      <c r="B253" s="1283">
        <v>466</v>
      </c>
      <c r="C253" s="1378" t="s">
        <v>3744</v>
      </c>
      <c r="D253" s="1379" t="s">
        <v>835</v>
      </c>
      <c r="E253" s="1379" t="s">
        <v>836</v>
      </c>
      <c r="F253" s="1344">
        <v>6.72</v>
      </c>
      <c r="G253" s="1344">
        <v>6.7199998819999998</v>
      </c>
      <c r="H253" s="1302">
        <f t="shared" si="33"/>
        <v>101.26079999999999</v>
      </c>
      <c r="I253" s="1302">
        <f t="shared" si="34"/>
        <v>6.6363291619264325E-2</v>
      </c>
      <c r="J253" s="1380">
        <v>42622</v>
      </c>
      <c r="K253" s="1381" t="s">
        <v>151</v>
      </c>
      <c r="L253" s="1345">
        <v>17.579999999999998</v>
      </c>
      <c r="M253" s="1345">
        <v>14.7</v>
      </c>
      <c r="N253" s="1345">
        <f t="shared" si="35"/>
        <v>0.83617747440273038</v>
      </c>
      <c r="O253" s="1345">
        <v>16.600000000000001</v>
      </c>
      <c r="P253" s="1345">
        <f t="shared" si="36"/>
        <v>0.94425483503981811</v>
      </c>
      <c r="Q253" s="1284">
        <v>7</v>
      </c>
      <c r="R253" s="896">
        <v>5.76</v>
      </c>
      <c r="S253" s="1341" t="s">
        <v>3745</v>
      </c>
      <c r="T253" s="1347">
        <v>43025</v>
      </c>
      <c r="U253" s="1345">
        <v>14.92</v>
      </c>
      <c r="V253" s="1345">
        <f t="shared" si="30"/>
        <v>0.91084337349397582</v>
      </c>
      <c r="W253" s="1385" t="s">
        <v>268</v>
      </c>
      <c r="X253" s="1284">
        <f t="shared" si="37"/>
        <v>0</v>
      </c>
      <c r="Y253" s="1284" t="str">
        <f t="shared" si="32"/>
        <v>2.00</v>
      </c>
      <c r="Z253" s="1343" t="s">
        <v>3746</v>
      </c>
      <c r="AA253" s="1383"/>
    </row>
    <row r="254" spans="1:27" s="1384" customFormat="1">
      <c r="A254" s="1280" t="s">
        <v>3682</v>
      </c>
      <c r="B254" s="1283">
        <v>467</v>
      </c>
      <c r="C254" s="1378" t="s">
        <v>3747</v>
      </c>
      <c r="D254" s="1379" t="s">
        <v>837</v>
      </c>
      <c r="E254" s="1379" t="s">
        <v>838</v>
      </c>
      <c r="F254" s="1344">
        <v>7.8</v>
      </c>
      <c r="G254" s="1344">
        <v>7.7217999099999997</v>
      </c>
      <c r="H254" s="1302">
        <f t="shared" si="33"/>
        <v>56.637</v>
      </c>
      <c r="I254" s="1302">
        <f t="shared" si="34"/>
        <v>0.13771915885375285</v>
      </c>
      <c r="J254" s="1380">
        <v>42626</v>
      </c>
      <c r="K254" s="1381" t="s">
        <v>153</v>
      </c>
      <c r="L254" s="1345">
        <v>12.18</v>
      </c>
      <c r="M254" s="1345">
        <v>10.7</v>
      </c>
      <c r="N254" s="1345">
        <f t="shared" si="35"/>
        <v>0.87848932676518876</v>
      </c>
      <c r="O254" s="1345">
        <v>11</v>
      </c>
      <c r="P254" s="1345">
        <f t="shared" si="36"/>
        <v>0.90311986863711002</v>
      </c>
      <c r="Q254" s="1284">
        <v>5</v>
      </c>
      <c r="R254" s="896">
        <v>4.6500000000000004</v>
      </c>
      <c r="S254" s="1341" t="s">
        <v>3748</v>
      </c>
      <c r="T254" s="1347">
        <v>43026</v>
      </c>
      <c r="U254" s="1345">
        <v>10.34</v>
      </c>
      <c r="V254" s="1345">
        <f t="shared" si="30"/>
        <v>0.94272727272727264</v>
      </c>
      <c r="W254" s="1382" t="s">
        <v>236</v>
      </c>
      <c r="X254" s="1284">
        <f t="shared" si="37"/>
        <v>0</v>
      </c>
      <c r="Y254" s="1284" t="str">
        <f t="shared" si="32"/>
        <v>0.30</v>
      </c>
      <c r="Z254" s="1343" t="s">
        <v>2144</v>
      </c>
      <c r="AA254" s="1383" t="s">
        <v>839</v>
      </c>
    </row>
    <row r="255" spans="1:27" s="1384" customFormat="1">
      <c r="A255" s="1280" t="s">
        <v>3682</v>
      </c>
      <c r="B255" s="1283">
        <v>468</v>
      </c>
      <c r="C255" s="1378" t="s">
        <v>3749</v>
      </c>
      <c r="D255" s="1379" t="s">
        <v>840</v>
      </c>
      <c r="E255" s="1379" t="s">
        <v>841</v>
      </c>
      <c r="F255" s="1344">
        <v>8</v>
      </c>
      <c r="G255" s="1344">
        <v>7.9999999319999997</v>
      </c>
      <c r="H255" s="1302">
        <f t="shared" si="33"/>
        <v>135.38720000000001</v>
      </c>
      <c r="I255" s="1302">
        <f t="shared" si="34"/>
        <v>5.9089781013271558E-2</v>
      </c>
      <c r="J255" s="1380">
        <v>42632</v>
      </c>
      <c r="K255" s="1381" t="s">
        <v>151</v>
      </c>
      <c r="L255" s="1345">
        <v>11.96</v>
      </c>
      <c r="M255" s="1345">
        <v>8.2100000000000009</v>
      </c>
      <c r="N255" s="1345">
        <f t="shared" si="35"/>
        <v>0.6864548494983278</v>
      </c>
      <c r="O255" s="1345">
        <v>11.4</v>
      </c>
      <c r="P255" s="1345">
        <f t="shared" si="36"/>
        <v>0.95317725752508353</v>
      </c>
      <c r="Q255" s="1284">
        <v>5</v>
      </c>
      <c r="R255" s="896">
        <v>11.32</v>
      </c>
      <c r="S255" s="1341" t="s">
        <v>3750</v>
      </c>
      <c r="T255" s="1347">
        <v>43026</v>
      </c>
      <c r="U255" s="1345">
        <v>9.76</v>
      </c>
      <c r="V255" s="1345">
        <f t="shared" si="30"/>
        <v>0.86052631578947369</v>
      </c>
      <c r="W255" s="1385" t="s">
        <v>246</v>
      </c>
      <c r="X255" s="1284">
        <f t="shared" si="37"/>
        <v>0</v>
      </c>
      <c r="Y255" s="1284" t="str">
        <f t="shared" si="32"/>
        <v>0.50</v>
      </c>
      <c r="Z255" s="1343" t="s">
        <v>2852</v>
      </c>
      <c r="AA255" s="1383"/>
    </row>
    <row r="256" spans="1:27" s="1384" customFormat="1">
      <c r="A256" s="1280" t="s">
        <v>3682</v>
      </c>
      <c r="B256" s="1283">
        <v>469</v>
      </c>
      <c r="C256" s="1386" t="s">
        <v>842</v>
      </c>
      <c r="D256" s="1379" t="s">
        <v>843</v>
      </c>
      <c r="E256" s="1379" t="s">
        <v>844</v>
      </c>
      <c r="F256" s="1344">
        <v>19.7</v>
      </c>
      <c r="G256" s="1344">
        <v>19.699999962100001</v>
      </c>
      <c r="H256" s="1302">
        <f t="shared" si="33"/>
        <v>99.052700000000002</v>
      </c>
      <c r="I256" s="1302">
        <f t="shared" si="34"/>
        <v>0.19888402840104308</v>
      </c>
      <c r="J256" s="1380">
        <v>42643</v>
      </c>
      <c r="K256" s="1381" t="s">
        <v>151</v>
      </c>
      <c r="L256" s="1345">
        <v>7.03</v>
      </c>
      <c r="M256" s="1345">
        <v>4.3</v>
      </c>
      <c r="N256" s="1345">
        <f t="shared" si="35"/>
        <v>0.61166429587482218</v>
      </c>
      <c r="O256" s="1345">
        <v>6.01</v>
      </c>
      <c r="P256" s="1345">
        <f t="shared" si="36"/>
        <v>0.85490753911806538</v>
      </c>
      <c r="Q256" s="1284">
        <v>7</v>
      </c>
      <c r="R256" s="896">
        <v>14.09</v>
      </c>
      <c r="S256" s="1341" t="s">
        <v>3751</v>
      </c>
      <c r="T256" s="1347">
        <v>43028</v>
      </c>
      <c r="U256" s="1345">
        <v>7.06</v>
      </c>
      <c r="V256" s="1345">
        <f t="shared" si="30"/>
        <v>1.1747088186356074</v>
      </c>
      <c r="W256" s="1385" t="s">
        <v>223</v>
      </c>
      <c r="X256" s="1284">
        <f t="shared" si="37"/>
        <v>0</v>
      </c>
      <c r="Y256" s="1284">
        <f t="shared" si="32"/>
        <v>0</v>
      </c>
      <c r="Z256" s="1343" t="s">
        <v>2086</v>
      </c>
      <c r="AA256" s="1383"/>
    </row>
    <row r="257" spans="1:27" s="1384" customFormat="1">
      <c r="A257" s="1280" t="s">
        <v>3682</v>
      </c>
      <c r="B257" s="1283">
        <v>470</v>
      </c>
      <c r="C257" s="1378" t="s">
        <v>3752</v>
      </c>
      <c r="D257" s="1379" t="s">
        <v>845</v>
      </c>
      <c r="E257" s="1379" t="s">
        <v>846</v>
      </c>
      <c r="F257" s="1344">
        <v>38</v>
      </c>
      <c r="G257" s="1344">
        <v>37.99999992</v>
      </c>
      <c r="H257" s="1302">
        <f t="shared" si="33"/>
        <v>152.32069999999999</v>
      </c>
      <c r="I257" s="1302">
        <f t="shared" si="34"/>
        <v>0.2494736434378256</v>
      </c>
      <c r="J257" s="1380">
        <v>42620</v>
      </c>
      <c r="K257" s="1381" t="s">
        <v>151</v>
      </c>
      <c r="L257" s="1345">
        <v>11.69</v>
      </c>
      <c r="M257" s="1345">
        <v>9.65</v>
      </c>
      <c r="N257" s="1345">
        <f t="shared" si="35"/>
        <v>0.82549187339606511</v>
      </c>
      <c r="O257" s="1345">
        <v>12</v>
      </c>
      <c r="P257" s="1345">
        <f t="shared" si="36"/>
        <v>1.0265183917878529</v>
      </c>
      <c r="Q257" s="1284">
        <v>7</v>
      </c>
      <c r="R257" s="896">
        <v>13.03</v>
      </c>
      <c r="S257" s="1341" t="s">
        <v>3753</v>
      </c>
      <c r="T257" s="1347">
        <v>43034</v>
      </c>
      <c r="U257" s="1345">
        <v>15.81</v>
      </c>
      <c r="V257" s="1345">
        <f t="shared" si="30"/>
        <v>1.3258333333333334</v>
      </c>
      <c r="W257" s="1385" t="s">
        <v>242</v>
      </c>
      <c r="X257" s="1284">
        <f t="shared" si="37"/>
        <v>0</v>
      </c>
      <c r="Y257" s="1284" t="str">
        <f t="shared" si="32"/>
        <v>1.00</v>
      </c>
      <c r="Z257" s="1343" t="s">
        <v>2519</v>
      </c>
      <c r="AA257" s="1383"/>
    </row>
    <row r="258" spans="1:27" s="1384" customFormat="1">
      <c r="A258" s="1280" t="s">
        <v>3682</v>
      </c>
      <c r="B258" s="1283">
        <v>471</v>
      </c>
      <c r="C258" s="1378" t="s">
        <v>3754</v>
      </c>
      <c r="D258" s="1379" t="s">
        <v>847</v>
      </c>
      <c r="E258" s="1379" t="s">
        <v>848</v>
      </c>
      <c r="F258" s="1344">
        <v>5.7</v>
      </c>
      <c r="G258" s="1344">
        <v>5.6999998463999999</v>
      </c>
      <c r="H258" s="1302">
        <f t="shared" si="33"/>
        <v>38.416000000000004</v>
      </c>
      <c r="I258" s="1302">
        <f t="shared" si="34"/>
        <v>0.14837567680133276</v>
      </c>
      <c r="J258" s="1380">
        <v>42639</v>
      </c>
      <c r="K258" s="1381" t="s">
        <v>153</v>
      </c>
      <c r="L258" s="1345">
        <v>34.299999999999997</v>
      </c>
      <c r="M258" s="1345">
        <v>29.25</v>
      </c>
      <c r="N258" s="1345">
        <f t="shared" si="35"/>
        <v>0.85276967930029157</v>
      </c>
      <c r="O258" s="1345">
        <v>30.72</v>
      </c>
      <c r="P258" s="1345">
        <f t="shared" si="36"/>
        <v>0.89562682215743439</v>
      </c>
      <c r="Q258" s="1284">
        <v>5</v>
      </c>
      <c r="R258" s="896">
        <v>1.1200000000000001</v>
      </c>
      <c r="S258" s="1341" t="s">
        <v>3755</v>
      </c>
      <c r="T258" s="1347">
        <v>43032</v>
      </c>
      <c r="U258" s="1345">
        <v>24.92</v>
      </c>
      <c r="V258" s="1345">
        <f t="shared" si="30"/>
        <v>0.82421875</v>
      </c>
      <c r="W258" s="1385" t="s">
        <v>849</v>
      </c>
      <c r="X258" s="1284">
        <f t="shared" si="37"/>
        <v>0</v>
      </c>
      <c r="Y258" s="1284" t="str">
        <f t="shared" si="32"/>
        <v>4.00</v>
      </c>
      <c r="Z258" s="1343" t="s">
        <v>2104</v>
      </c>
      <c r="AA258" s="1383" t="s">
        <v>850</v>
      </c>
    </row>
    <row r="259" spans="1:27" s="1384" customFormat="1" ht="16" customHeight="1">
      <c r="A259" s="1280" t="s">
        <v>3682</v>
      </c>
      <c r="B259" s="1482">
        <v>472</v>
      </c>
      <c r="C259" s="1392" t="s">
        <v>3756</v>
      </c>
      <c r="D259" s="1483" t="s">
        <v>851</v>
      </c>
      <c r="E259" s="1484" t="s">
        <v>852</v>
      </c>
      <c r="F259" s="1485">
        <v>11.049099999999999</v>
      </c>
      <c r="G259" s="1485">
        <v>9.7680000000000007</v>
      </c>
      <c r="H259" s="1302">
        <f t="shared" si="33"/>
        <v>72.376500000000007</v>
      </c>
      <c r="I259" s="1302">
        <f t="shared" si="34"/>
        <v>0.15266143016034209</v>
      </c>
      <c r="J259" s="1380">
        <v>42618</v>
      </c>
      <c r="K259" s="1381" t="s">
        <v>3757</v>
      </c>
      <c r="L259" s="1345">
        <v>9.15</v>
      </c>
      <c r="M259" s="1345">
        <v>8.14</v>
      </c>
      <c r="N259" s="1345">
        <f t="shared" si="35"/>
        <v>0.88961748633879789</v>
      </c>
      <c r="O259" s="1345">
        <v>8.14</v>
      </c>
      <c r="P259" s="1345">
        <f t="shared" si="36"/>
        <v>0.88961748633879789</v>
      </c>
      <c r="Q259" s="1481">
        <v>8</v>
      </c>
      <c r="R259" s="896">
        <v>7.91</v>
      </c>
      <c r="S259" s="1341" t="s">
        <v>3758</v>
      </c>
      <c r="T259" s="1486">
        <v>43028</v>
      </c>
      <c r="U259" s="1487">
        <v>7.2</v>
      </c>
      <c r="V259" s="1487">
        <f t="shared" si="30"/>
        <v>0.8912776412776412</v>
      </c>
      <c r="W259" s="1488" t="s">
        <v>251</v>
      </c>
      <c r="X259" s="1481">
        <f t="shared" si="37"/>
        <v>0</v>
      </c>
      <c r="Y259" s="1481" t="str">
        <f t="shared" si="32"/>
        <v>0.55</v>
      </c>
      <c r="Z259" s="1343" t="s">
        <v>2116</v>
      </c>
      <c r="AA259" s="1383" t="s">
        <v>853</v>
      </c>
    </row>
    <row r="260" spans="1:27" s="1384" customFormat="1" ht="16" customHeight="1">
      <c r="A260" s="1280" t="s">
        <v>3682</v>
      </c>
      <c r="B260" s="1482"/>
      <c r="C260" s="1392"/>
      <c r="D260" s="1483"/>
      <c r="E260" s="1484"/>
      <c r="F260" s="1485"/>
      <c r="G260" s="1485"/>
      <c r="H260" s="1302">
        <f t="shared" si="33"/>
        <v>73.483899999999991</v>
      </c>
      <c r="I260" s="1302">
        <f t="shared" si="34"/>
        <v>0</v>
      </c>
      <c r="J260" s="1380">
        <v>42620</v>
      </c>
      <c r="K260" s="1393" t="s">
        <v>3759</v>
      </c>
      <c r="L260" s="1345">
        <v>9.2899999999999991</v>
      </c>
      <c r="M260" s="1345">
        <v>8.14</v>
      </c>
      <c r="N260" s="1345">
        <f t="shared" si="35"/>
        <v>0.87621097954790106</v>
      </c>
      <c r="O260" s="1345">
        <v>8.14</v>
      </c>
      <c r="P260" s="1345">
        <f t="shared" si="36"/>
        <v>0.87621097954790106</v>
      </c>
      <c r="Q260" s="1481"/>
      <c r="R260" s="896">
        <v>7.91</v>
      </c>
      <c r="S260" s="1388"/>
      <c r="T260" s="1486"/>
      <c r="U260" s="1487"/>
      <c r="V260" s="1487"/>
      <c r="W260" s="1488"/>
      <c r="X260" s="1481"/>
      <c r="Y260" s="1481"/>
      <c r="Z260" s="1343" t="s">
        <v>2116</v>
      </c>
      <c r="AA260" s="1383"/>
    </row>
    <row r="261" spans="1:27" s="1384" customFormat="1" ht="16" customHeight="1">
      <c r="A261" s="1280" t="s">
        <v>3682</v>
      </c>
      <c r="B261" s="1482"/>
      <c r="C261" s="1392"/>
      <c r="D261" s="1483"/>
      <c r="E261" s="1484"/>
      <c r="F261" s="1485"/>
      <c r="G261" s="1485"/>
      <c r="H261" s="1302">
        <f t="shared" si="33"/>
        <v>72.613799999999998</v>
      </c>
      <c r="I261" s="1302">
        <f t="shared" si="34"/>
        <v>0</v>
      </c>
      <c r="J261" s="1380">
        <v>42622</v>
      </c>
      <c r="K261" s="1393" t="s">
        <v>3760</v>
      </c>
      <c r="L261" s="1345">
        <v>9.18</v>
      </c>
      <c r="M261" s="1345">
        <v>8.14</v>
      </c>
      <c r="N261" s="1345">
        <f t="shared" si="35"/>
        <v>0.88671023965141627</v>
      </c>
      <c r="O261" s="1345">
        <v>8.14</v>
      </c>
      <c r="P261" s="1345">
        <f t="shared" si="36"/>
        <v>0.88671023965141627</v>
      </c>
      <c r="Q261" s="1481"/>
      <c r="R261" s="896">
        <v>7.91</v>
      </c>
      <c r="S261" s="1388"/>
      <c r="T261" s="1486"/>
      <c r="U261" s="1487"/>
      <c r="V261" s="1487"/>
      <c r="W261" s="1488"/>
      <c r="X261" s="1481"/>
      <c r="Y261" s="1481"/>
      <c r="Z261" s="1343"/>
      <c r="AA261" s="1383"/>
    </row>
    <row r="262" spans="1:27" s="1384" customFormat="1" ht="16" customHeight="1">
      <c r="A262" s="1280" t="s">
        <v>3682</v>
      </c>
      <c r="B262" s="1482"/>
      <c r="C262" s="1392"/>
      <c r="D262" s="1483"/>
      <c r="E262" s="1484"/>
      <c r="F262" s="1485"/>
      <c r="G262" s="1485"/>
      <c r="H262" s="1302">
        <f t="shared" si="33"/>
        <v>69.924400000000006</v>
      </c>
      <c r="I262" s="1302">
        <f t="shared" si="34"/>
        <v>0</v>
      </c>
      <c r="J262" s="1380">
        <v>42634</v>
      </c>
      <c r="K262" s="1393" t="s">
        <v>3761</v>
      </c>
      <c r="L262" s="1345">
        <v>8.84</v>
      </c>
      <c r="M262" s="1345">
        <v>8.14</v>
      </c>
      <c r="N262" s="1345">
        <f t="shared" si="35"/>
        <v>0.92081447963800911</v>
      </c>
      <c r="O262" s="1345">
        <v>8.14</v>
      </c>
      <c r="P262" s="1345">
        <f t="shared" si="36"/>
        <v>0.92081447963800911</v>
      </c>
      <c r="Q262" s="1481"/>
      <c r="R262" s="896">
        <v>7.91</v>
      </c>
      <c r="S262" s="1388"/>
      <c r="T262" s="1486"/>
      <c r="U262" s="1487"/>
      <c r="V262" s="1487"/>
      <c r="W262" s="1488"/>
      <c r="X262" s="1481"/>
      <c r="Y262" s="1481"/>
      <c r="Z262" s="1343" t="s">
        <v>2116</v>
      </c>
      <c r="AA262" s="1383"/>
    </row>
    <row r="263" spans="1:27" s="1384" customFormat="1">
      <c r="A263" s="1280" t="s">
        <v>3682</v>
      </c>
      <c r="B263" s="1283">
        <v>473</v>
      </c>
      <c r="C263" s="1378" t="s">
        <v>3762</v>
      </c>
      <c r="D263" s="1379" t="s">
        <v>854</v>
      </c>
      <c r="E263" s="1379" t="s">
        <v>855</v>
      </c>
      <c r="F263" s="1344">
        <v>29</v>
      </c>
      <c r="G263" s="1344">
        <v>28.999999912</v>
      </c>
      <c r="H263" s="1302">
        <f t="shared" si="33"/>
        <v>184.0224</v>
      </c>
      <c r="I263" s="1302">
        <f t="shared" si="34"/>
        <v>0.15758951084215833</v>
      </c>
      <c r="J263" s="1380">
        <v>42634</v>
      </c>
      <c r="K263" s="1381" t="s">
        <v>151</v>
      </c>
      <c r="L263" s="1345">
        <v>13.22</v>
      </c>
      <c r="M263" s="1345">
        <v>12.48</v>
      </c>
      <c r="N263" s="1345">
        <f t="shared" si="35"/>
        <v>0.94402420574886536</v>
      </c>
      <c r="O263" s="1345">
        <v>12.7</v>
      </c>
      <c r="P263" s="1345">
        <f t="shared" si="36"/>
        <v>0.96066565809379723</v>
      </c>
      <c r="Q263" s="1284">
        <v>7</v>
      </c>
      <c r="R263" s="896">
        <v>13.92</v>
      </c>
      <c r="S263" s="1341" t="s">
        <v>3763</v>
      </c>
      <c r="T263" s="1347">
        <v>43031</v>
      </c>
      <c r="U263" s="1345">
        <v>10.96</v>
      </c>
      <c r="V263" s="1345">
        <f t="shared" ref="V263:V292" si="38">(U263*(1+X263/10)+Y263/10)/O263</f>
        <v>0.86692913385826786</v>
      </c>
      <c r="W263" s="1385" t="s">
        <v>267</v>
      </c>
      <c r="X263" s="1284">
        <f t="shared" ref="X263:X285" si="39">IFERROR(MID(W263,FIND("转",W263)+1,FIND("股",W263)-(FIND("转",W263)+1)),0)</f>
        <v>0</v>
      </c>
      <c r="Y263" s="1284" t="str">
        <f t="shared" ref="Y263:Y279" si="40">IFERROR(MID(W263,FIND("派",W263)+1,FIND("元",W263)-FIND("派",W263)-1),0)</f>
        <v>0.5</v>
      </c>
      <c r="Z263" s="1343" t="s">
        <v>2281</v>
      </c>
      <c r="AA263" s="1383"/>
    </row>
    <row r="264" spans="1:27" s="1384" customFormat="1" ht="16" customHeight="1">
      <c r="A264" s="1280" t="s">
        <v>3682</v>
      </c>
      <c r="B264" s="1482">
        <v>474</v>
      </c>
      <c r="C264" s="1392" t="s">
        <v>3764</v>
      </c>
      <c r="D264" s="1483" t="s">
        <v>856</v>
      </c>
      <c r="E264" s="1484" t="s">
        <v>857</v>
      </c>
      <c r="F264" s="1485">
        <v>10.437723</v>
      </c>
      <c r="G264" s="1485">
        <v>4.0099985784000003</v>
      </c>
      <c r="H264" s="1302">
        <f t="shared" si="33"/>
        <v>137.91059999999999</v>
      </c>
      <c r="I264" s="1302">
        <f t="shared" si="34"/>
        <v>7.5684704438962636E-2</v>
      </c>
      <c r="J264" s="1380">
        <v>42626</v>
      </c>
      <c r="K264" s="1381" t="s">
        <v>151</v>
      </c>
      <c r="L264" s="1345">
        <v>85.13</v>
      </c>
      <c r="M264" s="1487">
        <v>79.930000000000007</v>
      </c>
      <c r="N264" s="1345">
        <f t="shared" si="35"/>
        <v>0.93891695054622359</v>
      </c>
      <c r="O264" s="1345">
        <v>79.930000000000007</v>
      </c>
      <c r="P264" s="1345">
        <f t="shared" si="36"/>
        <v>0.93891695054622359</v>
      </c>
      <c r="Q264" s="1481">
        <v>2</v>
      </c>
      <c r="R264" s="896">
        <v>1.62</v>
      </c>
      <c r="S264" s="1341" t="s">
        <v>3765</v>
      </c>
      <c r="T264" s="1486">
        <v>43031</v>
      </c>
      <c r="U264" s="1345">
        <v>29.55</v>
      </c>
      <c r="V264" s="1345">
        <f t="shared" si="38"/>
        <v>0.74445602996371807</v>
      </c>
      <c r="W264" s="1385" t="s">
        <v>858</v>
      </c>
      <c r="X264" s="1284" t="str">
        <f t="shared" si="39"/>
        <v>10.034965</v>
      </c>
      <c r="Y264" s="1284" t="str">
        <f t="shared" si="40"/>
        <v>3.010489</v>
      </c>
      <c r="Z264" s="1343"/>
      <c r="AA264" s="1383" t="s">
        <v>839</v>
      </c>
    </row>
    <row r="265" spans="1:27" s="1384" customFormat="1">
      <c r="A265" s="1280" t="s">
        <v>3682</v>
      </c>
      <c r="B265" s="1482"/>
      <c r="C265" s="1392"/>
      <c r="D265" s="1483"/>
      <c r="E265" s="1484"/>
      <c r="F265" s="1485"/>
      <c r="G265" s="1485"/>
      <c r="H265" s="1302">
        <f t="shared" si="33"/>
        <v>137.91059999999999</v>
      </c>
      <c r="I265" s="1302">
        <f t="shared" si="34"/>
        <v>0</v>
      </c>
      <c r="J265" s="1380">
        <v>42636</v>
      </c>
      <c r="K265" s="1381" t="s">
        <v>151</v>
      </c>
      <c r="L265" s="1345">
        <v>85.13</v>
      </c>
      <c r="M265" s="1487"/>
      <c r="N265" s="1345">
        <f t="shared" si="35"/>
        <v>0</v>
      </c>
      <c r="O265" s="1345">
        <v>79.930000000000007</v>
      </c>
      <c r="P265" s="1345">
        <f t="shared" si="36"/>
        <v>0.93891695054622359</v>
      </c>
      <c r="Q265" s="1481"/>
      <c r="R265" s="896">
        <v>1.62</v>
      </c>
      <c r="S265" s="1388"/>
      <c r="T265" s="1486"/>
      <c r="U265" s="1345">
        <v>29.55</v>
      </c>
      <c r="V265" s="1345">
        <f t="shared" si="38"/>
        <v>0.74445602996371807</v>
      </c>
      <c r="W265" s="1385" t="s">
        <v>858</v>
      </c>
      <c r="X265" s="1284" t="str">
        <f t="shared" si="39"/>
        <v>10.034965</v>
      </c>
      <c r="Y265" s="1284" t="str">
        <f t="shared" si="40"/>
        <v>3.010489</v>
      </c>
      <c r="Z265" s="1343" t="s">
        <v>2160</v>
      </c>
      <c r="AA265" s="1383" t="s">
        <v>839</v>
      </c>
    </row>
    <row r="266" spans="1:27" s="1384" customFormat="1">
      <c r="A266" s="1280" t="s">
        <v>3682</v>
      </c>
      <c r="B266" s="1283">
        <v>477</v>
      </c>
      <c r="C266" s="1378" t="s">
        <v>3766</v>
      </c>
      <c r="D266" s="1379" t="s">
        <v>859</v>
      </c>
      <c r="E266" s="1379" t="s">
        <v>860</v>
      </c>
      <c r="F266" s="1344">
        <v>160</v>
      </c>
      <c r="G266" s="1344">
        <v>159.999999285</v>
      </c>
      <c r="H266" s="1302">
        <f t="shared" si="33"/>
        <v>340.4128</v>
      </c>
      <c r="I266" s="1302">
        <f t="shared" si="34"/>
        <v>0.47001757865744176</v>
      </c>
      <c r="J266" s="1380">
        <v>42657</v>
      </c>
      <c r="K266" s="1381" t="s">
        <v>151</v>
      </c>
      <c r="L266" s="1345">
        <v>12.74</v>
      </c>
      <c r="M266" s="1345">
        <v>12.95</v>
      </c>
      <c r="N266" s="1345">
        <f t="shared" si="35"/>
        <v>1.0164835164835164</v>
      </c>
      <c r="O266" s="1345">
        <v>12.95</v>
      </c>
      <c r="P266" s="1345">
        <f t="shared" si="36"/>
        <v>1.0164835164835164</v>
      </c>
      <c r="Q266" s="1284">
        <v>10</v>
      </c>
      <c r="R266" s="896">
        <v>26.72</v>
      </c>
      <c r="S266" s="1341" t="s">
        <v>3767</v>
      </c>
      <c r="T266" s="1347">
        <v>43033</v>
      </c>
      <c r="U266" s="1345">
        <v>14.15</v>
      </c>
      <c r="V266" s="1345">
        <f t="shared" si="38"/>
        <v>1.0926640926640927</v>
      </c>
      <c r="W266" s="1385" t="s">
        <v>223</v>
      </c>
      <c r="X266" s="1284">
        <f t="shared" si="39"/>
        <v>0</v>
      </c>
      <c r="Y266" s="1284">
        <f t="shared" si="40"/>
        <v>0</v>
      </c>
      <c r="Z266" s="1343" t="s">
        <v>2233</v>
      </c>
      <c r="AA266" s="1383"/>
    </row>
    <row r="267" spans="1:27" s="1384" customFormat="1">
      <c r="A267" s="1280" t="s">
        <v>3682</v>
      </c>
      <c r="B267" s="1283">
        <v>478</v>
      </c>
      <c r="C267" s="1378" t="s">
        <v>861</v>
      </c>
      <c r="D267" s="1379" t="s">
        <v>862</v>
      </c>
      <c r="E267" s="1379" t="s">
        <v>863</v>
      </c>
      <c r="F267" s="1344">
        <v>46</v>
      </c>
      <c r="G267" s="1344">
        <v>45.999999977999998</v>
      </c>
      <c r="H267" s="1302">
        <f t="shared" si="33"/>
        <v>377.5772</v>
      </c>
      <c r="I267" s="1302">
        <f t="shared" si="34"/>
        <v>0.12182939012207304</v>
      </c>
      <c r="J267" s="1380">
        <v>42639</v>
      </c>
      <c r="K267" s="1381" t="s">
        <v>151</v>
      </c>
      <c r="L267" s="1345">
        <v>20.02</v>
      </c>
      <c r="M267" s="1345">
        <v>19.309999999999999</v>
      </c>
      <c r="N267" s="1345">
        <f t="shared" si="35"/>
        <v>0.96453546453546446</v>
      </c>
      <c r="O267" s="1345">
        <v>19.649999999999999</v>
      </c>
      <c r="P267" s="1345">
        <f t="shared" si="36"/>
        <v>0.98151848151848142</v>
      </c>
      <c r="Q267" s="1284">
        <v>5</v>
      </c>
      <c r="R267" s="896">
        <v>18.86</v>
      </c>
      <c r="S267" s="1341" t="s">
        <v>3768</v>
      </c>
      <c r="T267" s="1347">
        <v>43032</v>
      </c>
      <c r="U267" s="1345">
        <v>23.34</v>
      </c>
      <c r="V267" s="1345">
        <f t="shared" si="38"/>
        <v>1.7857506361323154</v>
      </c>
      <c r="W267" s="1385" t="s">
        <v>864</v>
      </c>
      <c r="X267" s="1284" t="str">
        <f t="shared" si="39"/>
        <v>5</v>
      </c>
      <c r="Y267" s="1284" t="str">
        <f t="shared" si="40"/>
        <v>0.80</v>
      </c>
      <c r="Z267" s="1343" t="s">
        <v>2160</v>
      </c>
      <c r="AA267" s="1383"/>
    </row>
    <row r="268" spans="1:27" s="1384" customFormat="1">
      <c r="A268" s="1280" t="s">
        <v>3682</v>
      </c>
      <c r="B268" s="1283">
        <v>479</v>
      </c>
      <c r="C268" s="1378" t="s">
        <v>865</v>
      </c>
      <c r="D268" s="1379" t="s">
        <v>866</v>
      </c>
      <c r="E268" s="1379" t="s">
        <v>867</v>
      </c>
      <c r="F268" s="1344">
        <v>20.88</v>
      </c>
      <c r="G268" s="1344">
        <v>20.879999712</v>
      </c>
      <c r="H268" s="1302">
        <f t="shared" si="33"/>
        <v>156.81359999999998</v>
      </c>
      <c r="I268" s="1302">
        <f t="shared" si="34"/>
        <v>0.13315171643275839</v>
      </c>
      <c r="J268" s="1380">
        <v>42636</v>
      </c>
      <c r="K268" s="1381" t="s">
        <v>3736</v>
      </c>
      <c r="L268" s="1345">
        <v>35.159999999999997</v>
      </c>
      <c r="M268" s="1345">
        <v>32.04</v>
      </c>
      <c r="N268" s="1345">
        <f t="shared" si="35"/>
        <v>0.9112627986348123</v>
      </c>
      <c r="O268" s="1345">
        <v>35.200000000000003</v>
      </c>
      <c r="P268" s="1345">
        <f t="shared" si="36"/>
        <v>1.001137656427759</v>
      </c>
      <c r="Q268" s="1284">
        <v>8</v>
      </c>
      <c r="R268" s="896">
        <v>4.46</v>
      </c>
      <c r="S268" s="1341" t="s">
        <v>3769</v>
      </c>
      <c r="T268" s="1347">
        <v>43033</v>
      </c>
      <c r="U268" s="1345">
        <v>18.399999999999999</v>
      </c>
      <c r="V268" s="1345">
        <f t="shared" si="38"/>
        <v>0.94801136363636351</v>
      </c>
      <c r="W268" s="1385" t="s">
        <v>868</v>
      </c>
      <c r="X268" s="1284" t="str">
        <f t="shared" si="39"/>
        <v>8</v>
      </c>
      <c r="Y268" s="1284" t="str">
        <f t="shared" si="40"/>
        <v>2.5</v>
      </c>
      <c r="Z268" s="1343" t="s">
        <v>3770</v>
      </c>
      <c r="AA268" s="1383"/>
    </row>
    <row r="269" spans="1:27" s="1384" customFormat="1">
      <c r="A269" s="1280" t="s">
        <v>3682</v>
      </c>
      <c r="B269" s="1283">
        <v>482</v>
      </c>
      <c r="C269" s="1378" t="s">
        <v>3771</v>
      </c>
      <c r="D269" s="1379" t="s">
        <v>869</v>
      </c>
      <c r="E269" s="1379" t="s">
        <v>870</v>
      </c>
      <c r="F269" s="1344">
        <v>3.6</v>
      </c>
      <c r="G269" s="1344">
        <v>3.5999999640000002</v>
      </c>
      <c r="H269" s="1302">
        <f t="shared" si="33"/>
        <v>69.887999999999991</v>
      </c>
      <c r="I269" s="1302">
        <f t="shared" si="34"/>
        <v>5.1510989010989022E-2</v>
      </c>
      <c r="J269" s="1380">
        <v>42639</v>
      </c>
      <c r="K269" s="1381" t="s">
        <v>151</v>
      </c>
      <c r="L269" s="1345">
        <v>18.2</v>
      </c>
      <c r="M269" s="1345">
        <v>12.79</v>
      </c>
      <c r="N269" s="1345">
        <f t="shared" si="35"/>
        <v>0.70274725274725269</v>
      </c>
      <c r="O269" s="1345">
        <v>17.52</v>
      </c>
      <c r="P269" s="1345">
        <f t="shared" si="36"/>
        <v>0.96263736263736266</v>
      </c>
      <c r="Q269" s="1284">
        <v>2</v>
      </c>
      <c r="R269" s="896">
        <v>3.84</v>
      </c>
      <c r="S269" s="1341" t="s">
        <v>3772</v>
      </c>
      <c r="T269" s="1347">
        <v>42669</v>
      </c>
      <c r="U269" s="1345">
        <v>13.86</v>
      </c>
      <c r="V269" s="1345">
        <f t="shared" si="38"/>
        <v>0.79109589041095885</v>
      </c>
      <c r="W269" s="1385" t="s">
        <v>223</v>
      </c>
      <c r="X269" s="1284">
        <f t="shared" si="39"/>
        <v>0</v>
      </c>
      <c r="Y269" s="1284">
        <f t="shared" si="40"/>
        <v>0</v>
      </c>
      <c r="Z269" s="1343" t="s">
        <v>2281</v>
      </c>
      <c r="AA269" s="1383" t="s">
        <v>850</v>
      </c>
    </row>
    <row r="270" spans="1:27" s="1384" customFormat="1">
      <c r="A270" s="1280" t="s">
        <v>3682</v>
      </c>
      <c r="B270" s="1283">
        <v>486</v>
      </c>
      <c r="C270" s="1378" t="s">
        <v>3773</v>
      </c>
      <c r="D270" s="1379" t="s">
        <v>871</v>
      </c>
      <c r="E270" s="1379" t="s">
        <v>872</v>
      </c>
      <c r="F270" s="1344">
        <v>9.1999999999999993</v>
      </c>
      <c r="G270" s="1344">
        <v>9.1999998902000009</v>
      </c>
      <c r="H270" s="1302">
        <f t="shared" si="33"/>
        <v>101.87800000000001</v>
      </c>
      <c r="I270" s="1302">
        <f t="shared" si="34"/>
        <v>9.0304089204735052E-2</v>
      </c>
      <c r="J270" s="1380">
        <v>42636</v>
      </c>
      <c r="K270" s="1381" t="s">
        <v>151</v>
      </c>
      <c r="L270" s="1345">
        <v>13.3</v>
      </c>
      <c r="M270" s="1345">
        <v>11.13</v>
      </c>
      <c r="N270" s="1345">
        <f t="shared" si="35"/>
        <v>0.83684210526315794</v>
      </c>
      <c r="O270" s="1345">
        <v>12.86</v>
      </c>
      <c r="P270" s="1345">
        <f t="shared" si="36"/>
        <v>0.96691729323308262</v>
      </c>
      <c r="Q270" s="1284">
        <v>5</v>
      </c>
      <c r="R270" s="896">
        <v>7.66</v>
      </c>
      <c r="S270" s="1341" t="s">
        <v>3774</v>
      </c>
      <c r="T270" s="1347">
        <v>43035</v>
      </c>
      <c r="U270" s="1345">
        <v>4.5999999999999996</v>
      </c>
      <c r="V270" s="1345">
        <f t="shared" si="38"/>
        <v>0.71928460342146194</v>
      </c>
      <c r="W270" s="1385" t="s">
        <v>240</v>
      </c>
      <c r="X270" s="1284" t="str">
        <f t="shared" si="39"/>
        <v>10</v>
      </c>
      <c r="Y270" s="1284" t="str">
        <f t="shared" si="40"/>
        <v>0.5</v>
      </c>
      <c r="Z270" s="1343" t="s">
        <v>2211</v>
      </c>
      <c r="AA270" s="1383" t="s">
        <v>873</v>
      </c>
    </row>
    <row r="271" spans="1:27" s="1384" customFormat="1">
      <c r="A271" s="1280" t="s">
        <v>3682</v>
      </c>
      <c r="B271" s="1283">
        <v>487</v>
      </c>
      <c r="C271" s="1378" t="s">
        <v>3775</v>
      </c>
      <c r="D271" s="1379" t="s">
        <v>874</v>
      </c>
      <c r="E271" s="1379" t="s">
        <v>875</v>
      </c>
      <c r="F271" s="1344">
        <v>10</v>
      </c>
      <c r="G271" s="1344">
        <v>9.9999998560000005</v>
      </c>
      <c r="H271" s="1302">
        <f t="shared" si="33"/>
        <v>106.26</v>
      </c>
      <c r="I271" s="1302">
        <f t="shared" si="34"/>
        <v>9.4108789760963665E-2</v>
      </c>
      <c r="J271" s="1380">
        <v>42642</v>
      </c>
      <c r="K271" s="1381" t="s">
        <v>151</v>
      </c>
      <c r="L271" s="1345">
        <v>17.71</v>
      </c>
      <c r="M271" s="1345">
        <v>14.9</v>
      </c>
      <c r="N271" s="1345">
        <f t="shared" si="35"/>
        <v>0.84133258046301518</v>
      </c>
      <c r="O271" s="1345">
        <v>17.600000000000001</v>
      </c>
      <c r="P271" s="1345">
        <f t="shared" si="36"/>
        <v>0.99378881987577639</v>
      </c>
      <c r="Q271" s="1284">
        <v>5</v>
      </c>
      <c r="R271" s="896">
        <v>6</v>
      </c>
      <c r="S271" s="1341" t="s">
        <v>3776</v>
      </c>
      <c r="T271" s="1347">
        <v>43035</v>
      </c>
      <c r="U271" s="1345">
        <v>15.14</v>
      </c>
      <c r="V271" s="1345">
        <f t="shared" si="38"/>
        <v>0.86704545454545445</v>
      </c>
      <c r="W271" s="1280" t="s">
        <v>876</v>
      </c>
      <c r="X271" s="1284">
        <f t="shared" si="39"/>
        <v>0</v>
      </c>
      <c r="Y271" s="1284" t="str">
        <f t="shared" si="40"/>
        <v>1.20</v>
      </c>
      <c r="Z271" s="1343" t="s">
        <v>2411</v>
      </c>
      <c r="AA271" s="1383"/>
    </row>
    <row r="272" spans="1:27" s="1384" customFormat="1">
      <c r="A272" s="1280" t="s">
        <v>3682</v>
      </c>
      <c r="B272" s="1283">
        <v>490</v>
      </c>
      <c r="C272" s="1378" t="s">
        <v>3777</v>
      </c>
      <c r="D272" s="1379" t="s">
        <v>877</v>
      </c>
      <c r="E272" s="1379" t="s">
        <v>878</v>
      </c>
      <c r="F272" s="1344">
        <v>1.6</v>
      </c>
      <c r="G272" s="1344">
        <v>1.5999999588</v>
      </c>
      <c r="H272" s="1302">
        <f t="shared" si="33"/>
        <v>95.417600000000007</v>
      </c>
      <c r="I272" s="1302">
        <f t="shared" si="34"/>
        <v>1.6768394929237374E-2</v>
      </c>
      <c r="J272" s="1380">
        <v>42636</v>
      </c>
      <c r="K272" s="1381" t="s">
        <v>151</v>
      </c>
      <c r="L272" s="1345">
        <v>10.88</v>
      </c>
      <c r="M272" s="1345">
        <v>12.06</v>
      </c>
      <c r="N272" s="1345">
        <f t="shared" si="35"/>
        <v>1.1084558823529411</v>
      </c>
      <c r="O272" s="1345">
        <v>12.06</v>
      </c>
      <c r="P272" s="1345">
        <f t="shared" si="36"/>
        <v>1.1084558823529411</v>
      </c>
      <c r="Q272" s="1284">
        <v>1</v>
      </c>
      <c r="R272" s="896">
        <v>8.77</v>
      </c>
      <c r="S272" s="1341" t="s">
        <v>3778</v>
      </c>
      <c r="T272" s="1347">
        <v>43038</v>
      </c>
      <c r="U272" s="1345">
        <v>7.5</v>
      </c>
      <c r="V272" s="1345">
        <f t="shared" si="38"/>
        <v>0.62520729684908782</v>
      </c>
      <c r="W272" s="1385" t="s">
        <v>819</v>
      </c>
      <c r="X272" s="1284">
        <f t="shared" si="39"/>
        <v>0</v>
      </c>
      <c r="Y272" s="1284" t="str">
        <f t="shared" si="40"/>
        <v>0.40</v>
      </c>
      <c r="Z272" s="1343" t="s">
        <v>2116</v>
      </c>
      <c r="AA272" s="1383"/>
    </row>
    <row r="273" spans="1:27" s="1384" customFormat="1">
      <c r="A273" s="1280" t="s">
        <v>3682</v>
      </c>
      <c r="B273" s="1482">
        <v>491</v>
      </c>
      <c r="C273" s="1378" t="s">
        <v>3779</v>
      </c>
      <c r="D273" s="1483" t="s">
        <v>879</v>
      </c>
      <c r="E273" s="1484" t="s">
        <v>880</v>
      </c>
      <c r="F273" s="1485">
        <v>34.5</v>
      </c>
      <c r="G273" s="1485">
        <v>35.131999237800002</v>
      </c>
      <c r="H273" s="1302">
        <f t="shared" si="33"/>
        <v>197.27130000000002</v>
      </c>
      <c r="I273" s="1302">
        <f t="shared" si="34"/>
        <v>0.17488605793138687</v>
      </c>
      <c r="J273" s="1380">
        <v>42633</v>
      </c>
      <c r="K273" s="1381" t="s">
        <v>204</v>
      </c>
      <c r="L273" s="1345">
        <v>30.21</v>
      </c>
      <c r="M273" s="1345">
        <v>30.63</v>
      </c>
      <c r="N273" s="1345">
        <f t="shared" si="35"/>
        <v>1.0139026812313803</v>
      </c>
      <c r="O273" s="1345">
        <v>30.63</v>
      </c>
      <c r="P273" s="1345">
        <f t="shared" si="36"/>
        <v>1.0139026812313803</v>
      </c>
      <c r="Q273" s="1481">
        <v>5</v>
      </c>
      <c r="R273" s="896">
        <v>6.53</v>
      </c>
      <c r="S273" s="1341" t="s">
        <v>3780</v>
      </c>
      <c r="T273" s="1489">
        <v>42674</v>
      </c>
      <c r="U273" s="1345">
        <v>30.5</v>
      </c>
      <c r="V273" s="1345">
        <f t="shared" si="38"/>
        <v>0.99575579497224942</v>
      </c>
      <c r="W273" s="1385" t="s">
        <v>223</v>
      </c>
      <c r="X273" s="1284">
        <f t="shared" si="39"/>
        <v>0</v>
      </c>
      <c r="Y273" s="1284">
        <f t="shared" si="40"/>
        <v>0</v>
      </c>
      <c r="Z273" s="1343" t="s">
        <v>2160</v>
      </c>
      <c r="AA273" s="1383" t="s">
        <v>881</v>
      </c>
    </row>
    <row r="274" spans="1:27" s="1384" customFormat="1">
      <c r="A274" s="1280" t="s">
        <v>3682</v>
      </c>
      <c r="B274" s="1482"/>
      <c r="C274" s="1280"/>
      <c r="D274" s="1483"/>
      <c r="E274" s="1484"/>
      <c r="F274" s="1485"/>
      <c r="G274" s="1485"/>
      <c r="H274" s="1302">
        <f t="shared" si="33"/>
        <v>197.27130000000002</v>
      </c>
      <c r="I274" s="1302">
        <f t="shared" si="34"/>
        <v>0</v>
      </c>
      <c r="J274" s="1380">
        <v>42639</v>
      </c>
      <c r="K274" s="1381" t="s">
        <v>3781</v>
      </c>
      <c r="L274" s="1345">
        <v>30.21</v>
      </c>
      <c r="M274" s="1345">
        <v>30.63</v>
      </c>
      <c r="N274" s="1345">
        <f t="shared" si="35"/>
        <v>1.0139026812313803</v>
      </c>
      <c r="O274" s="1345">
        <v>30.63</v>
      </c>
      <c r="P274" s="1345">
        <f t="shared" si="36"/>
        <v>1.0139026812313803</v>
      </c>
      <c r="Q274" s="1481"/>
      <c r="R274" s="896">
        <v>6.53</v>
      </c>
      <c r="S274" s="1394"/>
      <c r="T274" s="1489"/>
      <c r="U274" s="1345">
        <v>30.5</v>
      </c>
      <c r="V274" s="1345">
        <f t="shared" si="38"/>
        <v>0.99575579497224942</v>
      </c>
      <c r="W274" s="1385" t="s">
        <v>223</v>
      </c>
      <c r="X274" s="1284">
        <f t="shared" si="39"/>
        <v>0</v>
      </c>
      <c r="Y274" s="1284">
        <f t="shared" si="40"/>
        <v>0</v>
      </c>
      <c r="Z274" s="1343"/>
      <c r="AA274" s="1383" t="s">
        <v>881</v>
      </c>
    </row>
    <row r="275" spans="1:27" s="1384" customFormat="1">
      <c r="A275" s="1280" t="s">
        <v>3682</v>
      </c>
      <c r="B275" s="1283">
        <v>492</v>
      </c>
      <c r="C275" s="1378" t="s">
        <v>3782</v>
      </c>
      <c r="D275" s="1379" t="s">
        <v>882</v>
      </c>
      <c r="E275" s="1379" t="s">
        <v>883</v>
      </c>
      <c r="F275" s="1344">
        <v>8.1999999999999993</v>
      </c>
      <c r="G275" s="1344">
        <v>8.1999998598000001</v>
      </c>
      <c r="H275" s="1302">
        <f t="shared" si="33"/>
        <v>86.089700000000008</v>
      </c>
      <c r="I275" s="1302">
        <f t="shared" si="34"/>
        <v>9.5249489776361149E-2</v>
      </c>
      <c r="J275" s="1380">
        <v>42656</v>
      </c>
      <c r="K275" s="1381" t="s">
        <v>151</v>
      </c>
      <c r="L275" s="1345">
        <v>15.13</v>
      </c>
      <c r="M275" s="1345">
        <v>14.66</v>
      </c>
      <c r="N275" s="1345">
        <f t="shared" si="35"/>
        <v>0.96893588896232641</v>
      </c>
      <c r="O275" s="1345">
        <v>15.09</v>
      </c>
      <c r="P275" s="1345">
        <f t="shared" si="36"/>
        <v>0.99735624586913407</v>
      </c>
      <c r="Q275" s="1284">
        <v>5</v>
      </c>
      <c r="R275" s="896">
        <v>5.69</v>
      </c>
      <c r="S275" s="1341" t="s">
        <v>3783</v>
      </c>
      <c r="T275" s="1347">
        <v>43039</v>
      </c>
      <c r="U275" s="1345">
        <v>6.38</v>
      </c>
      <c r="V275" s="1345">
        <f t="shared" si="38"/>
        <v>0.84758117958913182</v>
      </c>
      <c r="W275" s="1385" t="s">
        <v>884</v>
      </c>
      <c r="X275" s="1284" t="str">
        <f t="shared" si="39"/>
        <v>10</v>
      </c>
      <c r="Y275" s="1284" t="str">
        <f t="shared" si="40"/>
        <v>0.30</v>
      </c>
      <c r="Z275" s="1343" t="s">
        <v>2160</v>
      </c>
      <c r="AA275" s="1383"/>
    </row>
    <row r="276" spans="1:27" s="1384" customFormat="1">
      <c r="A276" s="1280" t="s">
        <v>3682</v>
      </c>
      <c r="B276" s="1283">
        <v>493</v>
      </c>
      <c r="C276" s="1378" t="s">
        <v>3784</v>
      </c>
      <c r="D276" s="1379" t="s">
        <v>885</v>
      </c>
      <c r="E276" s="1379" t="s">
        <v>886</v>
      </c>
      <c r="F276" s="1344">
        <v>12</v>
      </c>
      <c r="G276" s="1344">
        <v>11.999999667999999</v>
      </c>
      <c r="H276" s="1302">
        <f t="shared" si="33"/>
        <v>143.59989999999999</v>
      </c>
      <c r="I276" s="1302">
        <f t="shared" si="34"/>
        <v>8.3565517803285388E-2</v>
      </c>
      <c r="J276" s="1380">
        <v>42639</v>
      </c>
      <c r="K276" s="1381" t="s">
        <v>151</v>
      </c>
      <c r="L276" s="1345">
        <v>35.11</v>
      </c>
      <c r="M276" s="1345">
        <v>30.28</v>
      </c>
      <c r="N276" s="1345">
        <f t="shared" si="35"/>
        <v>0.86243235545428654</v>
      </c>
      <c r="O276" s="1345">
        <v>33.35</v>
      </c>
      <c r="P276" s="1345">
        <f t="shared" si="36"/>
        <v>0.94987183138706932</v>
      </c>
      <c r="Q276" s="1284">
        <v>5</v>
      </c>
      <c r="R276" s="896">
        <v>4.09</v>
      </c>
      <c r="S276" s="1341" t="s">
        <v>3785</v>
      </c>
      <c r="T276" s="1347">
        <v>43039</v>
      </c>
      <c r="U276" s="1345">
        <v>19.29</v>
      </c>
      <c r="V276" s="1345">
        <f t="shared" si="38"/>
        <v>0.58140929535232388</v>
      </c>
      <c r="W276" s="1385" t="s">
        <v>242</v>
      </c>
      <c r="X276" s="1284">
        <f t="shared" si="39"/>
        <v>0</v>
      </c>
      <c r="Y276" s="1284" t="str">
        <f t="shared" si="40"/>
        <v>1.00</v>
      </c>
      <c r="Z276" s="1343" t="s">
        <v>2122</v>
      </c>
      <c r="AA276" s="1383"/>
    </row>
    <row r="277" spans="1:27" s="1384" customFormat="1">
      <c r="A277" s="1280" t="s">
        <v>3682</v>
      </c>
      <c r="B277" s="1283">
        <v>495</v>
      </c>
      <c r="C277" s="1378" t="s">
        <v>3786</v>
      </c>
      <c r="D277" s="1379" t="s">
        <v>887</v>
      </c>
      <c r="E277" s="1379" t="s">
        <v>888</v>
      </c>
      <c r="F277" s="1344">
        <v>7.81</v>
      </c>
      <c r="G277" s="1344">
        <v>7.8099999263999997</v>
      </c>
      <c r="H277" s="1302">
        <f t="shared" si="33"/>
        <v>64.938600000000008</v>
      </c>
      <c r="I277" s="1302">
        <f t="shared" si="34"/>
        <v>0.12026745263987826</v>
      </c>
      <c r="J277" s="1380">
        <v>42661</v>
      </c>
      <c r="K277" s="1381" t="s">
        <v>151</v>
      </c>
      <c r="L277" s="1345">
        <v>8.39</v>
      </c>
      <c r="M277" s="1345">
        <v>5.19</v>
      </c>
      <c r="N277" s="1345">
        <f t="shared" si="35"/>
        <v>0.61859356376638852</v>
      </c>
      <c r="O277" s="1345">
        <v>7.52</v>
      </c>
      <c r="P277" s="1345">
        <f t="shared" si="36"/>
        <v>0.89630512514898675</v>
      </c>
      <c r="Q277" s="1284">
        <v>9</v>
      </c>
      <c r="R277" s="896">
        <v>7.74</v>
      </c>
      <c r="S277" s="1341" t="s">
        <v>3787</v>
      </c>
      <c r="T277" s="1347">
        <v>43041</v>
      </c>
      <c r="U277" s="1345">
        <v>5.62</v>
      </c>
      <c r="V277" s="1345">
        <f t="shared" si="38"/>
        <v>0.75132978723404265</v>
      </c>
      <c r="W277" s="1385" t="s">
        <v>236</v>
      </c>
      <c r="X277" s="1284">
        <f t="shared" si="39"/>
        <v>0</v>
      </c>
      <c r="Y277" s="1284" t="str">
        <f t="shared" si="40"/>
        <v>0.30</v>
      </c>
      <c r="Z277" s="1343" t="s">
        <v>3672</v>
      </c>
      <c r="AA277" s="1383"/>
    </row>
    <row r="278" spans="1:27" s="1384" customFormat="1">
      <c r="A278" s="1280" t="s">
        <v>3682</v>
      </c>
      <c r="B278" s="1283">
        <v>496</v>
      </c>
      <c r="C278" s="1378" t="s">
        <v>3788</v>
      </c>
      <c r="D278" s="1379" t="s">
        <v>889</v>
      </c>
      <c r="E278" s="1379" t="s">
        <v>890</v>
      </c>
      <c r="F278" s="1344">
        <v>6.7633999999999999</v>
      </c>
      <c r="G278" s="1344">
        <v>6.7633998670000004</v>
      </c>
      <c r="H278" s="1302">
        <f t="shared" si="33"/>
        <v>72.349199999999996</v>
      </c>
      <c r="I278" s="1302">
        <f t="shared" si="34"/>
        <v>9.3482719919501536E-2</v>
      </c>
      <c r="J278" s="1380">
        <v>42657</v>
      </c>
      <c r="K278" s="1381" t="s">
        <v>151</v>
      </c>
      <c r="L278" s="1345">
        <v>27.72</v>
      </c>
      <c r="M278" s="1345">
        <v>23.4</v>
      </c>
      <c r="N278" s="1345">
        <f t="shared" si="35"/>
        <v>0.8441558441558441</v>
      </c>
      <c r="O278" s="1345">
        <v>25.7</v>
      </c>
      <c r="P278" s="1345">
        <f t="shared" si="36"/>
        <v>0.92712842712842713</v>
      </c>
      <c r="Q278" s="1284">
        <v>5</v>
      </c>
      <c r="R278" s="896">
        <v>2.61</v>
      </c>
      <c r="S278" s="1341" t="s">
        <v>3789</v>
      </c>
      <c r="T278" s="1347">
        <v>43049</v>
      </c>
      <c r="U278" s="1345">
        <v>8.66</v>
      </c>
      <c r="V278" s="1345">
        <f t="shared" si="38"/>
        <v>0.67782101167315179</v>
      </c>
      <c r="W278" s="1385" t="s">
        <v>891</v>
      </c>
      <c r="X278" s="1284" t="str">
        <f t="shared" si="39"/>
        <v>10</v>
      </c>
      <c r="Y278" s="1284" t="str">
        <f t="shared" si="40"/>
        <v>1</v>
      </c>
      <c r="Z278" s="1343" t="s">
        <v>2160</v>
      </c>
      <c r="AA278" s="1383" t="s">
        <v>892</v>
      </c>
    </row>
    <row r="279" spans="1:27" s="1384" customFormat="1">
      <c r="A279" s="1280" t="s">
        <v>3682</v>
      </c>
      <c r="B279" s="1283">
        <v>498</v>
      </c>
      <c r="C279" s="1378" t="s">
        <v>3790</v>
      </c>
      <c r="D279" s="1379" t="s">
        <v>893</v>
      </c>
      <c r="E279" s="1379" t="s">
        <v>894</v>
      </c>
      <c r="F279" s="1344">
        <v>5.5</v>
      </c>
      <c r="G279" s="1344">
        <v>5.4999999400000004</v>
      </c>
      <c r="H279" s="1302">
        <f t="shared" si="33"/>
        <v>48.450499999999998</v>
      </c>
      <c r="I279" s="1302">
        <f t="shared" si="34"/>
        <v>0.11351792035169916</v>
      </c>
      <c r="J279" s="1380">
        <v>42633</v>
      </c>
      <c r="K279" s="1381" t="s">
        <v>151</v>
      </c>
      <c r="L279" s="1345">
        <v>38.15</v>
      </c>
      <c r="M279" s="1345">
        <v>35.46</v>
      </c>
      <c r="N279" s="1345">
        <f t="shared" si="35"/>
        <v>0.92948885976408913</v>
      </c>
      <c r="O279" s="1345">
        <v>36.200000000000003</v>
      </c>
      <c r="P279" s="1345">
        <f t="shared" si="36"/>
        <v>0.94888597640891226</v>
      </c>
      <c r="Q279" s="1284">
        <v>5</v>
      </c>
      <c r="R279" s="896">
        <v>1.27</v>
      </c>
      <c r="S279" s="1341" t="s">
        <v>3791</v>
      </c>
      <c r="T279" s="1347">
        <v>43041</v>
      </c>
      <c r="U279" s="1345">
        <v>17.91</v>
      </c>
      <c r="V279" s="1345">
        <f t="shared" si="38"/>
        <v>1.239199465801105</v>
      </c>
      <c r="W279" s="1385" t="s">
        <v>895</v>
      </c>
      <c r="X279" s="1284" t="str">
        <f t="shared" si="39"/>
        <v>15.013382</v>
      </c>
      <c r="Y279" s="1284" t="str">
        <f t="shared" si="40"/>
        <v>0.600535</v>
      </c>
      <c r="Z279" s="1343" t="s">
        <v>2436</v>
      </c>
      <c r="AA279" s="1395" t="s">
        <v>896</v>
      </c>
    </row>
    <row r="280" spans="1:27" s="1384" customFormat="1">
      <c r="A280" s="1280" t="s">
        <v>3682</v>
      </c>
      <c r="B280" s="1283">
        <v>499</v>
      </c>
      <c r="C280" s="1378" t="s">
        <v>3792</v>
      </c>
      <c r="D280" s="1379" t="s">
        <v>897</v>
      </c>
      <c r="E280" s="1379" t="s">
        <v>898</v>
      </c>
      <c r="F280" s="1344">
        <v>31.706045</v>
      </c>
      <c r="G280" s="1344">
        <v>19.029999835000002</v>
      </c>
      <c r="H280" s="1302">
        <f t="shared" si="33"/>
        <v>311.14920000000001</v>
      </c>
      <c r="I280" s="1302">
        <f t="shared" si="34"/>
        <v>0.10189981205158168</v>
      </c>
      <c r="J280" s="1380">
        <v>42615</v>
      </c>
      <c r="K280" s="1381" t="s">
        <v>151</v>
      </c>
      <c r="L280" s="1345">
        <v>45.96</v>
      </c>
      <c r="M280" s="1345">
        <v>46.75</v>
      </c>
      <c r="N280" s="1345">
        <f t="shared" si="35"/>
        <v>1.0171888598781549</v>
      </c>
      <c r="O280" s="1345">
        <v>46.75</v>
      </c>
      <c r="P280" s="1345">
        <f t="shared" si="36"/>
        <v>1.0171888598781549</v>
      </c>
      <c r="Q280" s="1284">
        <v>2</v>
      </c>
      <c r="R280" s="896">
        <v>6.77</v>
      </c>
      <c r="S280" s="1341" t="s">
        <v>3793</v>
      </c>
      <c r="T280" s="1347">
        <v>43045</v>
      </c>
      <c r="U280" s="1345">
        <v>23.2</v>
      </c>
      <c r="V280" s="1345">
        <f t="shared" si="38"/>
        <v>0.99679144385026741</v>
      </c>
      <c r="W280" s="1396" t="s">
        <v>899</v>
      </c>
      <c r="X280" s="1284" t="str">
        <f t="shared" si="39"/>
        <v>10</v>
      </c>
      <c r="Y280" s="1284">
        <v>2</v>
      </c>
      <c r="Z280" s="1343" t="s">
        <v>2166</v>
      </c>
      <c r="AA280" s="1383"/>
    </row>
    <row r="281" spans="1:27" s="1384" customFormat="1">
      <c r="A281" s="1280" t="s">
        <v>3682</v>
      </c>
      <c r="B281" s="1283">
        <v>500</v>
      </c>
      <c r="C281" s="1378" t="s">
        <v>3794</v>
      </c>
      <c r="D281" s="1379" t="s">
        <v>900</v>
      </c>
      <c r="E281" s="1379" t="s">
        <v>901</v>
      </c>
      <c r="F281" s="1344">
        <v>45</v>
      </c>
      <c r="G281" s="1344">
        <v>44.999999988299997</v>
      </c>
      <c r="H281" s="1302">
        <f t="shared" si="33"/>
        <v>189.91139999999999</v>
      </c>
      <c r="I281" s="1302">
        <f t="shared" si="34"/>
        <v>0.23695260000189564</v>
      </c>
      <c r="J281" s="1380">
        <v>42633</v>
      </c>
      <c r="K281" s="1381" t="s">
        <v>151</v>
      </c>
      <c r="L281" s="1345">
        <v>4.3899999999999997</v>
      </c>
      <c r="M281" s="1345">
        <v>3.63</v>
      </c>
      <c r="N281" s="1345">
        <f t="shared" si="35"/>
        <v>0.8268792710706151</v>
      </c>
      <c r="O281" s="1345">
        <v>4.41</v>
      </c>
      <c r="P281" s="1345">
        <f t="shared" si="36"/>
        <v>1.0045558086560364</v>
      </c>
      <c r="Q281" s="1284">
        <v>3</v>
      </c>
      <c r="R281" s="896">
        <v>43.26</v>
      </c>
      <c r="S281" s="1341" t="s">
        <v>3795</v>
      </c>
      <c r="T281" s="1347">
        <v>43042</v>
      </c>
      <c r="U281" s="1345">
        <v>4.6500000000000004</v>
      </c>
      <c r="V281" s="1345">
        <f t="shared" si="38"/>
        <v>1.0997732426303857</v>
      </c>
      <c r="W281" s="1385" t="s">
        <v>268</v>
      </c>
      <c r="X281" s="1284">
        <f t="shared" si="39"/>
        <v>0</v>
      </c>
      <c r="Y281" s="1284" t="str">
        <f t="shared" ref="Y281:Y292" si="41">IFERROR(MID(W281,FIND("派",W281)+1,FIND("元",W281)-FIND("派",W281)-1),0)</f>
        <v>2.00</v>
      </c>
      <c r="Z281" s="1343" t="s">
        <v>2233</v>
      </c>
      <c r="AA281" s="1383"/>
    </row>
    <row r="282" spans="1:27" s="1384" customFormat="1">
      <c r="A282" s="1280" t="s">
        <v>3682</v>
      </c>
      <c r="B282" s="1283">
        <v>502</v>
      </c>
      <c r="C282" s="1378" t="s">
        <v>3796</v>
      </c>
      <c r="D282" s="1379" t="s">
        <v>902</v>
      </c>
      <c r="E282" s="1379" t="s">
        <v>903</v>
      </c>
      <c r="F282" s="1344">
        <v>49</v>
      </c>
      <c r="G282" s="1344">
        <v>35.219435627999999</v>
      </c>
      <c r="H282" s="1302">
        <f t="shared" si="33"/>
        <v>197.04209999999998</v>
      </c>
      <c r="I282" s="1302">
        <f t="shared" si="34"/>
        <v>0.2486778206281805</v>
      </c>
      <c r="J282" s="1380">
        <v>42664</v>
      </c>
      <c r="K282" s="1381" t="s">
        <v>151</v>
      </c>
      <c r="L282" s="1345">
        <v>17.329999999999998</v>
      </c>
      <c r="M282" s="1345">
        <v>15.71</v>
      </c>
      <c r="N282" s="1345">
        <f t="shared" si="35"/>
        <v>0.90652048470859792</v>
      </c>
      <c r="O282" s="1345">
        <v>16.05</v>
      </c>
      <c r="P282" s="1345">
        <f t="shared" si="36"/>
        <v>0.92613964223889222</v>
      </c>
      <c r="Q282" s="1284">
        <v>8</v>
      </c>
      <c r="R282" s="896">
        <v>11.37</v>
      </c>
      <c r="S282" s="1341" t="s">
        <v>3797</v>
      </c>
      <c r="T282" s="1347">
        <v>43045</v>
      </c>
      <c r="U282" s="1345">
        <v>10.98</v>
      </c>
      <c r="V282" s="1345">
        <f t="shared" si="38"/>
        <v>0.72149532710280373</v>
      </c>
      <c r="W282" s="1385" t="s">
        <v>904</v>
      </c>
      <c r="X282" s="1284">
        <f t="shared" si="39"/>
        <v>0</v>
      </c>
      <c r="Y282" s="1284" t="str">
        <f t="shared" si="41"/>
        <v>6</v>
      </c>
      <c r="Z282" s="1343" t="s">
        <v>2122</v>
      </c>
      <c r="AA282" s="1383"/>
    </row>
    <row r="283" spans="1:27" s="1384" customFormat="1">
      <c r="A283" s="1280" t="s">
        <v>3682</v>
      </c>
      <c r="B283" s="1283">
        <v>503</v>
      </c>
      <c r="C283" s="1378" t="s">
        <v>3798</v>
      </c>
      <c r="D283" s="1379" t="s">
        <v>905</v>
      </c>
      <c r="E283" s="1379" t="s">
        <v>906</v>
      </c>
      <c r="F283" s="1344">
        <v>12.689437</v>
      </c>
      <c r="G283" s="1344">
        <v>12.689436950999999</v>
      </c>
      <c r="H283" s="1302">
        <f t="shared" si="33"/>
        <v>94.458500000000001</v>
      </c>
      <c r="I283" s="1302">
        <f t="shared" si="34"/>
        <v>0.13433875193868205</v>
      </c>
      <c r="J283" s="1380">
        <v>42640</v>
      </c>
      <c r="K283" s="1381" t="s">
        <v>151</v>
      </c>
      <c r="L283" s="1345">
        <v>11.59</v>
      </c>
      <c r="M283" s="1345">
        <v>10</v>
      </c>
      <c r="N283" s="1345">
        <f t="shared" si="35"/>
        <v>0.86281276962899056</v>
      </c>
      <c r="O283" s="1345">
        <v>10.3</v>
      </c>
      <c r="P283" s="1345">
        <f t="shared" si="36"/>
        <v>0.88869715271786032</v>
      </c>
      <c r="Q283" s="1284">
        <v>6</v>
      </c>
      <c r="R283" s="896">
        <v>8.15</v>
      </c>
      <c r="S283" s="1341" t="s">
        <v>3799</v>
      </c>
      <c r="T283" s="1347">
        <v>43045</v>
      </c>
      <c r="U283" s="1345">
        <v>8.49</v>
      </c>
      <c r="V283" s="1345">
        <f t="shared" si="38"/>
        <v>0.8242718446601941</v>
      </c>
      <c r="W283" s="1385" t="s">
        <v>223</v>
      </c>
      <c r="X283" s="1284">
        <f t="shared" si="39"/>
        <v>0</v>
      </c>
      <c r="Y283" s="1284">
        <f t="shared" si="41"/>
        <v>0</v>
      </c>
      <c r="Z283" s="1343" t="s">
        <v>2072</v>
      </c>
      <c r="AA283" s="1383"/>
    </row>
    <row r="284" spans="1:27" s="1384" customFormat="1">
      <c r="A284" s="1280" t="s">
        <v>3682</v>
      </c>
      <c r="B284" s="1283">
        <v>507</v>
      </c>
      <c r="C284" s="1378" t="s">
        <v>3800</v>
      </c>
      <c r="D284" s="1379" t="s">
        <v>907</v>
      </c>
      <c r="E284" s="1379" t="s">
        <v>908</v>
      </c>
      <c r="F284" s="1344">
        <v>14.253012</v>
      </c>
      <c r="G284" s="1344">
        <v>14.253011916</v>
      </c>
      <c r="H284" s="1302">
        <f t="shared" si="33"/>
        <v>81.631399999999999</v>
      </c>
      <c r="I284" s="1302">
        <f t="shared" si="34"/>
        <v>0.17460207714188414</v>
      </c>
      <c r="J284" s="1380">
        <v>42670</v>
      </c>
      <c r="K284" s="1381" t="s">
        <v>153</v>
      </c>
      <c r="L284" s="1345">
        <v>9.4700000000000006</v>
      </c>
      <c r="M284" s="1345">
        <v>8.33</v>
      </c>
      <c r="N284" s="1345">
        <f t="shared" si="35"/>
        <v>0.87961985216473071</v>
      </c>
      <c r="O284" s="1345">
        <v>8.58</v>
      </c>
      <c r="P284" s="1345">
        <f t="shared" si="36"/>
        <v>0.90601900739176344</v>
      </c>
      <c r="Q284" s="1284">
        <v>6</v>
      </c>
      <c r="R284" s="896">
        <v>8.6199999999999992</v>
      </c>
      <c r="S284" s="1341" t="s">
        <v>3801</v>
      </c>
      <c r="T284" s="1347">
        <v>43049</v>
      </c>
      <c r="U284" s="1345">
        <v>7.48</v>
      </c>
      <c r="V284" s="1345">
        <f t="shared" si="38"/>
        <v>0.8834498834498834</v>
      </c>
      <c r="W284" s="1385" t="s">
        <v>242</v>
      </c>
      <c r="X284" s="1284">
        <f t="shared" si="39"/>
        <v>0</v>
      </c>
      <c r="Y284" s="1284" t="str">
        <f t="shared" si="41"/>
        <v>1.00</v>
      </c>
      <c r="Z284" s="1343" t="s">
        <v>3802</v>
      </c>
      <c r="AA284" s="1383"/>
    </row>
    <row r="285" spans="1:27" s="1384" customFormat="1">
      <c r="A285" s="1280" t="s">
        <v>3682</v>
      </c>
      <c r="B285" s="1283">
        <v>508</v>
      </c>
      <c r="C285" s="1378" t="s">
        <v>909</v>
      </c>
      <c r="D285" s="1379" t="s">
        <v>910</v>
      </c>
      <c r="E285" s="1379" t="s">
        <v>911</v>
      </c>
      <c r="F285" s="1344">
        <v>11.7</v>
      </c>
      <c r="G285" s="1344">
        <v>11.699999950400001</v>
      </c>
      <c r="H285" s="1302">
        <f t="shared" si="33"/>
        <v>92.68</v>
      </c>
      <c r="I285" s="1302">
        <f t="shared" si="34"/>
        <v>0.12624082865774708</v>
      </c>
      <c r="J285" s="1380">
        <v>42663</v>
      </c>
      <c r="K285" s="1381" t="s">
        <v>151</v>
      </c>
      <c r="L285" s="1345">
        <v>7</v>
      </c>
      <c r="M285" s="1345">
        <v>5.34</v>
      </c>
      <c r="N285" s="1345">
        <f t="shared" si="35"/>
        <v>0.76285714285714279</v>
      </c>
      <c r="O285" s="1345">
        <v>6.52</v>
      </c>
      <c r="P285" s="1345">
        <f t="shared" si="36"/>
        <v>0.93142857142857138</v>
      </c>
      <c r="Q285" s="1284">
        <v>8</v>
      </c>
      <c r="R285" s="896">
        <v>13.24</v>
      </c>
      <c r="S285" s="1341" t="s">
        <v>3803</v>
      </c>
      <c r="T285" s="1347">
        <v>43049</v>
      </c>
      <c r="U285" s="1345">
        <v>6</v>
      </c>
      <c r="V285" s="1345">
        <f t="shared" si="38"/>
        <v>0.92331288343558282</v>
      </c>
      <c r="W285" s="1385" t="s">
        <v>221</v>
      </c>
      <c r="X285" s="1284">
        <f t="shared" si="39"/>
        <v>0</v>
      </c>
      <c r="Y285" s="1284" t="str">
        <f t="shared" si="41"/>
        <v>0.20</v>
      </c>
      <c r="Z285" s="1343" t="s">
        <v>2380</v>
      </c>
      <c r="AA285" s="1383"/>
    </row>
    <row r="286" spans="1:27" s="1384" customFormat="1">
      <c r="A286" s="1280" t="s">
        <v>3682</v>
      </c>
      <c r="B286" s="1283">
        <v>509</v>
      </c>
      <c r="C286" s="1378" t="s">
        <v>3804</v>
      </c>
      <c r="D286" s="1397" t="s">
        <v>912</v>
      </c>
      <c r="E286" s="1379" t="s">
        <v>913</v>
      </c>
      <c r="F286" s="1344">
        <v>16</v>
      </c>
      <c r="G286" s="1344">
        <v>13.2</v>
      </c>
      <c r="H286" s="1302">
        <f t="shared" si="33"/>
        <v>114.78449999999999</v>
      </c>
      <c r="I286" s="1302">
        <f t="shared" si="34"/>
        <v>0.13939164259982839</v>
      </c>
      <c r="J286" s="1380">
        <v>42660</v>
      </c>
      <c r="K286" s="1381" t="s">
        <v>151</v>
      </c>
      <c r="L286" s="1345">
        <v>12.97</v>
      </c>
      <c r="M286" s="1345">
        <v>12.88</v>
      </c>
      <c r="N286" s="1345">
        <f t="shared" si="35"/>
        <v>0.99306090979182726</v>
      </c>
      <c r="O286" s="1345">
        <v>13.2</v>
      </c>
      <c r="P286" s="1345">
        <f t="shared" si="36"/>
        <v>1.0177332305319968</v>
      </c>
      <c r="Q286" s="1284">
        <v>4</v>
      </c>
      <c r="R286" s="896">
        <v>8.85</v>
      </c>
      <c r="S286" s="1341" t="s">
        <v>3805</v>
      </c>
      <c r="T286" s="1398">
        <v>42684</v>
      </c>
      <c r="U286" s="1345">
        <v>12.95</v>
      </c>
      <c r="V286" s="1345">
        <f t="shared" si="38"/>
        <v>0.98106060606060608</v>
      </c>
      <c r="W286" s="1385" t="s">
        <v>223</v>
      </c>
      <c r="X286" s="1284">
        <f>IFERROR(MID(W287,FIND("转",W287)+1,FIND("股",W287)-(FIND("转",W287)+1)),0)</f>
        <v>0</v>
      </c>
      <c r="Y286" s="1284">
        <f t="shared" si="41"/>
        <v>0</v>
      </c>
      <c r="Z286" s="1343" t="s">
        <v>2072</v>
      </c>
      <c r="AA286" s="1383" t="s">
        <v>914</v>
      </c>
    </row>
    <row r="287" spans="1:27" s="1384" customFormat="1">
      <c r="A287" s="1280" t="s">
        <v>3682</v>
      </c>
      <c r="B287" s="1283">
        <v>510</v>
      </c>
      <c r="C287" s="1378" t="s">
        <v>3806</v>
      </c>
      <c r="D287" s="1379" t="s">
        <v>915</v>
      </c>
      <c r="E287" s="1379" t="s">
        <v>916</v>
      </c>
      <c r="F287" s="1344">
        <v>10.484999999999999</v>
      </c>
      <c r="G287" s="1344">
        <v>10.484999995200001</v>
      </c>
      <c r="H287" s="1302">
        <f t="shared" si="33"/>
        <v>387.8836</v>
      </c>
      <c r="I287" s="1302">
        <f t="shared" si="34"/>
        <v>2.7031305267869021E-2</v>
      </c>
      <c r="J287" s="1380">
        <v>42643</v>
      </c>
      <c r="K287" s="1381" t="s">
        <v>151</v>
      </c>
      <c r="L287" s="1345">
        <v>15.38</v>
      </c>
      <c r="M287" s="1345">
        <v>8.3699999999999992</v>
      </c>
      <c r="N287" s="1345">
        <f t="shared" si="35"/>
        <v>0.54421326397919367</v>
      </c>
      <c r="O287" s="1345">
        <v>13.94</v>
      </c>
      <c r="P287" s="1345">
        <f t="shared" si="36"/>
        <v>0.90637191157347197</v>
      </c>
      <c r="Q287" s="1284">
        <v>7</v>
      </c>
      <c r="R287" s="896">
        <v>25.22</v>
      </c>
      <c r="S287" s="1341" t="s">
        <v>3807</v>
      </c>
      <c r="T287" s="1347">
        <v>43052</v>
      </c>
      <c r="U287" s="1345">
        <v>20.54</v>
      </c>
      <c r="V287" s="1345">
        <f t="shared" si="38"/>
        <v>1.4756067073170731</v>
      </c>
      <c r="W287" s="1385" t="s">
        <v>917</v>
      </c>
      <c r="X287" s="1284">
        <f>IFERROR(MID(#REF!,FIND("转",#REF!)+1,FIND("股",#REF!)-(FIND("转",#REF!)+1)),0)</f>
        <v>0</v>
      </c>
      <c r="Y287" s="1284" t="str">
        <f t="shared" si="41"/>
        <v>0.299575</v>
      </c>
      <c r="Z287" s="1343" t="s">
        <v>3672</v>
      </c>
      <c r="AA287" s="1383"/>
    </row>
    <row r="288" spans="1:27" s="1384" customFormat="1">
      <c r="A288" s="1280" t="s">
        <v>3682</v>
      </c>
      <c r="B288" s="1283">
        <v>511</v>
      </c>
      <c r="C288" s="1378" t="s">
        <v>3808</v>
      </c>
      <c r="D288" s="1379" t="s">
        <v>918</v>
      </c>
      <c r="E288" s="1379" t="s">
        <v>919</v>
      </c>
      <c r="F288" s="1344">
        <v>6</v>
      </c>
      <c r="G288" s="1344">
        <v>5.9999999523999996</v>
      </c>
      <c r="H288" s="1302">
        <f t="shared" si="33"/>
        <v>61.108799999999995</v>
      </c>
      <c r="I288" s="1302">
        <f t="shared" si="34"/>
        <v>9.8185531380095836E-2</v>
      </c>
      <c r="J288" s="1380">
        <v>42663</v>
      </c>
      <c r="K288" s="1381" t="s">
        <v>151</v>
      </c>
      <c r="L288" s="1345">
        <v>17.559999999999999</v>
      </c>
      <c r="M288" s="1345">
        <v>14.31</v>
      </c>
      <c r="N288" s="1345">
        <f t="shared" si="35"/>
        <v>0.81492027334851946</v>
      </c>
      <c r="O288" s="1345">
        <v>16.18</v>
      </c>
      <c r="P288" s="1345">
        <f t="shared" si="36"/>
        <v>0.92141230068337132</v>
      </c>
      <c r="Q288" s="1284">
        <v>9</v>
      </c>
      <c r="R288" s="896">
        <v>3.48</v>
      </c>
      <c r="S288" s="1341" t="s">
        <v>3809</v>
      </c>
      <c r="T288" s="1347">
        <v>43052</v>
      </c>
      <c r="U288" s="1345">
        <v>11.12</v>
      </c>
      <c r="V288" s="1345">
        <f t="shared" si="38"/>
        <v>0.68788627935723112</v>
      </c>
      <c r="W288" s="1385" t="s">
        <v>920</v>
      </c>
      <c r="X288" s="1284">
        <f>IFERROR(MID(W288,FIND("转",W288)+1,FIND("股",W288)-(FIND("转",W288)+1)),0)</f>
        <v>0</v>
      </c>
      <c r="Y288" s="1284" t="str">
        <f t="shared" si="41"/>
        <v>0.10</v>
      </c>
      <c r="Z288" s="1343" t="s">
        <v>3810</v>
      </c>
      <c r="AA288" s="1383"/>
    </row>
    <row r="289" spans="1:27" s="1384" customFormat="1">
      <c r="A289" s="1280" t="s">
        <v>3682</v>
      </c>
      <c r="B289" s="1283">
        <v>512</v>
      </c>
      <c r="C289" s="1378" t="s">
        <v>921</v>
      </c>
      <c r="D289" s="1379" t="s">
        <v>922</v>
      </c>
      <c r="E289" s="1379" t="s">
        <v>923</v>
      </c>
      <c r="F289" s="1344">
        <v>13.665857000000001</v>
      </c>
      <c r="G289" s="1344">
        <v>13.665856737</v>
      </c>
      <c r="H289" s="1302">
        <f t="shared" si="33"/>
        <v>400.89</v>
      </c>
      <c r="I289" s="1302">
        <f t="shared" si="34"/>
        <v>3.4088794931277908E-2</v>
      </c>
      <c r="J289" s="1380">
        <v>42663</v>
      </c>
      <c r="K289" s="1381" t="s">
        <v>151</v>
      </c>
      <c r="L289" s="1345">
        <v>38.18</v>
      </c>
      <c r="M289" s="1345">
        <v>19.93</v>
      </c>
      <c r="N289" s="1345">
        <f t="shared" si="35"/>
        <v>0.52200104766893662</v>
      </c>
      <c r="O289" s="1345">
        <v>37.83</v>
      </c>
      <c r="P289" s="1345">
        <f t="shared" si="36"/>
        <v>0.99083289680460973</v>
      </c>
      <c r="Q289" s="1284">
        <v>7</v>
      </c>
      <c r="R289" s="896">
        <v>10.5</v>
      </c>
      <c r="S289" s="1341" t="s">
        <v>3811</v>
      </c>
      <c r="T289" s="1347">
        <v>43052</v>
      </c>
      <c r="U289" s="1345">
        <v>25.9</v>
      </c>
      <c r="V289" s="1345">
        <f t="shared" si="38"/>
        <v>1.7145122918318796</v>
      </c>
      <c r="W289" s="1385" t="s">
        <v>924</v>
      </c>
      <c r="X289" s="1284" t="str">
        <f>IFERROR(MID(W289,FIND("转",W289)+1,FIND("股",W289)-(FIND("转",W289)+1)),0)</f>
        <v>15</v>
      </c>
      <c r="Y289" s="1284" t="str">
        <f t="shared" si="41"/>
        <v>1.1</v>
      </c>
      <c r="Z289" s="1343" t="s">
        <v>2160</v>
      </c>
      <c r="AA289" s="1383"/>
    </row>
    <row r="290" spans="1:27" s="1384" customFormat="1">
      <c r="A290" s="1280" t="s">
        <v>3682</v>
      </c>
      <c r="B290" s="1283">
        <v>513</v>
      </c>
      <c r="C290" s="1378" t="s">
        <v>925</v>
      </c>
      <c r="D290" s="1379" t="s">
        <v>926</v>
      </c>
      <c r="E290" s="1379" t="s">
        <v>927</v>
      </c>
      <c r="F290" s="1344">
        <v>20</v>
      </c>
      <c r="G290" s="1344">
        <v>19.9999999584</v>
      </c>
      <c r="H290" s="1302">
        <f t="shared" si="33"/>
        <v>104.11430000000001</v>
      </c>
      <c r="I290" s="1302">
        <f t="shared" si="34"/>
        <v>0.19209657078806655</v>
      </c>
      <c r="J290" s="1380">
        <v>42664</v>
      </c>
      <c r="K290" s="1381" t="s">
        <v>151</v>
      </c>
      <c r="L290" s="1345">
        <v>7.03</v>
      </c>
      <c r="M290" s="1345">
        <v>5.12</v>
      </c>
      <c r="N290" s="1345">
        <f t="shared" si="35"/>
        <v>0.72830725462304413</v>
      </c>
      <c r="O290" s="1345">
        <v>6.72</v>
      </c>
      <c r="P290" s="1345">
        <f t="shared" si="36"/>
        <v>0.95590327169274536</v>
      </c>
      <c r="Q290" s="1284">
        <v>7</v>
      </c>
      <c r="R290" s="896">
        <v>14.81</v>
      </c>
      <c r="S290" s="1341" t="s">
        <v>3812</v>
      </c>
      <c r="T290" s="1347">
        <v>43053</v>
      </c>
      <c r="U290" s="1345">
        <v>7.02</v>
      </c>
      <c r="V290" s="1345">
        <f t="shared" si="38"/>
        <v>1.0625</v>
      </c>
      <c r="W290" s="1385" t="s">
        <v>876</v>
      </c>
      <c r="X290" s="1284">
        <f>IFERROR(MID(W290,FIND("转",W290)+1,FIND("股",W290)-(FIND("转",W290)+1)),0)</f>
        <v>0</v>
      </c>
      <c r="Y290" s="1284" t="str">
        <f t="shared" si="41"/>
        <v>1.20</v>
      </c>
      <c r="Z290" s="1343" t="s">
        <v>2122</v>
      </c>
      <c r="AA290" s="1383"/>
    </row>
    <row r="291" spans="1:27" s="1384" customFormat="1">
      <c r="A291" s="1280" t="s">
        <v>3682</v>
      </c>
      <c r="B291" s="1283">
        <v>514</v>
      </c>
      <c r="C291" s="1378" t="s">
        <v>928</v>
      </c>
      <c r="D291" s="1379" t="s">
        <v>929</v>
      </c>
      <c r="E291" s="1379" t="s">
        <v>930</v>
      </c>
      <c r="F291" s="1344">
        <v>25</v>
      </c>
      <c r="G291" s="1344">
        <v>24.999999947999999</v>
      </c>
      <c r="H291" s="1302">
        <f t="shared" si="33"/>
        <v>195.59479999999999</v>
      </c>
      <c r="I291" s="1302">
        <f t="shared" si="34"/>
        <v>0.1278152588923632</v>
      </c>
      <c r="J291" s="1380">
        <v>42668</v>
      </c>
      <c r="K291" s="1381" t="s">
        <v>204</v>
      </c>
      <c r="L291" s="1345">
        <v>14.51</v>
      </c>
      <c r="M291" s="1345">
        <v>11.77</v>
      </c>
      <c r="N291" s="1345">
        <f t="shared" si="35"/>
        <v>0.8111647139903515</v>
      </c>
      <c r="O291" s="1345">
        <v>12.6</v>
      </c>
      <c r="P291" s="1345">
        <f t="shared" si="36"/>
        <v>0.86836664369400407</v>
      </c>
      <c r="Q291" s="1284">
        <v>8</v>
      </c>
      <c r="R291" s="896">
        <v>13.48</v>
      </c>
      <c r="S291" s="1341" t="s">
        <v>3813</v>
      </c>
      <c r="T291" s="1347">
        <v>43053</v>
      </c>
      <c r="U291" s="1345">
        <v>6.39</v>
      </c>
      <c r="V291" s="1345">
        <f t="shared" si="38"/>
        <v>1.0162698412698412</v>
      </c>
      <c r="W291" s="1385" t="s">
        <v>931</v>
      </c>
      <c r="X291" s="1284" t="str">
        <f>IFERROR(MID(W291,FIND("转",W291)+1,FIND("股",W291)-(FIND("转",W291)+1)),0)</f>
        <v>10</v>
      </c>
      <c r="Y291" s="1284" t="str">
        <f t="shared" si="41"/>
        <v>0.25</v>
      </c>
      <c r="Z291" s="1343" t="s">
        <v>2259</v>
      </c>
      <c r="AA291" s="1383"/>
    </row>
    <row r="292" spans="1:27" s="1384" customFormat="1">
      <c r="A292" s="1280" t="s">
        <v>3682</v>
      </c>
      <c r="B292" s="1482">
        <v>515</v>
      </c>
      <c r="C292" s="1378" t="s">
        <v>3814</v>
      </c>
      <c r="D292" s="1483" t="s">
        <v>932</v>
      </c>
      <c r="E292" s="1484" t="s">
        <v>933</v>
      </c>
      <c r="F292" s="1485">
        <v>32.5</v>
      </c>
      <c r="G292" s="1485">
        <v>14.079999573</v>
      </c>
      <c r="H292" s="1302">
        <f t="shared" si="33"/>
        <v>198.05500000000001</v>
      </c>
      <c r="I292" s="1302">
        <f t="shared" si="34"/>
        <v>0.16409583196586805</v>
      </c>
      <c r="J292" s="1380">
        <v>42657</v>
      </c>
      <c r="K292" s="1381" t="s">
        <v>151</v>
      </c>
      <c r="L292" s="1345">
        <v>13.85</v>
      </c>
      <c r="M292" s="1345">
        <v>12.58</v>
      </c>
      <c r="N292" s="1345">
        <f t="shared" si="35"/>
        <v>0.90830324909747295</v>
      </c>
      <c r="O292" s="1345">
        <v>12.58</v>
      </c>
      <c r="P292" s="1345">
        <f t="shared" si="36"/>
        <v>0.90830324909747295</v>
      </c>
      <c r="Q292" s="1481">
        <v>4</v>
      </c>
      <c r="R292" s="896">
        <v>14.3</v>
      </c>
      <c r="S292" s="1341" t="s">
        <v>3815</v>
      </c>
      <c r="T292" s="1486">
        <v>43053</v>
      </c>
      <c r="U292" s="1487">
        <v>8.27</v>
      </c>
      <c r="V292" s="1487">
        <f t="shared" si="38"/>
        <v>0.6591414944356121</v>
      </c>
      <c r="W292" s="1488" t="s">
        <v>286</v>
      </c>
      <c r="X292" s="1481">
        <f>IFERROR(MID(W292,FIND("转",W292)+1,FIND("股",W292)-(FIND("转",W292)+1)),0)</f>
        <v>0</v>
      </c>
      <c r="Y292" s="1481" t="str">
        <f t="shared" si="41"/>
        <v>0.22</v>
      </c>
      <c r="Z292" s="1343" t="s">
        <v>2575</v>
      </c>
      <c r="AA292" s="1383"/>
    </row>
    <row r="293" spans="1:27" s="1384" customFormat="1" ht="16" customHeight="1">
      <c r="A293" s="1280" t="s">
        <v>3682</v>
      </c>
      <c r="B293" s="1482"/>
      <c r="C293" s="1280"/>
      <c r="D293" s="1483"/>
      <c r="E293" s="1484"/>
      <c r="F293" s="1485"/>
      <c r="G293" s="1485"/>
      <c r="H293" s="1302">
        <f t="shared" si="33"/>
        <v>187.04400000000001</v>
      </c>
      <c r="I293" s="1302">
        <f t="shared" si="34"/>
        <v>0</v>
      </c>
      <c r="J293" s="1380">
        <v>42664</v>
      </c>
      <c r="K293" s="1381" t="s">
        <v>3712</v>
      </c>
      <c r="L293" s="1345">
        <v>13.08</v>
      </c>
      <c r="M293" s="1345">
        <v>12.58</v>
      </c>
      <c r="N293" s="1345">
        <f t="shared" si="35"/>
        <v>0.96177370030581044</v>
      </c>
      <c r="O293" s="1345">
        <v>12.58</v>
      </c>
      <c r="P293" s="1345">
        <f t="shared" si="36"/>
        <v>0.96177370030581044</v>
      </c>
      <c r="Q293" s="1481"/>
      <c r="R293" s="896">
        <v>14.3</v>
      </c>
      <c r="S293" s="1388"/>
      <c r="T293" s="1486"/>
      <c r="U293" s="1487"/>
      <c r="V293" s="1487"/>
      <c r="W293" s="1488"/>
      <c r="X293" s="1481"/>
      <c r="Y293" s="1481"/>
      <c r="Z293" s="1343"/>
      <c r="AA293" s="1390" t="s">
        <v>3816</v>
      </c>
    </row>
    <row r="294" spans="1:27">
      <c r="A294" s="1280" t="s">
        <v>3817</v>
      </c>
      <c r="B294" s="1283">
        <v>522</v>
      </c>
      <c r="C294" s="1399" t="s">
        <v>1409</v>
      </c>
      <c r="D294" s="1358" t="s">
        <v>1408</v>
      </c>
      <c r="E294" s="1358" t="s">
        <v>1407</v>
      </c>
      <c r="F294" s="1359">
        <v>15</v>
      </c>
      <c r="G294" s="1359">
        <v>12.621700000000001</v>
      </c>
      <c r="H294" s="1359">
        <f>L294*R294</f>
        <v>97.808338800000001</v>
      </c>
      <c r="I294" s="1359">
        <f>F294/H294</f>
        <v>0.15336115697325389</v>
      </c>
      <c r="J294" s="1334">
        <v>42671</v>
      </c>
      <c r="K294" s="1280" t="s">
        <v>3818</v>
      </c>
      <c r="L294" s="1360">
        <v>19.05</v>
      </c>
      <c r="M294" s="1284">
        <v>16.100000000000001</v>
      </c>
      <c r="N294" s="1346">
        <f>M294/L294</f>
        <v>0.84514435695538059</v>
      </c>
      <c r="O294" s="1360">
        <v>18.98</v>
      </c>
      <c r="P294" s="1332">
        <f>O294/L294</f>
        <v>0.99632545931758532</v>
      </c>
      <c r="Q294" s="1284">
        <v>4</v>
      </c>
      <c r="R294" s="1346">
        <v>5.134296</v>
      </c>
      <c r="S294" s="1400" t="s">
        <v>3819</v>
      </c>
      <c r="T294" s="1334">
        <v>42690</v>
      </c>
      <c r="U294" s="1284">
        <v>19.89</v>
      </c>
      <c r="V294" s="1401">
        <f t="shared" ref="V294:V357" si="42">(U294*(1+X294/10)+Y294/10)/O294</f>
        <v>1.047945205479452</v>
      </c>
      <c r="W294" s="1280"/>
      <c r="X294" s="1284">
        <f>IFERROR(RIGHT(LEFT(W294,FIND("股",W294)-1),FIND("股",W294)-1-FIND("转",W294)),0)</f>
        <v>0</v>
      </c>
      <c r="Y294" s="1284">
        <f>IFERROR(RIGHT(LEFT(W294,FIND("元",W294)-1),FIND("元",W294)-1-FIND("派",W294)),0)</f>
        <v>0</v>
      </c>
      <c r="Z294" s="1358" t="s">
        <v>2411</v>
      </c>
    </row>
    <row r="295" spans="1:27">
      <c r="A295" s="1280" t="s">
        <v>3817</v>
      </c>
      <c r="B295" s="1283">
        <v>523</v>
      </c>
      <c r="C295" s="1399" t="s">
        <v>1405</v>
      </c>
      <c r="D295" s="1358" t="s">
        <v>1404</v>
      </c>
      <c r="E295" s="1358" t="s">
        <v>1403</v>
      </c>
      <c r="F295" s="1359">
        <v>3.3073504499999999</v>
      </c>
      <c r="G295" s="1359">
        <v>3.3073504439999999</v>
      </c>
      <c r="H295" s="1359">
        <f t="shared" ref="H295:H358" si="43">L295*R295</f>
        <v>173.24889600000003</v>
      </c>
      <c r="I295" s="1359">
        <f t="shared" ref="I295:I358" si="44">F295/H295</f>
        <v>1.9090167535613038E-2</v>
      </c>
      <c r="J295" s="1334">
        <v>42657</v>
      </c>
      <c r="K295" s="1280" t="s">
        <v>3820</v>
      </c>
      <c r="L295" s="1360">
        <v>15.8</v>
      </c>
      <c r="M295" s="1284">
        <v>9.67</v>
      </c>
      <c r="N295" s="1346">
        <f t="shared" ref="N295:N358" si="45">M295/L295</f>
        <v>0.61202531645569613</v>
      </c>
      <c r="O295" s="1360">
        <v>15.15</v>
      </c>
      <c r="P295" s="1332">
        <f t="shared" ref="P295:P358" si="46">O295/L295</f>
        <v>0.95886075949367089</v>
      </c>
      <c r="Q295" s="1284">
        <v>6</v>
      </c>
      <c r="R295" s="1346">
        <v>10.965120000000001</v>
      </c>
      <c r="S295" s="1400" t="s">
        <v>3821</v>
      </c>
      <c r="T295" s="1334">
        <v>43055</v>
      </c>
      <c r="U295" s="1284">
        <v>4.0199999999999996</v>
      </c>
      <c r="V295" s="1401">
        <f t="shared" si="42"/>
        <v>0.74693069306930682</v>
      </c>
      <c r="W295" s="1280" t="s">
        <v>3822</v>
      </c>
      <c r="X295" s="1284" t="str">
        <f t="shared" ref="X295:X358" si="47">IFERROR(RIGHT(LEFT(W295,FIND("股",W295)-1),FIND("股",W295)-1-FIND("转",W295)),0)</f>
        <v>18</v>
      </c>
      <c r="Y295" s="1284" t="str">
        <f t="shared" ref="Y295:Y358" si="48">IFERROR(RIGHT(LEFT(W295,FIND("元",W295)-1),FIND("元",W295)-1-FIND("派",W295)),0)</f>
        <v>0.6</v>
      </c>
      <c r="Z295" s="1358" t="s">
        <v>2374</v>
      </c>
    </row>
    <row r="296" spans="1:27">
      <c r="A296" s="1280" t="s">
        <v>3817</v>
      </c>
      <c r="B296" s="1283">
        <v>524</v>
      </c>
      <c r="C296" s="1399" t="s">
        <v>1399</v>
      </c>
      <c r="D296" s="1358" t="s">
        <v>1398</v>
      </c>
      <c r="E296" s="1358" t="s">
        <v>1397</v>
      </c>
      <c r="F296" s="1359">
        <v>3.835</v>
      </c>
      <c r="G296" s="1359">
        <v>3.8349999764999998</v>
      </c>
      <c r="H296" s="1359">
        <f t="shared" si="43"/>
        <v>43.509779999999999</v>
      </c>
      <c r="I296" s="1359">
        <f t="shared" si="44"/>
        <v>8.8141102988799305E-2</v>
      </c>
      <c r="J296" s="1334">
        <v>42664</v>
      </c>
      <c r="K296" s="1280" t="s">
        <v>3820</v>
      </c>
      <c r="L296" s="1360">
        <v>17.39</v>
      </c>
      <c r="M296" s="1284">
        <v>14.35</v>
      </c>
      <c r="N296" s="1346">
        <f t="shared" si="45"/>
        <v>0.82518688901667625</v>
      </c>
      <c r="O296" s="1360">
        <v>15.95</v>
      </c>
      <c r="P296" s="1332">
        <f t="shared" si="46"/>
        <v>0.91719378953421504</v>
      </c>
      <c r="Q296" s="1284">
        <v>5</v>
      </c>
      <c r="R296" s="1346">
        <v>2.5019999999999998</v>
      </c>
      <c r="S296" s="1400" t="s">
        <v>3823</v>
      </c>
      <c r="T296" s="1334">
        <v>43055</v>
      </c>
      <c r="U296" s="1284">
        <v>10.39</v>
      </c>
      <c r="V296" s="1401">
        <f t="shared" si="42"/>
        <v>0.66081504702194371</v>
      </c>
      <c r="W296" s="1280" t="s">
        <v>3824</v>
      </c>
      <c r="X296" s="1284">
        <f t="shared" si="47"/>
        <v>0</v>
      </c>
      <c r="Y296" s="1284" t="str">
        <f t="shared" si="48"/>
        <v>1.5</v>
      </c>
      <c r="Z296" s="1358" t="s">
        <v>2223</v>
      </c>
    </row>
    <row r="297" spans="1:27">
      <c r="A297" s="1280" t="s">
        <v>3817</v>
      </c>
      <c r="B297" s="1283">
        <v>526</v>
      </c>
      <c r="C297" s="1399" t="s">
        <v>1393</v>
      </c>
      <c r="D297" s="1358" t="s">
        <v>1392</v>
      </c>
      <c r="E297" s="1358" t="s">
        <v>1391</v>
      </c>
      <c r="F297" s="1359">
        <v>10</v>
      </c>
      <c r="G297" s="1359">
        <v>9.9999999639000006</v>
      </c>
      <c r="H297" s="1359">
        <f t="shared" si="43"/>
        <v>71.795101079999995</v>
      </c>
      <c r="I297" s="1359">
        <f t="shared" si="44"/>
        <v>0.13928526946228795</v>
      </c>
      <c r="J297" s="1334">
        <v>42662</v>
      </c>
      <c r="K297" s="1280" t="s">
        <v>204</v>
      </c>
      <c r="L297" s="1360">
        <v>20.059999999999999</v>
      </c>
      <c r="M297" s="1360">
        <v>16.71</v>
      </c>
      <c r="N297" s="1346">
        <f t="shared" si="45"/>
        <v>0.83300099700897323</v>
      </c>
      <c r="O297" s="1360">
        <v>17.91</v>
      </c>
      <c r="P297" s="1332">
        <f t="shared" si="46"/>
        <v>0.89282153539381859</v>
      </c>
      <c r="Q297" s="1284">
        <v>8</v>
      </c>
      <c r="R297" s="1346">
        <v>3.579018</v>
      </c>
      <c r="S297" s="1400" t="s">
        <v>3825</v>
      </c>
      <c r="T297" s="1334">
        <v>43056</v>
      </c>
      <c r="U297" s="1284">
        <v>10.94</v>
      </c>
      <c r="V297" s="1401">
        <f t="shared" si="42"/>
        <v>0.61083193746510323</v>
      </c>
      <c r="W297" s="1280"/>
      <c r="X297" s="1284">
        <f t="shared" si="47"/>
        <v>0</v>
      </c>
      <c r="Y297" s="1284">
        <f t="shared" si="48"/>
        <v>0</v>
      </c>
      <c r="Z297" s="1358" t="s">
        <v>2166</v>
      </c>
    </row>
    <row r="298" spans="1:27">
      <c r="A298" s="1280" t="s">
        <v>3817</v>
      </c>
      <c r="B298" s="1283">
        <v>528</v>
      </c>
      <c r="C298" s="1399" t="s">
        <v>1387</v>
      </c>
      <c r="D298" s="1358" t="s">
        <v>1386</v>
      </c>
      <c r="E298" s="1358" t="s">
        <v>1385</v>
      </c>
      <c r="F298" s="1359">
        <v>18.7042</v>
      </c>
      <c r="G298" s="1359">
        <v>18.704199854799999</v>
      </c>
      <c r="H298" s="1359">
        <f t="shared" si="43"/>
        <v>134.57578964999999</v>
      </c>
      <c r="I298" s="1359">
        <f t="shared" si="44"/>
        <v>0.13898636633413208</v>
      </c>
      <c r="J298" s="1334">
        <v>42668</v>
      </c>
      <c r="K298" s="1280" t="s">
        <v>3820</v>
      </c>
      <c r="L298" s="1360">
        <v>27.15</v>
      </c>
      <c r="M298" s="1284">
        <v>15.53</v>
      </c>
      <c r="N298" s="1346">
        <f t="shared" si="45"/>
        <v>0.57200736648250461</v>
      </c>
      <c r="O298" s="1360">
        <v>25.58</v>
      </c>
      <c r="P298" s="1332">
        <f t="shared" si="46"/>
        <v>0.94217311233885814</v>
      </c>
      <c r="Q298" s="1284">
        <v>7</v>
      </c>
      <c r="R298" s="1346">
        <v>4.9567509999999997</v>
      </c>
      <c r="S298" s="1400" t="s">
        <v>3826</v>
      </c>
      <c r="T298" s="1334">
        <v>43059</v>
      </c>
      <c r="U298" s="1284">
        <v>9.81</v>
      </c>
      <c r="V298" s="1401">
        <f t="shared" si="42"/>
        <v>0.84566067240031295</v>
      </c>
      <c r="W298" s="1280" t="s">
        <v>3827</v>
      </c>
      <c r="X298" s="1284" t="str">
        <f t="shared" si="47"/>
        <v>12</v>
      </c>
      <c r="Y298" s="1284" t="str">
        <f t="shared" si="48"/>
        <v>0.5</v>
      </c>
      <c r="Z298" s="1358" t="s">
        <v>2104</v>
      </c>
    </row>
    <row r="299" spans="1:27">
      <c r="A299" s="1280" t="s">
        <v>3817</v>
      </c>
      <c r="B299" s="1283">
        <v>529</v>
      </c>
      <c r="C299" s="1399" t="s">
        <v>1358</v>
      </c>
      <c r="D299" s="1358" t="s">
        <v>1357</v>
      </c>
      <c r="E299" s="1358" t="s">
        <v>1356</v>
      </c>
      <c r="F299" s="1359">
        <v>16.705538000000001</v>
      </c>
      <c r="G299" s="1359">
        <v>16.705537843199998</v>
      </c>
      <c r="H299" s="1359">
        <f t="shared" si="43"/>
        <v>116.08400053999999</v>
      </c>
      <c r="I299" s="1359">
        <f t="shared" si="44"/>
        <v>0.1439090479505282</v>
      </c>
      <c r="J299" s="1334">
        <v>42660</v>
      </c>
      <c r="K299" s="1280" t="s">
        <v>3820</v>
      </c>
      <c r="L299" s="1360">
        <v>35.869999999999997</v>
      </c>
      <c r="M299" s="1360">
        <v>30.72</v>
      </c>
      <c r="N299" s="1346">
        <f t="shared" si="45"/>
        <v>0.85642598271536108</v>
      </c>
      <c r="O299" s="1360">
        <v>30.72</v>
      </c>
      <c r="P299" s="1332">
        <f t="shared" si="46"/>
        <v>0.85642598271536108</v>
      </c>
      <c r="Q299" s="1284">
        <v>8</v>
      </c>
      <c r="R299" s="1346">
        <v>3.2362419999999998</v>
      </c>
      <c r="S299" s="1400" t="s">
        <v>3828</v>
      </c>
      <c r="T299" s="1334">
        <v>43059</v>
      </c>
      <c r="U299" s="1284">
        <v>23.67</v>
      </c>
      <c r="V299" s="1401">
        <f t="shared" si="42"/>
        <v>0.77050781250000011</v>
      </c>
      <c r="W299" s="1280"/>
      <c r="X299" s="1284">
        <f t="shared" si="47"/>
        <v>0</v>
      </c>
      <c r="Y299" s="1284">
        <f t="shared" si="48"/>
        <v>0</v>
      </c>
      <c r="Z299" s="1358" t="s">
        <v>2386</v>
      </c>
    </row>
    <row r="300" spans="1:27">
      <c r="A300" s="1280" t="s">
        <v>3817</v>
      </c>
      <c r="B300" s="1283">
        <v>531</v>
      </c>
      <c r="C300" s="1399" t="s">
        <v>1354</v>
      </c>
      <c r="D300" s="1358" t="s">
        <v>1353</v>
      </c>
      <c r="E300" s="1358" t="s">
        <v>1352</v>
      </c>
      <c r="F300" s="1359">
        <v>11.268578</v>
      </c>
      <c r="G300" s="1359">
        <v>11.268577779999999</v>
      </c>
      <c r="H300" s="1359">
        <f t="shared" si="43"/>
        <v>197.1768073719</v>
      </c>
      <c r="I300" s="1359">
        <f t="shared" si="44"/>
        <v>5.714961181385831E-2</v>
      </c>
      <c r="J300" s="1334">
        <v>42671</v>
      </c>
      <c r="K300" s="1280" t="s">
        <v>151</v>
      </c>
      <c r="L300" s="1360">
        <v>24.47</v>
      </c>
      <c r="M300" s="1360">
        <v>22.16</v>
      </c>
      <c r="N300" s="1346">
        <f t="shared" si="45"/>
        <v>0.90559869227625667</v>
      </c>
      <c r="O300" s="1360">
        <v>24.5</v>
      </c>
      <c r="P300" s="1332">
        <f t="shared" si="46"/>
        <v>1.0012259910093992</v>
      </c>
      <c r="Q300" s="1284">
        <v>5</v>
      </c>
      <c r="R300" s="1346">
        <v>8.0578997700000006</v>
      </c>
      <c r="S300" s="1400" t="s">
        <v>3829</v>
      </c>
      <c r="T300" s="1334">
        <v>43068</v>
      </c>
      <c r="U300" s="1284">
        <v>16.18</v>
      </c>
      <c r="V300" s="1401">
        <f t="shared" si="42"/>
        <v>0.66204081632653056</v>
      </c>
      <c r="W300" s="1280" t="s">
        <v>222</v>
      </c>
      <c r="X300" s="1284">
        <f t="shared" si="47"/>
        <v>0</v>
      </c>
      <c r="Y300" s="1284" t="str">
        <f t="shared" si="48"/>
        <v>0.4</v>
      </c>
      <c r="Z300" s="1358" t="s">
        <v>2160</v>
      </c>
    </row>
    <row r="301" spans="1:27">
      <c r="A301" s="1280" t="s">
        <v>3817</v>
      </c>
      <c r="B301" s="1283">
        <v>532</v>
      </c>
      <c r="C301" s="1399" t="s">
        <v>1342</v>
      </c>
      <c r="D301" s="1358" t="s">
        <v>1341</v>
      </c>
      <c r="E301" s="1358" t="s">
        <v>1340</v>
      </c>
      <c r="F301" s="1359">
        <v>36.827812000000002</v>
      </c>
      <c r="G301" s="1359">
        <v>36.827811904000001</v>
      </c>
      <c r="H301" s="1359">
        <f t="shared" si="43"/>
        <v>121.89086472</v>
      </c>
      <c r="I301" s="1359">
        <f t="shared" si="44"/>
        <v>0.30213758910151739</v>
      </c>
      <c r="J301" s="1334">
        <v>42657</v>
      </c>
      <c r="K301" s="1280" t="s">
        <v>191</v>
      </c>
      <c r="L301" s="1360">
        <v>6.42</v>
      </c>
      <c r="M301" s="1360">
        <v>5.2</v>
      </c>
      <c r="N301" s="1346">
        <f t="shared" si="45"/>
        <v>0.80996884735202501</v>
      </c>
      <c r="O301" s="1360">
        <v>5.2</v>
      </c>
      <c r="P301" s="1332">
        <f t="shared" si="46"/>
        <v>0.80996884735202501</v>
      </c>
      <c r="Q301" s="1284">
        <v>8</v>
      </c>
      <c r="R301" s="1346">
        <v>18.986115999999999</v>
      </c>
      <c r="S301" s="1400" t="s">
        <v>3830</v>
      </c>
      <c r="T301" s="1334">
        <v>43060</v>
      </c>
      <c r="U301" s="1284">
        <v>8.7200000000000006</v>
      </c>
      <c r="V301" s="1401">
        <f t="shared" si="42"/>
        <v>1.676923076923077</v>
      </c>
      <c r="W301" s="1280"/>
      <c r="X301" s="1284">
        <f t="shared" si="47"/>
        <v>0</v>
      </c>
      <c r="Y301" s="1284">
        <f t="shared" si="48"/>
        <v>0</v>
      </c>
      <c r="Z301" s="1358" t="s">
        <v>2362</v>
      </c>
    </row>
    <row r="302" spans="1:27">
      <c r="A302" s="1280" t="s">
        <v>3817</v>
      </c>
      <c r="B302" s="1283">
        <v>533</v>
      </c>
      <c r="C302" s="1399" t="s">
        <v>1324</v>
      </c>
      <c r="D302" s="1358" t="s">
        <v>1323</v>
      </c>
      <c r="E302" s="1358" t="s">
        <v>1322</v>
      </c>
      <c r="F302" s="1359">
        <v>9.8848219999999998</v>
      </c>
      <c r="G302" s="1359">
        <v>9.8848216880000006</v>
      </c>
      <c r="H302" s="1359">
        <f t="shared" si="43"/>
        <v>69.178847999999988</v>
      </c>
      <c r="I302" s="1359">
        <f t="shared" si="44"/>
        <v>0.14288792435514394</v>
      </c>
      <c r="J302" s="1334">
        <v>42663</v>
      </c>
      <c r="K302" s="1280" t="s">
        <v>151</v>
      </c>
      <c r="L302" s="1360">
        <v>32.979999999999997</v>
      </c>
      <c r="M302" s="1360">
        <v>32.200000000000003</v>
      </c>
      <c r="N302" s="1346">
        <f t="shared" si="45"/>
        <v>0.97634930260764119</v>
      </c>
      <c r="O302" s="1360">
        <v>32.200000000000003</v>
      </c>
      <c r="P302" s="1332">
        <f t="shared" si="46"/>
        <v>0.97634930260764119</v>
      </c>
      <c r="Q302" s="1284">
        <v>3</v>
      </c>
      <c r="R302" s="1346">
        <v>2.0975999999999999</v>
      </c>
      <c r="S302" s="1400" t="s">
        <v>3831</v>
      </c>
      <c r="T302" s="1334">
        <v>43060</v>
      </c>
      <c r="U302" s="1284">
        <v>22.55</v>
      </c>
      <c r="V302" s="1401">
        <f t="shared" si="42"/>
        <v>0.70248447204968945</v>
      </c>
      <c r="W302" s="1280" t="s">
        <v>3832</v>
      </c>
      <c r="X302" s="1284">
        <f t="shared" si="47"/>
        <v>0</v>
      </c>
      <c r="Y302" s="1284" t="str">
        <f t="shared" si="48"/>
        <v>0.7</v>
      </c>
      <c r="Z302" s="1358" t="s">
        <v>2211</v>
      </c>
    </row>
    <row r="303" spans="1:27">
      <c r="A303" s="1280" t="s">
        <v>3817</v>
      </c>
      <c r="B303" s="1283">
        <v>534</v>
      </c>
      <c r="C303" s="1399" t="s">
        <v>1309</v>
      </c>
      <c r="D303" s="1358" t="s">
        <v>3833</v>
      </c>
      <c r="E303" s="1358" t="s">
        <v>1307</v>
      </c>
      <c r="F303" s="1359">
        <v>5.4880000000000004</v>
      </c>
      <c r="G303" s="1359">
        <v>5.4879998596000004</v>
      </c>
      <c r="H303" s="1359">
        <f t="shared" si="43"/>
        <v>147.56410265999997</v>
      </c>
      <c r="I303" s="1359">
        <f t="shared" si="44"/>
        <v>3.719061683073973E-2</v>
      </c>
      <c r="J303" s="1334">
        <v>42670</v>
      </c>
      <c r="K303" s="1280" t="s">
        <v>1306</v>
      </c>
      <c r="L303" s="1360">
        <v>23.86</v>
      </c>
      <c r="M303" s="1360">
        <v>14</v>
      </c>
      <c r="N303" s="1346">
        <f t="shared" si="45"/>
        <v>0.58675607711651301</v>
      </c>
      <c r="O303" s="1360">
        <v>23.72</v>
      </c>
      <c r="P303" s="1332">
        <f t="shared" si="46"/>
        <v>0.99413243922883487</v>
      </c>
      <c r="Q303" s="1402">
        <v>5</v>
      </c>
      <c r="R303" s="1346">
        <v>6.1845809999999997</v>
      </c>
      <c r="S303" s="1400" t="s">
        <v>3834</v>
      </c>
      <c r="T303" s="1334">
        <v>43060</v>
      </c>
      <c r="U303" s="1284">
        <v>12.43</v>
      </c>
      <c r="V303" s="1401">
        <f t="shared" si="42"/>
        <v>0.89759696458684657</v>
      </c>
      <c r="W303" s="1280" t="s">
        <v>3835</v>
      </c>
      <c r="X303" s="1284" t="str">
        <f t="shared" si="47"/>
        <v>7</v>
      </c>
      <c r="Y303" s="1284" t="str">
        <f t="shared" si="48"/>
        <v>1.6</v>
      </c>
      <c r="Z303" s="1358" t="s">
        <v>2316</v>
      </c>
    </row>
    <row r="304" spans="1:27">
      <c r="A304" s="1280" t="s">
        <v>3817</v>
      </c>
      <c r="B304" s="1283">
        <v>539</v>
      </c>
      <c r="C304" s="1399" t="s">
        <v>1590</v>
      </c>
      <c r="D304" s="1358" t="s">
        <v>1589</v>
      </c>
      <c r="E304" s="1358" t="s">
        <v>1588</v>
      </c>
      <c r="F304" s="1359">
        <v>2.37</v>
      </c>
      <c r="G304" s="1359">
        <v>2.3699998421999999</v>
      </c>
      <c r="H304" s="1359">
        <f t="shared" si="43"/>
        <v>79.458959140000005</v>
      </c>
      <c r="I304" s="1359">
        <f t="shared" si="44"/>
        <v>2.9826718417293379E-2</v>
      </c>
      <c r="J304" s="1334">
        <v>42669</v>
      </c>
      <c r="K304" s="1337" t="s">
        <v>3836</v>
      </c>
      <c r="L304" s="1360">
        <v>20.66</v>
      </c>
      <c r="M304" s="1360">
        <v>14.43</v>
      </c>
      <c r="N304" s="1346">
        <f t="shared" si="45"/>
        <v>0.69845111326234266</v>
      </c>
      <c r="O304" s="1360">
        <v>18.86</v>
      </c>
      <c r="P304" s="1332">
        <f t="shared" si="46"/>
        <v>0.91287512100677637</v>
      </c>
      <c r="Q304" s="1284">
        <v>4</v>
      </c>
      <c r="R304" s="1346">
        <v>3.8460290000000001</v>
      </c>
      <c r="S304" s="1400" t="s">
        <v>3837</v>
      </c>
      <c r="T304" s="1334">
        <v>43066</v>
      </c>
      <c r="U304" s="1284">
        <v>12.38</v>
      </c>
      <c r="V304" s="1401">
        <f t="shared" si="42"/>
        <v>0.65641569459172855</v>
      </c>
      <c r="W304" s="1280"/>
      <c r="X304" s="1284">
        <f t="shared" si="47"/>
        <v>0</v>
      </c>
      <c r="Y304" s="1284">
        <f t="shared" si="48"/>
        <v>0</v>
      </c>
      <c r="Z304" s="1358" t="s">
        <v>3645</v>
      </c>
    </row>
    <row r="305" spans="1:26">
      <c r="A305" s="1280" t="s">
        <v>3817</v>
      </c>
      <c r="B305" s="1283">
        <v>540</v>
      </c>
      <c r="C305" s="1399" t="s">
        <v>1571</v>
      </c>
      <c r="D305" s="1358" t="s">
        <v>1570</v>
      </c>
      <c r="E305" s="1358" t="s">
        <v>1569</v>
      </c>
      <c r="F305" s="1359">
        <v>3.8</v>
      </c>
      <c r="G305" s="1359">
        <v>3.7999998750000001</v>
      </c>
      <c r="H305" s="1359">
        <f t="shared" si="43"/>
        <v>120.25269400000001</v>
      </c>
      <c r="I305" s="1359">
        <f t="shared" si="44"/>
        <v>3.1600123652947017E-2</v>
      </c>
      <c r="J305" s="1334">
        <v>42669</v>
      </c>
      <c r="K305" s="1280" t="s">
        <v>191</v>
      </c>
      <c r="L305" s="1360">
        <v>18.170000000000002</v>
      </c>
      <c r="M305" s="1360">
        <v>12.07</v>
      </c>
      <c r="N305" s="1346">
        <f t="shared" si="45"/>
        <v>0.66428178315905329</v>
      </c>
      <c r="O305" s="1360">
        <v>17.5</v>
      </c>
      <c r="P305" s="1332">
        <f t="shared" si="46"/>
        <v>0.96312603192074842</v>
      </c>
      <c r="Q305" s="1403">
        <v>5</v>
      </c>
      <c r="R305" s="1404">
        <v>6.6181999999999999</v>
      </c>
      <c r="S305" s="1400" t="s">
        <v>3838</v>
      </c>
      <c r="T305" s="1334">
        <v>43069</v>
      </c>
      <c r="U305" s="1284">
        <v>11.33</v>
      </c>
      <c r="V305" s="1401">
        <f t="shared" si="42"/>
        <v>0.64971428571428569</v>
      </c>
      <c r="W305" s="1280" t="s">
        <v>222</v>
      </c>
      <c r="X305" s="1284">
        <f t="shared" si="47"/>
        <v>0</v>
      </c>
      <c r="Y305" s="1284" t="str">
        <f t="shared" si="48"/>
        <v>0.4</v>
      </c>
      <c r="Z305" s="1358" t="s">
        <v>2086</v>
      </c>
    </row>
    <row r="306" spans="1:26">
      <c r="A306" s="1280" t="s">
        <v>3817</v>
      </c>
      <c r="B306" s="1283">
        <v>543</v>
      </c>
      <c r="C306" s="1399" t="s">
        <v>1555</v>
      </c>
      <c r="D306" s="1358" t="s">
        <v>1554</v>
      </c>
      <c r="E306" s="1358" t="s">
        <v>1553</v>
      </c>
      <c r="F306" s="1359">
        <v>49.48</v>
      </c>
      <c r="G306" s="1359">
        <v>42.547999875000002</v>
      </c>
      <c r="H306" s="1359">
        <f t="shared" si="43"/>
        <v>139.12308852000001</v>
      </c>
      <c r="I306" s="1359">
        <f t="shared" si="44"/>
        <v>0.35565627910055253</v>
      </c>
      <c r="J306" s="1334">
        <v>42683</v>
      </c>
      <c r="K306" s="1280" t="s">
        <v>151</v>
      </c>
      <c r="L306" s="1360">
        <v>9.23</v>
      </c>
      <c r="M306" s="1360">
        <v>9.3000000000000007</v>
      </c>
      <c r="N306" s="1346">
        <f t="shared" si="45"/>
        <v>1.0075839653304441</v>
      </c>
      <c r="O306" s="1360">
        <v>9.3000000000000007</v>
      </c>
      <c r="P306" s="1332">
        <f t="shared" si="46"/>
        <v>1.0075839653304441</v>
      </c>
      <c r="Q306" s="1403">
        <v>4</v>
      </c>
      <c r="R306" s="1404">
        <v>15.072924</v>
      </c>
      <c r="S306" s="1400" t="s">
        <v>3839</v>
      </c>
      <c r="T306" s="1334">
        <v>43088</v>
      </c>
      <c r="U306" s="1284">
        <v>11.36</v>
      </c>
      <c r="V306" s="1401">
        <f t="shared" si="42"/>
        <v>1.221505376344086</v>
      </c>
      <c r="W306" s="1280"/>
      <c r="X306" s="1284">
        <f t="shared" si="47"/>
        <v>0</v>
      </c>
      <c r="Y306" s="1284">
        <f t="shared" si="48"/>
        <v>0</v>
      </c>
      <c r="Z306" s="1358" t="s">
        <v>2468</v>
      </c>
    </row>
    <row r="307" spans="1:26">
      <c r="A307" s="1280" t="s">
        <v>3817</v>
      </c>
      <c r="B307" s="1283">
        <v>545</v>
      </c>
      <c r="C307" s="1399" t="s">
        <v>1549</v>
      </c>
      <c r="D307" s="1358" t="s">
        <v>1548</v>
      </c>
      <c r="E307" s="1358" t="s">
        <v>1547</v>
      </c>
      <c r="F307" s="1359">
        <v>13</v>
      </c>
      <c r="G307" s="1359">
        <v>12.999999876</v>
      </c>
      <c r="H307" s="1359">
        <f t="shared" si="43"/>
        <v>233.49210770000002</v>
      </c>
      <c r="I307" s="1359">
        <f t="shared" si="44"/>
        <v>5.567640006360694E-2</v>
      </c>
      <c r="J307" s="1334">
        <v>42685</v>
      </c>
      <c r="K307" s="1280" t="s">
        <v>1546</v>
      </c>
      <c r="L307" s="1360">
        <v>23.35</v>
      </c>
      <c r="M307" s="1360">
        <v>20.47</v>
      </c>
      <c r="N307" s="1346">
        <f t="shared" si="45"/>
        <v>0.87665952890792276</v>
      </c>
      <c r="O307" s="1360">
        <v>22.2</v>
      </c>
      <c r="P307" s="1332">
        <f t="shared" si="46"/>
        <v>0.95074946466809418</v>
      </c>
      <c r="Q307" s="1403">
        <v>5</v>
      </c>
      <c r="R307" s="1404">
        <v>9.9996620000000007</v>
      </c>
      <c r="S307" s="1400" t="s">
        <v>3840</v>
      </c>
      <c r="T307" s="1334">
        <v>43076</v>
      </c>
      <c r="U307" s="1284">
        <v>13.36</v>
      </c>
      <c r="V307" s="1401">
        <f t="shared" si="42"/>
        <v>0.60495495495495499</v>
      </c>
      <c r="W307" s="1280" t="s">
        <v>3832</v>
      </c>
      <c r="X307" s="1284">
        <f t="shared" si="47"/>
        <v>0</v>
      </c>
      <c r="Y307" s="1284" t="str">
        <f t="shared" si="48"/>
        <v>0.7</v>
      </c>
      <c r="Z307" s="1358" t="s">
        <v>2411</v>
      </c>
    </row>
    <row r="308" spans="1:26">
      <c r="A308" s="1280" t="s">
        <v>3817</v>
      </c>
      <c r="B308" s="1283">
        <v>547</v>
      </c>
      <c r="C308" s="1399" t="s">
        <v>1539</v>
      </c>
      <c r="D308" s="1358" t="s">
        <v>1538</v>
      </c>
      <c r="E308" s="1358" t="s">
        <v>1537</v>
      </c>
      <c r="F308" s="1359">
        <v>4.4800000000000004</v>
      </c>
      <c r="G308" s="1359">
        <v>4.4799999679000004</v>
      </c>
      <c r="H308" s="1359">
        <f t="shared" si="43"/>
        <v>71.713502747999996</v>
      </c>
      <c r="I308" s="1359">
        <f t="shared" si="44"/>
        <v>6.2470801569163938E-2</v>
      </c>
      <c r="J308" s="1334">
        <v>42677</v>
      </c>
      <c r="K308" s="1280" t="s">
        <v>151</v>
      </c>
      <c r="L308" s="1360">
        <v>9.93</v>
      </c>
      <c r="M308" s="1360">
        <v>8.93</v>
      </c>
      <c r="N308" s="1346">
        <f t="shared" si="45"/>
        <v>0.89929506545820748</v>
      </c>
      <c r="O308" s="1360">
        <v>9.43</v>
      </c>
      <c r="P308" s="1332">
        <f t="shared" si="46"/>
        <v>0.94964753272910374</v>
      </c>
      <c r="Q308" s="1403">
        <v>5</v>
      </c>
      <c r="R308" s="1346">
        <v>7.2219036000000001</v>
      </c>
      <c r="S308" s="1400" t="s">
        <v>3841</v>
      </c>
      <c r="T308" s="1334">
        <v>43074</v>
      </c>
      <c r="U308" s="1284">
        <v>5.35</v>
      </c>
      <c r="V308" s="1401">
        <f t="shared" si="42"/>
        <v>0.57051961823966069</v>
      </c>
      <c r="W308" s="1280" t="s">
        <v>256</v>
      </c>
      <c r="X308" s="1284">
        <f t="shared" si="47"/>
        <v>0</v>
      </c>
      <c r="Y308" s="1284" t="str">
        <f t="shared" si="48"/>
        <v>0.3</v>
      </c>
      <c r="Z308" s="1358" t="s">
        <v>2122</v>
      </c>
    </row>
    <row r="309" spans="1:26">
      <c r="A309" s="1280" t="s">
        <v>3817</v>
      </c>
      <c r="B309" s="1283">
        <v>548</v>
      </c>
      <c r="C309" s="1399" t="s">
        <v>1525</v>
      </c>
      <c r="D309" s="1358" t="s">
        <v>1524</v>
      </c>
      <c r="E309" s="1358" t="s">
        <v>1523</v>
      </c>
      <c r="F309" s="1359">
        <v>8.5</v>
      </c>
      <c r="G309" s="1359">
        <v>8.4999998760000004</v>
      </c>
      <c r="H309" s="1359">
        <f t="shared" si="43"/>
        <v>54.86</v>
      </c>
      <c r="I309" s="1359">
        <f t="shared" si="44"/>
        <v>0.15493984688297485</v>
      </c>
      <c r="J309" s="1334">
        <v>42695</v>
      </c>
      <c r="K309" s="1280" t="s">
        <v>151</v>
      </c>
      <c r="L309" s="1360">
        <v>27.43</v>
      </c>
      <c r="M309" s="1360">
        <v>17.55</v>
      </c>
      <c r="N309" s="1346">
        <f t="shared" si="45"/>
        <v>0.63981042654028442</v>
      </c>
      <c r="O309" s="1360">
        <v>27.6</v>
      </c>
      <c r="P309" s="1332">
        <f t="shared" si="46"/>
        <v>1.0061975938753192</v>
      </c>
      <c r="Q309" s="1403">
        <v>6</v>
      </c>
      <c r="R309" s="1404">
        <v>2</v>
      </c>
      <c r="S309" s="1400" t="s">
        <v>3842</v>
      </c>
      <c r="T309" s="1334">
        <v>43075</v>
      </c>
      <c r="U309" s="1284">
        <v>18.79</v>
      </c>
      <c r="V309" s="1401">
        <f t="shared" si="42"/>
        <v>0.68340579710144922</v>
      </c>
      <c r="W309" s="1280" t="s">
        <v>3843</v>
      </c>
      <c r="X309" s="1284">
        <f t="shared" si="47"/>
        <v>0</v>
      </c>
      <c r="Y309" s="1284" t="str">
        <f t="shared" si="48"/>
        <v>0.72</v>
      </c>
      <c r="Z309" s="1358" t="s">
        <v>2116</v>
      </c>
    </row>
    <row r="310" spans="1:26">
      <c r="A310" s="1280" t="s">
        <v>3817</v>
      </c>
      <c r="B310" s="1283">
        <v>550</v>
      </c>
      <c r="C310" s="1399" t="s">
        <v>1505</v>
      </c>
      <c r="D310" s="1358" t="s">
        <v>1504</v>
      </c>
      <c r="E310" s="1358" t="s">
        <v>1503</v>
      </c>
      <c r="F310" s="1359">
        <v>6</v>
      </c>
      <c r="G310" s="1359">
        <v>5.9999999019999999</v>
      </c>
      <c r="H310" s="1359">
        <f t="shared" si="43"/>
        <v>66.508288100000001</v>
      </c>
      <c r="I310" s="1359">
        <f t="shared" si="44"/>
        <v>9.0214320220941002E-2</v>
      </c>
      <c r="J310" s="1334">
        <v>42697</v>
      </c>
      <c r="K310" s="1280" t="s">
        <v>153</v>
      </c>
      <c r="L310" s="1360">
        <v>17.02</v>
      </c>
      <c r="M310" s="1360">
        <v>12.16</v>
      </c>
      <c r="N310" s="1346">
        <f t="shared" si="45"/>
        <v>0.71445358401880144</v>
      </c>
      <c r="O310" s="1360">
        <v>17.350000000000001</v>
      </c>
      <c r="P310" s="1332">
        <f t="shared" si="46"/>
        <v>1.0193889541715631</v>
      </c>
      <c r="Q310" s="1403">
        <v>7</v>
      </c>
      <c r="R310" s="1404">
        <v>3.9076550000000001</v>
      </c>
      <c r="S310" s="1400" t="s">
        <v>3844</v>
      </c>
      <c r="T310" s="1334">
        <v>43076</v>
      </c>
      <c r="U310" s="1284">
        <v>16.12</v>
      </c>
      <c r="V310" s="1401">
        <f t="shared" si="42"/>
        <v>0.94063400576368872</v>
      </c>
      <c r="W310" s="1280" t="s">
        <v>3845</v>
      </c>
      <c r="X310" s="1284">
        <f t="shared" si="47"/>
        <v>0</v>
      </c>
      <c r="Y310" s="1284" t="str">
        <f t="shared" si="48"/>
        <v>2.0</v>
      </c>
      <c r="Z310" s="1358" t="s">
        <v>2223</v>
      </c>
    </row>
    <row r="311" spans="1:26">
      <c r="A311" s="1280" t="s">
        <v>3817</v>
      </c>
      <c r="B311" s="1283">
        <v>551</v>
      </c>
      <c r="C311" s="1399" t="s">
        <v>1425</v>
      </c>
      <c r="D311" s="1358" t="s">
        <v>1424</v>
      </c>
      <c r="E311" s="1358" t="s">
        <v>1423</v>
      </c>
      <c r="F311" s="1359">
        <v>3.9644819999999998</v>
      </c>
      <c r="G311" s="1359">
        <v>3.9644818245</v>
      </c>
      <c r="H311" s="1359">
        <f t="shared" si="43"/>
        <v>171.73579999999998</v>
      </c>
      <c r="I311" s="1359">
        <f t="shared" si="44"/>
        <v>2.3084773238893696E-2</v>
      </c>
      <c r="J311" s="1334">
        <v>42703</v>
      </c>
      <c r="K311" s="1280" t="s">
        <v>151</v>
      </c>
      <c r="L311" s="1360">
        <v>27.97</v>
      </c>
      <c r="M311" s="1360">
        <v>25.56</v>
      </c>
      <c r="N311" s="1346">
        <f t="shared" si="45"/>
        <v>0.91383625312835182</v>
      </c>
      <c r="O311" s="1360">
        <v>27.15</v>
      </c>
      <c r="P311" s="1332">
        <f t="shared" si="46"/>
        <v>0.97068287450840185</v>
      </c>
      <c r="Q311" s="1403">
        <v>5</v>
      </c>
      <c r="R311" s="1404">
        <v>6.14</v>
      </c>
      <c r="S311" s="1400" t="s">
        <v>3846</v>
      </c>
      <c r="T311" s="1334">
        <v>43076</v>
      </c>
      <c r="U311" s="1284">
        <v>17.84</v>
      </c>
      <c r="V311" s="1401">
        <f t="shared" si="42"/>
        <v>0.67366482504604053</v>
      </c>
      <c r="W311" s="1280" t="s">
        <v>3847</v>
      </c>
      <c r="X311" s="1284">
        <f t="shared" si="47"/>
        <v>0</v>
      </c>
      <c r="Y311" s="1284" t="str">
        <f t="shared" si="48"/>
        <v>4.5</v>
      </c>
      <c r="Z311" s="1358" t="s">
        <v>2259</v>
      </c>
    </row>
    <row r="312" spans="1:26">
      <c r="A312" s="1280" t="s">
        <v>3817</v>
      </c>
      <c r="B312" s="1283">
        <v>552</v>
      </c>
      <c r="C312" s="1399" t="s">
        <v>1418</v>
      </c>
      <c r="D312" s="1358" t="s">
        <v>1417</v>
      </c>
      <c r="E312" s="1358" t="s">
        <v>1416</v>
      </c>
      <c r="F312" s="1359">
        <v>2.0299999999999998</v>
      </c>
      <c r="G312" s="1359">
        <v>2.0299998608999998</v>
      </c>
      <c r="H312" s="1359">
        <f t="shared" si="43"/>
        <v>88.014261379999994</v>
      </c>
      <c r="I312" s="1359">
        <f t="shared" si="44"/>
        <v>2.3064443968182739E-2</v>
      </c>
      <c r="J312" s="1334">
        <v>42684</v>
      </c>
      <c r="K312" s="1280" t="s">
        <v>1306</v>
      </c>
      <c r="L312" s="1360">
        <v>15.23</v>
      </c>
      <c r="M312" s="1360">
        <v>14.18</v>
      </c>
      <c r="N312" s="1346">
        <f t="shared" si="45"/>
        <v>0.93105712409717656</v>
      </c>
      <c r="O312" s="1360">
        <v>15.63</v>
      </c>
      <c r="P312" s="1332">
        <f t="shared" si="46"/>
        <v>1.0262639527248851</v>
      </c>
      <c r="Q312" s="1403">
        <v>2</v>
      </c>
      <c r="R312" s="1346">
        <v>5.7790059999999999</v>
      </c>
      <c r="S312" s="1400" t="s">
        <v>3848</v>
      </c>
      <c r="T312" s="1334">
        <v>42712</v>
      </c>
      <c r="U312" s="1284">
        <v>15.64</v>
      </c>
      <c r="V312" s="1401">
        <f t="shared" si="42"/>
        <v>1.0006397952655151</v>
      </c>
      <c r="W312" s="1280"/>
      <c r="X312" s="1284">
        <f t="shared" si="47"/>
        <v>0</v>
      </c>
      <c r="Y312" s="1284">
        <f t="shared" si="48"/>
        <v>0</v>
      </c>
      <c r="Z312" s="1358" t="s">
        <v>2160</v>
      </c>
    </row>
    <row r="313" spans="1:26">
      <c r="A313" s="1280" t="s">
        <v>3817</v>
      </c>
      <c r="B313" s="1283">
        <v>553</v>
      </c>
      <c r="C313" s="1399" t="s">
        <v>3849</v>
      </c>
      <c r="D313" s="1358" t="s">
        <v>1692</v>
      </c>
      <c r="E313" s="1358" t="s">
        <v>1691</v>
      </c>
      <c r="F313" s="1359">
        <v>16.417436073899999</v>
      </c>
      <c r="G313" s="1359">
        <v>16.4174358908</v>
      </c>
      <c r="H313" s="1359">
        <f t="shared" si="43"/>
        <v>110.33327701</v>
      </c>
      <c r="I313" s="1359">
        <f t="shared" si="44"/>
        <v>0.1487985902241625</v>
      </c>
      <c r="J313" s="1334">
        <v>42695</v>
      </c>
      <c r="K313" s="1280" t="s">
        <v>151</v>
      </c>
      <c r="L313" s="1360">
        <v>17.93</v>
      </c>
      <c r="M313" s="1360">
        <v>11.99</v>
      </c>
      <c r="N313" s="1346">
        <f t="shared" si="45"/>
        <v>0.66871165644171782</v>
      </c>
      <c r="O313" s="1360">
        <v>13.58</v>
      </c>
      <c r="P313" s="1332">
        <f t="shared" si="46"/>
        <v>0.75738984941438936</v>
      </c>
      <c r="Q313" s="1403">
        <v>8</v>
      </c>
      <c r="R313" s="1404">
        <v>6.1535570000000002</v>
      </c>
      <c r="S313" s="1400" t="s">
        <v>3850</v>
      </c>
      <c r="T313" s="1334">
        <v>43076</v>
      </c>
      <c r="U313" s="1284">
        <v>13.61</v>
      </c>
      <c r="V313" s="1401">
        <f t="shared" si="42"/>
        <v>1.0022091310751104</v>
      </c>
      <c r="W313" s="1280"/>
      <c r="X313" s="1284">
        <f t="shared" si="47"/>
        <v>0</v>
      </c>
      <c r="Y313" s="1284">
        <f t="shared" si="48"/>
        <v>0</v>
      </c>
      <c r="Z313" s="1358" t="s">
        <v>3672</v>
      </c>
    </row>
    <row r="314" spans="1:26">
      <c r="A314" s="1280" t="s">
        <v>3817</v>
      </c>
      <c r="B314" s="1283">
        <v>555</v>
      </c>
      <c r="C314" s="1399" t="s">
        <v>1686</v>
      </c>
      <c r="D314" s="1358" t="s">
        <v>1685</v>
      </c>
      <c r="E314" s="1358" t="s">
        <v>1684</v>
      </c>
      <c r="F314" s="1359">
        <v>25</v>
      </c>
      <c r="G314" s="1359">
        <v>12.499999814400001</v>
      </c>
      <c r="H314" s="1359">
        <f t="shared" si="43"/>
        <v>116.45833225</v>
      </c>
      <c r="I314" s="1359">
        <f t="shared" si="44"/>
        <v>0.21466905387527563</v>
      </c>
      <c r="J314" s="1334">
        <v>42692</v>
      </c>
      <c r="K314" s="1280" t="s">
        <v>204</v>
      </c>
      <c r="L314" s="1360">
        <v>14.95</v>
      </c>
      <c r="M314" s="1360">
        <v>14.72</v>
      </c>
      <c r="N314" s="1346">
        <f t="shared" si="45"/>
        <v>0.98461538461538467</v>
      </c>
      <c r="O314" s="1360">
        <v>14.72</v>
      </c>
      <c r="P314" s="1332">
        <f t="shared" si="46"/>
        <v>0.98461538461538467</v>
      </c>
      <c r="Q314" s="1403">
        <v>3</v>
      </c>
      <c r="R314" s="1404">
        <v>7.7898550000000002</v>
      </c>
      <c r="S314" s="1400" t="s">
        <v>3851</v>
      </c>
      <c r="T314" s="1334">
        <v>43080</v>
      </c>
      <c r="U314" s="1284">
        <v>16.36</v>
      </c>
      <c r="V314" s="1401">
        <f t="shared" si="42"/>
        <v>1.1182065217391304</v>
      </c>
      <c r="W314" s="1280" t="s">
        <v>3852</v>
      </c>
      <c r="X314" s="1284">
        <f t="shared" si="47"/>
        <v>0</v>
      </c>
      <c r="Y314" s="1284" t="str">
        <f t="shared" si="48"/>
        <v>1.0</v>
      </c>
      <c r="Z314" s="1358" t="s">
        <v>2093</v>
      </c>
    </row>
    <row r="315" spans="1:26">
      <c r="A315" s="1280" t="s">
        <v>3817</v>
      </c>
      <c r="B315" s="1283">
        <v>559</v>
      </c>
      <c r="C315" s="1399" t="s">
        <v>1680</v>
      </c>
      <c r="D315" s="1358" t="s">
        <v>1679</v>
      </c>
      <c r="E315" s="1358" t="s">
        <v>1678</v>
      </c>
      <c r="F315" s="1359">
        <v>4.05</v>
      </c>
      <c r="G315" s="1359">
        <v>3.25</v>
      </c>
      <c r="H315" s="1359">
        <f t="shared" si="43"/>
        <v>186.09963595000002</v>
      </c>
      <c r="I315" s="1359">
        <f t="shared" si="44"/>
        <v>2.1762535855191712E-2</v>
      </c>
      <c r="J315" s="1334">
        <v>42692</v>
      </c>
      <c r="K315" s="1280" t="s">
        <v>1306</v>
      </c>
      <c r="L315" s="1360">
        <v>23.89</v>
      </c>
      <c r="M315" s="1360">
        <v>21.26</v>
      </c>
      <c r="N315" s="1346">
        <f t="shared" si="45"/>
        <v>0.88991209711176233</v>
      </c>
      <c r="O315" s="1360">
        <v>25</v>
      </c>
      <c r="P315" s="1332">
        <f t="shared" si="46"/>
        <v>1.0464629552113855</v>
      </c>
      <c r="Q315" s="1403">
        <v>2</v>
      </c>
      <c r="R315" s="1404">
        <v>7.7898550000000002</v>
      </c>
      <c r="S315" s="1400" t="s">
        <v>3853</v>
      </c>
      <c r="T315" s="1334">
        <v>42717</v>
      </c>
      <c r="U315" s="1284">
        <v>26.36</v>
      </c>
      <c r="V315" s="1401">
        <f t="shared" si="42"/>
        <v>1.0544</v>
      </c>
      <c r="W315" s="1280"/>
      <c r="X315" s="1284">
        <f t="shared" si="47"/>
        <v>0</v>
      </c>
      <c r="Y315" s="1284">
        <f t="shared" si="48"/>
        <v>0</v>
      </c>
      <c r="Z315" s="1358" t="s">
        <v>2411</v>
      </c>
    </row>
    <row r="316" spans="1:26">
      <c r="A316" s="1280" t="s">
        <v>3817</v>
      </c>
      <c r="B316" s="1283">
        <v>560</v>
      </c>
      <c r="C316" s="1399" t="s">
        <v>1674</v>
      </c>
      <c r="D316" s="1358" t="s">
        <v>1673</v>
      </c>
      <c r="E316" s="1358" t="s">
        <v>1672</v>
      </c>
      <c r="F316" s="1359">
        <v>8</v>
      </c>
      <c r="G316" s="1359">
        <v>7.9999997699999996</v>
      </c>
      <c r="H316" s="1359">
        <f t="shared" si="43"/>
        <v>90.941093478400006</v>
      </c>
      <c r="I316" s="1359">
        <f t="shared" si="44"/>
        <v>8.7969032414374149E-2</v>
      </c>
      <c r="J316" s="1334">
        <v>42696</v>
      </c>
      <c r="K316" s="1280" t="s">
        <v>1306</v>
      </c>
      <c r="L316" s="1360">
        <v>40.96</v>
      </c>
      <c r="M316" s="1360">
        <v>35.97</v>
      </c>
      <c r="N316" s="1346">
        <f t="shared" si="45"/>
        <v>0.878173828125</v>
      </c>
      <c r="O316" s="1360">
        <v>37</v>
      </c>
      <c r="P316" s="1332">
        <f t="shared" si="46"/>
        <v>0.9033203125</v>
      </c>
      <c r="Q316" s="1403">
        <v>5</v>
      </c>
      <c r="R316" s="1346">
        <v>2.22024154</v>
      </c>
      <c r="S316" s="1400" t="s">
        <v>3854</v>
      </c>
      <c r="T316" s="1334">
        <v>43088</v>
      </c>
      <c r="U316" s="1284">
        <v>11.8</v>
      </c>
      <c r="V316" s="1401">
        <f t="shared" si="42"/>
        <v>0.64054054054054066</v>
      </c>
      <c r="W316" s="1280" t="s">
        <v>3855</v>
      </c>
      <c r="X316" s="1284" t="str">
        <f t="shared" si="47"/>
        <v>10</v>
      </c>
      <c r="Y316" s="1284" t="str">
        <f t="shared" si="48"/>
        <v>1.0</v>
      </c>
      <c r="Z316" s="1358" t="s">
        <v>2411</v>
      </c>
    </row>
    <row r="317" spans="1:26">
      <c r="A317" s="1280" t="s">
        <v>3817</v>
      </c>
      <c r="B317" s="1283">
        <v>564</v>
      </c>
      <c r="C317" s="1399" t="s">
        <v>1664</v>
      </c>
      <c r="D317" s="1358" t="s">
        <v>1663</v>
      </c>
      <c r="E317" s="1358" t="s">
        <v>1662</v>
      </c>
      <c r="F317" s="1359">
        <v>19.5</v>
      </c>
      <c r="G317" s="1359">
        <v>19.499999890800002</v>
      </c>
      <c r="H317" s="1359">
        <f t="shared" si="43"/>
        <v>205.33609728000002</v>
      </c>
      <c r="I317" s="1359">
        <f t="shared" si="44"/>
        <v>9.496625414775195E-2</v>
      </c>
      <c r="J317" s="1334">
        <v>42709</v>
      </c>
      <c r="K317" s="1280" t="s">
        <v>191</v>
      </c>
      <c r="L317" s="1360">
        <v>17.28</v>
      </c>
      <c r="M317" s="1360">
        <v>14.21</v>
      </c>
      <c r="N317" s="1346">
        <f t="shared" si="45"/>
        <v>0.82233796296296291</v>
      </c>
      <c r="O317" s="1360">
        <v>17.16</v>
      </c>
      <c r="P317" s="1332">
        <f t="shared" si="46"/>
        <v>0.99305555555555547</v>
      </c>
      <c r="Q317" s="1403">
        <v>8</v>
      </c>
      <c r="R317" s="1404">
        <v>11.882876</v>
      </c>
      <c r="S317" s="1400" t="s">
        <v>3856</v>
      </c>
      <c r="T317" s="1334">
        <v>43087</v>
      </c>
      <c r="U317" s="1284">
        <v>14.43</v>
      </c>
      <c r="V317" s="1401">
        <f t="shared" si="42"/>
        <v>0.8464452214452215</v>
      </c>
      <c r="W317" s="1280" t="s">
        <v>250</v>
      </c>
      <c r="X317" s="1284">
        <f t="shared" si="47"/>
        <v>0</v>
      </c>
      <c r="Y317" s="1284" t="str">
        <f t="shared" si="48"/>
        <v>0.95</v>
      </c>
      <c r="Z317" s="1358" t="s">
        <v>2166</v>
      </c>
    </row>
    <row r="318" spans="1:26">
      <c r="A318" s="1280" t="s">
        <v>3817</v>
      </c>
      <c r="B318" s="1283">
        <v>565</v>
      </c>
      <c r="C318" s="1399" t="s">
        <v>1642</v>
      </c>
      <c r="D318" s="1358" t="s">
        <v>1641</v>
      </c>
      <c r="E318" s="1358" t="s">
        <v>1640</v>
      </c>
      <c r="F318" s="1359">
        <v>13</v>
      </c>
      <c r="G318" s="1359">
        <v>7.7149799999999997</v>
      </c>
      <c r="H318" s="1359">
        <f t="shared" si="43"/>
        <v>205.00480000000002</v>
      </c>
      <c r="I318" s="1359">
        <f t="shared" si="44"/>
        <v>6.3413149350649345E-2</v>
      </c>
      <c r="J318" s="1334">
        <v>42698</v>
      </c>
      <c r="K318" s="1280" t="s">
        <v>151</v>
      </c>
      <c r="L318" s="1360">
        <v>22.88</v>
      </c>
      <c r="M318" s="1360">
        <v>21.98</v>
      </c>
      <c r="N318" s="1346">
        <f t="shared" si="45"/>
        <v>0.96066433566433573</v>
      </c>
      <c r="O318" s="1360">
        <v>21.98</v>
      </c>
      <c r="P318" s="1332">
        <f t="shared" si="46"/>
        <v>0.96066433566433573</v>
      </c>
      <c r="Q318" s="1403">
        <v>5</v>
      </c>
      <c r="R318" s="1404">
        <v>8.9600000000000009</v>
      </c>
      <c r="S318" s="1400" t="s">
        <v>3857</v>
      </c>
      <c r="T318" s="1334">
        <v>43087</v>
      </c>
      <c r="U318" s="1284">
        <v>13.19</v>
      </c>
      <c r="V318" s="1401">
        <f t="shared" si="42"/>
        <v>0.600090991810737</v>
      </c>
      <c r="W318" s="1280"/>
      <c r="X318" s="1284">
        <f t="shared" si="47"/>
        <v>0</v>
      </c>
      <c r="Y318" s="1284">
        <f t="shared" si="48"/>
        <v>0</v>
      </c>
      <c r="Z318" s="1358" t="s">
        <v>3858</v>
      </c>
    </row>
    <row r="319" spans="1:26">
      <c r="A319" s="1280" t="s">
        <v>3817</v>
      </c>
      <c r="B319" s="1283">
        <v>566</v>
      </c>
      <c r="C319" s="1399" t="s">
        <v>1634</v>
      </c>
      <c r="D319" s="1358" t="s">
        <v>1633</v>
      </c>
      <c r="E319" s="1358" t="s">
        <v>1632</v>
      </c>
      <c r="F319" s="1359">
        <v>15.336773000000001</v>
      </c>
      <c r="G319" s="1359">
        <v>15.33677295</v>
      </c>
      <c r="H319" s="1359">
        <f t="shared" si="43"/>
        <v>82.374963900000012</v>
      </c>
      <c r="I319" s="1359">
        <f t="shared" si="44"/>
        <v>0.18618245488542179</v>
      </c>
      <c r="J319" s="1334">
        <v>42710</v>
      </c>
      <c r="K319" s="1280" t="s">
        <v>1546</v>
      </c>
      <c r="L319" s="1360">
        <v>9.3000000000000007</v>
      </c>
      <c r="M319" s="1360">
        <v>3.96</v>
      </c>
      <c r="N319" s="1346">
        <f t="shared" si="45"/>
        <v>0.4258064516129032</v>
      </c>
      <c r="O319" s="1360">
        <v>7.5</v>
      </c>
      <c r="P319" s="1332">
        <f t="shared" si="46"/>
        <v>0.80645161290322576</v>
      </c>
      <c r="Q319" s="1403">
        <v>8</v>
      </c>
      <c r="R319" s="1404">
        <v>8.8575230000000005</v>
      </c>
      <c r="S319" s="1400" t="s">
        <v>3859</v>
      </c>
      <c r="T319" s="1334">
        <v>43087</v>
      </c>
      <c r="U319" s="1284">
        <v>6.62</v>
      </c>
      <c r="V319" s="1401">
        <f t="shared" si="42"/>
        <v>0.88933333333333331</v>
      </c>
      <c r="W319" s="1280" t="s">
        <v>267</v>
      </c>
      <c r="X319" s="1284">
        <f t="shared" si="47"/>
        <v>0</v>
      </c>
      <c r="Y319" s="1284" t="str">
        <f t="shared" si="48"/>
        <v>0.5</v>
      </c>
      <c r="Z319" s="1358" t="s">
        <v>2362</v>
      </c>
    </row>
    <row r="320" spans="1:26">
      <c r="A320" s="1280" t="s">
        <v>3817</v>
      </c>
      <c r="B320" s="1283">
        <v>568</v>
      </c>
      <c r="C320" s="1399" t="s">
        <v>1622</v>
      </c>
      <c r="D320" s="1358" t="s">
        <v>1621</v>
      </c>
      <c r="E320" s="1358" t="s">
        <v>1620</v>
      </c>
      <c r="F320" s="1359">
        <v>10</v>
      </c>
      <c r="G320" s="1359">
        <v>9.9999999840000005</v>
      </c>
      <c r="H320" s="1359">
        <f t="shared" si="43"/>
        <v>176.45744912000001</v>
      </c>
      <c r="I320" s="1359">
        <f t="shared" si="44"/>
        <v>5.6670886096735387E-2</v>
      </c>
      <c r="J320" s="1334">
        <v>42705</v>
      </c>
      <c r="K320" s="1280" t="s">
        <v>151</v>
      </c>
      <c r="L320" s="1360">
        <v>4.3600000000000003</v>
      </c>
      <c r="M320" s="1360">
        <v>3.98</v>
      </c>
      <c r="N320" s="1346">
        <f t="shared" si="45"/>
        <v>0.91284403669724767</v>
      </c>
      <c r="O320" s="1360">
        <v>4.16</v>
      </c>
      <c r="P320" s="1332">
        <f t="shared" si="46"/>
        <v>0.95412844036697242</v>
      </c>
      <c r="Q320" s="1403">
        <v>5</v>
      </c>
      <c r="R320" s="1404">
        <v>40.471891999999997</v>
      </c>
      <c r="S320" s="1400" t="s">
        <v>3860</v>
      </c>
      <c r="T320" s="1334">
        <v>43087</v>
      </c>
      <c r="U320" s="1284">
        <v>4.6399999999999997</v>
      </c>
      <c r="V320" s="1401">
        <f t="shared" si="42"/>
        <v>1.1394230769230766</v>
      </c>
      <c r="W320" s="1280" t="s">
        <v>3852</v>
      </c>
      <c r="X320" s="1284">
        <f t="shared" si="47"/>
        <v>0</v>
      </c>
      <c r="Y320" s="1284" t="str">
        <f t="shared" si="48"/>
        <v>1.0</v>
      </c>
      <c r="Z320" s="1358" t="s">
        <v>2595</v>
      </c>
    </row>
    <row r="321" spans="1:26">
      <c r="A321" s="1280" t="s">
        <v>3817</v>
      </c>
      <c r="B321" s="1283">
        <v>572</v>
      </c>
      <c r="C321" s="1399" t="s">
        <v>1613</v>
      </c>
      <c r="D321" s="1358" t="s">
        <v>1612</v>
      </c>
      <c r="E321" s="1358" t="s">
        <v>1611</v>
      </c>
      <c r="F321" s="1359">
        <v>8.6204000000000001</v>
      </c>
      <c r="G321" s="1359">
        <v>8.6203999907999993</v>
      </c>
      <c r="H321" s="1359">
        <f t="shared" si="43"/>
        <v>98.483077800000018</v>
      </c>
      <c r="I321" s="1359">
        <f t="shared" si="44"/>
        <v>8.7531789141545274E-2</v>
      </c>
      <c r="J321" s="1334">
        <v>42712</v>
      </c>
      <c r="K321" s="1280" t="s">
        <v>151</v>
      </c>
      <c r="L321" s="1360">
        <v>35.450000000000003</v>
      </c>
      <c r="M321" s="1360">
        <v>26.56</v>
      </c>
      <c r="N321" s="1346">
        <f t="shared" si="45"/>
        <v>0.74922425952045124</v>
      </c>
      <c r="O321" s="1360">
        <v>35.19</v>
      </c>
      <c r="P321" s="1332">
        <f t="shared" si="46"/>
        <v>0.99266572637517614</v>
      </c>
      <c r="Q321" s="1403">
        <v>7</v>
      </c>
      <c r="R321" s="1404">
        <v>2.7780840000000002</v>
      </c>
      <c r="S321" s="1400" t="s">
        <v>3861</v>
      </c>
      <c r="T321" s="1334">
        <v>43090</v>
      </c>
      <c r="U321" s="1284">
        <v>39.21</v>
      </c>
      <c r="V321" s="1401">
        <f t="shared" si="42"/>
        <v>1.1142369991474852</v>
      </c>
      <c r="W321" s="1280"/>
      <c r="X321" s="1284">
        <f t="shared" si="47"/>
        <v>0</v>
      </c>
      <c r="Y321" s="1284">
        <f t="shared" si="48"/>
        <v>0</v>
      </c>
      <c r="Z321" s="1358" t="s">
        <v>2086</v>
      </c>
    </row>
    <row r="322" spans="1:26">
      <c r="A322" s="1280" t="s">
        <v>3817</v>
      </c>
      <c r="B322" s="1283">
        <v>573</v>
      </c>
      <c r="C322" s="1399" t="s">
        <v>1600</v>
      </c>
      <c r="D322" s="1358" t="s">
        <v>1599</v>
      </c>
      <c r="E322" s="1358" t="s">
        <v>1598</v>
      </c>
      <c r="F322" s="1359">
        <v>6.5</v>
      </c>
      <c r="G322" s="1359">
        <v>6.4999999815000002</v>
      </c>
      <c r="H322" s="1359">
        <f t="shared" si="43"/>
        <v>68.715204</v>
      </c>
      <c r="I322" s="1359">
        <f t="shared" si="44"/>
        <v>9.4593330465845671E-2</v>
      </c>
      <c r="J322" s="1334">
        <v>42709</v>
      </c>
      <c r="K322" s="1280" t="s">
        <v>153</v>
      </c>
      <c r="L322" s="1360">
        <v>8.6</v>
      </c>
      <c r="M322" s="1360">
        <v>6.92</v>
      </c>
      <c r="N322" s="1346">
        <f t="shared" si="45"/>
        <v>0.8046511627906977</v>
      </c>
      <c r="O322" s="1360">
        <v>8.15</v>
      </c>
      <c r="P322" s="1332">
        <f t="shared" si="46"/>
        <v>0.94767441860465129</v>
      </c>
      <c r="Q322" s="1403">
        <v>8</v>
      </c>
      <c r="R322" s="1404">
        <v>7.9901400000000002</v>
      </c>
      <c r="S322" s="1400" t="s">
        <v>3862</v>
      </c>
      <c r="T322" s="1334">
        <v>43091</v>
      </c>
      <c r="U322" s="1284">
        <v>3.59</v>
      </c>
      <c r="V322" s="1401">
        <f t="shared" si="42"/>
        <v>0.8907975460122699</v>
      </c>
      <c r="W322" s="1280" t="s">
        <v>3863</v>
      </c>
      <c r="X322" s="1284">
        <v>10</v>
      </c>
      <c r="Y322" s="1284" t="str">
        <f t="shared" si="48"/>
        <v>0.8</v>
      </c>
      <c r="Z322" s="1358" t="s">
        <v>2104</v>
      </c>
    </row>
    <row r="323" spans="1:26">
      <c r="A323" s="1280" t="s">
        <v>3817</v>
      </c>
      <c r="B323" s="1283">
        <v>574</v>
      </c>
      <c r="C323" s="1399" t="s">
        <v>1789</v>
      </c>
      <c r="D323" s="1358" t="s">
        <v>1788</v>
      </c>
      <c r="E323" s="1358" t="s">
        <v>1787</v>
      </c>
      <c r="F323" s="1359">
        <v>18.315241</v>
      </c>
      <c r="G323" s="1359">
        <v>18.3152409552</v>
      </c>
      <c r="H323" s="1359">
        <f t="shared" si="43"/>
        <v>191.544501</v>
      </c>
      <c r="I323" s="1359">
        <f t="shared" si="44"/>
        <v>9.5618725175514174E-2</v>
      </c>
      <c r="J323" s="1334">
        <v>42716</v>
      </c>
      <c r="K323" s="1280" t="s">
        <v>151</v>
      </c>
      <c r="L323" s="1360">
        <v>35.79</v>
      </c>
      <c r="M323" s="1360">
        <v>19.16</v>
      </c>
      <c r="N323" s="1346">
        <f t="shared" si="45"/>
        <v>0.53534506845487573</v>
      </c>
      <c r="O323" s="1360">
        <v>31.86</v>
      </c>
      <c r="P323" s="1332">
        <f t="shared" si="46"/>
        <v>0.89019279128248119</v>
      </c>
      <c r="Q323" s="1403">
        <v>8</v>
      </c>
      <c r="R323" s="1404">
        <v>5.3518999999999997</v>
      </c>
      <c r="S323" s="1400" t="s">
        <v>3864</v>
      </c>
      <c r="T323" s="1334">
        <v>43090</v>
      </c>
      <c r="U323" s="1284">
        <v>82.17</v>
      </c>
      <c r="V323" s="1401">
        <f t="shared" si="42"/>
        <v>2.5790960451977401</v>
      </c>
      <c r="W323" s="1280"/>
      <c r="X323" s="1284">
        <f t="shared" si="47"/>
        <v>0</v>
      </c>
      <c r="Y323" s="1284">
        <f t="shared" si="48"/>
        <v>0</v>
      </c>
      <c r="Z323" s="1358" t="s">
        <v>2362</v>
      </c>
    </row>
    <row r="324" spans="1:26">
      <c r="A324" s="1280" t="s">
        <v>3817</v>
      </c>
      <c r="B324" s="1283">
        <v>577</v>
      </c>
      <c r="C324" s="1399" t="s">
        <v>1782</v>
      </c>
      <c r="D324" s="1358" t="s">
        <v>1781</v>
      </c>
      <c r="E324" s="1358" t="s">
        <v>1780</v>
      </c>
      <c r="F324" s="1359">
        <v>5.7119999999999997</v>
      </c>
      <c r="G324" s="1359">
        <v>5.7119999999999997</v>
      </c>
      <c r="H324" s="1359">
        <f t="shared" si="43"/>
        <v>104.95725150000001</v>
      </c>
      <c r="I324" s="1359">
        <f t="shared" si="44"/>
        <v>5.4422156814958128E-2</v>
      </c>
      <c r="J324" s="1334">
        <v>42711</v>
      </c>
      <c r="K324" s="1280" t="s">
        <v>151</v>
      </c>
      <c r="L324" s="1360">
        <v>4.33</v>
      </c>
      <c r="M324" s="1360">
        <v>4.08</v>
      </c>
      <c r="N324" s="1346">
        <f t="shared" si="45"/>
        <v>0.94226327944572752</v>
      </c>
      <c r="O324" s="1360">
        <v>4.08</v>
      </c>
      <c r="P324" s="1332">
        <f t="shared" si="46"/>
        <v>0.94226327944572752</v>
      </c>
      <c r="Q324" s="1403">
        <v>4</v>
      </c>
      <c r="R324" s="1404">
        <v>24.239550000000001</v>
      </c>
      <c r="S324" s="1400" t="s">
        <v>3865</v>
      </c>
      <c r="T324" s="1334">
        <v>43091</v>
      </c>
      <c r="U324" s="1284">
        <v>3.41</v>
      </c>
      <c r="V324" s="1401">
        <f t="shared" si="42"/>
        <v>0.83578431372549022</v>
      </c>
      <c r="W324" s="1280"/>
      <c r="X324" s="1284">
        <f t="shared" si="47"/>
        <v>0</v>
      </c>
      <c r="Y324" s="1284">
        <f t="shared" si="48"/>
        <v>0</v>
      </c>
      <c r="Z324" s="1358" t="s">
        <v>2072</v>
      </c>
    </row>
    <row r="325" spans="1:26">
      <c r="A325" s="1280" t="s">
        <v>3817</v>
      </c>
      <c r="B325" s="1283">
        <v>579</v>
      </c>
      <c r="C325" s="1399" t="s">
        <v>1778</v>
      </c>
      <c r="D325" s="1358" t="s">
        <v>1777</v>
      </c>
      <c r="E325" s="1358" t="s">
        <v>1776</v>
      </c>
      <c r="F325" s="1359">
        <v>9.9062830000000002</v>
      </c>
      <c r="G325" s="1359">
        <v>9.9062829029999993</v>
      </c>
      <c r="H325" s="1359">
        <f t="shared" si="43"/>
        <v>73.040636617699988</v>
      </c>
      <c r="I325" s="1359">
        <f t="shared" si="44"/>
        <v>0.13562700790588952</v>
      </c>
      <c r="J325" s="1334">
        <v>42702</v>
      </c>
      <c r="K325" s="1280" t="s">
        <v>151</v>
      </c>
      <c r="L325" s="1360">
        <v>35.47</v>
      </c>
      <c r="M325" s="1360">
        <v>27.28</v>
      </c>
      <c r="N325" s="1346">
        <f t="shared" si="45"/>
        <v>0.76910064843529746</v>
      </c>
      <c r="O325" s="1360">
        <v>34.1</v>
      </c>
      <c r="P325" s="1332">
        <f t="shared" si="46"/>
        <v>0.96137581054412191</v>
      </c>
      <c r="Q325" s="1403">
        <v>5</v>
      </c>
      <c r="R325" s="1346">
        <v>2.0592229099999999</v>
      </c>
      <c r="S325" s="1400" t="s">
        <v>3866</v>
      </c>
      <c r="T325" s="1334">
        <v>43094</v>
      </c>
      <c r="U325" s="1284">
        <v>37.79</v>
      </c>
      <c r="V325" s="1401">
        <f t="shared" si="42"/>
        <v>1.1111436950146627</v>
      </c>
      <c r="W325" s="1280" t="s">
        <v>3852</v>
      </c>
      <c r="X325" s="1284">
        <f t="shared" si="47"/>
        <v>0</v>
      </c>
      <c r="Y325" s="1284" t="str">
        <f t="shared" si="48"/>
        <v>1.0</v>
      </c>
      <c r="Z325" s="1358" t="s">
        <v>2411</v>
      </c>
    </row>
    <row r="326" spans="1:26">
      <c r="A326" s="1280" t="s">
        <v>3817</v>
      </c>
      <c r="B326" s="1350">
        <v>585</v>
      </c>
      <c r="C326" s="1405" t="s">
        <v>1771</v>
      </c>
      <c r="D326" s="1351" t="s">
        <v>1770</v>
      </c>
      <c r="E326" s="1351" t="s">
        <v>1769</v>
      </c>
      <c r="F326" s="1352">
        <v>17.413720000000001</v>
      </c>
      <c r="G326" s="1352">
        <v>17.413719921999999</v>
      </c>
      <c r="H326" s="1359">
        <f t="shared" si="43"/>
        <v>139.43999999999997</v>
      </c>
      <c r="I326" s="1359">
        <f t="shared" si="44"/>
        <v>0.12488324727481358</v>
      </c>
      <c r="J326" s="1356">
        <v>42690</v>
      </c>
      <c r="K326" s="1324" t="s">
        <v>151</v>
      </c>
      <c r="L326" s="1354">
        <v>12.45</v>
      </c>
      <c r="M326" s="1354">
        <v>9.3800000000000008</v>
      </c>
      <c r="N326" s="1346">
        <f t="shared" si="45"/>
        <v>0.75341365461847398</v>
      </c>
      <c r="O326" s="1354">
        <v>10.7</v>
      </c>
      <c r="P326" s="1332">
        <f t="shared" si="46"/>
        <v>0.85943775100401609</v>
      </c>
      <c r="Q326" s="1406">
        <v>8</v>
      </c>
      <c r="R326" s="1407">
        <v>11.2</v>
      </c>
      <c r="S326" s="1400" t="s">
        <v>3867</v>
      </c>
      <c r="T326" s="1356">
        <v>43123</v>
      </c>
      <c r="U326" s="946">
        <v>7.14</v>
      </c>
      <c r="V326" s="1408">
        <f t="shared" si="42"/>
        <v>0.67196261682242986</v>
      </c>
      <c r="W326" s="1324" t="s">
        <v>267</v>
      </c>
      <c r="X326" s="946">
        <f t="shared" si="47"/>
        <v>0</v>
      </c>
      <c r="Y326" s="946" t="str">
        <f t="shared" si="48"/>
        <v>0.5</v>
      </c>
      <c r="Z326" s="1358" t="s">
        <v>2192</v>
      </c>
    </row>
    <row r="327" spans="1:26">
      <c r="A327" s="1280" t="s">
        <v>3817</v>
      </c>
      <c r="B327" s="1350">
        <v>589</v>
      </c>
      <c r="C327" s="1405" t="s">
        <v>1767</v>
      </c>
      <c r="D327" s="1351" t="s">
        <v>1766</v>
      </c>
      <c r="E327" s="1351" t="s">
        <v>1765</v>
      </c>
      <c r="F327" s="1352">
        <v>1.7</v>
      </c>
      <c r="G327" s="1352">
        <v>1.6999998268000001</v>
      </c>
      <c r="H327" s="1359">
        <f t="shared" si="43"/>
        <v>116.99982580000001</v>
      </c>
      <c r="I327" s="1359">
        <f t="shared" si="44"/>
        <v>1.4529936163375038E-2</v>
      </c>
      <c r="J327" s="1356">
        <v>42695</v>
      </c>
      <c r="K327" s="1324" t="s">
        <v>3820</v>
      </c>
      <c r="L327" s="1354">
        <v>28.6</v>
      </c>
      <c r="M327" s="1354">
        <v>34.36</v>
      </c>
      <c r="N327" s="1346">
        <f t="shared" si="45"/>
        <v>1.2013986013986013</v>
      </c>
      <c r="O327" s="1354">
        <v>34.36</v>
      </c>
      <c r="P327" s="1332">
        <f t="shared" si="46"/>
        <v>1.2013986013986013</v>
      </c>
      <c r="Q327" s="1406">
        <v>1</v>
      </c>
      <c r="R327" s="1407">
        <v>4.090903</v>
      </c>
      <c r="S327" s="1400" t="s">
        <v>3868</v>
      </c>
      <c r="T327" s="1356">
        <v>43104</v>
      </c>
      <c r="U327" s="946">
        <v>25.08</v>
      </c>
      <c r="V327" s="1408">
        <f t="shared" si="42"/>
        <v>0.73355646100116412</v>
      </c>
      <c r="W327" s="1324" t="s">
        <v>3869</v>
      </c>
      <c r="X327" s="946">
        <f t="shared" si="47"/>
        <v>0</v>
      </c>
      <c r="Y327" s="946" t="str">
        <f t="shared" si="48"/>
        <v>1.25</v>
      </c>
      <c r="Z327" s="1358" t="s">
        <v>2436</v>
      </c>
    </row>
    <row r="328" spans="1:26">
      <c r="A328" s="1280" t="s">
        <v>3817</v>
      </c>
      <c r="B328" s="1283">
        <v>591</v>
      </c>
      <c r="C328" s="1399" t="s">
        <v>1750</v>
      </c>
      <c r="D328" s="1358" t="s">
        <v>1749</v>
      </c>
      <c r="E328" s="1358" t="s">
        <v>1748</v>
      </c>
      <c r="F328" s="1359">
        <v>7.08</v>
      </c>
      <c r="G328" s="1359">
        <v>7.0799999375000002</v>
      </c>
      <c r="H328" s="1359">
        <f t="shared" si="43"/>
        <v>107.7542735</v>
      </c>
      <c r="I328" s="1359">
        <f t="shared" si="44"/>
        <v>6.5705050667897641E-2</v>
      </c>
      <c r="J328" s="1334">
        <v>42703</v>
      </c>
      <c r="K328" s="1280" t="s">
        <v>3820</v>
      </c>
      <c r="L328" s="1360">
        <v>47.75</v>
      </c>
      <c r="M328" s="1360">
        <v>42.47</v>
      </c>
      <c r="N328" s="1346">
        <f t="shared" si="45"/>
        <v>0.88942408376963344</v>
      </c>
      <c r="O328" s="1360">
        <v>47.75</v>
      </c>
      <c r="P328" s="1332">
        <f t="shared" si="46"/>
        <v>1</v>
      </c>
      <c r="Q328" s="1403">
        <v>5</v>
      </c>
      <c r="R328" s="1404">
        <v>2.256634</v>
      </c>
      <c r="S328" s="1409" t="s">
        <v>1750</v>
      </c>
      <c r="T328" s="1334">
        <v>42731</v>
      </c>
      <c r="U328" s="1284">
        <v>44.3</v>
      </c>
      <c r="V328" s="1401">
        <f t="shared" si="42"/>
        <v>0.92774869109947633</v>
      </c>
      <c r="W328" s="1280"/>
      <c r="X328" s="1284">
        <f t="shared" si="47"/>
        <v>0</v>
      </c>
      <c r="Y328" s="1284">
        <f t="shared" si="48"/>
        <v>0</v>
      </c>
      <c r="Z328" s="1358" t="s">
        <v>2436</v>
      </c>
    </row>
    <row r="329" spans="1:26">
      <c r="A329" s="1280" t="s">
        <v>3817</v>
      </c>
      <c r="B329" s="1283">
        <v>592</v>
      </c>
      <c r="C329" s="1399" t="s">
        <v>1730</v>
      </c>
      <c r="D329" s="1358" t="s">
        <v>1729</v>
      </c>
      <c r="E329" s="1358" t="s">
        <v>1728</v>
      </c>
      <c r="F329" s="1359">
        <v>8.5</v>
      </c>
      <c r="G329" s="1359">
        <v>8.4999996899999992</v>
      </c>
      <c r="H329" s="1359">
        <f t="shared" si="43"/>
        <v>80.724306801000012</v>
      </c>
      <c r="I329" s="1359">
        <f t="shared" si="44"/>
        <v>0.10529666140031446</v>
      </c>
      <c r="J329" s="1334">
        <v>42712</v>
      </c>
      <c r="K329" s="1280" t="s">
        <v>3820</v>
      </c>
      <c r="L329" s="1360">
        <v>38.1</v>
      </c>
      <c r="M329" s="1360">
        <v>31.99</v>
      </c>
      <c r="N329" s="1346">
        <f t="shared" si="45"/>
        <v>0.83963254593175851</v>
      </c>
      <c r="O329" s="1360">
        <v>39</v>
      </c>
      <c r="P329" s="1332">
        <f t="shared" si="46"/>
        <v>1.0236220472440944</v>
      </c>
      <c r="Q329" s="1403">
        <v>3</v>
      </c>
      <c r="R329" s="1346">
        <v>2.1187482100000001</v>
      </c>
      <c r="S329" s="1400" t="s">
        <v>3870</v>
      </c>
      <c r="T329" s="1334">
        <v>42731</v>
      </c>
      <c r="U329" s="1284">
        <v>41.42</v>
      </c>
      <c r="V329" s="1401">
        <f t="shared" si="42"/>
        <v>1.0620512820512822</v>
      </c>
      <c r="W329" s="1280"/>
      <c r="X329" s="1284">
        <f t="shared" si="47"/>
        <v>0</v>
      </c>
      <c r="Y329" s="1284">
        <f t="shared" si="48"/>
        <v>0</v>
      </c>
      <c r="Z329" s="1358" t="s">
        <v>2160</v>
      </c>
    </row>
    <row r="330" spans="1:26">
      <c r="A330" s="1280" t="s">
        <v>3817</v>
      </c>
      <c r="B330" s="1283">
        <v>594</v>
      </c>
      <c r="C330" s="1399" t="s">
        <v>1725</v>
      </c>
      <c r="D330" s="1358" t="s">
        <v>1724</v>
      </c>
      <c r="E330" s="1358" t="s">
        <v>1723</v>
      </c>
      <c r="F330" s="1359">
        <v>1.95</v>
      </c>
      <c r="G330" s="1359">
        <v>1.9499999400000001</v>
      </c>
      <c r="H330" s="1359">
        <f t="shared" si="43"/>
        <v>104.28869584</v>
      </c>
      <c r="I330" s="1359">
        <f t="shared" si="44"/>
        <v>1.8698095553823929E-2</v>
      </c>
      <c r="J330" s="1334">
        <v>42711</v>
      </c>
      <c r="K330" s="1280" t="s">
        <v>151</v>
      </c>
      <c r="L330" s="1360">
        <v>25.34</v>
      </c>
      <c r="M330" s="1360">
        <v>16.12</v>
      </c>
      <c r="N330" s="1346">
        <f t="shared" si="45"/>
        <v>0.63614838200473567</v>
      </c>
      <c r="O330" s="1360">
        <v>25.2</v>
      </c>
      <c r="P330" s="1332">
        <f t="shared" si="46"/>
        <v>0.99447513812154698</v>
      </c>
      <c r="Q330" s="1403">
        <v>4</v>
      </c>
      <c r="R330" s="1404">
        <v>4.1155759999999999</v>
      </c>
      <c r="S330" s="1400" t="s">
        <v>3871</v>
      </c>
      <c r="T330" s="1334">
        <v>43097</v>
      </c>
      <c r="U330" s="1284">
        <v>18.39</v>
      </c>
      <c r="V330" s="1401">
        <f t="shared" si="42"/>
        <v>0.73333333333333339</v>
      </c>
      <c r="W330" s="1280" t="s">
        <v>3872</v>
      </c>
      <c r="X330" s="1284">
        <f t="shared" si="47"/>
        <v>0</v>
      </c>
      <c r="Y330" s="1284" t="str">
        <f t="shared" si="48"/>
        <v>0.9</v>
      </c>
      <c r="Z330" s="1358" t="s">
        <v>3672</v>
      </c>
    </row>
    <row r="331" spans="1:26">
      <c r="A331" s="1280" t="s">
        <v>3817</v>
      </c>
      <c r="B331" s="1283">
        <v>599</v>
      </c>
      <c r="C331" s="1399" t="s">
        <v>1713</v>
      </c>
      <c r="D331" s="1358" t="s">
        <v>1712</v>
      </c>
      <c r="E331" s="1358" t="s">
        <v>1711</v>
      </c>
      <c r="F331" s="1359">
        <v>3.8868999999999998</v>
      </c>
      <c r="G331" s="1359">
        <v>3.8868995879999999</v>
      </c>
      <c r="H331" s="1359">
        <f t="shared" si="43"/>
        <v>68.842119999999994</v>
      </c>
      <c r="I331" s="1359">
        <f t="shared" si="44"/>
        <v>5.6461073540442976E-2</v>
      </c>
      <c r="J331" s="1334">
        <v>42706</v>
      </c>
      <c r="K331" s="1280" t="s">
        <v>151</v>
      </c>
      <c r="L331" s="1360">
        <v>12.59</v>
      </c>
      <c r="M331" s="1360">
        <v>11.17</v>
      </c>
      <c r="N331" s="1346">
        <f t="shared" si="45"/>
        <v>0.88721207307386818</v>
      </c>
      <c r="O331" s="1360">
        <v>13.2</v>
      </c>
      <c r="P331" s="1332">
        <f t="shared" si="46"/>
        <v>1.0484511517077044</v>
      </c>
      <c r="Q331" s="1403">
        <v>5</v>
      </c>
      <c r="R331" s="1404">
        <v>5.468</v>
      </c>
      <c r="S331" s="1400" t="s">
        <v>3873</v>
      </c>
      <c r="T331" s="1334">
        <v>43097</v>
      </c>
      <c r="U331" s="1284">
        <v>4.63</v>
      </c>
      <c r="V331" s="1401">
        <f t="shared" si="42"/>
        <v>0.66825757575757561</v>
      </c>
      <c r="W331" s="1280" t="s">
        <v>3874</v>
      </c>
      <c r="X331" s="1284" t="str">
        <f t="shared" si="47"/>
        <v>9</v>
      </c>
      <c r="Y331" s="1284" t="str">
        <f t="shared" si="48"/>
        <v>0.24</v>
      </c>
      <c r="Z331" s="1358" t="s">
        <v>3746</v>
      </c>
    </row>
    <row r="332" spans="1:26">
      <c r="A332" s="1280" t="s">
        <v>3817</v>
      </c>
      <c r="B332" s="1283">
        <v>600</v>
      </c>
      <c r="C332" s="1399" t="s">
        <v>1702</v>
      </c>
      <c r="D332" s="1358" t="s">
        <v>1701</v>
      </c>
      <c r="E332" s="1358" t="s">
        <v>1700</v>
      </c>
      <c r="F332" s="1359">
        <v>30</v>
      </c>
      <c r="G332" s="1359">
        <v>29.999999974000001</v>
      </c>
      <c r="H332" s="1359">
        <f t="shared" si="43"/>
        <v>225.03822110000002</v>
      </c>
      <c r="I332" s="1359">
        <f t="shared" si="44"/>
        <v>0.13331068763945184</v>
      </c>
      <c r="J332" s="1334">
        <v>42724</v>
      </c>
      <c r="K332" s="1280" t="s">
        <v>151</v>
      </c>
      <c r="L332" s="1360">
        <v>6.65</v>
      </c>
      <c r="M332" s="1360">
        <v>5.4</v>
      </c>
      <c r="N332" s="1346">
        <f t="shared" si="45"/>
        <v>0.81203007518796988</v>
      </c>
      <c r="O332" s="1360">
        <v>6.02</v>
      </c>
      <c r="P332" s="1332">
        <f t="shared" si="46"/>
        <v>0.90526315789473677</v>
      </c>
      <c r="Q332" s="1403">
        <v>5</v>
      </c>
      <c r="R332" s="1404">
        <v>33.840333999999999</v>
      </c>
      <c r="S332" s="1400" t="s">
        <v>3875</v>
      </c>
      <c r="T332" s="1334">
        <v>43098</v>
      </c>
      <c r="U332" s="1284">
        <v>12.11</v>
      </c>
      <c r="V332" s="1401">
        <f t="shared" si="42"/>
        <v>2.0249169435215948</v>
      </c>
      <c r="W332" s="1280" t="s">
        <v>271</v>
      </c>
      <c r="X332" s="1284">
        <f t="shared" si="47"/>
        <v>0</v>
      </c>
      <c r="Y332" s="1284" t="str">
        <f t="shared" si="48"/>
        <v>0.8</v>
      </c>
      <c r="Z332" s="1358" t="s">
        <v>2454</v>
      </c>
    </row>
    <row r="333" spans="1:26">
      <c r="A333" s="1280" t="s">
        <v>3817</v>
      </c>
      <c r="B333" s="1283">
        <v>602</v>
      </c>
      <c r="C333" s="1399" t="s">
        <v>1896</v>
      </c>
      <c r="D333" s="1358" t="s">
        <v>1895</v>
      </c>
      <c r="E333" s="1358" t="s">
        <v>1894</v>
      </c>
      <c r="F333" s="1359">
        <v>16.924662000000001</v>
      </c>
      <c r="G333" s="1359">
        <v>16.924661913600001</v>
      </c>
      <c r="H333" s="1359">
        <f t="shared" si="43"/>
        <v>69.460127039999989</v>
      </c>
      <c r="I333" s="1359">
        <f t="shared" si="44"/>
        <v>0.24366010719003725</v>
      </c>
      <c r="J333" s="1334">
        <v>42720</v>
      </c>
      <c r="K333" s="1280" t="s">
        <v>151</v>
      </c>
      <c r="L333" s="1360">
        <v>9.1199999999999992</v>
      </c>
      <c r="M333" s="1360">
        <v>8.35</v>
      </c>
      <c r="N333" s="1346">
        <f t="shared" si="45"/>
        <v>0.91557017543859653</v>
      </c>
      <c r="O333" s="1360">
        <v>8.9600000000000009</v>
      </c>
      <c r="P333" s="1332">
        <f t="shared" si="46"/>
        <v>0.98245614035087736</v>
      </c>
      <c r="Q333" s="1403">
        <v>9</v>
      </c>
      <c r="R333" s="1404">
        <v>7.6162419999999997</v>
      </c>
      <c r="S333" s="1400" t="s">
        <v>3876</v>
      </c>
      <c r="T333" s="1334">
        <v>43098</v>
      </c>
      <c r="U333" s="1284">
        <v>3.99</v>
      </c>
      <c r="V333" s="1401">
        <f t="shared" si="42"/>
        <v>0.44821428571428568</v>
      </c>
      <c r="W333" s="1280" t="s">
        <v>3877</v>
      </c>
      <c r="X333" s="1284">
        <f t="shared" si="47"/>
        <v>0</v>
      </c>
      <c r="Y333" s="1284" t="str">
        <f t="shared" si="48"/>
        <v>0.26</v>
      </c>
      <c r="Z333" s="1358" t="s">
        <v>2374</v>
      </c>
    </row>
    <row r="334" spans="1:26">
      <c r="A334" s="1280" t="s">
        <v>3817</v>
      </c>
      <c r="B334" s="1283">
        <v>603</v>
      </c>
      <c r="C334" s="1399" t="s">
        <v>1880</v>
      </c>
      <c r="D334" s="1358" t="s">
        <v>1879</v>
      </c>
      <c r="E334" s="1358" t="s">
        <v>1878</v>
      </c>
      <c r="F334" s="1359">
        <v>7.4608840000000001</v>
      </c>
      <c r="G334" s="1359">
        <v>7.4608839971999998</v>
      </c>
      <c r="H334" s="1359">
        <f t="shared" si="43"/>
        <v>53.133408799999998</v>
      </c>
      <c r="I334" s="1359">
        <f t="shared" si="44"/>
        <v>0.14041794359709894</v>
      </c>
      <c r="J334" s="1334">
        <v>42719</v>
      </c>
      <c r="K334" s="1280" t="s">
        <v>151</v>
      </c>
      <c r="L334" s="1360">
        <v>7.79</v>
      </c>
      <c r="M334" s="1360">
        <v>5.0599999999999996</v>
      </c>
      <c r="N334" s="1346">
        <f t="shared" si="45"/>
        <v>0.64955070603337606</v>
      </c>
      <c r="O334" s="1360">
        <v>7.88</v>
      </c>
      <c r="P334" s="1332">
        <f t="shared" si="46"/>
        <v>1.011553273427471</v>
      </c>
      <c r="Q334" s="1403">
        <v>3</v>
      </c>
      <c r="R334" s="1404">
        <v>6.8207199999999997</v>
      </c>
      <c r="S334" s="1400" t="s">
        <v>3878</v>
      </c>
      <c r="T334" s="1334">
        <v>43098</v>
      </c>
      <c r="U334" s="1284">
        <v>5.0199999999999996</v>
      </c>
      <c r="V334" s="1401">
        <f t="shared" si="42"/>
        <v>0.63705583756345174</v>
      </c>
      <c r="W334" s="1280"/>
      <c r="X334" s="1284">
        <f t="shared" si="47"/>
        <v>0</v>
      </c>
      <c r="Y334" s="1284">
        <f t="shared" si="48"/>
        <v>0</v>
      </c>
      <c r="Z334" s="1358" t="s">
        <v>2122</v>
      </c>
    </row>
    <row r="335" spans="1:26">
      <c r="A335" s="1280" t="s">
        <v>3817</v>
      </c>
      <c r="B335" s="1350">
        <v>604</v>
      </c>
      <c r="C335" s="1405" t="s">
        <v>1870</v>
      </c>
      <c r="D335" s="1351" t="s">
        <v>1869</v>
      </c>
      <c r="E335" s="1351" t="s">
        <v>1868</v>
      </c>
      <c r="F335" s="1352">
        <v>5.76</v>
      </c>
      <c r="G335" s="1352">
        <v>5.7599999685999999</v>
      </c>
      <c r="H335" s="1359">
        <f t="shared" si="43"/>
        <v>245.97358920000002</v>
      </c>
      <c r="I335" s="1359">
        <f t="shared" si="44"/>
        <v>2.3417148234221884E-2</v>
      </c>
      <c r="J335" s="1356">
        <v>42703</v>
      </c>
      <c r="K335" s="1324" t="s">
        <v>151</v>
      </c>
      <c r="L335" s="1354">
        <v>26.8</v>
      </c>
      <c r="M335" s="1354">
        <v>24.95</v>
      </c>
      <c r="N335" s="1346">
        <f t="shared" si="45"/>
        <v>0.93097014925373134</v>
      </c>
      <c r="O335" s="1354">
        <v>25.57</v>
      </c>
      <c r="P335" s="1332">
        <f t="shared" si="46"/>
        <v>0.95410447761194028</v>
      </c>
      <c r="Q335" s="1406">
        <v>6</v>
      </c>
      <c r="R335" s="1407">
        <v>9.1781190000000006</v>
      </c>
      <c r="S335" s="1400" t="s">
        <v>3879</v>
      </c>
      <c r="T335" s="1356">
        <v>43119</v>
      </c>
      <c r="U335" s="946">
        <v>11.71</v>
      </c>
      <c r="V335" s="1408">
        <f t="shared" si="42"/>
        <v>0.45897536175205322</v>
      </c>
      <c r="W335" s="1324" t="s">
        <v>3877</v>
      </c>
      <c r="X335" s="946">
        <f t="shared" si="47"/>
        <v>0</v>
      </c>
      <c r="Y335" s="946" t="str">
        <f t="shared" si="48"/>
        <v>0.26</v>
      </c>
      <c r="Z335" s="1358" t="s">
        <v>2411</v>
      </c>
    </row>
    <row r="336" spans="1:26">
      <c r="A336" s="1280" t="s">
        <v>3817</v>
      </c>
      <c r="B336" s="1283">
        <v>612</v>
      </c>
      <c r="C336" s="1399" t="s">
        <v>1867</v>
      </c>
      <c r="D336" s="1358" t="s">
        <v>1866</v>
      </c>
      <c r="E336" s="1358" t="s">
        <v>1865</v>
      </c>
      <c r="F336" s="1359">
        <v>38.399299999999997</v>
      </c>
      <c r="G336" s="1359">
        <v>38.39929996</v>
      </c>
      <c r="H336" s="1359">
        <f t="shared" si="43"/>
        <v>95.524037879999995</v>
      </c>
      <c r="I336" s="1359">
        <f t="shared" si="44"/>
        <v>0.40198572895587065</v>
      </c>
      <c r="J336" s="1334">
        <v>42717</v>
      </c>
      <c r="K336" s="1280" t="s">
        <v>151</v>
      </c>
      <c r="L336" s="1360">
        <v>6.54</v>
      </c>
      <c r="M336" s="1360">
        <v>5.59</v>
      </c>
      <c r="N336" s="1346">
        <f t="shared" si="45"/>
        <v>0.85474006116207946</v>
      </c>
      <c r="O336" s="1360">
        <v>5.6</v>
      </c>
      <c r="P336" s="1332">
        <f t="shared" si="46"/>
        <v>0.85626911314984699</v>
      </c>
      <c r="Q336" s="1403">
        <v>10</v>
      </c>
      <c r="R336" s="1404">
        <v>14.606121999999999</v>
      </c>
      <c r="S336" s="1400" t="s">
        <v>3880</v>
      </c>
      <c r="T336" s="1334">
        <v>43108</v>
      </c>
      <c r="U336" s="1284">
        <v>3.95</v>
      </c>
      <c r="V336" s="1401">
        <f t="shared" si="42"/>
        <v>0.7053571428571429</v>
      </c>
      <c r="W336" s="1280"/>
      <c r="X336" s="1284">
        <f t="shared" si="47"/>
        <v>0</v>
      </c>
      <c r="Y336" s="1284">
        <f t="shared" si="48"/>
        <v>0</v>
      </c>
      <c r="Z336" s="1358" t="s">
        <v>2468</v>
      </c>
    </row>
    <row r="337" spans="1:26">
      <c r="A337" s="1280" t="s">
        <v>3817</v>
      </c>
      <c r="B337" s="1350">
        <v>613</v>
      </c>
      <c r="C337" s="1405" t="s">
        <v>1850</v>
      </c>
      <c r="D337" s="1351" t="s">
        <v>1849</v>
      </c>
      <c r="E337" s="1351" t="s">
        <v>1848</v>
      </c>
      <c r="F337" s="1352">
        <v>83.200308000000007</v>
      </c>
      <c r="G337" s="1352">
        <v>83.200135919999994</v>
      </c>
      <c r="H337" s="1359">
        <f t="shared" si="43"/>
        <v>239.14238361999998</v>
      </c>
      <c r="I337" s="1359">
        <f t="shared" si="44"/>
        <v>0.34791117634842289</v>
      </c>
      <c r="J337" s="1356">
        <v>42726</v>
      </c>
      <c r="K337" s="1324" t="s">
        <v>153</v>
      </c>
      <c r="L337" s="1354">
        <v>34.69</v>
      </c>
      <c r="M337" s="1354">
        <v>29.85</v>
      </c>
      <c r="N337" s="1346">
        <f t="shared" si="45"/>
        <v>0.86047852407033742</v>
      </c>
      <c r="O337" s="1354">
        <v>32.01</v>
      </c>
      <c r="P337" s="1332">
        <f t="shared" si="46"/>
        <v>0.92274430671663299</v>
      </c>
      <c r="Q337" s="1406">
        <v>9</v>
      </c>
      <c r="R337" s="1407">
        <v>6.8936979999999997</v>
      </c>
      <c r="S337" s="1400" t="s">
        <v>3881</v>
      </c>
      <c r="T337" s="1356">
        <v>43104</v>
      </c>
      <c r="U337" s="946">
        <v>34.39</v>
      </c>
      <c r="V337" s="1408">
        <f t="shared" si="42"/>
        <v>1.0805998125585756</v>
      </c>
      <c r="W337" s="1324" t="s">
        <v>3882</v>
      </c>
      <c r="X337" s="946">
        <f t="shared" si="47"/>
        <v>0</v>
      </c>
      <c r="Y337" s="946" t="str">
        <f t="shared" si="48"/>
        <v>2.0</v>
      </c>
      <c r="Z337" s="1358" t="s">
        <v>2374</v>
      </c>
    </row>
    <row r="338" spans="1:26">
      <c r="A338" s="1280" t="s">
        <v>3817</v>
      </c>
      <c r="B338" s="1350">
        <v>619</v>
      </c>
      <c r="C338" s="1405" t="s">
        <v>1845</v>
      </c>
      <c r="D338" s="1351" t="s">
        <v>1844</v>
      </c>
      <c r="E338" s="1351" t="s">
        <v>1843</v>
      </c>
      <c r="F338" s="1352">
        <v>62.285699999999999</v>
      </c>
      <c r="G338" s="1352">
        <v>62.285699962000002</v>
      </c>
      <c r="H338" s="1359">
        <f t="shared" si="43"/>
        <v>896.25900000000001</v>
      </c>
      <c r="I338" s="1359">
        <f t="shared" si="44"/>
        <v>6.9495201721823704E-2</v>
      </c>
      <c r="J338" s="1356">
        <v>42730</v>
      </c>
      <c r="K338" s="1324" t="s">
        <v>151</v>
      </c>
      <c r="L338" s="1354">
        <v>4.6900000000000004</v>
      </c>
      <c r="M338" s="1354">
        <v>3.8</v>
      </c>
      <c r="N338" s="1346">
        <f t="shared" si="45"/>
        <v>0.81023454157782504</v>
      </c>
      <c r="O338" s="1354">
        <v>3.86</v>
      </c>
      <c r="P338" s="1332">
        <f t="shared" si="46"/>
        <v>0.82302771855010648</v>
      </c>
      <c r="Q338" s="1406">
        <v>8</v>
      </c>
      <c r="R338" s="1407">
        <v>191.1</v>
      </c>
      <c r="S338" s="1400" t="s">
        <v>3883</v>
      </c>
      <c r="T338" s="1356">
        <v>43108</v>
      </c>
      <c r="U338" s="946">
        <v>4.72</v>
      </c>
      <c r="V338" s="1408">
        <f t="shared" si="42"/>
        <v>1.2383419689119171</v>
      </c>
      <c r="W338" s="1324" t="s">
        <v>3884</v>
      </c>
      <c r="X338" s="946">
        <f t="shared" si="47"/>
        <v>0</v>
      </c>
      <c r="Y338" s="946" t="str">
        <f t="shared" si="48"/>
        <v>0.6</v>
      </c>
      <c r="Z338" s="1358" t="s">
        <v>3672</v>
      </c>
    </row>
    <row r="339" spans="1:26">
      <c r="A339" s="1280" t="s">
        <v>3817</v>
      </c>
      <c r="B339" s="1350">
        <v>620</v>
      </c>
      <c r="C339" s="1405" t="s">
        <v>1829</v>
      </c>
      <c r="D339" s="1351" t="s">
        <v>1828</v>
      </c>
      <c r="E339" s="1351" t="s">
        <v>1827</v>
      </c>
      <c r="F339" s="1352">
        <v>11.963255</v>
      </c>
      <c r="G339" s="1352">
        <v>11.963254921200001</v>
      </c>
      <c r="H339" s="1359">
        <f t="shared" si="43"/>
        <v>157.25957996</v>
      </c>
      <c r="I339" s="1359">
        <f t="shared" si="44"/>
        <v>7.6073298701693923E-2</v>
      </c>
      <c r="J339" s="1356">
        <v>42717</v>
      </c>
      <c r="K339" s="1324" t="s">
        <v>151</v>
      </c>
      <c r="L339" s="1354">
        <v>9.08</v>
      </c>
      <c r="M339" s="1354">
        <v>6.06</v>
      </c>
      <c r="N339" s="1346">
        <f t="shared" si="45"/>
        <v>0.66740088105726869</v>
      </c>
      <c r="O339" s="1354">
        <v>8.76</v>
      </c>
      <c r="P339" s="1332">
        <f t="shared" si="46"/>
        <v>0.96475770925110127</v>
      </c>
      <c r="Q339" s="1406">
        <v>8</v>
      </c>
      <c r="R339" s="1407">
        <v>17.319337000000001</v>
      </c>
      <c r="S339" s="1400" t="s">
        <v>3885</v>
      </c>
      <c r="T339" s="1356">
        <v>43108</v>
      </c>
      <c r="U339" s="946">
        <v>10.7</v>
      </c>
      <c r="V339" s="1408">
        <f t="shared" si="42"/>
        <v>1.2237442922374429</v>
      </c>
      <c r="W339" s="1324" t="s">
        <v>3886</v>
      </c>
      <c r="X339" s="946">
        <f t="shared" si="47"/>
        <v>0</v>
      </c>
      <c r="Y339" s="946" t="str">
        <f t="shared" si="48"/>
        <v>0.2</v>
      </c>
      <c r="Z339" s="1358" t="s">
        <v>2852</v>
      </c>
    </row>
    <row r="340" spans="1:26">
      <c r="A340" s="1280" t="s">
        <v>3817</v>
      </c>
      <c r="B340" s="1350">
        <v>621</v>
      </c>
      <c r="C340" s="1405" t="s">
        <v>1817</v>
      </c>
      <c r="D340" s="1351" t="s">
        <v>1816</v>
      </c>
      <c r="E340" s="1351" t="s">
        <v>1815</v>
      </c>
      <c r="F340" s="1352">
        <v>14.4</v>
      </c>
      <c r="G340" s="1352">
        <v>14.399999892</v>
      </c>
      <c r="H340" s="1359">
        <f t="shared" si="43"/>
        <v>97.139500000000012</v>
      </c>
      <c r="I340" s="1359">
        <f t="shared" si="44"/>
        <v>0.14824041713206262</v>
      </c>
      <c r="J340" s="1356">
        <v>42718</v>
      </c>
      <c r="K340" s="1324" t="s">
        <v>1546</v>
      </c>
      <c r="L340" s="1354">
        <v>11.23</v>
      </c>
      <c r="M340" s="1354">
        <v>11.74</v>
      </c>
      <c r="N340" s="1346">
        <f t="shared" si="45"/>
        <v>1.0454140694568121</v>
      </c>
      <c r="O340" s="1354">
        <v>11.74</v>
      </c>
      <c r="P340" s="1332">
        <f t="shared" si="46"/>
        <v>1.0454140694568121</v>
      </c>
      <c r="Q340" s="1406">
        <v>7</v>
      </c>
      <c r="R340" s="1407">
        <v>8.65</v>
      </c>
      <c r="S340" s="1400" t="s">
        <v>3887</v>
      </c>
      <c r="T340" s="1356">
        <v>43108</v>
      </c>
      <c r="U340" s="946">
        <v>9.56</v>
      </c>
      <c r="V340" s="1408">
        <f t="shared" si="42"/>
        <v>0.81516183986371382</v>
      </c>
      <c r="W340" s="1324" t="s">
        <v>3888</v>
      </c>
      <c r="X340" s="946">
        <f t="shared" si="47"/>
        <v>0</v>
      </c>
      <c r="Y340" s="946" t="str">
        <f t="shared" si="48"/>
        <v>0.1</v>
      </c>
      <c r="Z340" s="1358" t="s">
        <v>2411</v>
      </c>
    </row>
    <row r="341" spans="1:26">
      <c r="A341" s="1280" t="s">
        <v>3817</v>
      </c>
      <c r="B341" s="1350">
        <v>624</v>
      </c>
      <c r="C341" s="1405" t="s">
        <v>1806</v>
      </c>
      <c r="D341" s="1351" t="s">
        <v>1805</v>
      </c>
      <c r="E341" s="1351" t="s">
        <v>1804</v>
      </c>
      <c r="F341" s="1352">
        <v>16.853691999999999</v>
      </c>
      <c r="G341" s="1352">
        <v>16.853691951999998</v>
      </c>
      <c r="H341" s="1359">
        <f t="shared" si="43"/>
        <v>140.81125029</v>
      </c>
      <c r="I341" s="1359">
        <f t="shared" si="44"/>
        <v>0.11968995350364343</v>
      </c>
      <c r="J341" s="1356">
        <v>42723</v>
      </c>
      <c r="K341" s="1324" t="s">
        <v>151</v>
      </c>
      <c r="L341" s="1354">
        <v>6.99</v>
      </c>
      <c r="M341" s="1354">
        <v>4.6900000000000004</v>
      </c>
      <c r="N341" s="1346">
        <f t="shared" si="45"/>
        <v>0.67095851216022895</v>
      </c>
      <c r="O341" s="1354">
        <v>6.1</v>
      </c>
      <c r="P341" s="1332">
        <f t="shared" si="46"/>
        <v>0.8726752503576537</v>
      </c>
      <c r="Q341" s="1406">
        <v>7</v>
      </c>
      <c r="R341" s="1407">
        <v>20.144670999999999</v>
      </c>
      <c r="S341" s="1400" t="s">
        <v>3889</v>
      </c>
      <c r="T341" s="1356">
        <v>43110</v>
      </c>
      <c r="U341" s="946">
        <v>6</v>
      </c>
      <c r="V341" s="1408">
        <f t="shared" si="42"/>
        <v>0.99180327868852458</v>
      </c>
      <c r="W341" s="1324" t="s">
        <v>3890</v>
      </c>
      <c r="X341" s="946">
        <f t="shared" si="47"/>
        <v>0</v>
      </c>
      <c r="Y341" s="946" t="str">
        <f t="shared" si="48"/>
        <v>0.5</v>
      </c>
      <c r="Z341" s="1358" t="s">
        <v>2454</v>
      </c>
    </row>
    <row r="342" spans="1:26">
      <c r="A342" s="1280" t="s">
        <v>3817</v>
      </c>
      <c r="B342" s="1350">
        <v>625</v>
      </c>
      <c r="C342" s="1405" t="s">
        <v>1801</v>
      </c>
      <c r="D342" s="1351" t="s">
        <v>1800</v>
      </c>
      <c r="E342" s="1351" t="s">
        <v>1799</v>
      </c>
      <c r="F342" s="1352">
        <v>38.74</v>
      </c>
      <c r="G342" s="1352">
        <v>38.732735015000003</v>
      </c>
      <c r="H342" s="1359">
        <f t="shared" si="43"/>
        <v>51.671619999999997</v>
      </c>
      <c r="I342" s="1359">
        <f t="shared" si="44"/>
        <v>0.7497345738337603</v>
      </c>
      <c r="J342" s="1356">
        <v>42730</v>
      </c>
      <c r="K342" s="1324" t="s">
        <v>151</v>
      </c>
      <c r="L342" s="1354">
        <v>22.33</v>
      </c>
      <c r="M342" s="1354">
        <v>15.54</v>
      </c>
      <c r="N342" s="1346">
        <f t="shared" si="45"/>
        <v>0.6959247648902821</v>
      </c>
      <c r="O342" s="1354">
        <v>19.22</v>
      </c>
      <c r="P342" s="1332">
        <f t="shared" si="46"/>
        <v>0.86072548141513661</v>
      </c>
      <c r="Q342" s="1406">
        <v>8</v>
      </c>
      <c r="R342" s="1346">
        <v>2.3140000000000001</v>
      </c>
      <c r="S342" s="1400" t="s">
        <v>3891</v>
      </c>
      <c r="T342" s="1356">
        <v>43108</v>
      </c>
      <c r="U342" s="946">
        <v>28.41</v>
      </c>
      <c r="V342" s="1408">
        <f t="shared" si="42"/>
        <v>1.7742976066597294</v>
      </c>
      <c r="W342" s="1324" t="s">
        <v>3892</v>
      </c>
      <c r="X342" s="946" t="str">
        <f t="shared" si="47"/>
        <v>2</v>
      </c>
      <c r="Y342" s="946" t="str">
        <f t="shared" si="48"/>
        <v>0.1</v>
      </c>
      <c r="Z342" s="1358" t="s">
        <v>3893</v>
      </c>
    </row>
    <row r="343" spans="1:26">
      <c r="A343" s="1280" t="s">
        <v>3817</v>
      </c>
      <c r="B343" s="1283">
        <v>626</v>
      </c>
      <c r="C343" s="1399" t="s">
        <v>2012</v>
      </c>
      <c r="D343" s="1358" t="s">
        <v>2011</v>
      </c>
      <c r="E343" s="1358" t="s">
        <v>2010</v>
      </c>
      <c r="F343" s="1359">
        <v>26.42353</v>
      </c>
      <c r="G343" s="1359">
        <v>26.423529998999999</v>
      </c>
      <c r="H343" s="1359">
        <f t="shared" si="43"/>
        <v>267.42514960000005</v>
      </c>
      <c r="I343" s="1359">
        <f t="shared" si="44"/>
        <v>9.8807199096729956E-2</v>
      </c>
      <c r="J343" s="1334">
        <v>42725</v>
      </c>
      <c r="K343" s="1280" t="s">
        <v>151</v>
      </c>
      <c r="L343" s="1360">
        <v>18.8</v>
      </c>
      <c r="M343" s="1360">
        <v>11.29</v>
      </c>
      <c r="N343" s="1346">
        <f t="shared" si="45"/>
        <v>0.6005319148936169</v>
      </c>
      <c r="O343" s="1360">
        <v>18.649999999999999</v>
      </c>
      <c r="P343" s="1332">
        <f t="shared" si="46"/>
        <v>0.99202127659574457</v>
      </c>
      <c r="Q343" s="1403">
        <v>7</v>
      </c>
      <c r="R343" s="1404">
        <v>14.224742000000001</v>
      </c>
      <c r="S343" s="1400" t="s">
        <v>3894</v>
      </c>
      <c r="T343" s="1334">
        <v>43111</v>
      </c>
      <c r="U343" s="1284">
        <v>9.7799999999999994</v>
      </c>
      <c r="V343" s="1401">
        <f t="shared" si="42"/>
        <v>1.0532975871313672</v>
      </c>
      <c r="W343" s="1280" t="s">
        <v>3895</v>
      </c>
      <c r="X343" s="1284" t="str">
        <f t="shared" si="47"/>
        <v>10</v>
      </c>
      <c r="Y343" s="1284" t="str">
        <f t="shared" si="48"/>
        <v>0.84</v>
      </c>
      <c r="Z343" s="1358" t="s">
        <v>2160</v>
      </c>
    </row>
    <row r="344" spans="1:26">
      <c r="A344" s="1280" t="s">
        <v>3817</v>
      </c>
      <c r="B344" s="1283">
        <v>628</v>
      </c>
      <c r="C344" s="1399" t="s">
        <v>1999</v>
      </c>
      <c r="D344" s="1358" t="s">
        <v>1998</v>
      </c>
      <c r="E344" s="1358" t="s">
        <v>1997</v>
      </c>
      <c r="F344" s="1359">
        <v>1.551822</v>
      </c>
      <c r="G344" s="1359">
        <v>1.5518219</v>
      </c>
      <c r="H344" s="1359">
        <f t="shared" si="43"/>
        <v>70.844275850000002</v>
      </c>
      <c r="I344" s="1359">
        <f t="shared" si="44"/>
        <v>2.1904691400695571E-2</v>
      </c>
      <c r="J344" s="1334">
        <v>42717</v>
      </c>
      <c r="K344" s="1280" t="s">
        <v>151</v>
      </c>
      <c r="L344" s="1360">
        <v>11.45</v>
      </c>
      <c r="M344" s="1360">
        <v>11.6</v>
      </c>
      <c r="N344" s="1346">
        <f t="shared" si="45"/>
        <v>1.0131004366812228</v>
      </c>
      <c r="O344" s="1360">
        <v>11.6</v>
      </c>
      <c r="P344" s="1332">
        <f t="shared" si="46"/>
        <v>1.0131004366812228</v>
      </c>
      <c r="Q344" s="1403">
        <v>3</v>
      </c>
      <c r="R344" s="1404">
        <v>6.1872730000000002</v>
      </c>
      <c r="S344" s="1400" t="s">
        <v>3896</v>
      </c>
      <c r="T344" s="1334">
        <v>43118</v>
      </c>
      <c r="U344" s="1284">
        <v>8.51</v>
      </c>
      <c r="V344" s="1401">
        <f t="shared" si="42"/>
        <v>0.7353448275862069</v>
      </c>
      <c r="W344" s="1280" t="s">
        <v>3897</v>
      </c>
      <c r="X344" s="1284">
        <f t="shared" si="47"/>
        <v>0</v>
      </c>
      <c r="Y344" s="1284" t="str">
        <f t="shared" si="48"/>
        <v>0.2</v>
      </c>
      <c r="Z344" s="1358" t="s">
        <v>2093</v>
      </c>
    </row>
    <row r="345" spans="1:26">
      <c r="A345" s="1280" t="s">
        <v>3817</v>
      </c>
      <c r="B345" s="1283">
        <v>629</v>
      </c>
      <c r="C345" s="1399" t="s">
        <v>1994</v>
      </c>
      <c r="D345" s="1358" t="s">
        <v>1993</v>
      </c>
      <c r="E345" s="1358" t="s">
        <v>1992</v>
      </c>
      <c r="F345" s="1359">
        <v>25</v>
      </c>
      <c r="G345" s="1359">
        <v>24.999999840000001</v>
      </c>
      <c r="H345" s="1359">
        <f t="shared" si="43"/>
        <v>464.03702662000001</v>
      </c>
      <c r="I345" s="1359">
        <f t="shared" si="44"/>
        <v>5.3875011186278687E-2</v>
      </c>
      <c r="J345" s="1334">
        <v>42734</v>
      </c>
      <c r="K345" s="1280" t="s">
        <v>151</v>
      </c>
      <c r="L345" s="1360">
        <v>21.46</v>
      </c>
      <c r="M345" s="1360">
        <v>15.86</v>
      </c>
      <c r="N345" s="1346">
        <f t="shared" si="45"/>
        <v>0.73904939422180793</v>
      </c>
      <c r="O345" s="1360">
        <v>21.55</v>
      </c>
      <c r="P345" s="1332">
        <f t="shared" si="46"/>
        <v>1.0041938490214353</v>
      </c>
      <c r="Q345" s="1403">
        <v>9</v>
      </c>
      <c r="R345" s="1404">
        <v>21.623346999999999</v>
      </c>
      <c r="S345" s="1400" t="s">
        <v>3898</v>
      </c>
      <c r="T345" s="1334">
        <v>43116</v>
      </c>
      <c r="U345" s="1284">
        <v>40.08</v>
      </c>
      <c r="V345" s="1401">
        <f t="shared" si="42"/>
        <v>2.2550348027842224</v>
      </c>
      <c r="W345" s="1280" t="s">
        <v>3899</v>
      </c>
      <c r="X345" s="1284">
        <v>2</v>
      </c>
      <c r="Y345" s="1284" t="str">
        <f t="shared" si="48"/>
        <v>5.0</v>
      </c>
      <c r="Z345" s="1358" t="s">
        <v>2116</v>
      </c>
    </row>
    <row r="346" spans="1:26">
      <c r="A346" s="1280" t="s">
        <v>3817</v>
      </c>
      <c r="B346" s="1283">
        <v>631</v>
      </c>
      <c r="C346" s="1399" t="s">
        <v>1980</v>
      </c>
      <c r="D346" s="1358" t="s">
        <v>1979</v>
      </c>
      <c r="E346" s="1358" t="s">
        <v>1978</v>
      </c>
      <c r="F346" s="1359">
        <v>2.718</v>
      </c>
      <c r="G346" s="1359">
        <v>2.7179999183999999</v>
      </c>
      <c r="H346" s="1359">
        <f t="shared" si="43"/>
        <v>46.3932</v>
      </c>
      <c r="I346" s="1359">
        <f t="shared" si="44"/>
        <v>5.8586172111430121E-2</v>
      </c>
      <c r="J346" s="1334">
        <v>42727</v>
      </c>
      <c r="K346" s="1280" t="s">
        <v>151</v>
      </c>
      <c r="L346" s="1360">
        <v>15.78</v>
      </c>
      <c r="M346" s="1360">
        <v>10.68</v>
      </c>
      <c r="N346" s="1346">
        <f t="shared" si="45"/>
        <v>0.67680608365019013</v>
      </c>
      <c r="O346" s="1360">
        <v>14.81</v>
      </c>
      <c r="P346" s="1332">
        <f t="shared" si="46"/>
        <v>0.93852978453738922</v>
      </c>
      <c r="Q346" s="1403">
        <v>6</v>
      </c>
      <c r="R346" s="1404">
        <v>2.94</v>
      </c>
      <c r="S346" s="1400" t="s">
        <v>3900</v>
      </c>
      <c r="T346" s="1334">
        <v>43116</v>
      </c>
      <c r="U346" s="1284">
        <v>10.3</v>
      </c>
      <c r="V346" s="1401">
        <f t="shared" si="42"/>
        <v>0.69783929777177589</v>
      </c>
      <c r="W346" s="1280" t="s">
        <v>3901</v>
      </c>
      <c r="X346" s="1284">
        <f t="shared" si="47"/>
        <v>0</v>
      </c>
      <c r="Y346" s="1284" t="str">
        <f t="shared" si="48"/>
        <v>0.35</v>
      </c>
      <c r="Z346" s="1358" t="s">
        <v>2233</v>
      </c>
    </row>
    <row r="347" spans="1:26">
      <c r="A347" s="1280" t="s">
        <v>3817</v>
      </c>
      <c r="B347" s="1283">
        <v>632</v>
      </c>
      <c r="C347" s="1399" t="s">
        <v>1968</v>
      </c>
      <c r="D347" s="1358" t="s">
        <v>1967</v>
      </c>
      <c r="E347" s="1358" t="s">
        <v>1966</v>
      </c>
      <c r="F347" s="1359">
        <v>1.742165</v>
      </c>
      <c r="G347" s="1359">
        <v>1.7421648698000001</v>
      </c>
      <c r="H347" s="1359">
        <f t="shared" si="43"/>
        <v>54.5759817</v>
      </c>
      <c r="I347" s="1359">
        <f t="shared" si="44"/>
        <v>3.1921826153793215E-2</v>
      </c>
      <c r="J347" s="1334">
        <v>42726</v>
      </c>
      <c r="K347" s="1280" t="s">
        <v>1587</v>
      </c>
      <c r="L347" s="1360">
        <v>30.9</v>
      </c>
      <c r="M347" s="1360">
        <v>29.23</v>
      </c>
      <c r="N347" s="1346">
        <f t="shared" si="45"/>
        <v>0.94595469255663434</v>
      </c>
      <c r="O347" s="1360">
        <v>32.03</v>
      </c>
      <c r="P347" s="1332">
        <f t="shared" si="46"/>
        <v>1.0365695792880261</v>
      </c>
      <c r="Q347" s="1403">
        <v>2</v>
      </c>
      <c r="R347" s="1404">
        <v>1.766213</v>
      </c>
      <c r="S347" s="1409" t="s">
        <v>1968</v>
      </c>
      <c r="T347" s="1334">
        <v>42752</v>
      </c>
      <c r="U347" s="1284">
        <v>9.59</v>
      </c>
      <c r="V347" s="1401">
        <f t="shared" si="42"/>
        <v>0.29940680611926318</v>
      </c>
      <c r="W347" s="1280"/>
      <c r="X347" s="1284">
        <f t="shared" si="47"/>
        <v>0</v>
      </c>
      <c r="Y347" s="1284">
        <f t="shared" si="48"/>
        <v>0</v>
      </c>
      <c r="Z347" s="1358" t="s">
        <v>2072</v>
      </c>
    </row>
    <row r="348" spans="1:26">
      <c r="A348" s="1280" t="s">
        <v>3817</v>
      </c>
      <c r="B348" s="1283">
        <v>634</v>
      </c>
      <c r="C348" s="1399" t="s">
        <v>1961</v>
      </c>
      <c r="D348" s="1358" t="s">
        <v>1960</v>
      </c>
      <c r="E348" s="1358" t="s">
        <v>1959</v>
      </c>
      <c r="F348" s="1359">
        <v>11.1936</v>
      </c>
      <c r="G348" s="1359">
        <v>11.193599306399999</v>
      </c>
      <c r="H348" s="1359">
        <f t="shared" si="43"/>
        <v>137.54905103999999</v>
      </c>
      <c r="I348" s="1359">
        <f t="shared" si="44"/>
        <v>8.1378969286708069E-2</v>
      </c>
      <c r="J348" s="1334">
        <v>42731</v>
      </c>
      <c r="K348" s="1280" t="s">
        <v>191</v>
      </c>
      <c r="L348" s="1360">
        <v>16.48</v>
      </c>
      <c r="M348" s="1360">
        <v>13.2</v>
      </c>
      <c r="N348" s="1346">
        <f t="shared" si="45"/>
        <v>0.80097087378640774</v>
      </c>
      <c r="O348" s="1360">
        <v>15.96</v>
      </c>
      <c r="P348" s="1332">
        <f t="shared" si="46"/>
        <v>0.96844660194174759</v>
      </c>
      <c r="Q348" s="1403">
        <v>7</v>
      </c>
      <c r="R348" s="1404">
        <v>8.3464229999999997</v>
      </c>
      <c r="S348" s="1400" t="s">
        <v>3902</v>
      </c>
      <c r="T348" s="1334">
        <v>43118</v>
      </c>
      <c r="U348" s="1284">
        <v>9.84</v>
      </c>
      <c r="V348" s="1401">
        <f t="shared" si="42"/>
        <v>0.62280701754385959</v>
      </c>
      <c r="W348" s="1280" t="s">
        <v>3852</v>
      </c>
      <c r="X348" s="1284">
        <f t="shared" si="47"/>
        <v>0</v>
      </c>
      <c r="Y348" s="1284" t="str">
        <f t="shared" si="48"/>
        <v>1.0</v>
      </c>
      <c r="Z348" s="1358" t="s">
        <v>2116</v>
      </c>
    </row>
    <row r="349" spans="1:26">
      <c r="A349" s="1280" t="s">
        <v>3817</v>
      </c>
      <c r="B349" s="1283">
        <v>636</v>
      </c>
      <c r="C349" s="1399" t="s">
        <v>1951</v>
      </c>
      <c r="D349" s="1358" t="s">
        <v>1950</v>
      </c>
      <c r="E349" s="1358" t="s">
        <v>1949</v>
      </c>
      <c r="F349" s="1359">
        <v>11.739649999999999</v>
      </c>
      <c r="G349" s="1359">
        <v>11.7396499394</v>
      </c>
      <c r="H349" s="1359">
        <f t="shared" si="43"/>
        <v>47.392887500000001</v>
      </c>
      <c r="I349" s="1359">
        <f t="shared" si="44"/>
        <v>0.24770911035965046</v>
      </c>
      <c r="J349" s="1334">
        <v>42730</v>
      </c>
      <c r="K349" s="1280" t="s">
        <v>151</v>
      </c>
      <c r="L349" s="1360">
        <v>8.75</v>
      </c>
      <c r="M349" s="1360">
        <v>5.95</v>
      </c>
      <c r="N349" s="1346">
        <f t="shared" si="45"/>
        <v>0.68</v>
      </c>
      <c r="O349" s="1360">
        <v>7.03</v>
      </c>
      <c r="P349" s="1332">
        <f t="shared" si="46"/>
        <v>0.80342857142857149</v>
      </c>
      <c r="Q349" s="1403">
        <v>8</v>
      </c>
      <c r="R349" s="1404">
        <v>5.4163300000000003</v>
      </c>
      <c r="S349" s="1400" t="s">
        <v>3903</v>
      </c>
      <c r="T349" s="1334">
        <v>43125</v>
      </c>
      <c r="U349" s="1284">
        <v>4.7699999999999996</v>
      </c>
      <c r="V349" s="1401">
        <f t="shared" si="42"/>
        <v>0.67852062588904682</v>
      </c>
      <c r="W349" s="1280"/>
      <c r="X349" s="1284">
        <f t="shared" si="47"/>
        <v>0</v>
      </c>
      <c r="Y349" s="1284">
        <f t="shared" si="48"/>
        <v>0</v>
      </c>
      <c r="Z349" s="1358" t="s">
        <v>2468</v>
      </c>
    </row>
    <row r="350" spans="1:26">
      <c r="A350" s="1280" t="s">
        <v>3817</v>
      </c>
      <c r="B350" s="1283">
        <v>637</v>
      </c>
      <c r="C350" s="1399" t="s">
        <v>1945</v>
      </c>
      <c r="D350" s="1358" t="s">
        <v>1944</v>
      </c>
      <c r="E350" s="1358" t="s">
        <v>1943</v>
      </c>
      <c r="F350" s="1359">
        <v>150</v>
      </c>
      <c r="G350" s="1359">
        <v>149.99999980800001</v>
      </c>
      <c r="H350" s="1359">
        <f t="shared" si="43"/>
        <v>2563.4442345000002</v>
      </c>
      <c r="I350" s="1359">
        <f t="shared" si="44"/>
        <v>5.851502364718205E-2</v>
      </c>
      <c r="J350" s="1334">
        <v>42734</v>
      </c>
      <c r="K350" s="1280" t="s">
        <v>151</v>
      </c>
      <c r="L350" s="1360">
        <v>23.25</v>
      </c>
      <c r="M350" s="1360">
        <v>14.2</v>
      </c>
      <c r="N350" s="1346">
        <f t="shared" si="45"/>
        <v>0.61075268817204298</v>
      </c>
      <c r="O350" s="1360">
        <v>22.8</v>
      </c>
      <c r="P350" s="1332">
        <f t="shared" si="46"/>
        <v>0.98064516129032264</v>
      </c>
      <c r="Q350" s="1403">
        <v>8</v>
      </c>
      <c r="R350" s="1404">
        <v>110.25566600000001</v>
      </c>
      <c r="S350" s="1400" t="s">
        <v>3904</v>
      </c>
      <c r="T350" s="1334">
        <v>43119</v>
      </c>
      <c r="U350" s="1284">
        <v>32.83</v>
      </c>
      <c r="V350" s="1401">
        <f t="shared" si="42"/>
        <v>1.5122807017543858</v>
      </c>
      <c r="W350" s="1280" t="s">
        <v>3905</v>
      </c>
      <c r="X350" s="1284">
        <f t="shared" si="47"/>
        <v>0</v>
      </c>
      <c r="Y350" s="1284" t="str">
        <f t="shared" si="48"/>
        <v>16.5</v>
      </c>
      <c r="Z350" s="1358" t="s">
        <v>2374</v>
      </c>
    </row>
    <row r="351" spans="1:26">
      <c r="A351" s="1280" t="s">
        <v>3817</v>
      </c>
      <c r="B351" s="1283">
        <v>638</v>
      </c>
      <c r="C351" s="1399" t="s">
        <v>1915</v>
      </c>
      <c r="D351" s="1358" t="s">
        <v>1914</v>
      </c>
      <c r="E351" s="1358" t="s">
        <v>1913</v>
      </c>
      <c r="F351" s="1359">
        <v>3.355</v>
      </c>
      <c r="G351" s="1359">
        <v>3.3549998944000001</v>
      </c>
      <c r="H351" s="1359">
        <f t="shared" si="43"/>
        <v>47.896796319999993</v>
      </c>
      <c r="I351" s="1359">
        <f t="shared" si="44"/>
        <v>7.0046438546435136E-2</v>
      </c>
      <c r="J351" s="1334">
        <v>42723</v>
      </c>
      <c r="K351" s="1280" t="s">
        <v>151</v>
      </c>
      <c r="L351" s="1360">
        <v>17.84</v>
      </c>
      <c r="M351" s="1360">
        <v>12.16</v>
      </c>
      <c r="N351" s="1346">
        <f t="shared" si="45"/>
        <v>0.68161434977578472</v>
      </c>
      <c r="O351" s="1360">
        <v>14.84</v>
      </c>
      <c r="P351" s="1332">
        <f t="shared" si="46"/>
        <v>0.83183856502242148</v>
      </c>
      <c r="Q351" s="1403">
        <v>4</v>
      </c>
      <c r="R351" s="1404">
        <v>2.6847979999999998</v>
      </c>
      <c r="S351" s="1400" t="s">
        <v>3906</v>
      </c>
      <c r="T351" s="1334">
        <v>43119</v>
      </c>
      <c r="U351" s="1284">
        <v>12.69</v>
      </c>
      <c r="V351" s="1401">
        <f t="shared" si="42"/>
        <v>0.8564690026954177</v>
      </c>
      <c r="W351" s="1280" t="s">
        <v>3897</v>
      </c>
      <c r="X351" s="1284">
        <f t="shared" si="47"/>
        <v>0</v>
      </c>
      <c r="Y351" s="1284" t="str">
        <f t="shared" si="48"/>
        <v>0.2</v>
      </c>
      <c r="Z351" s="1358" t="s">
        <v>2595</v>
      </c>
    </row>
    <row r="352" spans="1:26">
      <c r="A352" s="1280" t="s">
        <v>3817</v>
      </c>
      <c r="B352" s="1283">
        <v>641</v>
      </c>
      <c r="C352" s="1399" t="s">
        <v>1907</v>
      </c>
      <c r="D352" s="1358" t="s">
        <v>1906</v>
      </c>
      <c r="E352" s="1358" t="s">
        <v>1905</v>
      </c>
      <c r="F352" s="1359">
        <v>1.8</v>
      </c>
      <c r="G352" s="1359">
        <v>1.7999999202000001</v>
      </c>
      <c r="H352" s="1359">
        <f t="shared" si="43"/>
        <v>52.986732378000006</v>
      </c>
      <c r="I352" s="1359">
        <f t="shared" si="44"/>
        <v>3.3970768137937805E-2</v>
      </c>
      <c r="J352" s="1334">
        <v>42720</v>
      </c>
      <c r="K352" s="1280" t="s">
        <v>1904</v>
      </c>
      <c r="L352" s="1360">
        <v>8.3000000000000007</v>
      </c>
      <c r="M352" s="1360">
        <v>7.85</v>
      </c>
      <c r="N352" s="1346">
        <f t="shared" si="45"/>
        <v>0.94578313253012036</v>
      </c>
      <c r="O352" s="1360">
        <v>8.18</v>
      </c>
      <c r="P352" s="1332">
        <f t="shared" si="46"/>
        <v>0.98554216867469868</v>
      </c>
      <c r="Q352" s="1403">
        <v>4</v>
      </c>
      <c r="R352" s="1346">
        <v>6.3839436599999999</v>
      </c>
      <c r="S352" s="1400" t="s">
        <v>3907</v>
      </c>
      <c r="T352" s="1334">
        <v>43119</v>
      </c>
      <c r="U352" s="1284">
        <v>6.04</v>
      </c>
      <c r="V352" s="1401">
        <f t="shared" si="42"/>
        <v>0.75061124694376524</v>
      </c>
      <c r="W352" s="1280" t="s">
        <v>3852</v>
      </c>
      <c r="X352" s="1284">
        <f t="shared" si="47"/>
        <v>0</v>
      </c>
      <c r="Y352" s="1284" t="str">
        <f t="shared" si="48"/>
        <v>1.0</v>
      </c>
      <c r="Z352" s="1358" t="s">
        <v>2072</v>
      </c>
    </row>
    <row r="353" spans="1:26">
      <c r="A353" s="1280" t="s">
        <v>3817</v>
      </c>
      <c r="B353" s="1283">
        <v>644</v>
      </c>
      <c r="C353" s="1399" t="s">
        <v>2070</v>
      </c>
      <c r="D353" s="1358" t="s">
        <v>2069</v>
      </c>
      <c r="E353" s="1358" t="s">
        <v>2068</v>
      </c>
      <c r="F353" s="1359">
        <v>13.5283</v>
      </c>
      <c r="G353" s="1359">
        <v>13.528299918</v>
      </c>
      <c r="H353" s="1359">
        <f t="shared" si="43"/>
        <v>73.155617499999991</v>
      </c>
      <c r="I353" s="1359">
        <f t="shared" si="44"/>
        <v>0.18492496492152502</v>
      </c>
      <c r="J353" s="1334">
        <v>42731</v>
      </c>
      <c r="K353" s="1280" t="s">
        <v>153</v>
      </c>
      <c r="L353" s="1360">
        <v>16.45</v>
      </c>
      <c r="M353" s="1360">
        <v>14.12</v>
      </c>
      <c r="N353" s="1346">
        <f t="shared" si="45"/>
        <v>0.85835866261398175</v>
      </c>
      <c r="O353" s="1360">
        <v>15.05</v>
      </c>
      <c r="P353" s="1332">
        <f t="shared" si="46"/>
        <v>0.91489361702127669</v>
      </c>
      <c r="Q353" s="1403">
        <v>8</v>
      </c>
      <c r="R353" s="1404">
        <v>4.4471499999999997</v>
      </c>
      <c r="S353" s="1400" t="s">
        <v>3908</v>
      </c>
      <c r="T353" s="1334">
        <v>43122</v>
      </c>
      <c r="U353" s="1284">
        <v>7.02</v>
      </c>
      <c r="V353" s="1401">
        <f t="shared" si="42"/>
        <v>0.47973421926910292</v>
      </c>
      <c r="W353" s="1280" t="s">
        <v>3845</v>
      </c>
      <c r="X353" s="1284">
        <f t="shared" si="47"/>
        <v>0</v>
      </c>
      <c r="Y353" s="1284" t="str">
        <f t="shared" si="48"/>
        <v>2.0</v>
      </c>
      <c r="Z353" s="1358" t="s">
        <v>2362</v>
      </c>
    </row>
    <row r="354" spans="1:26">
      <c r="A354" s="1280" t="s">
        <v>3817</v>
      </c>
      <c r="B354" s="1283">
        <v>645</v>
      </c>
      <c r="C354" s="1399" t="s">
        <v>2066</v>
      </c>
      <c r="D354" s="1358" t="s">
        <v>2065</v>
      </c>
      <c r="E354" s="1358" t="s">
        <v>2064</v>
      </c>
      <c r="F354" s="1359">
        <v>29.8</v>
      </c>
      <c r="G354" s="1359">
        <v>29.799999967800002</v>
      </c>
      <c r="H354" s="1359">
        <f t="shared" si="43"/>
        <v>88.346521760000002</v>
      </c>
      <c r="I354" s="1359">
        <f t="shared" si="44"/>
        <v>0.33730812946947647</v>
      </c>
      <c r="J354" s="1334">
        <v>42732</v>
      </c>
      <c r="K354" s="1280" t="s">
        <v>153</v>
      </c>
      <c r="L354" s="1360">
        <v>3.92</v>
      </c>
      <c r="M354" s="1360">
        <v>3.6</v>
      </c>
      <c r="N354" s="1346">
        <f t="shared" si="45"/>
        <v>0.91836734693877553</v>
      </c>
      <c r="O354" s="1360">
        <v>3.62</v>
      </c>
      <c r="P354" s="1332">
        <f t="shared" si="46"/>
        <v>0.92346938775510212</v>
      </c>
      <c r="Q354" s="1403">
        <v>6</v>
      </c>
      <c r="R354" s="1404">
        <v>22.537378</v>
      </c>
      <c r="S354" s="1400" t="s">
        <v>3909</v>
      </c>
      <c r="T354" s="1334">
        <v>43126</v>
      </c>
      <c r="U354" s="1284">
        <v>2.99</v>
      </c>
      <c r="V354" s="1401">
        <f t="shared" si="42"/>
        <v>0.82596685082872934</v>
      </c>
      <c r="W354" s="1280"/>
      <c r="X354" s="1284">
        <f t="shared" si="47"/>
        <v>0</v>
      </c>
      <c r="Y354" s="1284">
        <f t="shared" si="48"/>
        <v>0</v>
      </c>
      <c r="Z354" s="1358" t="s">
        <v>2468</v>
      </c>
    </row>
    <row r="355" spans="1:26">
      <c r="A355" s="1280" t="s">
        <v>3817</v>
      </c>
      <c r="B355" s="1283">
        <v>647</v>
      </c>
      <c r="C355" s="1399" t="s">
        <v>2055</v>
      </c>
      <c r="D355" s="1358" t="s">
        <v>2054</v>
      </c>
      <c r="E355" s="1358" t="s">
        <v>2053</v>
      </c>
      <c r="F355" s="1359">
        <v>30</v>
      </c>
      <c r="G355" s="1359">
        <v>29.999999926800001</v>
      </c>
      <c r="H355" s="1359">
        <f t="shared" si="43"/>
        <v>118.71165696000001</v>
      </c>
      <c r="I355" s="1359">
        <f t="shared" si="44"/>
        <v>0.2527131771912553</v>
      </c>
      <c r="J355" s="1334">
        <v>42734</v>
      </c>
      <c r="K355" s="1280" t="s">
        <v>151</v>
      </c>
      <c r="L355" s="1360">
        <v>12.48</v>
      </c>
      <c r="M355" s="1360">
        <v>8.86</v>
      </c>
      <c r="N355" s="1346">
        <f t="shared" si="45"/>
        <v>0.70993589743589736</v>
      </c>
      <c r="O355" s="1360">
        <v>11.38</v>
      </c>
      <c r="P355" s="1332">
        <f t="shared" si="46"/>
        <v>0.91185897435897434</v>
      </c>
      <c r="Q355" s="1403">
        <v>8</v>
      </c>
      <c r="R355" s="1404">
        <v>9.5121520000000004</v>
      </c>
      <c r="S355" s="1400" t="s">
        <v>3910</v>
      </c>
      <c r="T355" s="1334">
        <v>43157</v>
      </c>
      <c r="U355" s="1284">
        <v>9.17</v>
      </c>
      <c r="V355" s="1401">
        <f t="shared" si="42"/>
        <v>0.80579964850615104</v>
      </c>
      <c r="W355" s="1280"/>
      <c r="X355" s="1284">
        <f t="shared" si="47"/>
        <v>0</v>
      </c>
      <c r="Y355" s="1284">
        <f t="shared" si="48"/>
        <v>0</v>
      </c>
      <c r="Z355" s="1358" t="s">
        <v>2362</v>
      </c>
    </row>
    <row r="356" spans="1:26">
      <c r="A356" s="1280" t="s">
        <v>3817</v>
      </c>
      <c r="B356" s="1283">
        <v>648</v>
      </c>
      <c r="C356" s="1399" t="s">
        <v>2048</v>
      </c>
      <c r="D356" s="1358" t="s">
        <v>2047</v>
      </c>
      <c r="E356" s="1358" t="s">
        <v>2046</v>
      </c>
      <c r="F356" s="1359">
        <v>7.19</v>
      </c>
      <c r="G356" s="1359">
        <v>7.1899999776000003</v>
      </c>
      <c r="H356" s="1359">
        <f t="shared" si="43"/>
        <v>315.93493836000005</v>
      </c>
      <c r="I356" s="1359">
        <f t="shared" si="44"/>
        <v>2.2757850199547014E-2</v>
      </c>
      <c r="J356" s="1334">
        <v>42725</v>
      </c>
      <c r="K356" s="1280" t="s">
        <v>204</v>
      </c>
      <c r="L356" s="1360">
        <v>18.12</v>
      </c>
      <c r="M356" s="1360">
        <v>18.27</v>
      </c>
      <c r="N356" s="1346">
        <f t="shared" si="45"/>
        <v>1.0082781456953642</v>
      </c>
      <c r="O356" s="1360">
        <v>18.88</v>
      </c>
      <c r="P356" s="1332">
        <f t="shared" si="46"/>
        <v>1.0419426048565121</v>
      </c>
      <c r="Q356" s="1403">
        <v>5</v>
      </c>
      <c r="R356" s="1404">
        <v>17.435703</v>
      </c>
      <c r="S356" s="1400" t="s">
        <v>3911</v>
      </c>
      <c r="T356" s="1334">
        <v>42759</v>
      </c>
      <c r="U356" s="1284">
        <v>16.88</v>
      </c>
      <c r="V356" s="1401">
        <f t="shared" si="42"/>
        <v>0.89925847457627117</v>
      </c>
      <c r="W356" s="1280" t="s">
        <v>3912</v>
      </c>
      <c r="X356" s="1284">
        <f t="shared" si="47"/>
        <v>0</v>
      </c>
      <c r="Y356" s="1284" t="str">
        <f t="shared" si="48"/>
        <v>0.98</v>
      </c>
      <c r="Z356" s="1358" t="s">
        <v>2072</v>
      </c>
    </row>
    <row r="357" spans="1:26">
      <c r="A357" s="1280" t="s">
        <v>3817</v>
      </c>
      <c r="B357" s="1283">
        <v>651</v>
      </c>
      <c r="C357" s="1399" t="s">
        <v>2039</v>
      </c>
      <c r="D357" s="1358" t="s">
        <v>2038</v>
      </c>
      <c r="E357" s="1358" t="s">
        <v>2037</v>
      </c>
      <c r="F357" s="1359">
        <v>1.25</v>
      </c>
      <c r="G357" s="1359">
        <v>1.2499999475000001</v>
      </c>
      <c r="H357" s="1359">
        <f t="shared" si="43"/>
        <v>43.2667875</v>
      </c>
      <c r="I357" s="1359">
        <f t="shared" si="44"/>
        <v>2.8890520240265123E-2</v>
      </c>
      <c r="J357" s="1334">
        <v>42727</v>
      </c>
      <c r="K357" s="1280" t="s">
        <v>151</v>
      </c>
      <c r="L357" s="1360">
        <v>26.75</v>
      </c>
      <c r="M357" s="1360">
        <v>23.74</v>
      </c>
      <c r="N357" s="1346">
        <f t="shared" si="45"/>
        <v>0.88747663551401867</v>
      </c>
      <c r="O357" s="1360">
        <v>26.75</v>
      </c>
      <c r="P357" s="1332">
        <f t="shared" si="46"/>
        <v>1</v>
      </c>
      <c r="Q357" s="1403">
        <v>3</v>
      </c>
      <c r="R357" s="1404">
        <v>1.6174500000000001</v>
      </c>
      <c r="S357" s="1409" t="s">
        <v>2039</v>
      </c>
      <c r="T357" s="1334">
        <v>42760</v>
      </c>
      <c r="U357" s="1284">
        <v>23.26</v>
      </c>
      <c r="V357" s="1401">
        <f t="shared" si="42"/>
        <v>0.8702803738317757</v>
      </c>
      <c r="W357" s="1280" t="s">
        <v>3897</v>
      </c>
      <c r="X357" s="1284">
        <f t="shared" si="47"/>
        <v>0</v>
      </c>
      <c r="Y357" s="1284" t="str">
        <f t="shared" si="48"/>
        <v>0.2</v>
      </c>
      <c r="Z357" s="1358" t="s">
        <v>2104</v>
      </c>
    </row>
    <row r="358" spans="1:26">
      <c r="A358" s="1280" t="s">
        <v>3817</v>
      </c>
      <c r="B358" s="1283">
        <v>652</v>
      </c>
      <c r="C358" s="1399" t="s">
        <v>2029</v>
      </c>
      <c r="D358" s="1358" t="s">
        <v>2028</v>
      </c>
      <c r="E358" s="1358" t="s">
        <v>2027</v>
      </c>
      <c r="F358" s="1359">
        <v>20.475926999999999</v>
      </c>
      <c r="G358" s="1359">
        <v>20.475926898200001</v>
      </c>
      <c r="H358" s="1359">
        <f t="shared" si="43"/>
        <v>152.29724708000001</v>
      </c>
      <c r="I358" s="1359">
        <f t="shared" si="44"/>
        <v>0.134447124899403</v>
      </c>
      <c r="J358" s="1334">
        <v>42727</v>
      </c>
      <c r="K358" s="1280" t="s">
        <v>151</v>
      </c>
      <c r="L358" s="1360">
        <v>14.74</v>
      </c>
      <c r="M358" s="1360">
        <v>10.18</v>
      </c>
      <c r="N358" s="1346">
        <f t="shared" si="45"/>
        <v>0.69063772048846672</v>
      </c>
      <c r="O358" s="1360">
        <v>12.13</v>
      </c>
      <c r="P358" s="1332">
        <f t="shared" si="46"/>
        <v>0.82293080054274093</v>
      </c>
      <c r="Q358" s="1403">
        <v>8</v>
      </c>
      <c r="R358" s="1404">
        <v>10.332242000000001</v>
      </c>
      <c r="S358" s="1400" t="s">
        <v>3913</v>
      </c>
      <c r="T358" s="1334">
        <v>43131</v>
      </c>
      <c r="U358" s="1284">
        <v>8.07</v>
      </c>
      <c r="V358" s="1401">
        <f t="shared" ref="V358:V359" si="49">(U358*(1+X358/10)+Y358/10)/O358</f>
        <v>0.66529266281945587</v>
      </c>
      <c r="W358" s="1280"/>
      <c r="X358" s="1284">
        <f t="shared" si="47"/>
        <v>0</v>
      </c>
      <c r="Y358" s="1284">
        <f t="shared" si="48"/>
        <v>0</v>
      </c>
      <c r="Z358" s="1358" t="s">
        <v>2072</v>
      </c>
    </row>
    <row r="359" spans="1:26">
      <c r="A359" s="1280" t="s">
        <v>3817</v>
      </c>
      <c r="B359" s="1283">
        <v>654</v>
      </c>
      <c r="C359" s="1298" t="s">
        <v>2023</v>
      </c>
      <c r="D359" s="1358" t="s">
        <v>2022</v>
      </c>
      <c r="E359" s="1358" t="s">
        <v>2021</v>
      </c>
      <c r="F359" s="1359">
        <v>19.5</v>
      </c>
      <c r="G359" s="1359">
        <v>19.499999980399998</v>
      </c>
      <c r="H359" s="1359">
        <f t="shared" ref="H359" si="50">L359*R359</f>
        <v>107.13220559999999</v>
      </c>
      <c r="I359" s="1359">
        <f t="shared" ref="I359" si="51">F359/H359</f>
        <v>0.18201809521972542</v>
      </c>
      <c r="J359" s="1334">
        <v>42724</v>
      </c>
      <c r="K359" s="1280" t="s">
        <v>151</v>
      </c>
      <c r="L359" s="1360">
        <v>13.02</v>
      </c>
      <c r="M359" s="1360">
        <v>10.33</v>
      </c>
      <c r="N359" s="1346">
        <f t="shared" ref="N359" si="52">M359/L359</f>
        <v>0.79339477726574503</v>
      </c>
      <c r="O359" s="1360">
        <v>13.22</v>
      </c>
      <c r="P359" s="1332">
        <f t="shared" ref="P359" si="53">O359/L359</f>
        <v>1.0153609831029187</v>
      </c>
      <c r="Q359" s="1403">
        <v>8</v>
      </c>
      <c r="R359" s="1404">
        <v>8.2282799999999998</v>
      </c>
      <c r="S359" s="1400" t="s">
        <v>3914</v>
      </c>
      <c r="T359" s="1334">
        <v>43140</v>
      </c>
      <c r="U359" s="1284">
        <v>10.9</v>
      </c>
      <c r="V359" s="1401">
        <f t="shared" si="49"/>
        <v>0.82677760968229952</v>
      </c>
      <c r="W359" s="1280" t="s">
        <v>256</v>
      </c>
      <c r="X359" s="1284">
        <f t="shared" ref="X359" si="54">IFERROR(RIGHT(LEFT(W359,FIND("股",W359)-1),FIND("股",W359)-1-FIND("转",W359)),0)</f>
        <v>0</v>
      </c>
      <c r="Y359" s="1284" t="str">
        <f t="shared" ref="Y359" si="55">IFERROR(RIGHT(LEFT(W359,FIND("元",W359)-1),FIND("元",W359)-1-FIND("派",W359)),0)</f>
        <v>0.3</v>
      </c>
      <c r="Z359" s="1358" t="s">
        <v>2386</v>
      </c>
    </row>
  </sheetData>
  <mergeCells count="52">
    <mergeCell ref="Y292:Y293"/>
    <mergeCell ref="B292:B293"/>
    <mergeCell ref="D292:D293"/>
    <mergeCell ref="E292:E293"/>
    <mergeCell ref="F292:F293"/>
    <mergeCell ref="G292:G293"/>
    <mergeCell ref="Q292:Q293"/>
    <mergeCell ref="T292:T293"/>
    <mergeCell ref="U292:U293"/>
    <mergeCell ref="V292:V293"/>
    <mergeCell ref="W292:W293"/>
    <mergeCell ref="X292:X293"/>
    <mergeCell ref="M264:M265"/>
    <mergeCell ref="Q264:Q265"/>
    <mergeCell ref="T264:T265"/>
    <mergeCell ref="B273:B274"/>
    <mergeCell ref="D273:D274"/>
    <mergeCell ref="E273:E274"/>
    <mergeCell ref="F273:F274"/>
    <mergeCell ref="G273:G274"/>
    <mergeCell ref="Q273:Q274"/>
    <mergeCell ref="T273:T274"/>
    <mergeCell ref="B264:B265"/>
    <mergeCell ref="D264:D265"/>
    <mergeCell ref="E264:E265"/>
    <mergeCell ref="F264:F265"/>
    <mergeCell ref="G264:G265"/>
    <mergeCell ref="U259:U262"/>
    <mergeCell ref="V259:V262"/>
    <mergeCell ref="W259:W262"/>
    <mergeCell ref="X259:X262"/>
    <mergeCell ref="Y259:Y262"/>
    <mergeCell ref="T235:T237"/>
    <mergeCell ref="B259:B262"/>
    <mergeCell ref="D259:D262"/>
    <mergeCell ref="E259:E262"/>
    <mergeCell ref="F259:F262"/>
    <mergeCell ref="G259:G262"/>
    <mergeCell ref="Q259:Q262"/>
    <mergeCell ref="T259:T262"/>
    <mergeCell ref="B235:B237"/>
    <mergeCell ref="D235:D237"/>
    <mergeCell ref="E235:E237"/>
    <mergeCell ref="F235:F237"/>
    <mergeCell ref="G235:G237"/>
    <mergeCell ref="Q235:Q237"/>
    <mergeCell ref="Q232:Q233"/>
    <mergeCell ref="B232:B233"/>
    <mergeCell ref="D232:D233"/>
    <mergeCell ref="E232:E233"/>
    <mergeCell ref="F232:F233"/>
    <mergeCell ref="G232:G233"/>
  </mergeCells>
  <phoneticPr fontId="139" type="noConversion"/>
  <hyperlinks>
    <hyperlink ref="C222" r:id="rId1" xr:uid="{00000000-0004-0000-0100-000000000000}"/>
    <hyperlink ref="C221" r:id="rId2" xr:uid="{00000000-0004-0000-0100-000001000000}"/>
    <hyperlink ref="C220" r:id="rId3" xr:uid="{00000000-0004-0000-0100-000002000000}"/>
    <hyperlink ref="C223" r:id="rId4" xr:uid="{00000000-0004-0000-0100-000003000000}"/>
    <hyperlink ref="C224" r:id="rId5" xr:uid="{00000000-0004-0000-0100-000004000000}"/>
    <hyperlink ref="C229" r:id="rId6" xr:uid="{00000000-0004-0000-0100-000005000000}"/>
    <hyperlink ref="C230" r:id="rId7" xr:uid="{00000000-0004-0000-0100-000006000000}"/>
    <hyperlink ref="C231" r:id="rId8" xr:uid="{00000000-0004-0000-0100-000007000000}"/>
    <hyperlink ref="C232" r:id="rId9" xr:uid="{00000000-0004-0000-0100-000008000000}"/>
    <hyperlink ref="C234" r:id="rId10" xr:uid="{00000000-0004-0000-0100-000009000000}"/>
    <hyperlink ref="C235" r:id="rId11" xr:uid="{00000000-0004-0000-0100-00000A000000}"/>
    <hyperlink ref="C238" r:id="rId12" xr:uid="{00000000-0004-0000-0100-00000B000000}"/>
    <hyperlink ref="C239" r:id="rId13" xr:uid="{00000000-0004-0000-0100-00000C000000}"/>
    <hyperlink ref="C240" r:id="rId14" xr:uid="{00000000-0004-0000-0100-00000D000000}"/>
    <hyperlink ref="C241" r:id="rId15" xr:uid="{00000000-0004-0000-0100-00000E000000}"/>
    <hyperlink ref="C242" r:id="rId16" xr:uid="{00000000-0004-0000-0100-00000F000000}"/>
    <hyperlink ref="C243" r:id="rId17" xr:uid="{00000000-0004-0000-0100-000010000000}"/>
    <hyperlink ref="C244" r:id="rId18" xr:uid="{00000000-0004-0000-0100-000011000000}"/>
    <hyperlink ref="C245" r:id="rId19" xr:uid="{00000000-0004-0000-0100-000012000000}"/>
    <hyperlink ref="C246" r:id="rId20" xr:uid="{00000000-0004-0000-0100-000013000000}"/>
    <hyperlink ref="C247" r:id="rId21" xr:uid="{00000000-0004-0000-0100-000014000000}"/>
    <hyperlink ref="C248" r:id="rId22" xr:uid="{00000000-0004-0000-0100-000015000000}"/>
    <hyperlink ref="C249" r:id="rId23" xr:uid="{00000000-0004-0000-0100-000016000000}"/>
    <hyperlink ref="C250" r:id="rId24" xr:uid="{00000000-0004-0000-0100-000017000000}"/>
    <hyperlink ref="C251" r:id="rId25" xr:uid="{00000000-0004-0000-0100-000018000000}"/>
    <hyperlink ref="C252" r:id="rId26" xr:uid="{00000000-0004-0000-0100-000019000000}"/>
    <hyperlink ref="C253" r:id="rId27" xr:uid="{00000000-0004-0000-0100-00001A000000}"/>
    <hyperlink ref="C254" r:id="rId28" xr:uid="{00000000-0004-0000-0100-00001B000000}"/>
    <hyperlink ref="C255" r:id="rId29" xr:uid="{00000000-0004-0000-0100-00001C000000}"/>
    <hyperlink ref="C257" r:id="rId30" xr:uid="{00000000-0004-0000-0100-00001D000000}"/>
    <hyperlink ref="C258" r:id="rId31" xr:uid="{00000000-0004-0000-0100-00001E000000}"/>
    <hyperlink ref="C259" r:id="rId32" xr:uid="{00000000-0004-0000-0100-00001F000000}"/>
    <hyperlink ref="C263" r:id="rId33" xr:uid="{00000000-0004-0000-0100-000020000000}"/>
    <hyperlink ref="C264" r:id="rId34" xr:uid="{00000000-0004-0000-0100-000021000000}"/>
    <hyperlink ref="C266" r:id="rId35" xr:uid="{00000000-0004-0000-0100-000022000000}"/>
    <hyperlink ref="C267" r:id="rId36" xr:uid="{00000000-0004-0000-0100-000023000000}"/>
    <hyperlink ref="C268" r:id="rId37" xr:uid="{00000000-0004-0000-0100-000024000000}"/>
    <hyperlink ref="C269" r:id="rId38" xr:uid="{00000000-0004-0000-0100-000025000000}"/>
    <hyperlink ref="C270" r:id="rId39" xr:uid="{00000000-0004-0000-0100-000026000000}"/>
    <hyperlink ref="C271" r:id="rId40" xr:uid="{00000000-0004-0000-0100-000027000000}"/>
    <hyperlink ref="C272" r:id="rId41" xr:uid="{00000000-0004-0000-0100-000028000000}"/>
    <hyperlink ref="C273" r:id="rId42" xr:uid="{00000000-0004-0000-0100-000029000000}"/>
    <hyperlink ref="C275" r:id="rId43" xr:uid="{00000000-0004-0000-0100-00002A000000}"/>
    <hyperlink ref="C276" r:id="rId44" xr:uid="{00000000-0004-0000-0100-00002B000000}"/>
    <hyperlink ref="C277" r:id="rId45" xr:uid="{00000000-0004-0000-0100-00002C000000}"/>
    <hyperlink ref="C278" r:id="rId46" xr:uid="{00000000-0004-0000-0100-00002D000000}"/>
    <hyperlink ref="C279" r:id="rId47" xr:uid="{00000000-0004-0000-0100-00002E000000}"/>
    <hyperlink ref="C280" r:id="rId48" xr:uid="{00000000-0004-0000-0100-00002F000000}"/>
    <hyperlink ref="C281" r:id="rId49" xr:uid="{00000000-0004-0000-0100-000030000000}"/>
    <hyperlink ref="C282" r:id="rId50" xr:uid="{00000000-0004-0000-0100-000031000000}"/>
    <hyperlink ref="C283" r:id="rId51" xr:uid="{00000000-0004-0000-0100-000032000000}"/>
    <hyperlink ref="C284" r:id="rId52" xr:uid="{00000000-0004-0000-0100-000033000000}"/>
    <hyperlink ref="C285" r:id="rId53" xr:uid="{00000000-0004-0000-0100-000034000000}"/>
    <hyperlink ref="C286" r:id="rId54" xr:uid="{00000000-0004-0000-0100-000035000000}"/>
    <hyperlink ref="C287" r:id="rId55" xr:uid="{00000000-0004-0000-0100-000036000000}"/>
    <hyperlink ref="C288" r:id="rId56" xr:uid="{00000000-0004-0000-0100-000037000000}"/>
    <hyperlink ref="C289" r:id="rId57" xr:uid="{00000000-0004-0000-0100-000038000000}"/>
    <hyperlink ref="C290" r:id="rId58" xr:uid="{00000000-0004-0000-0100-000039000000}"/>
    <hyperlink ref="C291" r:id="rId59" xr:uid="{00000000-0004-0000-0100-00003A000000}"/>
    <hyperlink ref="C292" r:id="rId60" xr:uid="{00000000-0004-0000-0100-00003B000000}"/>
    <hyperlink ref="S220" r:id="rId61" xr:uid="{00000000-0004-0000-0100-00003C000000}"/>
    <hyperlink ref="S221" r:id="rId62" xr:uid="{00000000-0004-0000-0100-00003D000000}"/>
    <hyperlink ref="S222" r:id="rId63" xr:uid="{00000000-0004-0000-0100-00003E000000}"/>
    <hyperlink ref="S223" r:id="rId64" xr:uid="{00000000-0004-0000-0100-00003F000000}"/>
    <hyperlink ref="S224" r:id="rId65" xr:uid="{00000000-0004-0000-0100-000040000000}"/>
    <hyperlink ref="S225" r:id="rId66" xr:uid="{00000000-0004-0000-0100-000041000000}"/>
    <hyperlink ref="S226" r:id="rId67" xr:uid="{00000000-0004-0000-0100-000042000000}"/>
    <hyperlink ref="S227" r:id="rId68" xr:uid="{00000000-0004-0000-0100-000043000000}"/>
    <hyperlink ref="S228" r:id="rId69" xr:uid="{00000000-0004-0000-0100-000044000000}"/>
    <hyperlink ref="S229" r:id="rId70" xr:uid="{00000000-0004-0000-0100-000045000000}"/>
    <hyperlink ref="S230" r:id="rId71" xr:uid="{00000000-0004-0000-0100-000046000000}"/>
    <hyperlink ref="S231" r:id="rId72" xr:uid="{00000000-0004-0000-0100-000047000000}"/>
    <hyperlink ref="AA231" r:id="rId73" xr:uid="{00000000-0004-0000-0100-000048000000}"/>
    <hyperlink ref="S232" r:id="rId74" xr:uid="{00000000-0004-0000-0100-000049000000}"/>
    <hyperlink ref="S233" r:id="rId75" xr:uid="{00000000-0004-0000-0100-00004A000000}"/>
    <hyperlink ref="S234" r:id="rId76" xr:uid="{00000000-0004-0000-0100-00004B000000}"/>
    <hyperlink ref="S235" r:id="rId77" xr:uid="{00000000-0004-0000-0100-00004C000000}"/>
    <hyperlink ref="S238" r:id="rId78" xr:uid="{00000000-0004-0000-0100-00004D000000}"/>
    <hyperlink ref="S239" r:id="rId79" xr:uid="{00000000-0004-0000-0100-00004E000000}"/>
    <hyperlink ref="S241" r:id="rId80" xr:uid="{00000000-0004-0000-0100-00004F000000}"/>
    <hyperlink ref="S240" r:id="rId81" xr:uid="{00000000-0004-0000-0100-000050000000}"/>
    <hyperlink ref="S242" r:id="rId82" xr:uid="{00000000-0004-0000-0100-000051000000}"/>
    <hyperlink ref="S243" r:id="rId83" xr:uid="{00000000-0004-0000-0100-000052000000}"/>
    <hyperlink ref="S244" r:id="rId84" xr:uid="{00000000-0004-0000-0100-000053000000}"/>
    <hyperlink ref="S245" r:id="rId85" xr:uid="{00000000-0004-0000-0100-000054000000}"/>
    <hyperlink ref="S246" r:id="rId86" xr:uid="{00000000-0004-0000-0100-000055000000}"/>
    <hyperlink ref="S247" r:id="rId87" xr:uid="{00000000-0004-0000-0100-000056000000}"/>
    <hyperlink ref="S248" r:id="rId88" xr:uid="{00000000-0004-0000-0100-000057000000}"/>
    <hyperlink ref="S249" r:id="rId89" xr:uid="{00000000-0004-0000-0100-000058000000}"/>
    <hyperlink ref="S250" r:id="rId90" xr:uid="{00000000-0004-0000-0100-000059000000}"/>
    <hyperlink ref="S251" r:id="rId91" xr:uid="{00000000-0004-0000-0100-00005A000000}"/>
    <hyperlink ref="S252" r:id="rId92" xr:uid="{00000000-0004-0000-0100-00005B000000}"/>
    <hyperlink ref="S253" r:id="rId93" xr:uid="{00000000-0004-0000-0100-00005C000000}"/>
    <hyperlink ref="S254" r:id="rId94" xr:uid="{00000000-0004-0000-0100-00005D000000}"/>
    <hyperlink ref="S255" r:id="rId95" xr:uid="{00000000-0004-0000-0100-00005E000000}"/>
    <hyperlink ref="S256" r:id="rId96" xr:uid="{00000000-0004-0000-0100-00005F000000}"/>
    <hyperlink ref="S257" r:id="rId97" xr:uid="{00000000-0004-0000-0100-000060000000}"/>
    <hyperlink ref="S258" r:id="rId98" xr:uid="{00000000-0004-0000-0100-000061000000}"/>
    <hyperlink ref="S259" r:id="rId99" xr:uid="{00000000-0004-0000-0100-000062000000}"/>
    <hyperlink ref="S263" r:id="rId100" xr:uid="{00000000-0004-0000-0100-000063000000}"/>
    <hyperlink ref="S264" r:id="rId101" xr:uid="{00000000-0004-0000-0100-000064000000}"/>
    <hyperlink ref="S266" r:id="rId102" xr:uid="{00000000-0004-0000-0100-000065000000}"/>
    <hyperlink ref="S267" r:id="rId103" xr:uid="{00000000-0004-0000-0100-000066000000}"/>
    <hyperlink ref="S268" r:id="rId104" xr:uid="{00000000-0004-0000-0100-000067000000}"/>
    <hyperlink ref="S269" r:id="rId105" xr:uid="{00000000-0004-0000-0100-000068000000}"/>
    <hyperlink ref="S270" r:id="rId106" xr:uid="{00000000-0004-0000-0100-000069000000}"/>
    <hyperlink ref="S271" r:id="rId107" xr:uid="{00000000-0004-0000-0100-00006A000000}"/>
    <hyperlink ref="S272" r:id="rId108" xr:uid="{00000000-0004-0000-0100-00006B000000}"/>
    <hyperlink ref="S273" r:id="rId109" xr:uid="{00000000-0004-0000-0100-00006C000000}"/>
    <hyperlink ref="S275" r:id="rId110" xr:uid="{00000000-0004-0000-0100-00006D000000}"/>
    <hyperlink ref="S276" r:id="rId111" xr:uid="{00000000-0004-0000-0100-00006E000000}"/>
    <hyperlink ref="S277" r:id="rId112" xr:uid="{00000000-0004-0000-0100-00006F000000}"/>
    <hyperlink ref="S278" r:id="rId113" xr:uid="{00000000-0004-0000-0100-000070000000}"/>
    <hyperlink ref="S279" r:id="rId114" xr:uid="{00000000-0004-0000-0100-000071000000}"/>
    <hyperlink ref="S280" r:id="rId115" xr:uid="{00000000-0004-0000-0100-000072000000}"/>
    <hyperlink ref="S281" r:id="rId116" xr:uid="{00000000-0004-0000-0100-000073000000}"/>
    <hyperlink ref="S282" r:id="rId117" xr:uid="{00000000-0004-0000-0100-000074000000}"/>
    <hyperlink ref="S283" r:id="rId118" xr:uid="{00000000-0004-0000-0100-000075000000}"/>
    <hyperlink ref="S284" r:id="rId119" xr:uid="{00000000-0004-0000-0100-000076000000}"/>
    <hyperlink ref="S285" r:id="rId120" xr:uid="{00000000-0004-0000-0100-000077000000}"/>
    <hyperlink ref="S286" r:id="rId121" xr:uid="{00000000-0004-0000-0100-000078000000}"/>
    <hyperlink ref="S287" r:id="rId122" xr:uid="{00000000-0004-0000-0100-000079000000}"/>
    <hyperlink ref="S288" r:id="rId123" xr:uid="{00000000-0004-0000-0100-00007A000000}"/>
    <hyperlink ref="S289" r:id="rId124" xr:uid="{00000000-0004-0000-0100-00007B000000}"/>
    <hyperlink ref="S290" r:id="rId125" xr:uid="{00000000-0004-0000-0100-00007C000000}"/>
    <hyperlink ref="S291" r:id="rId126" xr:uid="{00000000-0004-0000-0100-00007D000000}"/>
    <hyperlink ref="S292" r:id="rId127" xr:uid="{00000000-0004-0000-0100-00007E000000}"/>
    <hyperlink ref="C225" r:id="rId128" xr:uid="{00000000-0004-0000-0100-00007F000000}"/>
    <hyperlink ref="C226" r:id="rId129" xr:uid="{00000000-0004-0000-0100-000080000000}"/>
    <hyperlink ref="C227" r:id="rId130" xr:uid="{00000000-0004-0000-0100-000081000000}"/>
    <hyperlink ref="C228" r:id="rId131" xr:uid="{00000000-0004-0000-0100-000082000000}"/>
    <hyperlink ref="C256" r:id="rId132" xr:uid="{00000000-0004-0000-0100-000083000000}"/>
    <hyperlink ref="C296" r:id="rId133" xr:uid="{00000000-0004-0000-0100-000084000000}"/>
    <hyperlink ref="C297" r:id="rId134" xr:uid="{00000000-0004-0000-0100-000085000000}"/>
    <hyperlink ref="C298" r:id="rId135" xr:uid="{00000000-0004-0000-0100-000086000000}"/>
    <hyperlink ref="C299" r:id="rId136" xr:uid="{00000000-0004-0000-0100-000087000000}"/>
    <hyperlink ref="C300" r:id="rId137" xr:uid="{00000000-0004-0000-0100-000088000000}"/>
    <hyperlink ref="C301" r:id="rId138" xr:uid="{00000000-0004-0000-0100-000089000000}"/>
    <hyperlink ref="C302" r:id="rId139" xr:uid="{00000000-0004-0000-0100-00008A000000}"/>
    <hyperlink ref="C303" r:id="rId140" xr:uid="{00000000-0004-0000-0100-00008B000000}"/>
    <hyperlink ref="C304" r:id="rId141" xr:uid="{00000000-0004-0000-0100-00008C000000}"/>
    <hyperlink ref="C305" r:id="rId142" xr:uid="{00000000-0004-0000-0100-00008D000000}"/>
    <hyperlink ref="C306" r:id="rId143" xr:uid="{00000000-0004-0000-0100-00008E000000}"/>
    <hyperlink ref="C307" r:id="rId144" xr:uid="{00000000-0004-0000-0100-00008F000000}"/>
    <hyperlink ref="C308" r:id="rId145" xr:uid="{00000000-0004-0000-0100-000090000000}"/>
    <hyperlink ref="C309" r:id="rId146" xr:uid="{00000000-0004-0000-0100-000091000000}"/>
    <hyperlink ref="C310" r:id="rId147" xr:uid="{00000000-0004-0000-0100-000092000000}"/>
    <hyperlink ref="C311" r:id="rId148" xr:uid="{00000000-0004-0000-0100-000093000000}"/>
    <hyperlink ref="C312" r:id="rId149" xr:uid="{00000000-0004-0000-0100-000094000000}"/>
    <hyperlink ref="C313" r:id="rId150" xr:uid="{00000000-0004-0000-0100-000095000000}"/>
    <hyperlink ref="C314" r:id="rId151" xr:uid="{00000000-0004-0000-0100-000096000000}"/>
    <hyperlink ref="C315" r:id="rId152" xr:uid="{00000000-0004-0000-0100-000097000000}"/>
    <hyperlink ref="C316" r:id="rId153" xr:uid="{00000000-0004-0000-0100-000098000000}"/>
    <hyperlink ref="C317" r:id="rId154" xr:uid="{00000000-0004-0000-0100-000099000000}"/>
    <hyperlink ref="C318" r:id="rId155" xr:uid="{00000000-0004-0000-0100-00009A000000}"/>
    <hyperlink ref="C319" r:id="rId156" xr:uid="{00000000-0004-0000-0100-00009B000000}"/>
    <hyperlink ref="C320" r:id="rId157" xr:uid="{00000000-0004-0000-0100-00009C000000}"/>
    <hyperlink ref="C321" r:id="rId158" xr:uid="{00000000-0004-0000-0100-00009D000000}"/>
    <hyperlink ref="C322" r:id="rId159" xr:uid="{00000000-0004-0000-0100-00009E000000}"/>
    <hyperlink ref="C323" r:id="rId160" xr:uid="{00000000-0004-0000-0100-00009F000000}"/>
    <hyperlink ref="C324" r:id="rId161" xr:uid="{00000000-0004-0000-0100-0000A0000000}"/>
    <hyperlink ref="C325" r:id="rId162" xr:uid="{00000000-0004-0000-0100-0000A1000000}"/>
    <hyperlink ref="C326" r:id="rId163" xr:uid="{00000000-0004-0000-0100-0000A2000000}"/>
    <hyperlink ref="C328" r:id="rId164" xr:uid="{00000000-0004-0000-0100-0000A3000000}"/>
    <hyperlink ref="C329" r:id="rId165" xr:uid="{00000000-0004-0000-0100-0000A4000000}"/>
    <hyperlink ref="C330" r:id="rId166" xr:uid="{00000000-0004-0000-0100-0000A5000000}"/>
    <hyperlink ref="C331" r:id="rId167" xr:uid="{00000000-0004-0000-0100-0000A6000000}"/>
    <hyperlink ref="C332" r:id="rId168" xr:uid="{00000000-0004-0000-0100-0000A7000000}"/>
    <hyperlink ref="C333" r:id="rId169" xr:uid="{00000000-0004-0000-0100-0000A8000000}"/>
    <hyperlink ref="C334" r:id="rId170" xr:uid="{00000000-0004-0000-0100-0000A9000000}"/>
    <hyperlink ref="C335" r:id="rId171" xr:uid="{00000000-0004-0000-0100-0000AA000000}"/>
    <hyperlink ref="C336" r:id="rId172" xr:uid="{00000000-0004-0000-0100-0000AB000000}"/>
    <hyperlink ref="C337" r:id="rId173" xr:uid="{00000000-0004-0000-0100-0000AC000000}"/>
    <hyperlink ref="C338" r:id="rId174" xr:uid="{00000000-0004-0000-0100-0000AD000000}"/>
    <hyperlink ref="C339" r:id="rId175" xr:uid="{00000000-0004-0000-0100-0000AE000000}"/>
    <hyperlink ref="C340" r:id="rId176" xr:uid="{00000000-0004-0000-0100-0000AF000000}"/>
    <hyperlink ref="C341" r:id="rId177" xr:uid="{00000000-0004-0000-0100-0000B0000000}"/>
    <hyperlink ref="C342" r:id="rId178" xr:uid="{00000000-0004-0000-0100-0000B1000000}"/>
    <hyperlink ref="C343" r:id="rId179" xr:uid="{00000000-0004-0000-0100-0000B2000000}"/>
    <hyperlink ref="C344" r:id="rId180" xr:uid="{00000000-0004-0000-0100-0000B3000000}"/>
    <hyperlink ref="C345" r:id="rId181" xr:uid="{00000000-0004-0000-0100-0000B4000000}"/>
    <hyperlink ref="C346" r:id="rId182" xr:uid="{00000000-0004-0000-0100-0000B5000000}"/>
    <hyperlink ref="C347" r:id="rId183" xr:uid="{00000000-0004-0000-0100-0000B6000000}"/>
    <hyperlink ref="C348" r:id="rId184" xr:uid="{00000000-0004-0000-0100-0000B7000000}"/>
    <hyperlink ref="C349" r:id="rId185" xr:uid="{00000000-0004-0000-0100-0000B8000000}"/>
    <hyperlink ref="C350" r:id="rId186" xr:uid="{00000000-0004-0000-0100-0000B9000000}"/>
    <hyperlink ref="C351" r:id="rId187" xr:uid="{00000000-0004-0000-0100-0000BA000000}"/>
    <hyperlink ref="C352" r:id="rId188" xr:uid="{00000000-0004-0000-0100-0000BB000000}"/>
    <hyperlink ref="C353" r:id="rId189" xr:uid="{00000000-0004-0000-0100-0000BC000000}"/>
    <hyperlink ref="C354" r:id="rId190" xr:uid="{00000000-0004-0000-0100-0000BD000000}"/>
    <hyperlink ref="C355" r:id="rId191" xr:uid="{00000000-0004-0000-0100-0000BE000000}"/>
    <hyperlink ref="C356" r:id="rId192" xr:uid="{00000000-0004-0000-0100-0000BF000000}"/>
    <hyperlink ref="C357" r:id="rId193" xr:uid="{00000000-0004-0000-0100-0000C0000000}"/>
    <hyperlink ref="C358" r:id="rId194" xr:uid="{00000000-0004-0000-0100-0000C1000000}"/>
    <hyperlink ref="C359" r:id="rId195" xr:uid="{00000000-0004-0000-0100-0000C2000000}"/>
    <hyperlink ref="C294" r:id="rId196" xr:uid="{00000000-0004-0000-0100-0000C3000000}"/>
    <hyperlink ref="C295" r:id="rId197" xr:uid="{00000000-0004-0000-0100-0000C4000000}"/>
    <hyperlink ref="C327" r:id="rId198" xr:uid="{00000000-0004-0000-0100-0000C5000000}"/>
    <hyperlink ref="S294" r:id="rId199" xr:uid="{00000000-0004-0000-0100-0000C6000000}"/>
    <hyperlink ref="S300" r:id="rId200" xr:uid="{00000000-0004-0000-0100-0000C7000000}"/>
    <hyperlink ref="S308" r:id="rId201" xr:uid="{00000000-0004-0000-0100-0000C8000000}"/>
    <hyperlink ref="S312" r:id="rId202" xr:uid="{00000000-0004-0000-0100-0000C9000000}"/>
    <hyperlink ref="S315" r:id="rId203" xr:uid="{00000000-0004-0000-0100-0000CA000000}"/>
    <hyperlink ref="S316" r:id="rId204" xr:uid="{00000000-0004-0000-0100-0000CB000000}"/>
    <hyperlink ref="S329" r:id="rId205" xr:uid="{00000000-0004-0000-0100-0000CC000000}"/>
    <hyperlink ref="S342" r:id="rId206" xr:uid="{00000000-0004-0000-0100-0000CD000000}"/>
    <hyperlink ref="S352" r:id="rId207" xr:uid="{00000000-0004-0000-0100-0000CE000000}"/>
    <hyperlink ref="S295" r:id="rId208" xr:uid="{00000000-0004-0000-0100-0000CF000000}"/>
    <hyperlink ref="S296" r:id="rId209" xr:uid="{00000000-0004-0000-0100-0000D0000000}"/>
    <hyperlink ref="S297" r:id="rId210" xr:uid="{00000000-0004-0000-0100-0000D1000000}"/>
    <hyperlink ref="S298" r:id="rId211" xr:uid="{00000000-0004-0000-0100-0000D2000000}"/>
    <hyperlink ref="S299" r:id="rId212" xr:uid="{00000000-0004-0000-0100-0000D3000000}"/>
    <hyperlink ref="S301" r:id="rId213" xr:uid="{00000000-0004-0000-0100-0000D4000000}"/>
    <hyperlink ref="S302" r:id="rId214" xr:uid="{00000000-0004-0000-0100-0000D5000000}"/>
    <hyperlink ref="S303" r:id="rId215" xr:uid="{00000000-0004-0000-0100-0000D6000000}"/>
    <hyperlink ref="S304" r:id="rId216" xr:uid="{00000000-0004-0000-0100-0000D7000000}"/>
    <hyperlink ref="S305" r:id="rId217" xr:uid="{00000000-0004-0000-0100-0000D8000000}"/>
    <hyperlink ref="S306" r:id="rId218" xr:uid="{00000000-0004-0000-0100-0000D9000000}"/>
    <hyperlink ref="S307" r:id="rId219" xr:uid="{00000000-0004-0000-0100-0000DA000000}"/>
    <hyperlink ref="S309" r:id="rId220" xr:uid="{00000000-0004-0000-0100-0000DB000000}"/>
    <hyperlink ref="S310" r:id="rId221" xr:uid="{00000000-0004-0000-0100-0000DC000000}"/>
    <hyperlink ref="S311" r:id="rId222" xr:uid="{00000000-0004-0000-0100-0000DD000000}"/>
    <hyperlink ref="S313" r:id="rId223" xr:uid="{00000000-0004-0000-0100-0000DE000000}"/>
    <hyperlink ref="S314" r:id="rId224" xr:uid="{00000000-0004-0000-0100-0000DF000000}"/>
    <hyperlink ref="S317" r:id="rId225" xr:uid="{00000000-0004-0000-0100-0000E0000000}"/>
    <hyperlink ref="S318" r:id="rId226" xr:uid="{00000000-0004-0000-0100-0000E1000000}"/>
    <hyperlink ref="S319" r:id="rId227" xr:uid="{00000000-0004-0000-0100-0000E2000000}"/>
    <hyperlink ref="S320" r:id="rId228" xr:uid="{00000000-0004-0000-0100-0000E3000000}"/>
    <hyperlink ref="S321" r:id="rId229" xr:uid="{00000000-0004-0000-0100-0000E4000000}"/>
    <hyperlink ref="S322" r:id="rId230" xr:uid="{00000000-0004-0000-0100-0000E5000000}"/>
    <hyperlink ref="S323" r:id="rId231" xr:uid="{00000000-0004-0000-0100-0000E6000000}"/>
    <hyperlink ref="S324" r:id="rId232" xr:uid="{00000000-0004-0000-0100-0000E7000000}"/>
    <hyperlink ref="S325" r:id="rId233" xr:uid="{00000000-0004-0000-0100-0000E8000000}"/>
    <hyperlink ref="S326" r:id="rId234" xr:uid="{00000000-0004-0000-0100-0000E9000000}"/>
    <hyperlink ref="S327" r:id="rId235" xr:uid="{00000000-0004-0000-0100-0000EA000000}"/>
    <hyperlink ref="S330" r:id="rId236" xr:uid="{00000000-0004-0000-0100-0000EB000000}"/>
    <hyperlink ref="S331" r:id="rId237" xr:uid="{00000000-0004-0000-0100-0000EC000000}"/>
    <hyperlink ref="S332" r:id="rId238" xr:uid="{00000000-0004-0000-0100-0000ED000000}"/>
    <hyperlink ref="S333" r:id="rId239" xr:uid="{00000000-0004-0000-0100-0000EE000000}"/>
    <hyperlink ref="S334" r:id="rId240" xr:uid="{00000000-0004-0000-0100-0000EF000000}"/>
    <hyperlink ref="S335" r:id="rId241" xr:uid="{00000000-0004-0000-0100-0000F0000000}"/>
    <hyperlink ref="S336" r:id="rId242" xr:uid="{00000000-0004-0000-0100-0000F1000000}"/>
    <hyperlink ref="S337" r:id="rId243" xr:uid="{00000000-0004-0000-0100-0000F2000000}"/>
    <hyperlink ref="S338" r:id="rId244" xr:uid="{00000000-0004-0000-0100-0000F3000000}"/>
    <hyperlink ref="S339" r:id="rId245" xr:uid="{00000000-0004-0000-0100-0000F4000000}"/>
    <hyperlink ref="S340" r:id="rId246" xr:uid="{00000000-0004-0000-0100-0000F5000000}"/>
    <hyperlink ref="S341" r:id="rId247" xr:uid="{00000000-0004-0000-0100-0000F6000000}"/>
    <hyperlink ref="S343" r:id="rId248" xr:uid="{00000000-0004-0000-0100-0000F7000000}"/>
    <hyperlink ref="S344" r:id="rId249" xr:uid="{00000000-0004-0000-0100-0000F8000000}"/>
    <hyperlink ref="S345" r:id="rId250" xr:uid="{00000000-0004-0000-0100-0000F9000000}"/>
    <hyperlink ref="S346" r:id="rId251" xr:uid="{00000000-0004-0000-0100-0000FA000000}"/>
    <hyperlink ref="S348" r:id="rId252" xr:uid="{00000000-0004-0000-0100-0000FB000000}"/>
    <hyperlink ref="S349" r:id="rId253" xr:uid="{00000000-0004-0000-0100-0000FC000000}"/>
    <hyperlink ref="S350" r:id="rId254" xr:uid="{00000000-0004-0000-0100-0000FD000000}"/>
    <hyperlink ref="S351" r:id="rId255" xr:uid="{00000000-0004-0000-0100-0000FE000000}"/>
    <hyperlink ref="S353" r:id="rId256" xr:uid="{00000000-0004-0000-0100-0000FF000000}"/>
    <hyperlink ref="S354" r:id="rId257" xr:uid="{00000000-0004-0000-0100-000000010000}"/>
    <hyperlink ref="S355" r:id="rId258" xr:uid="{00000000-0004-0000-0100-000001010000}"/>
    <hyperlink ref="S356" r:id="rId259" xr:uid="{00000000-0004-0000-0100-000002010000}"/>
    <hyperlink ref="S358" r:id="rId260" xr:uid="{00000000-0004-0000-0100-000003010000}"/>
    <hyperlink ref="S359" r:id="rId261" xr:uid="{00000000-0004-0000-0100-000004010000}"/>
    <hyperlink ref="S328" r:id="rId262" xr:uid="{00000000-0004-0000-0100-000005010000}"/>
    <hyperlink ref="S347" r:id="rId263" xr:uid="{00000000-0004-0000-0100-000006010000}"/>
    <hyperlink ref="S357" r:id="rId264" xr:uid="{00000000-0004-0000-0100-000007010000}"/>
    <hyperlink ref="S54" r:id="rId265" xr:uid="{00000000-0004-0000-0100-000008010000}"/>
    <hyperlink ref="C56" r:id="rId266" xr:uid="{00000000-0004-0000-0100-000009010000}"/>
    <hyperlink ref="C54" r:id="rId267" xr:uid="{00000000-0004-0000-0100-00000A010000}"/>
    <hyperlink ref="S56" r:id="rId268" xr:uid="{00000000-0004-0000-0100-00000B010000}"/>
    <hyperlink ref="C57" r:id="rId269" xr:uid="{00000000-0004-0000-0100-00000C010000}"/>
    <hyperlink ref="S57" r:id="rId270" xr:uid="{00000000-0004-0000-0100-00000D010000}"/>
    <hyperlink ref="C58" r:id="rId271" xr:uid="{00000000-0004-0000-0100-00000E010000}"/>
    <hyperlink ref="S58" r:id="rId272" xr:uid="{00000000-0004-0000-0100-00000F010000}"/>
    <hyperlink ref="C59" r:id="rId273" xr:uid="{00000000-0004-0000-0100-000010010000}"/>
    <hyperlink ref="S59" r:id="rId274" xr:uid="{00000000-0004-0000-0100-000011010000}"/>
    <hyperlink ref="C60" r:id="rId275" xr:uid="{00000000-0004-0000-0100-000012010000}"/>
    <hyperlink ref="C61" r:id="rId276" xr:uid="{00000000-0004-0000-0100-000013010000}"/>
    <hyperlink ref="S61" r:id="rId277" xr:uid="{00000000-0004-0000-0100-000014010000}"/>
    <hyperlink ref="C62" r:id="rId278" xr:uid="{00000000-0004-0000-0100-000015010000}"/>
    <hyperlink ref="S62" r:id="rId279" xr:uid="{00000000-0004-0000-0100-000016010000}"/>
    <hyperlink ref="C65" r:id="rId280" xr:uid="{00000000-0004-0000-0100-000017010000}"/>
    <hyperlink ref="S65" r:id="rId281" xr:uid="{00000000-0004-0000-0100-000018010000}"/>
    <hyperlink ref="C67" r:id="rId282" xr:uid="{00000000-0004-0000-0100-000019010000}"/>
    <hyperlink ref="S67" r:id="rId283" xr:uid="{00000000-0004-0000-0100-00001A010000}"/>
    <hyperlink ref="C69" r:id="rId284" xr:uid="{00000000-0004-0000-0100-00001B010000}"/>
    <hyperlink ref="S69" r:id="rId285" xr:uid="{00000000-0004-0000-0100-00001C010000}"/>
    <hyperlink ref="C70" r:id="rId286" xr:uid="{00000000-0004-0000-0100-00001D010000}"/>
    <hyperlink ref="S70" r:id="rId287" xr:uid="{00000000-0004-0000-0100-00001E010000}"/>
    <hyperlink ref="C71" r:id="rId288" xr:uid="{00000000-0004-0000-0100-00001F010000}"/>
    <hyperlink ref="S71" r:id="rId289" xr:uid="{00000000-0004-0000-0100-000020010000}"/>
    <hyperlink ref="C72" r:id="rId290" xr:uid="{00000000-0004-0000-0100-000021010000}"/>
    <hyperlink ref="C73" r:id="rId291" xr:uid="{00000000-0004-0000-0100-000022010000}"/>
    <hyperlink ref="S73" r:id="rId292" xr:uid="{00000000-0004-0000-0100-000023010000}"/>
    <hyperlink ref="C74" r:id="rId293" xr:uid="{00000000-0004-0000-0100-000024010000}"/>
    <hyperlink ref="S74" r:id="rId294" xr:uid="{00000000-0004-0000-0100-000025010000}"/>
    <hyperlink ref="C76" r:id="rId295" xr:uid="{00000000-0004-0000-0100-000026010000}"/>
    <hyperlink ref="S76" r:id="rId296" xr:uid="{00000000-0004-0000-0100-000027010000}"/>
    <hyperlink ref="C77" r:id="rId297" xr:uid="{00000000-0004-0000-0100-000028010000}"/>
    <hyperlink ref="S77" r:id="rId298" xr:uid="{00000000-0004-0000-0100-000029010000}"/>
    <hyperlink ref="C78" r:id="rId299" xr:uid="{00000000-0004-0000-0100-00002A010000}"/>
    <hyperlink ref="S78" r:id="rId300" xr:uid="{00000000-0004-0000-0100-00002B010000}"/>
    <hyperlink ref="S79" r:id="rId301" xr:uid="{00000000-0004-0000-0100-00002C010000}"/>
    <hyperlink ref="C80" r:id="rId302" xr:uid="{00000000-0004-0000-0100-00002D010000}"/>
    <hyperlink ref="S80" r:id="rId303" xr:uid="{00000000-0004-0000-0100-00002E010000}"/>
    <hyperlink ref="C81" r:id="rId304" xr:uid="{00000000-0004-0000-0100-00002F010000}"/>
    <hyperlink ref="S81" r:id="rId305" xr:uid="{00000000-0004-0000-0100-000030010000}"/>
    <hyperlink ref="C82" r:id="rId306" xr:uid="{00000000-0004-0000-0100-000031010000}"/>
    <hyperlink ref="S82" r:id="rId307" xr:uid="{00000000-0004-0000-0100-000032010000}"/>
    <hyperlink ref="C83" r:id="rId308" xr:uid="{00000000-0004-0000-0100-000033010000}"/>
    <hyperlink ref="S83" r:id="rId309" xr:uid="{00000000-0004-0000-0100-000034010000}"/>
    <hyperlink ref="C84" r:id="rId310" xr:uid="{00000000-0004-0000-0100-000035010000}"/>
    <hyperlink ref="S84" r:id="rId311" xr:uid="{00000000-0004-0000-0100-000036010000}"/>
    <hyperlink ref="C85" r:id="rId312" xr:uid="{00000000-0004-0000-0100-000037010000}"/>
    <hyperlink ref="S85" r:id="rId313" xr:uid="{00000000-0004-0000-0100-000038010000}"/>
    <hyperlink ref="S86" r:id="rId314" xr:uid="{00000000-0004-0000-0100-000039010000}"/>
    <hyperlink ref="C86" r:id="rId315" xr:uid="{00000000-0004-0000-0100-00003A010000}"/>
    <hyperlink ref="C87" r:id="rId316" xr:uid="{00000000-0004-0000-0100-00003B010000}"/>
    <hyperlink ref="S87" r:id="rId317" xr:uid="{00000000-0004-0000-0100-00003C010000}"/>
    <hyperlink ref="C88" r:id="rId318" xr:uid="{00000000-0004-0000-0100-00003D010000}"/>
    <hyperlink ref="S88" r:id="rId319" xr:uid="{00000000-0004-0000-0100-00003E010000}"/>
    <hyperlink ref="C89" r:id="rId320" xr:uid="{00000000-0004-0000-0100-00003F010000}"/>
    <hyperlink ref="S89" r:id="rId321" xr:uid="{00000000-0004-0000-0100-000040010000}"/>
    <hyperlink ref="C90" r:id="rId322" xr:uid="{00000000-0004-0000-0100-000041010000}"/>
    <hyperlink ref="S90" r:id="rId323" xr:uid="{00000000-0004-0000-0100-000042010000}"/>
    <hyperlink ref="C75" r:id="rId324" xr:uid="{00000000-0004-0000-0100-000043010000}"/>
    <hyperlink ref="C79" r:id="rId325" xr:uid="{00000000-0004-0000-0100-000044010000}"/>
    <hyperlink ref="C93" r:id="rId326" xr:uid="{00000000-0004-0000-0100-000045010000}"/>
    <hyperlink ref="S93" r:id="rId327" xr:uid="{00000000-0004-0000-0100-000046010000}"/>
    <hyperlink ref="C94" r:id="rId328" xr:uid="{00000000-0004-0000-0100-000047010000}"/>
    <hyperlink ref="S94" r:id="rId329" xr:uid="{00000000-0004-0000-0100-000048010000}"/>
    <hyperlink ref="C95" r:id="rId330" xr:uid="{00000000-0004-0000-0100-000049010000}"/>
    <hyperlink ref="S95" r:id="rId331" xr:uid="{00000000-0004-0000-0100-00004A010000}"/>
    <hyperlink ref="C96" r:id="rId332" xr:uid="{00000000-0004-0000-0100-00004B010000}"/>
    <hyperlink ref="S96" r:id="rId333" xr:uid="{00000000-0004-0000-0100-00004C010000}"/>
    <hyperlink ref="C97" r:id="rId334" xr:uid="{00000000-0004-0000-0100-00004D010000}"/>
    <hyperlink ref="S97" r:id="rId335" xr:uid="{00000000-0004-0000-0100-00004E010000}"/>
    <hyperlink ref="C98" r:id="rId336" xr:uid="{00000000-0004-0000-0100-00004F010000}"/>
    <hyperlink ref="S98" r:id="rId337" xr:uid="{00000000-0004-0000-0100-000050010000}"/>
    <hyperlink ref="C99" r:id="rId338" xr:uid="{00000000-0004-0000-0100-000051010000}"/>
    <hyperlink ref="S99" r:id="rId339" xr:uid="{00000000-0004-0000-0100-000052010000}"/>
    <hyperlink ref="C100" r:id="rId340" xr:uid="{00000000-0004-0000-0100-000053010000}"/>
    <hyperlink ref="S100" r:id="rId341" xr:uid="{00000000-0004-0000-0100-000054010000}"/>
    <hyperlink ref="C101" r:id="rId342" xr:uid="{00000000-0004-0000-0100-000055010000}"/>
    <hyperlink ref="S101" r:id="rId343" display="http://static.cninfo.com.cn/finalpage/2016-06-15/1202368081.PDF" xr:uid="{00000000-0004-0000-0100-000056010000}"/>
    <hyperlink ref="C102" r:id="rId344" xr:uid="{00000000-0004-0000-0100-000057010000}"/>
    <hyperlink ref="S102" r:id="rId345" xr:uid="{00000000-0004-0000-0100-000058010000}"/>
    <hyperlink ref="S103" r:id="rId346" xr:uid="{00000000-0004-0000-0100-000059010000}"/>
    <hyperlink ref="C103" r:id="rId347" xr:uid="{00000000-0004-0000-0100-00005A010000}"/>
    <hyperlink ref="C104" r:id="rId348" xr:uid="{00000000-0004-0000-0100-00005B010000}"/>
    <hyperlink ref="S104" r:id="rId349" xr:uid="{00000000-0004-0000-0100-00005C010000}"/>
    <hyperlink ref="C105" r:id="rId350" xr:uid="{00000000-0004-0000-0100-00005D010000}"/>
    <hyperlink ref="S105" r:id="rId351" xr:uid="{00000000-0004-0000-0100-00005E010000}"/>
    <hyperlink ref="C106" r:id="rId352" xr:uid="{00000000-0004-0000-0100-00005F010000}"/>
    <hyperlink ref="S106" r:id="rId353" xr:uid="{00000000-0004-0000-0100-000060010000}"/>
    <hyperlink ref="C107" r:id="rId354" xr:uid="{00000000-0004-0000-0100-000061010000}"/>
    <hyperlink ref="S107" r:id="rId355" xr:uid="{00000000-0004-0000-0100-000062010000}"/>
    <hyperlink ref="C108" r:id="rId356" xr:uid="{00000000-0004-0000-0100-000063010000}"/>
    <hyperlink ref="S108" r:id="rId357" xr:uid="{00000000-0004-0000-0100-000064010000}"/>
    <hyperlink ref="C109" r:id="rId358" display="http://static.cninfo.com.cn/finalpage/2016-06-24/1202394305.PDF" xr:uid="{00000000-0004-0000-0100-000065010000}"/>
    <hyperlink ref="S109" r:id="rId359" xr:uid="{00000000-0004-0000-0100-000066010000}"/>
    <hyperlink ref="C110" r:id="rId360" xr:uid="{00000000-0004-0000-0100-000067010000}"/>
    <hyperlink ref="S110" r:id="rId361" xr:uid="{00000000-0004-0000-0100-000068010000}"/>
    <hyperlink ref="C111" r:id="rId362" xr:uid="{00000000-0004-0000-0100-000069010000}"/>
    <hyperlink ref="S111" r:id="rId363" xr:uid="{00000000-0004-0000-0100-00006A010000}"/>
    <hyperlink ref="C112" r:id="rId364" xr:uid="{00000000-0004-0000-0100-00006B010000}"/>
    <hyperlink ref="S112" r:id="rId365" xr:uid="{00000000-0004-0000-0100-00006C010000}"/>
    <hyperlink ref="S115" r:id="rId366" xr:uid="{00000000-0004-0000-0100-00006D010000}"/>
    <hyperlink ref="C115" r:id="rId367" xr:uid="{00000000-0004-0000-0100-00006E010000}"/>
    <hyperlink ref="C116" r:id="rId368" xr:uid="{00000000-0004-0000-0100-00006F010000}"/>
    <hyperlink ref="S116" r:id="rId369" xr:uid="{00000000-0004-0000-0100-000070010000}"/>
    <hyperlink ref="C117" r:id="rId370" xr:uid="{00000000-0004-0000-0100-000071010000}"/>
    <hyperlink ref="S117" r:id="rId371" xr:uid="{00000000-0004-0000-0100-000072010000}"/>
    <hyperlink ref="C118" r:id="rId372" xr:uid="{00000000-0004-0000-0100-000073010000}"/>
    <hyperlink ref="S118" r:id="rId373" xr:uid="{00000000-0004-0000-0100-000074010000}"/>
    <hyperlink ref="C119" r:id="rId374" xr:uid="{00000000-0004-0000-0100-000075010000}"/>
    <hyperlink ref="S119" r:id="rId375" xr:uid="{00000000-0004-0000-0100-000076010000}"/>
    <hyperlink ref="C120" r:id="rId376" xr:uid="{00000000-0004-0000-0100-000077010000}"/>
    <hyperlink ref="S120" r:id="rId377" xr:uid="{00000000-0004-0000-0100-000078010000}"/>
    <hyperlink ref="C121" r:id="rId378" xr:uid="{00000000-0004-0000-0100-000079010000}"/>
    <hyperlink ref="S121" r:id="rId379" xr:uid="{00000000-0004-0000-0100-00007A010000}"/>
    <hyperlink ref="C122" r:id="rId380" xr:uid="{00000000-0004-0000-0100-00007B010000}"/>
    <hyperlink ref="S122" r:id="rId381" xr:uid="{00000000-0004-0000-0100-00007C010000}"/>
    <hyperlink ref="C123" r:id="rId382" xr:uid="{00000000-0004-0000-0100-00007D010000}"/>
    <hyperlink ref="S123" r:id="rId383" xr:uid="{00000000-0004-0000-0100-00007E010000}"/>
    <hyperlink ref="C124" r:id="rId384" xr:uid="{00000000-0004-0000-0100-00007F010000}"/>
    <hyperlink ref="C125" r:id="rId385" display="http://static.cninfo.com.cn/finalpage/2016-05-10/1202313415.PDF" xr:uid="{00000000-0004-0000-0100-000080010000}"/>
    <hyperlink ref="C126" r:id="rId386" xr:uid="{00000000-0004-0000-0100-000081010000}"/>
    <hyperlink ref="C127" r:id="rId387" xr:uid="{00000000-0004-0000-0100-000082010000}"/>
    <hyperlink ref="S127" r:id="rId388" xr:uid="{00000000-0004-0000-0100-000083010000}"/>
    <hyperlink ref="C128" r:id="rId389" xr:uid="{00000000-0004-0000-0100-000084010000}"/>
    <hyperlink ref="S128" r:id="rId390" xr:uid="{00000000-0004-0000-0100-000085010000}"/>
    <hyperlink ref="C129" r:id="rId391" xr:uid="{00000000-0004-0000-0100-000086010000}"/>
    <hyperlink ref="S129" r:id="rId392" xr:uid="{00000000-0004-0000-0100-000087010000}"/>
    <hyperlink ref="C130" r:id="rId393" xr:uid="{00000000-0004-0000-0100-000088010000}"/>
    <hyperlink ref="S130" r:id="rId394" xr:uid="{00000000-0004-0000-0100-000089010000}"/>
    <hyperlink ref="C131" r:id="rId395" xr:uid="{00000000-0004-0000-0100-00008A010000}"/>
    <hyperlink ref="S131" r:id="rId396" xr:uid="{00000000-0004-0000-0100-00008B010000}"/>
    <hyperlink ref="C132" r:id="rId397" xr:uid="{00000000-0004-0000-0100-00008C010000}"/>
    <hyperlink ref="S132" r:id="rId398" xr:uid="{00000000-0004-0000-0100-00008D010000}"/>
    <hyperlink ref="C133" r:id="rId399" xr:uid="{00000000-0004-0000-0100-00008E010000}"/>
    <hyperlink ref="S133" r:id="rId400" xr:uid="{00000000-0004-0000-0100-00008F010000}"/>
    <hyperlink ref="C134" r:id="rId401" xr:uid="{00000000-0004-0000-0100-000090010000}"/>
    <hyperlink ref="S134" r:id="rId402" xr:uid="{00000000-0004-0000-0100-000091010000}"/>
    <hyperlink ref="C135" r:id="rId403" xr:uid="{00000000-0004-0000-0100-000092010000}"/>
    <hyperlink ref="S135" r:id="rId404" xr:uid="{00000000-0004-0000-0100-000093010000}"/>
    <hyperlink ref="C136" r:id="rId405" xr:uid="{00000000-0004-0000-0100-000094010000}"/>
    <hyperlink ref="S136" r:id="rId406" xr:uid="{00000000-0004-0000-0100-000095010000}"/>
    <hyperlink ref="C137" r:id="rId407" xr:uid="{00000000-0004-0000-0100-000096010000}"/>
    <hyperlink ref="S137" r:id="rId408" xr:uid="{00000000-0004-0000-0100-000097010000}"/>
    <hyperlink ref="C139" r:id="rId409" xr:uid="{00000000-0004-0000-0100-000098010000}"/>
    <hyperlink ref="S139" r:id="rId410" xr:uid="{00000000-0004-0000-0100-000099010000}"/>
    <hyperlink ref="C140" r:id="rId411" xr:uid="{00000000-0004-0000-0100-00009A010000}"/>
    <hyperlink ref="S140" r:id="rId412" xr:uid="{00000000-0004-0000-0100-00009B010000}"/>
    <hyperlink ref="C141" r:id="rId413" xr:uid="{00000000-0004-0000-0100-00009C010000}"/>
    <hyperlink ref="S141" r:id="rId414" xr:uid="{00000000-0004-0000-0100-00009D010000}"/>
    <hyperlink ref="C142" r:id="rId415" xr:uid="{00000000-0004-0000-0100-00009E010000}"/>
    <hyperlink ref="S142" r:id="rId416" xr:uid="{00000000-0004-0000-0100-00009F010000}"/>
    <hyperlink ref="C143" r:id="rId417" xr:uid="{00000000-0004-0000-0100-0000A0010000}"/>
    <hyperlink ref="S143" r:id="rId418" xr:uid="{00000000-0004-0000-0100-0000A1010000}"/>
    <hyperlink ref="C144" r:id="rId419" xr:uid="{00000000-0004-0000-0100-0000A2010000}"/>
    <hyperlink ref="S144" r:id="rId420" xr:uid="{00000000-0004-0000-0100-0000A3010000}"/>
    <hyperlink ref="C145" r:id="rId421" xr:uid="{00000000-0004-0000-0100-0000A4010000}"/>
    <hyperlink ref="S145" r:id="rId422" xr:uid="{00000000-0004-0000-0100-0000A5010000}"/>
    <hyperlink ref="C146" r:id="rId423" xr:uid="{00000000-0004-0000-0100-0000A6010000}"/>
    <hyperlink ref="S146" r:id="rId424" xr:uid="{00000000-0004-0000-0100-0000A7010000}"/>
    <hyperlink ref="C147" r:id="rId425" xr:uid="{00000000-0004-0000-0100-0000A8010000}"/>
    <hyperlink ref="S147" r:id="rId426" xr:uid="{00000000-0004-0000-0100-0000A9010000}"/>
    <hyperlink ref="C148" r:id="rId427" xr:uid="{00000000-0004-0000-0100-0000AA010000}"/>
    <hyperlink ref="S148" r:id="rId428" xr:uid="{00000000-0004-0000-0100-0000AB010000}"/>
    <hyperlink ref="C149" r:id="rId429" xr:uid="{00000000-0004-0000-0100-0000AC010000}"/>
    <hyperlink ref="S149" r:id="rId430" xr:uid="{00000000-0004-0000-0100-0000AD010000}"/>
    <hyperlink ref="C152" r:id="rId431" xr:uid="{00000000-0004-0000-0100-0000AE010000}"/>
    <hyperlink ref="S152" r:id="rId432" xr:uid="{00000000-0004-0000-0100-0000AF010000}"/>
    <hyperlink ref="C153" r:id="rId433" xr:uid="{00000000-0004-0000-0100-0000B0010000}"/>
    <hyperlink ref="S153" r:id="rId434" xr:uid="{00000000-0004-0000-0100-0000B1010000}"/>
    <hyperlink ref="C154" r:id="rId435" xr:uid="{00000000-0004-0000-0100-0000B2010000}"/>
    <hyperlink ref="S154" r:id="rId436" xr:uid="{00000000-0004-0000-0100-0000B3010000}"/>
    <hyperlink ref="C155" r:id="rId437" xr:uid="{00000000-0004-0000-0100-0000B4010000}"/>
    <hyperlink ref="S155" r:id="rId438" xr:uid="{00000000-0004-0000-0100-0000B5010000}"/>
    <hyperlink ref="C156" r:id="rId439" xr:uid="{00000000-0004-0000-0100-0000B6010000}"/>
    <hyperlink ref="S156" r:id="rId440" xr:uid="{00000000-0004-0000-0100-0000B7010000}"/>
    <hyperlink ref="C157" r:id="rId441" xr:uid="{00000000-0004-0000-0100-0000B8010000}"/>
    <hyperlink ref="S157" r:id="rId442" xr:uid="{00000000-0004-0000-0100-0000B9010000}"/>
    <hyperlink ref="C158" r:id="rId443" xr:uid="{00000000-0004-0000-0100-0000BA010000}"/>
    <hyperlink ref="S158" r:id="rId444" xr:uid="{00000000-0004-0000-0100-0000BB010000}"/>
    <hyperlink ref="C159" r:id="rId445" xr:uid="{00000000-0004-0000-0100-0000BC010000}"/>
    <hyperlink ref="S159" r:id="rId446" xr:uid="{00000000-0004-0000-0100-0000BD010000}"/>
    <hyperlink ref="C160" r:id="rId447" xr:uid="{00000000-0004-0000-0100-0000BE010000}"/>
    <hyperlink ref="S160" r:id="rId448" xr:uid="{00000000-0004-0000-0100-0000BF010000}"/>
    <hyperlink ref="C161" r:id="rId449" xr:uid="{00000000-0004-0000-0100-0000C0010000}"/>
    <hyperlink ref="S161" r:id="rId450" xr:uid="{00000000-0004-0000-0100-0000C1010000}"/>
    <hyperlink ref="C162" r:id="rId451" xr:uid="{00000000-0004-0000-0100-0000C2010000}"/>
    <hyperlink ref="S162" r:id="rId452" xr:uid="{00000000-0004-0000-0100-0000C3010000}"/>
    <hyperlink ref="S163" r:id="rId453" xr:uid="{00000000-0004-0000-0100-0000C4010000}"/>
    <hyperlink ref="C163" r:id="rId454" display="http://static.cninfo.com.cn/finalpage/2016-08-17/1202571100.PDF" xr:uid="{00000000-0004-0000-0100-0000C5010000}"/>
    <hyperlink ref="C164" r:id="rId455" xr:uid="{00000000-0004-0000-0100-0000C6010000}"/>
    <hyperlink ref="S164" r:id="rId456" xr:uid="{00000000-0004-0000-0100-0000C7010000}"/>
    <hyperlink ref="C165" r:id="rId457" xr:uid="{00000000-0004-0000-0100-0000C8010000}"/>
    <hyperlink ref="S165" r:id="rId458" xr:uid="{00000000-0004-0000-0100-0000C9010000}"/>
    <hyperlink ref="C166" r:id="rId459" xr:uid="{00000000-0004-0000-0100-0000CA010000}"/>
    <hyperlink ref="S166" r:id="rId460" xr:uid="{00000000-0004-0000-0100-0000CB010000}"/>
    <hyperlink ref="C167" r:id="rId461" xr:uid="{00000000-0004-0000-0100-0000CC010000}"/>
    <hyperlink ref="S167" r:id="rId462" xr:uid="{00000000-0004-0000-0100-0000CD010000}"/>
    <hyperlink ref="C168" r:id="rId463" xr:uid="{00000000-0004-0000-0100-0000CE010000}"/>
    <hyperlink ref="S168" r:id="rId464" xr:uid="{00000000-0004-0000-0100-0000CF010000}"/>
    <hyperlink ref="C169" r:id="rId465" xr:uid="{00000000-0004-0000-0100-0000D0010000}"/>
    <hyperlink ref="S169" r:id="rId466" xr:uid="{00000000-0004-0000-0100-0000D1010000}"/>
    <hyperlink ref="C172" r:id="rId467" xr:uid="{00000000-0004-0000-0100-0000D2010000}"/>
    <hyperlink ref="S172" r:id="rId468" xr:uid="{00000000-0004-0000-0100-0000D3010000}"/>
    <hyperlink ref="C173" r:id="rId469" xr:uid="{00000000-0004-0000-0100-0000D4010000}"/>
    <hyperlink ref="S173" r:id="rId470" xr:uid="{00000000-0004-0000-0100-0000D5010000}"/>
    <hyperlink ref="S60" r:id="rId471" xr:uid="{00000000-0004-0000-0100-0000D6010000}"/>
    <hyperlink ref="C174" r:id="rId472" xr:uid="{00000000-0004-0000-0100-0000D7010000}"/>
    <hyperlink ref="S174" r:id="rId473" xr:uid="{00000000-0004-0000-0100-0000D8010000}"/>
    <hyperlink ref="C175" r:id="rId474" xr:uid="{00000000-0004-0000-0100-0000D9010000}"/>
    <hyperlink ref="S175" r:id="rId475" xr:uid="{00000000-0004-0000-0100-0000DA010000}"/>
    <hyperlink ref="C176" r:id="rId476" xr:uid="{00000000-0004-0000-0100-0000DB010000}"/>
    <hyperlink ref="S176" r:id="rId477" xr:uid="{00000000-0004-0000-0100-0000DC010000}"/>
    <hyperlink ref="C177" r:id="rId478" xr:uid="{00000000-0004-0000-0100-0000DD010000}"/>
    <hyperlink ref="S177" r:id="rId479" xr:uid="{00000000-0004-0000-0100-0000DE010000}"/>
    <hyperlink ref="C178" r:id="rId480" xr:uid="{00000000-0004-0000-0100-0000DF010000}"/>
    <hyperlink ref="S178" r:id="rId481" xr:uid="{00000000-0004-0000-0100-0000E0010000}"/>
    <hyperlink ref="C179" r:id="rId482" xr:uid="{00000000-0004-0000-0100-0000E1010000}"/>
    <hyperlink ref="S179" r:id="rId483" xr:uid="{00000000-0004-0000-0100-0000E2010000}"/>
    <hyperlink ref="C180" r:id="rId484" xr:uid="{00000000-0004-0000-0100-0000E3010000}"/>
    <hyperlink ref="S180" r:id="rId485" xr:uid="{00000000-0004-0000-0100-0000E4010000}"/>
    <hyperlink ref="C181" r:id="rId486" xr:uid="{00000000-0004-0000-0100-0000E5010000}"/>
    <hyperlink ref="S181" r:id="rId487" xr:uid="{00000000-0004-0000-0100-0000E6010000}"/>
    <hyperlink ref="C182" r:id="rId488" xr:uid="{00000000-0004-0000-0100-0000E7010000}"/>
    <hyperlink ref="S182" r:id="rId489" xr:uid="{00000000-0004-0000-0100-0000E8010000}"/>
    <hyperlink ref="C183" r:id="rId490" xr:uid="{00000000-0004-0000-0100-0000E9010000}"/>
    <hyperlink ref="S183" r:id="rId491" xr:uid="{00000000-0004-0000-0100-0000EA010000}"/>
    <hyperlink ref="C184" r:id="rId492" xr:uid="{00000000-0004-0000-0100-0000EB010000}"/>
    <hyperlink ref="S184" r:id="rId493" xr:uid="{00000000-0004-0000-0100-0000EC010000}"/>
    <hyperlink ref="C185" r:id="rId494" xr:uid="{00000000-0004-0000-0100-0000ED010000}"/>
    <hyperlink ref="S185" r:id="rId495" xr:uid="{00000000-0004-0000-0100-0000EE010000}"/>
    <hyperlink ref="C186" r:id="rId496" xr:uid="{00000000-0004-0000-0100-0000EF010000}"/>
    <hyperlink ref="S186" r:id="rId497" xr:uid="{00000000-0004-0000-0100-0000F0010000}"/>
    <hyperlink ref="C187" r:id="rId498" xr:uid="{00000000-0004-0000-0100-0000F1010000}"/>
    <hyperlink ref="S187" r:id="rId499" xr:uid="{00000000-0004-0000-0100-0000F2010000}"/>
    <hyperlink ref="C188" r:id="rId500" xr:uid="{00000000-0004-0000-0100-0000F3010000}"/>
    <hyperlink ref="S188" r:id="rId501" xr:uid="{00000000-0004-0000-0100-0000F4010000}"/>
    <hyperlink ref="C189" r:id="rId502" xr:uid="{00000000-0004-0000-0100-0000F5010000}"/>
    <hyperlink ref="S189" r:id="rId503" xr:uid="{00000000-0004-0000-0100-0000F6010000}"/>
    <hyperlink ref="C190" r:id="rId504" xr:uid="{00000000-0004-0000-0100-0000F7010000}"/>
    <hyperlink ref="S190" r:id="rId505" xr:uid="{00000000-0004-0000-0100-0000F8010000}"/>
    <hyperlink ref="C191" r:id="rId506" xr:uid="{00000000-0004-0000-0100-0000F9010000}"/>
    <hyperlink ref="S191" r:id="rId507" xr:uid="{00000000-0004-0000-0100-0000FA010000}"/>
    <hyperlink ref="C192" r:id="rId508" xr:uid="{00000000-0004-0000-0100-0000FB010000}"/>
    <hyperlink ref="S192" r:id="rId509" xr:uid="{00000000-0004-0000-0100-0000FC010000}"/>
    <hyperlink ref="C193" r:id="rId510" xr:uid="{00000000-0004-0000-0100-0000FD010000}"/>
    <hyperlink ref="S193" r:id="rId511" xr:uid="{00000000-0004-0000-0100-0000FE010000}"/>
    <hyperlink ref="C194" r:id="rId512" xr:uid="{00000000-0004-0000-0100-0000FF010000}"/>
    <hyperlink ref="S194" r:id="rId513" xr:uid="{00000000-0004-0000-0100-000000020000}"/>
    <hyperlink ref="C195" r:id="rId514" xr:uid="{00000000-0004-0000-0100-000001020000}"/>
    <hyperlink ref="S195" r:id="rId515" xr:uid="{00000000-0004-0000-0100-000002020000}"/>
    <hyperlink ref="C196" r:id="rId516" xr:uid="{00000000-0004-0000-0100-000003020000}"/>
    <hyperlink ref="S196" r:id="rId517" xr:uid="{00000000-0004-0000-0100-000004020000}"/>
    <hyperlink ref="C197" r:id="rId518" xr:uid="{00000000-0004-0000-0100-000005020000}"/>
    <hyperlink ref="S197" r:id="rId519" xr:uid="{00000000-0004-0000-0100-000006020000}"/>
    <hyperlink ref="C198" r:id="rId520" xr:uid="{00000000-0004-0000-0100-000007020000}"/>
    <hyperlink ref="S198" r:id="rId521" xr:uid="{00000000-0004-0000-0100-000008020000}"/>
    <hyperlink ref="C199" r:id="rId522" xr:uid="{00000000-0004-0000-0100-000009020000}"/>
    <hyperlink ref="S199" r:id="rId523" xr:uid="{00000000-0004-0000-0100-00000A020000}"/>
    <hyperlink ref="C200" r:id="rId524" xr:uid="{00000000-0004-0000-0100-00000B020000}"/>
    <hyperlink ref="S200" r:id="rId525" xr:uid="{00000000-0004-0000-0100-00000C020000}"/>
    <hyperlink ref="C201" r:id="rId526" xr:uid="{00000000-0004-0000-0100-00000D020000}"/>
    <hyperlink ref="S201" r:id="rId527" xr:uid="{00000000-0004-0000-0100-00000E020000}"/>
    <hyperlink ref="C202" r:id="rId528" xr:uid="{00000000-0004-0000-0100-00000F020000}"/>
    <hyperlink ref="S202" r:id="rId529" xr:uid="{00000000-0004-0000-0100-000010020000}"/>
    <hyperlink ref="C203" r:id="rId530" xr:uid="{00000000-0004-0000-0100-000011020000}"/>
    <hyperlink ref="S203" r:id="rId531" xr:uid="{00000000-0004-0000-0100-000012020000}"/>
    <hyperlink ref="S124" r:id="rId532" xr:uid="{00000000-0004-0000-0100-000013020000}"/>
    <hyperlink ref="S125" r:id="rId533" xr:uid="{00000000-0004-0000-0100-000014020000}"/>
    <hyperlink ref="S126" r:id="rId534" xr:uid="{00000000-0004-0000-0100-000015020000}"/>
    <hyperlink ref="S75" r:id="rId535" xr:uid="{00000000-0004-0000-0100-000016020000}"/>
    <hyperlink ref="S72" r:id="rId536" xr:uid="{00000000-0004-0000-0100-000017020000}"/>
    <hyperlink ref="C204" r:id="rId537" xr:uid="{00000000-0004-0000-0100-000018020000}"/>
    <hyperlink ref="S204" r:id="rId538" xr:uid="{00000000-0004-0000-0100-000019020000}"/>
    <hyperlink ref="C205" r:id="rId539" xr:uid="{00000000-0004-0000-0100-00001A020000}"/>
    <hyperlink ref="S205" r:id="rId540" xr:uid="{00000000-0004-0000-0100-00001B020000}"/>
    <hyperlink ref="C206" r:id="rId541" xr:uid="{00000000-0004-0000-0100-00001C020000}"/>
    <hyperlink ref="S206" r:id="rId542" xr:uid="{00000000-0004-0000-0100-00001D020000}"/>
    <hyperlink ref="C207" r:id="rId543" xr:uid="{00000000-0004-0000-0100-00001E020000}"/>
    <hyperlink ref="S207" r:id="rId544" xr:uid="{00000000-0004-0000-0100-00001F020000}"/>
    <hyperlink ref="C208" r:id="rId545" xr:uid="{00000000-0004-0000-0100-000020020000}"/>
    <hyperlink ref="S208" r:id="rId546" xr:uid="{00000000-0004-0000-0100-000021020000}"/>
    <hyperlink ref="C209" r:id="rId547" xr:uid="{00000000-0004-0000-0100-000022020000}"/>
    <hyperlink ref="S209" r:id="rId548" xr:uid="{00000000-0004-0000-0100-000023020000}"/>
    <hyperlink ref="C210" r:id="rId549" xr:uid="{00000000-0004-0000-0100-000024020000}"/>
    <hyperlink ref="S210" r:id="rId550" xr:uid="{00000000-0004-0000-0100-000025020000}"/>
    <hyperlink ref="C211" r:id="rId551" xr:uid="{00000000-0004-0000-0100-000026020000}"/>
    <hyperlink ref="S211" r:id="rId552" xr:uid="{00000000-0004-0000-0100-000027020000}"/>
    <hyperlink ref="C212" r:id="rId553" xr:uid="{00000000-0004-0000-0100-000028020000}"/>
    <hyperlink ref="S212" r:id="rId554" xr:uid="{00000000-0004-0000-0100-000029020000}"/>
    <hyperlink ref="C213" r:id="rId555" xr:uid="{00000000-0004-0000-0100-00002A020000}"/>
    <hyperlink ref="S213" r:id="rId556" xr:uid="{00000000-0004-0000-0100-00002B020000}"/>
    <hyperlink ref="C214" r:id="rId557" xr:uid="{00000000-0004-0000-0100-00002C020000}"/>
    <hyperlink ref="S214" r:id="rId558" xr:uid="{00000000-0004-0000-0100-00002D020000}"/>
    <hyperlink ref="C215" r:id="rId559" xr:uid="{00000000-0004-0000-0100-00002E020000}"/>
    <hyperlink ref="S215" r:id="rId560" xr:uid="{00000000-0004-0000-0100-00002F020000}"/>
    <hyperlink ref="C216" r:id="rId561" xr:uid="{00000000-0004-0000-0100-000030020000}"/>
    <hyperlink ref="S216" r:id="rId562" xr:uid="{00000000-0004-0000-0100-000031020000}"/>
    <hyperlink ref="C217" r:id="rId563" xr:uid="{00000000-0004-0000-0100-000032020000}"/>
    <hyperlink ref="S217" r:id="rId564" xr:uid="{00000000-0004-0000-0100-000033020000}"/>
    <hyperlink ref="C218" r:id="rId565" xr:uid="{00000000-0004-0000-0100-000034020000}"/>
    <hyperlink ref="S218" r:id="rId566" xr:uid="{00000000-0004-0000-0100-000035020000}"/>
    <hyperlink ref="C219" r:id="rId567" xr:uid="{00000000-0004-0000-0100-000036020000}"/>
    <hyperlink ref="S219" r:id="rId568" xr:uid="{00000000-0004-0000-0100-000037020000}"/>
    <hyperlink ref="C4" r:id="rId569" xr:uid="{00000000-0004-0000-0100-000038020000}"/>
    <hyperlink ref="C14" r:id="rId570" xr:uid="{00000000-0004-0000-0100-000039020000}"/>
    <hyperlink ref="C15" r:id="rId571" xr:uid="{00000000-0004-0000-0100-00003A020000}"/>
    <hyperlink ref="C36" r:id="rId572" xr:uid="{00000000-0004-0000-0100-00003B020000}"/>
    <hyperlink ref="C37" r:id="rId573" tooltip="http://data.eastmoney.com/notices/detail/300113/AN201604050014231146,JUU5JUExJUJBJUU3JUJEJTkxJUU3JUE3JTkxJUU2JThBJTgw.html" xr:uid="{00000000-0004-0000-0100-00003C020000}"/>
    <hyperlink ref="C38" r:id="rId574" xr:uid="{00000000-0004-0000-0100-00003D020000}"/>
    <hyperlink ref="C40" r:id="rId575" xr:uid="{00000000-0004-0000-0100-00003E020000}"/>
    <hyperlink ref="C41" r:id="rId576" xr:uid="{00000000-0004-0000-0100-00003F020000}"/>
    <hyperlink ref="C44" r:id="rId577" xr:uid="{00000000-0004-0000-0100-000040020000}"/>
    <hyperlink ref="C45" r:id="rId578" xr:uid="{00000000-0004-0000-0100-000041020000}"/>
    <hyperlink ref="C52" r:id="rId579" xr:uid="{00000000-0004-0000-0100-000042020000}"/>
    <hyperlink ref="C28" r:id="rId580" tooltip="http://data.eastmoney.com/notices/detail/002292/AN201603270014092818,JUU1JUE1JUE1JUU5JUEzJTlFJUU1JUE4JUIxJUU0JUI5JTkw.html" xr:uid="{00000000-0004-0000-0100-000043020000}"/>
    <hyperlink ref="C43" r:id="rId581" xr:uid="{00000000-0004-0000-0100-000044020000}"/>
    <hyperlink ref="C7" r:id="rId582" xr:uid="{00000000-0004-0000-0100-000045020000}"/>
    <hyperlink ref="C42" r:id="rId583" xr:uid="{00000000-0004-0000-0100-000046020000}"/>
    <hyperlink ref="C3" r:id="rId584" xr:uid="{00000000-0004-0000-0100-000047020000}"/>
    <hyperlink ref="C5" r:id="rId585" xr:uid="{00000000-0004-0000-0100-000048020000}"/>
    <hyperlink ref="C6" r:id="rId586" xr:uid="{00000000-0004-0000-0100-000049020000}"/>
    <hyperlink ref="C8" r:id="rId587" xr:uid="{00000000-0004-0000-0100-00004A020000}"/>
    <hyperlink ref="C9" r:id="rId588" tooltip="http://data.eastmoney.com/notices/detail/002195/AN201602010013345239,JUU0JUJBJThDJUU0JUI4JTg5JUU1JTlCJTlCJUU0JUJBJTk0.html" xr:uid="{00000000-0004-0000-0100-00004B020000}"/>
    <hyperlink ref="C10" r:id="rId589" xr:uid="{00000000-0004-0000-0100-00004C020000}"/>
    <hyperlink ref="C11" r:id="rId590" xr:uid="{00000000-0004-0000-0100-00004D020000}"/>
    <hyperlink ref="C12" r:id="rId591" xr:uid="{00000000-0004-0000-0100-00004E020000}"/>
    <hyperlink ref="C13" r:id="rId592" xr:uid="{00000000-0004-0000-0100-00004F020000}"/>
    <hyperlink ref="C16" r:id="rId593" xr:uid="{00000000-0004-0000-0100-000050020000}"/>
    <hyperlink ref="C17" r:id="rId594" xr:uid="{00000000-0004-0000-0100-000051020000}"/>
    <hyperlink ref="C18" r:id="rId595" tooltip="http://data.eastmoney.com/notices/detail/002462/AN201602280013638296,JUU1JTk4JTg5JUU0JUJBJThCJUU1JUEwJTgy.html" xr:uid="{00000000-0004-0000-0100-000052020000}"/>
    <hyperlink ref="C19" r:id="rId596" xr:uid="{00000000-0004-0000-0100-000053020000}"/>
    <hyperlink ref="C20" r:id="rId597" xr:uid="{00000000-0004-0000-0100-000054020000}"/>
    <hyperlink ref="C21" r:id="rId598" xr:uid="{00000000-0004-0000-0100-000055020000}"/>
    <hyperlink ref="C22" r:id="rId599" xr:uid="{00000000-0004-0000-0100-000056020000}"/>
    <hyperlink ref="C23" r:id="rId600" xr:uid="{00000000-0004-0000-0100-000057020000}"/>
    <hyperlink ref="C24" r:id="rId601" xr:uid="{00000000-0004-0000-0100-000058020000}"/>
    <hyperlink ref="C25" r:id="rId602" xr:uid="{00000000-0004-0000-0100-000059020000}"/>
    <hyperlink ref="C26" r:id="rId603" xr:uid="{00000000-0004-0000-0100-00005A020000}"/>
    <hyperlink ref="C29" r:id="rId604" xr:uid="{00000000-0004-0000-0100-00005B020000}"/>
    <hyperlink ref="C30" r:id="rId605" xr:uid="{00000000-0004-0000-0100-00005C020000}"/>
    <hyperlink ref="C31" r:id="rId606" xr:uid="{00000000-0004-0000-0100-00005D020000}"/>
    <hyperlink ref="C32" r:id="rId607" xr:uid="{00000000-0004-0000-0100-00005E020000}"/>
    <hyperlink ref="C33" r:id="rId608" xr:uid="{00000000-0004-0000-0100-00005F020000}"/>
    <hyperlink ref="C34" r:id="rId609" xr:uid="{00000000-0004-0000-0100-000060020000}"/>
    <hyperlink ref="C35" r:id="rId610" xr:uid="{00000000-0004-0000-0100-000061020000}"/>
    <hyperlink ref="C39" r:id="rId611" xr:uid="{00000000-0004-0000-0100-000062020000}"/>
    <hyperlink ref="C46" r:id="rId612" tooltip="http://data.eastmoney.com/notices/detail/300388/AN201604080014291325,JUU1JTlCJUJEJUU3JUE1JUFGJUU3JThFJUFGJUU0JUJGJTlE.html" xr:uid="{00000000-0004-0000-0100-000063020000}"/>
    <hyperlink ref="C47" r:id="rId613" xr:uid="{00000000-0004-0000-0100-000064020000}"/>
    <hyperlink ref="C48" r:id="rId614" xr:uid="{00000000-0004-0000-0100-000065020000}"/>
    <hyperlink ref="C49" r:id="rId615" xr:uid="{00000000-0004-0000-0100-000066020000}"/>
    <hyperlink ref="C50" r:id="rId616" xr:uid="{00000000-0004-0000-0100-000067020000}"/>
    <hyperlink ref="C51" r:id="rId617" xr:uid="{00000000-0004-0000-0100-000068020000}"/>
    <hyperlink ref="C53" r:id="rId618" xr:uid="{00000000-0004-0000-0100-000069020000}"/>
    <hyperlink ref="S3" r:id="rId619" xr:uid="{00000000-0004-0000-0100-00006A020000}"/>
    <hyperlink ref="S4" r:id="rId620" xr:uid="{00000000-0004-0000-0100-00006B020000}"/>
    <hyperlink ref="S5" r:id="rId621" xr:uid="{00000000-0004-0000-0100-00006C020000}"/>
    <hyperlink ref="S6" r:id="rId622" xr:uid="{00000000-0004-0000-0100-00006D020000}"/>
    <hyperlink ref="S7" r:id="rId623" xr:uid="{00000000-0004-0000-0100-00006E020000}"/>
    <hyperlink ref="S8" r:id="rId624" xr:uid="{00000000-0004-0000-0100-00006F020000}"/>
    <hyperlink ref="S9" r:id="rId625" tooltip="http://static.cninfo.com.cn/finalpage/2017-01-24/1203043092.PDF" xr:uid="{00000000-0004-0000-0100-000070020000}"/>
    <hyperlink ref="S10" r:id="rId626" xr:uid="{00000000-0004-0000-0100-000071020000}"/>
    <hyperlink ref="S11" r:id="rId627" xr:uid="{00000000-0004-0000-0100-000072020000}"/>
    <hyperlink ref="S12" r:id="rId628" xr:uid="{00000000-0004-0000-0100-000073020000}"/>
    <hyperlink ref="S13" r:id="rId629" xr:uid="{00000000-0004-0000-0100-000074020000}"/>
    <hyperlink ref="S14" r:id="rId630" xr:uid="{00000000-0004-0000-0100-000075020000}"/>
    <hyperlink ref="S16" r:id="rId631" xr:uid="{00000000-0004-0000-0100-000076020000}"/>
    <hyperlink ref="S17" r:id="rId632" xr:uid="{00000000-0004-0000-0100-000077020000}"/>
    <hyperlink ref="S18" r:id="rId633" tooltip="http://static.cninfo.com.cn/finalpage/2017-02-27/1203106633.PDF" xr:uid="{00000000-0004-0000-0100-000078020000}"/>
    <hyperlink ref="S19" r:id="rId634" xr:uid="{00000000-0004-0000-0100-000079020000}"/>
    <hyperlink ref="S20" r:id="rId635" xr:uid="{00000000-0004-0000-0100-00007A020000}"/>
    <hyperlink ref="S21" r:id="rId636" xr:uid="{00000000-0004-0000-0100-00007B020000}"/>
    <hyperlink ref="S22" r:id="rId637" xr:uid="{00000000-0004-0000-0100-00007C020000}"/>
    <hyperlink ref="S23" r:id="rId638" xr:uid="{00000000-0004-0000-0100-00007D020000}"/>
    <hyperlink ref="S24" r:id="rId639" xr:uid="{00000000-0004-0000-0100-00007E020000}"/>
    <hyperlink ref="S25" r:id="rId640" xr:uid="{00000000-0004-0000-0100-00007F020000}"/>
    <hyperlink ref="S26" r:id="rId641" xr:uid="{00000000-0004-0000-0100-000080020000}"/>
    <hyperlink ref="S28" r:id="rId642" tooltip="http://static.cninfo.com.cn/finalpage/2017-03-28/1203210850.PDF" xr:uid="{00000000-0004-0000-0100-000081020000}"/>
    <hyperlink ref="S29" r:id="rId643" xr:uid="{00000000-0004-0000-0100-000082020000}"/>
    <hyperlink ref="S30" r:id="rId644" xr:uid="{00000000-0004-0000-0100-000083020000}"/>
    <hyperlink ref="S31" r:id="rId645" xr:uid="{00000000-0004-0000-0100-000084020000}"/>
    <hyperlink ref="S32" r:id="rId646" xr:uid="{00000000-0004-0000-0100-000085020000}"/>
    <hyperlink ref="S33" r:id="rId647" xr:uid="{00000000-0004-0000-0100-000086020000}"/>
    <hyperlink ref="S34" r:id="rId648" xr:uid="{00000000-0004-0000-0100-000087020000}"/>
    <hyperlink ref="S35" r:id="rId649" xr:uid="{00000000-0004-0000-0100-000088020000}"/>
    <hyperlink ref="S36" r:id="rId650" xr:uid="{00000000-0004-0000-0100-000089020000}"/>
    <hyperlink ref="S37" r:id="rId651" tooltip="http://static.cninfo.com.cn/finalpage/2017-05-24/1203565992.PDF" xr:uid="{00000000-0004-0000-0100-00008A020000}"/>
    <hyperlink ref="S38" r:id="rId652" xr:uid="{00000000-0004-0000-0100-00008B020000}"/>
    <hyperlink ref="S39" r:id="rId653" xr:uid="{00000000-0004-0000-0100-00008C020000}"/>
    <hyperlink ref="S40" r:id="rId654" xr:uid="{00000000-0004-0000-0100-00008D020000}"/>
    <hyperlink ref="S41" r:id="rId655" xr:uid="{00000000-0004-0000-0100-00008E020000}"/>
    <hyperlink ref="S42" r:id="rId656" xr:uid="{00000000-0004-0000-0100-00008F020000}"/>
    <hyperlink ref="S43" r:id="rId657" xr:uid="{00000000-0004-0000-0100-000090020000}"/>
    <hyperlink ref="S44" r:id="rId658" xr:uid="{00000000-0004-0000-0100-000091020000}"/>
    <hyperlink ref="S45" r:id="rId659" xr:uid="{00000000-0004-0000-0100-000092020000}"/>
    <hyperlink ref="S46" r:id="rId660" tooltip="http://static.cninfo.com.cn/finalpage/2017-04-14/1203300138.PDF" xr:uid="{00000000-0004-0000-0100-000093020000}"/>
    <hyperlink ref="S47" r:id="rId661" xr:uid="{00000000-0004-0000-0100-000094020000}"/>
    <hyperlink ref="S48" r:id="rId662" xr:uid="{00000000-0004-0000-0100-000095020000}"/>
    <hyperlink ref="S49" r:id="rId663" xr:uid="{00000000-0004-0000-0100-000096020000}"/>
    <hyperlink ref="S50" r:id="rId664" xr:uid="{00000000-0004-0000-0100-000097020000}"/>
    <hyperlink ref="S51" r:id="rId665" xr:uid="{00000000-0004-0000-0100-000098020000}"/>
    <hyperlink ref="S52" r:id="rId666" xr:uid="{00000000-0004-0000-0100-000099020000}"/>
    <hyperlink ref="S53" r:id="rId667" xr:uid="{00000000-0004-0000-0100-00009A020000}"/>
    <hyperlink ref="S15" r:id="rId668" xr:uid="{00000000-0004-0000-0100-00009B02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47"/>
  <sheetViews>
    <sheetView topLeftCell="A11" workbookViewId="0">
      <selection activeCell="A313" sqref="A313"/>
    </sheetView>
  </sheetViews>
  <sheetFormatPr defaultColWidth="10.83203125" defaultRowHeight="14"/>
  <cols>
    <col min="1" max="2" width="10.83203125" style="24"/>
    <col min="3" max="3" width="23.83203125" style="24" customWidth="1"/>
    <col min="4" max="8" width="10.83203125" style="24"/>
    <col min="9" max="9" width="11.1640625" style="24" bestFit="1" customWidth="1"/>
    <col min="10" max="10" width="10.83203125" style="24"/>
    <col min="11" max="11" width="11.1640625" style="24" bestFit="1" customWidth="1"/>
    <col min="12" max="12" width="11" style="24" customWidth="1"/>
    <col min="13" max="13" width="10.5" style="24" customWidth="1"/>
    <col min="14" max="14" width="10.83203125" style="24"/>
    <col min="15" max="15" width="12.6640625" style="24" bestFit="1" customWidth="1"/>
    <col min="16" max="17" width="10.83203125" style="24"/>
    <col min="18" max="18" width="12" style="24" customWidth="1"/>
    <col min="19" max="19" width="4.1640625" style="24" hidden="1" customWidth="1"/>
    <col min="20" max="20" width="4" style="24" hidden="1" customWidth="1"/>
    <col min="21" max="16384" width="10.83203125" style="24"/>
  </cols>
  <sheetData>
    <row r="1" spans="1:20">
      <c r="A1" s="11">
        <v>5</v>
      </c>
      <c r="B1" s="9" t="s">
        <v>159</v>
      </c>
      <c r="C1" s="1" t="s">
        <v>55</v>
      </c>
      <c r="D1" s="1" t="s">
        <v>54</v>
      </c>
      <c r="E1" s="3">
        <v>48</v>
      </c>
      <c r="F1" s="3">
        <v>35.4</v>
      </c>
      <c r="G1" s="2">
        <v>42376</v>
      </c>
      <c r="H1" s="2" t="s">
        <v>151</v>
      </c>
      <c r="I1" s="11">
        <v>13.07</v>
      </c>
      <c r="J1" s="3">
        <v>11.5</v>
      </c>
      <c r="K1" s="3">
        <f t="shared" ref="K1:K10" si="0">J1/I1</f>
        <v>0.87987758224942614</v>
      </c>
      <c r="L1" s="3">
        <v>11.8</v>
      </c>
      <c r="M1" s="10">
        <f t="shared" ref="M1:M10" si="1">L1/I1</f>
        <v>0.90283091048201991</v>
      </c>
      <c r="N1" s="47">
        <v>9</v>
      </c>
      <c r="O1" s="2">
        <v>42755</v>
      </c>
      <c r="P1" s="10">
        <v>12.85</v>
      </c>
      <c r="Q1" s="18">
        <f t="shared" ref="Q1:Q10" si="2">(P1*(1+S1/10)+T1/10)/L1</f>
        <v>1.1144067796610169</v>
      </c>
      <c r="R1" s="11" t="s">
        <v>243</v>
      </c>
      <c r="S1" s="22">
        <f t="shared" ref="S1:S10" si="3">IFERROR(RIGHT(LEFT(R1,FIND("股",R1)-1),(FIND("股",R1)-1-FIND("转",R1))),0)</f>
        <v>0</v>
      </c>
      <c r="T1" s="23" t="str">
        <f>IFERROR(RIGHT(LEFT(R1,FIND("元",R1)-1),(FIND("元",R1)-1-FIND("派",R1))),0)</f>
        <v>3</v>
      </c>
    </row>
    <row r="2" spans="1:20">
      <c r="A2" s="11">
        <v>8</v>
      </c>
      <c r="B2" s="9" t="s">
        <v>161</v>
      </c>
      <c r="C2" s="1" t="s">
        <v>19</v>
      </c>
      <c r="D2" s="1" t="s">
        <v>18</v>
      </c>
      <c r="E2" s="3">
        <v>70</v>
      </c>
      <c r="F2" s="3">
        <v>69.999999965599997</v>
      </c>
      <c r="G2" s="2">
        <v>42381</v>
      </c>
      <c r="H2" s="2" t="s">
        <v>151</v>
      </c>
      <c r="I2" s="11">
        <v>28.1</v>
      </c>
      <c r="J2" s="3">
        <v>20.48</v>
      </c>
      <c r="K2" s="3">
        <f t="shared" si="0"/>
        <v>0.72882562277580065</v>
      </c>
      <c r="L2" s="3">
        <v>22.64</v>
      </c>
      <c r="M2" s="10">
        <f t="shared" si="1"/>
        <v>0.80569395017793588</v>
      </c>
      <c r="N2" s="47">
        <v>9</v>
      </c>
      <c r="O2" s="2">
        <v>42758</v>
      </c>
      <c r="P2" s="10">
        <v>23.93</v>
      </c>
      <c r="Q2" s="18">
        <f t="shared" si="2"/>
        <v>1.0808303886925794</v>
      </c>
      <c r="R2" s="11" t="s">
        <v>244</v>
      </c>
      <c r="S2" s="22">
        <f t="shared" si="3"/>
        <v>0</v>
      </c>
      <c r="T2" s="23" t="str">
        <f>IFERROR(RIGHT(LEFT(R2,FIND("元",R2)-1),(FIND("元",R2)-1-FIND("派",R2))),0)</f>
        <v>5.4</v>
      </c>
    </row>
    <row r="3" spans="1:20">
      <c r="A3" s="11">
        <v>13</v>
      </c>
      <c r="B3" s="9" t="s">
        <v>162</v>
      </c>
      <c r="C3" s="1" t="s">
        <v>59</v>
      </c>
      <c r="D3" s="1" t="s">
        <v>58</v>
      </c>
      <c r="E3" s="3">
        <v>11</v>
      </c>
      <c r="F3" s="3">
        <v>10.999999884499999</v>
      </c>
      <c r="G3" s="2">
        <v>42382</v>
      </c>
      <c r="H3" s="2" t="s">
        <v>151</v>
      </c>
      <c r="I3" s="11">
        <v>15.83</v>
      </c>
      <c r="J3" s="3">
        <v>12.75</v>
      </c>
      <c r="K3" s="3">
        <f t="shared" si="0"/>
        <v>0.80543272267845867</v>
      </c>
      <c r="L3" s="3">
        <v>13.01</v>
      </c>
      <c r="M3" s="10">
        <f t="shared" si="1"/>
        <v>0.82185723310170555</v>
      </c>
      <c r="N3" s="47">
        <v>8</v>
      </c>
      <c r="O3" s="2">
        <v>42760</v>
      </c>
      <c r="P3" s="10">
        <v>12.1</v>
      </c>
      <c r="Q3" s="18">
        <f t="shared" si="2"/>
        <v>0.93089930822444267</v>
      </c>
      <c r="R3" s="11" t="s">
        <v>245</v>
      </c>
      <c r="S3" s="22">
        <f t="shared" si="3"/>
        <v>0</v>
      </c>
      <c r="T3" s="23" t="str">
        <f>IFERROR(RIGHT(LEFT(R3,FIND("元",R3)-1),(FIND("元",R3)-1-FIND("派",R3))),0)</f>
        <v>0.11</v>
      </c>
    </row>
    <row r="4" spans="1:20">
      <c r="A4" s="11">
        <v>18</v>
      </c>
      <c r="B4" s="9" t="s">
        <v>163</v>
      </c>
      <c r="C4" s="1" t="s">
        <v>83</v>
      </c>
      <c r="D4" s="1" t="s">
        <v>82</v>
      </c>
      <c r="E4" s="3">
        <v>10</v>
      </c>
      <c r="F4" s="3">
        <v>9.9999999935999995</v>
      </c>
      <c r="G4" s="2">
        <v>42377</v>
      </c>
      <c r="H4" s="2" t="s">
        <v>151</v>
      </c>
      <c r="I4" s="11">
        <v>25.28</v>
      </c>
      <c r="J4" s="3">
        <v>17.57</v>
      </c>
      <c r="K4" s="3">
        <f t="shared" si="0"/>
        <v>0.69501582278481011</v>
      </c>
      <c r="L4" s="3">
        <v>25.28</v>
      </c>
      <c r="M4" s="10">
        <f t="shared" si="1"/>
        <v>1</v>
      </c>
      <c r="N4" s="47">
        <v>8</v>
      </c>
      <c r="O4" s="2">
        <v>42769</v>
      </c>
      <c r="P4" s="10">
        <v>20.85</v>
      </c>
      <c r="Q4" s="18">
        <f t="shared" si="2"/>
        <v>0.826740506329114</v>
      </c>
      <c r="R4" s="11" t="s">
        <v>246</v>
      </c>
      <c r="S4" s="22">
        <f t="shared" si="3"/>
        <v>0</v>
      </c>
      <c r="T4" s="23" t="str">
        <f>IFERROR(RIGHT(LEFT(R4,FIND("元",R4)-1),(FIND("元",R4)-1-FIND("派",R4))),0)</f>
        <v>0.50</v>
      </c>
    </row>
    <row r="5" spans="1:20">
      <c r="A5" s="11">
        <v>20</v>
      </c>
      <c r="B5" s="9" t="s">
        <v>164</v>
      </c>
      <c r="C5" s="1" t="s">
        <v>31</v>
      </c>
      <c r="D5" s="1" t="s">
        <v>30</v>
      </c>
      <c r="E5" s="3">
        <v>57.5</v>
      </c>
      <c r="F5" s="3">
        <v>57.49999992</v>
      </c>
      <c r="G5" s="2">
        <v>42376</v>
      </c>
      <c r="H5" s="2" t="s">
        <v>151</v>
      </c>
      <c r="I5" s="11">
        <v>10.28</v>
      </c>
      <c r="J5" s="3">
        <v>8.73</v>
      </c>
      <c r="K5" s="3">
        <f t="shared" si="0"/>
        <v>0.84922178988326857</v>
      </c>
      <c r="L5" s="3">
        <v>9</v>
      </c>
      <c r="M5" s="10">
        <f t="shared" si="1"/>
        <v>0.87548638132295731</v>
      </c>
      <c r="N5" s="47">
        <v>9</v>
      </c>
      <c r="O5" s="2">
        <v>42767</v>
      </c>
      <c r="P5" s="10">
        <v>9.23</v>
      </c>
      <c r="Q5" s="18">
        <f t="shared" si="2"/>
        <v>1.0755555555555556</v>
      </c>
      <c r="R5" s="11" t="s">
        <v>3604</v>
      </c>
      <c r="S5" s="22">
        <f t="shared" si="3"/>
        <v>0</v>
      </c>
      <c r="T5" s="23">
        <f>1.5*3</f>
        <v>4.5</v>
      </c>
    </row>
    <row r="6" spans="1:20">
      <c r="A6" s="11">
        <v>22</v>
      </c>
      <c r="B6" s="9" t="s">
        <v>165</v>
      </c>
      <c r="C6" s="1" t="s">
        <v>11</v>
      </c>
      <c r="D6" s="1" t="s">
        <v>3</v>
      </c>
      <c r="E6" s="3">
        <v>2.15</v>
      </c>
      <c r="F6" s="3">
        <v>2.1499998389999999</v>
      </c>
      <c r="G6" s="2">
        <v>42389</v>
      </c>
      <c r="H6" s="2" t="s">
        <v>151</v>
      </c>
      <c r="I6" s="11">
        <v>26.48</v>
      </c>
      <c r="J6" s="3">
        <v>6.69</v>
      </c>
      <c r="K6" s="3">
        <f t="shared" si="0"/>
        <v>0.25264350453172207</v>
      </c>
      <c r="L6" s="3">
        <v>18.3</v>
      </c>
      <c r="M6" s="10">
        <f t="shared" si="1"/>
        <v>0.69108761329305135</v>
      </c>
      <c r="N6" s="47">
        <v>2</v>
      </c>
      <c r="O6" s="2">
        <v>42816</v>
      </c>
      <c r="P6" s="10">
        <v>24.79</v>
      </c>
      <c r="Q6" s="18">
        <f t="shared" si="2"/>
        <v>1.3546448087431693</v>
      </c>
      <c r="R6" s="11" t="s">
        <v>223</v>
      </c>
      <c r="S6" s="22">
        <f t="shared" si="3"/>
        <v>0</v>
      </c>
      <c r="T6" s="23">
        <f>IFERROR(RIGHT(LEFT(R6,FIND("元",R6)-1),(FIND("元",R6)-1-FIND("派",R6))),0)</f>
        <v>0</v>
      </c>
    </row>
    <row r="7" spans="1:20">
      <c r="A7" s="11">
        <v>25</v>
      </c>
      <c r="B7" s="9" t="s">
        <v>166</v>
      </c>
      <c r="C7" s="1" t="s">
        <v>95</v>
      </c>
      <c r="D7" s="1" t="s">
        <v>94</v>
      </c>
      <c r="E7" s="3">
        <v>16.7</v>
      </c>
      <c r="F7" s="3">
        <v>16.7</v>
      </c>
      <c r="G7" s="2">
        <v>42387</v>
      </c>
      <c r="H7" s="2" t="s">
        <v>151</v>
      </c>
      <c r="I7" s="11">
        <v>25.3</v>
      </c>
      <c r="J7" s="3">
        <v>16.64</v>
      </c>
      <c r="K7" s="3">
        <f t="shared" si="0"/>
        <v>0.6577075098814229</v>
      </c>
      <c r="L7" s="3">
        <v>20</v>
      </c>
      <c r="M7" s="10">
        <f t="shared" si="1"/>
        <v>0.79051383399209485</v>
      </c>
      <c r="N7" s="47">
        <v>8</v>
      </c>
      <c r="O7" s="2">
        <v>42769</v>
      </c>
      <c r="P7" s="10">
        <v>9.93</v>
      </c>
      <c r="Q7" s="18">
        <f t="shared" si="2"/>
        <v>0.998</v>
      </c>
      <c r="R7" s="11" t="s">
        <v>247</v>
      </c>
      <c r="S7" s="22" t="str">
        <f t="shared" si="3"/>
        <v>10</v>
      </c>
      <c r="T7" s="23" t="str">
        <f>IFERROR(RIGHT(LEFT(R7,FIND("元",R7)-1),(FIND("元",R7)-1-FIND("派",R7))),0)</f>
        <v>1.00</v>
      </c>
    </row>
    <row r="8" spans="1:20">
      <c r="A8" s="11">
        <v>27</v>
      </c>
      <c r="B8" s="9" t="s">
        <v>167</v>
      </c>
      <c r="C8" s="1" t="s">
        <v>39</v>
      </c>
      <c r="D8" s="1" t="s">
        <v>38</v>
      </c>
      <c r="E8" s="3">
        <v>7.26</v>
      </c>
      <c r="F8" s="3">
        <v>7.2599999559999997</v>
      </c>
      <c r="G8" s="2">
        <v>42395</v>
      </c>
      <c r="H8" s="2" t="s">
        <v>151</v>
      </c>
      <c r="I8" s="11">
        <v>12.9</v>
      </c>
      <c r="J8" s="3">
        <v>8.68</v>
      </c>
      <c r="K8" s="3">
        <f t="shared" si="0"/>
        <v>0.67286821705426347</v>
      </c>
      <c r="L8" s="3">
        <v>9.1999999999999993</v>
      </c>
      <c r="M8" s="10">
        <f t="shared" si="1"/>
        <v>0.71317829457364335</v>
      </c>
      <c r="N8" s="47">
        <v>7</v>
      </c>
      <c r="O8" s="2">
        <v>42772</v>
      </c>
      <c r="P8" s="10">
        <v>11.74</v>
      </c>
      <c r="Q8" s="18">
        <f t="shared" si="2"/>
        <v>1.2760869565217392</v>
      </c>
      <c r="R8" s="11" t="s">
        <v>223</v>
      </c>
      <c r="S8" s="22">
        <f t="shared" si="3"/>
        <v>0</v>
      </c>
      <c r="T8" s="23">
        <f>IFERROR(RIGHT(LEFT(R8,FIND("元",R8)-1),(FIND("元",R8)-1-FIND("派",R8))),0)</f>
        <v>0</v>
      </c>
    </row>
    <row r="9" spans="1:20">
      <c r="A9" s="11">
        <v>32</v>
      </c>
      <c r="B9" s="9" t="s">
        <v>168</v>
      </c>
      <c r="C9" s="1" t="s">
        <v>5</v>
      </c>
      <c r="D9" s="1" t="s">
        <v>2</v>
      </c>
      <c r="E9" s="3">
        <v>9.9896999999999991</v>
      </c>
      <c r="F9" s="3">
        <v>5.1230000000000002</v>
      </c>
      <c r="G9" s="2">
        <v>42383</v>
      </c>
      <c r="H9" s="2" t="s">
        <v>151</v>
      </c>
      <c r="I9" s="11">
        <v>63.5</v>
      </c>
      <c r="J9" s="3">
        <v>51.22</v>
      </c>
      <c r="K9" s="3">
        <f t="shared" si="0"/>
        <v>0.80661417322834639</v>
      </c>
      <c r="L9" s="3">
        <v>51.23</v>
      </c>
      <c r="M9" s="10">
        <f t="shared" si="1"/>
        <v>0.80677165354330704</v>
      </c>
      <c r="N9" s="47">
        <v>5</v>
      </c>
      <c r="O9" s="2">
        <v>42775</v>
      </c>
      <c r="P9" s="10">
        <v>33.18</v>
      </c>
      <c r="Q9" s="18">
        <f t="shared" si="2"/>
        <v>1.2982627366777282</v>
      </c>
      <c r="R9" s="11" t="s">
        <v>248</v>
      </c>
      <c r="S9" s="22" t="str">
        <f t="shared" si="3"/>
        <v>10</v>
      </c>
      <c r="T9" s="23" t="str">
        <f>IFERROR(RIGHT(LEFT(R9,FIND("元",R9)-1),(FIND("元",R9)-1-FIND("派",R9))),0)</f>
        <v>1.5</v>
      </c>
    </row>
    <row r="10" spans="1:20">
      <c r="A10" s="11">
        <v>35</v>
      </c>
      <c r="B10" s="9" t="s">
        <v>169</v>
      </c>
      <c r="C10" s="1" t="s">
        <v>47</v>
      </c>
      <c r="D10" s="1" t="s">
        <v>46</v>
      </c>
      <c r="E10" s="3">
        <v>10.3325</v>
      </c>
      <c r="F10" s="3">
        <v>10.33248699</v>
      </c>
      <c r="G10" s="2">
        <v>42374</v>
      </c>
      <c r="H10" s="2" t="s">
        <v>151</v>
      </c>
      <c r="I10" s="11">
        <v>18.989999999999998</v>
      </c>
      <c r="J10" s="3">
        <v>15.67</v>
      </c>
      <c r="K10" s="3">
        <f t="shared" si="0"/>
        <v>0.82517114270668779</v>
      </c>
      <c r="L10" s="3">
        <v>16.87</v>
      </c>
      <c r="M10" s="10">
        <f t="shared" si="1"/>
        <v>0.88836229594523441</v>
      </c>
      <c r="N10" s="47">
        <v>9</v>
      </c>
      <c r="O10" s="2">
        <v>42772</v>
      </c>
      <c r="P10" s="10">
        <v>15</v>
      </c>
      <c r="Q10" s="18">
        <f t="shared" si="2"/>
        <v>0.89508002371072903</v>
      </c>
      <c r="R10" s="11" t="s">
        <v>242</v>
      </c>
      <c r="S10" s="22">
        <f t="shared" si="3"/>
        <v>0</v>
      </c>
      <c r="T10" s="23" t="str">
        <f>IFERROR(RIGHT(LEFT(R10,FIND("元",R10)-1),(FIND("元",R10)-1-FIND("派",R10))),0)</f>
        <v>1.00</v>
      </c>
    </row>
    <row r="12" spans="1:20">
      <c r="A12" s="12" t="s">
        <v>106</v>
      </c>
      <c r="B12" s="12" t="s">
        <v>126</v>
      </c>
      <c r="C12" s="12" t="s">
        <v>107</v>
      </c>
      <c r="D12" s="12" t="s">
        <v>4</v>
      </c>
      <c r="E12" s="13" t="s">
        <v>108</v>
      </c>
      <c r="F12" s="13" t="s">
        <v>109</v>
      </c>
      <c r="G12" s="12" t="s">
        <v>274</v>
      </c>
      <c r="H12" s="12" t="s">
        <v>273</v>
      </c>
      <c r="I12" s="12" t="s">
        <v>116</v>
      </c>
      <c r="J12" s="14" t="s">
        <v>110</v>
      </c>
      <c r="K12" s="14" t="s">
        <v>276</v>
      </c>
      <c r="L12" s="14" t="s">
        <v>117</v>
      </c>
      <c r="M12" s="15" t="s">
        <v>275</v>
      </c>
      <c r="N12" s="12" t="s">
        <v>111</v>
      </c>
      <c r="O12" s="8" t="s">
        <v>12</v>
      </c>
      <c r="P12" s="8" t="s">
        <v>190</v>
      </c>
      <c r="Q12" s="15" t="s">
        <v>129</v>
      </c>
      <c r="R12" s="14" t="s">
        <v>220</v>
      </c>
    </row>
    <row r="13" spans="1:20">
      <c r="A13" s="11">
        <v>1</v>
      </c>
      <c r="B13" s="9" t="s">
        <v>159</v>
      </c>
      <c r="C13" s="1" t="s">
        <v>55</v>
      </c>
      <c r="D13" s="1" t="s">
        <v>54</v>
      </c>
      <c r="E13" s="3">
        <v>48</v>
      </c>
      <c r="F13" s="3">
        <v>35.4</v>
      </c>
      <c r="G13" s="2">
        <v>42376</v>
      </c>
      <c r="H13" s="2" t="s">
        <v>151</v>
      </c>
      <c r="I13" s="11">
        <v>13.07</v>
      </c>
      <c r="J13" s="3">
        <v>11.5</v>
      </c>
      <c r="K13" s="3">
        <f>J13/I13</f>
        <v>0.87987758224942614</v>
      </c>
      <c r="L13" s="3">
        <v>11.8</v>
      </c>
      <c r="M13" s="10">
        <f>L13/I13</f>
        <v>0.90283091048201991</v>
      </c>
      <c r="N13" s="47">
        <v>9</v>
      </c>
      <c r="O13" s="2">
        <v>42755</v>
      </c>
      <c r="P13" s="10">
        <v>12.85</v>
      </c>
      <c r="Q13" s="18">
        <f>(P13*(1+S13/10)+T13/10)/L13</f>
        <v>1.1144067796610169</v>
      </c>
      <c r="R13" s="11" t="s">
        <v>243</v>
      </c>
      <c r="S13" s="22">
        <f>IFERROR(RIGHT(LEFT(R13,FIND("股",R13)-1),(FIND("股",R13)-1-FIND("转",R13))),0)</f>
        <v>0</v>
      </c>
      <c r="T13" s="23" t="str">
        <f>IFERROR(RIGHT(LEFT(R13,FIND("元",R13)-1),(FIND("元",R13)-1-FIND("派",R13))),0)</f>
        <v>3</v>
      </c>
    </row>
    <row r="14" spans="1:20">
      <c r="B14" s="27" t="s">
        <v>118</v>
      </c>
      <c r="C14" s="16" t="s">
        <v>112</v>
      </c>
      <c r="D14" s="16" t="s">
        <v>113</v>
      </c>
      <c r="E14" s="16" t="s">
        <v>288</v>
      </c>
      <c r="F14" s="17" t="s">
        <v>287</v>
      </c>
      <c r="G14" s="16" t="s">
        <v>289</v>
      </c>
      <c r="I14" s="56" t="s">
        <v>298</v>
      </c>
      <c r="J14" s="56" t="s">
        <v>318</v>
      </c>
      <c r="K14" s="86" t="s">
        <v>496</v>
      </c>
      <c r="L14" s="640" t="s">
        <v>308</v>
      </c>
      <c r="M14" s="25"/>
      <c r="N14" s="118" t="s">
        <v>324</v>
      </c>
      <c r="O14" s="118" t="s">
        <v>495</v>
      </c>
      <c r="P14" s="640"/>
    </row>
    <row r="15" spans="1:20">
      <c r="B15" s="24">
        <f t="shared" ref="B15:C30" si="4">IF(I15=0,"",I15)</f>
        <v>1</v>
      </c>
      <c r="C15" s="11" t="str">
        <f t="shared" si="4"/>
        <v>苏州聚新中小科技创业投资企业（有
限合伙）</v>
      </c>
      <c r="D15" s="21">
        <f t="shared" ref="D15:D35" si="5">K15</f>
        <v>11.5</v>
      </c>
      <c r="E15" s="21">
        <f t="shared" ref="E15:E35" si="6">L15/10000</f>
        <v>3.45</v>
      </c>
      <c r="F15" s="19" t="str">
        <f t="shared" ref="F15:F35" si="7">IFERROR(VLOOKUP(C15,N$14:P$35,2,FALSE)/1,"")</f>
        <v/>
      </c>
      <c r="G15" s="21" t="str">
        <f t="shared" ref="G15:G35" si="8">IFERROR(F15*L$13/10000,"")</f>
        <v/>
      </c>
      <c r="I15" s="638">
        <v>1</v>
      </c>
      <c r="J15" s="640" t="s">
        <v>494</v>
      </c>
      <c r="K15" s="113">
        <v>11.5</v>
      </c>
      <c r="L15" s="82">
        <v>34500</v>
      </c>
      <c r="M15" s="25"/>
      <c r="N15" s="62" t="s">
        <v>490</v>
      </c>
      <c r="O15" s="116">
        <v>7000</v>
      </c>
      <c r="P15" s="117"/>
    </row>
    <row r="16" spans="1:20">
      <c r="B16" s="24">
        <f t="shared" si="4"/>
        <v>2</v>
      </c>
      <c r="C16" s="11" t="str">
        <f t="shared" si="4"/>
        <v>江苏省吴中经济技术发展总公司</v>
      </c>
      <c r="D16" s="21">
        <f t="shared" si="5"/>
        <v>13.35</v>
      </c>
      <c r="E16" s="21">
        <f t="shared" si="6"/>
        <v>4.0049999999999999</v>
      </c>
      <c r="F16" s="19">
        <f t="shared" si="7"/>
        <v>3000</v>
      </c>
      <c r="G16" s="21">
        <f t="shared" si="8"/>
        <v>3.54</v>
      </c>
      <c r="I16" s="1491">
        <v>2</v>
      </c>
      <c r="J16" s="1492" t="s">
        <v>493</v>
      </c>
      <c r="K16" s="113">
        <v>13.35</v>
      </c>
      <c r="L16" s="82">
        <v>40050</v>
      </c>
      <c r="M16" s="25"/>
      <c r="N16" s="62" t="s">
        <v>278</v>
      </c>
      <c r="O16" s="116">
        <v>3100</v>
      </c>
      <c r="P16" s="117"/>
    </row>
    <row r="17" spans="2:16">
      <c r="B17" s="24" t="str">
        <f t="shared" si="4"/>
        <v/>
      </c>
      <c r="C17" s="11" t="str">
        <f t="shared" si="4"/>
        <v/>
      </c>
      <c r="D17" s="21">
        <f t="shared" si="5"/>
        <v>11.5</v>
      </c>
      <c r="E17" s="21">
        <f t="shared" si="6"/>
        <v>3.45</v>
      </c>
      <c r="F17" s="19" t="str">
        <f t="shared" si="7"/>
        <v/>
      </c>
      <c r="G17" s="21" t="str">
        <f t="shared" si="8"/>
        <v/>
      </c>
      <c r="I17" s="1491"/>
      <c r="J17" s="1492"/>
      <c r="K17" s="113">
        <v>11.5</v>
      </c>
      <c r="L17" s="82">
        <v>34500</v>
      </c>
      <c r="M17" s="25"/>
      <c r="N17" s="62" t="s">
        <v>493</v>
      </c>
      <c r="O17" s="116">
        <v>3000</v>
      </c>
      <c r="P17" s="117"/>
    </row>
    <row r="18" spans="2:16">
      <c r="B18" s="24">
        <f t="shared" si="4"/>
        <v>3</v>
      </c>
      <c r="C18" s="11" t="str">
        <f t="shared" si="4"/>
        <v>张家港市直属公有资产经营有限公司</v>
      </c>
      <c r="D18" s="21">
        <f t="shared" si="5"/>
        <v>13.05</v>
      </c>
      <c r="E18" s="21">
        <f t="shared" si="6"/>
        <v>3.915</v>
      </c>
      <c r="F18" s="19">
        <f t="shared" si="7"/>
        <v>3000</v>
      </c>
      <c r="G18" s="21">
        <f t="shared" si="8"/>
        <v>3.54</v>
      </c>
      <c r="I18" s="638">
        <v>3</v>
      </c>
      <c r="J18" s="62" t="s">
        <v>492</v>
      </c>
      <c r="K18" s="113">
        <v>13.05</v>
      </c>
      <c r="L18" s="82">
        <v>39150</v>
      </c>
      <c r="M18" s="25"/>
      <c r="N18" s="62" t="s">
        <v>492</v>
      </c>
      <c r="O18" s="116">
        <v>3000</v>
      </c>
      <c r="P18" s="117"/>
    </row>
    <row r="19" spans="2:16">
      <c r="B19" s="24">
        <f t="shared" si="4"/>
        <v>4</v>
      </c>
      <c r="C19" s="11" t="str">
        <f t="shared" si="4"/>
        <v>苏州历史文化名城发展集团有限公司</v>
      </c>
      <c r="D19" s="21">
        <f t="shared" si="5"/>
        <v>13</v>
      </c>
      <c r="E19" s="21">
        <f t="shared" si="6"/>
        <v>3.9</v>
      </c>
      <c r="F19" s="19">
        <f t="shared" si="7"/>
        <v>3000</v>
      </c>
      <c r="G19" s="21">
        <f t="shared" si="8"/>
        <v>3.54</v>
      </c>
      <c r="I19" s="1493">
        <v>4</v>
      </c>
      <c r="J19" s="1494" t="s">
        <v>491</v>
      </c>
      <c r="K19" s="113">
        <v>13</v>
      </c>
      <c r="L19" s="82">
        <v>39000</v>
      </c>
      <c r="M19" s="25"/>
      <c r="N19" s="62" t="s">
        <v>491</v>
      </c>
      <c r="O19" s="116">
        <v>3000</v>
      </c>
      <c r="P19" s="117"/>
    </row>
    <row r="20" spans="2:16">
      <c r="B20" s="24" t="str">
        <f t="shared" si="4"/>
        <v/>
      </c>
      <c r="C20" s="11" t="str">
        <f t="shared" si="4"/>
        <v/>
      </c>
      <c r="D20" s="21">
        <f t="shared" si="5"/>
        <v>11.5</v>
      </c>
      <c r="E20" s="21">
        <f t="shared" si="6"/>
        <v>3.45</v>
      </c>
      <c r="F20" s="19" t="str">
        <f t="shared" si="7"/>
        <v/>
      </c>
      <c r="G20" s="21" t="str">
        <f t="shared" si="8"/>
        <v/>
      </c>
      <c r="I20" s="1493"/>
      <c r="J20" s="1494"/>
      <c r="K20" s="113">
        <v>11.5</v>
      </c>
      <c r="L20" s="82">
        <v>34500</v>
      </c>
      <c r="M20" s="25"/>
      <c r="N20" s="62" t="s">
        <v>332</v>
      </c>
      <c r="O20" s="116">
        <v>3000</v>
      </c>
      <c r="P20" s="117"/>
    </row>
    <row r="21" spans="2:16">
      <c r="B21" s="24">
        <f t="shared" si="4"/>
        <v>5</v>
      </c>
      <c r="C21" s="11" t="str">
        <f t="shared" si="4"/>
        <v>宝盈基金管理有限公司</v>
      </c>
      <c r="D21" s="21">
        <f t="shared" si="5"/>
        <v>12.18</v>
      </c>
      <c r="E21" s="21">
        <f t="shared" si="6"/>
        <v>3.6539999999999999</v>
      </c>
      <c r="F21" s="19">
        <f t="shared" si="7"/>
        <v>3000</v>
      </c>
      <c r="G21" s="21">
        <f t="shared" si="8"/>
        <v>3.54</v>
      </c>
      <c r="I21" s="638">
        <v>5</v>
      </c>
      <c r="J21" s="639" t="s">
        <v>332</v>
      </c>
      <c r="K21" s="113">
        <v>12.18</v>
      </c>
      <c r="L21" s="82">
        <v>36540</v>
      </c>
      <c r="M21" s="25"/>
      <c r="N21" s="62" t="s">
        <v>152</v>
      </c>
      <c r="O21" s="116">
        <v>3000</v>
      </c>
      <c r="P21" s="117"/>
    </row>
    <row r="22" spans="2:16" ht="15" customHeight="1">
      <c r="B22" s="24">
        <f t="shared" si="4"/>
        <v>6</v>
      </c>
      <c r="C22" s="11" t="str">
        <f t="shared" si="4"/>
        <v>青岛城投金融控股集团有限公司</v>
      </c>
      <c r="D22" s="21">
        <f t="shared" si="5"/>
        <v>11.8</v>
      </c>
      <c r="E22" s="21">
        <f t="shared" si="6"/>
        <v>3.54</v>
      </c>
      <c r="F22" s="19">
        <f t="shared" si="7"/>
        <v>1900</v>
      </c>
      <c r="G22" s="21">
        <f t="shared" si="8"/>
        <v>2.242</v>
      </c>
      <c r="I22" s="638">
        <v>6</v>
      </c>
      <c r="J22" s="639" t="s">
        <v>125</v>
      </c>
      <c r="K22" s="113">
        <v>11.8</v>
      </c>
      <c r="L22" s="82">
        <v>35400</v>
      </c>
      <c r="M22" s="25"/>
      <c r="N22" s="115" t="s">
        <v>489</v>
      </c>
      <c r="O22" s="116">
        <v>3000</v>
      </c>
      <c r="P22" s="117"/>
    </row>
    <row r="23" spans="2:16">
      <c r="B23" s="24">
        <f t="shared" si="4"/>
        <v>7</v>
      </c>
      <c r="C23" s="11" t="str">
        <f t="shared" si="4"/>
        <v>鹏华基金管理有限公司</v>
      </c>
      <c r="D23" s="21">
        <f t="shared" si="5"/>
        <v>12.02</v>
      </c>
      <c r="E23" s="21">
        <f t="shared" si="6"/>
        <v>3.6059999999999999</v>
      </c>
      <c r="F23" s="19">
        <f t="shared" si="7"/>
        <v>3000</v>
      </c>
      <c r="G23" s="21">
        <f t="shared" si="8"/>
        <v>3.54</v>
      </c>
      <c r="I23" s="1493">
        <v>7</v>
      </c>
      <c r="J23" s="1495" t="s">
        <v>152</v>
      </c>
      <c r="K23" s="113">
        <v>12.02</v>
      </c>
      <c r="L23" s="82">
        <v>36060</v>
      </c>
      <c r="M23" s="25"/>
      <c r="N23" s="62" t="s">
        <v>125</v>
      </c>
      <c r="O23" s="116">
        <v>1900</v>
      </c>
      <c r="P23" s="25"/>
    </row>
    <row r="24" spans="2:16">
      <c r="B24" s="24" t="str">
        <f t="shared" si="4"/>
        <v/>
      </c>
      <c r="C24" s="11" t="str">
        <f t="shared" si="4"/>
        <v/>
      </c>
      <c r="D24" s="21">
        <f t="shared" si="5"/>
        <v>11.79</v>
      </c>
      <c r="E24" s="21">
        <f t="shared" si="6"/>
        <v>3.6549</v>
      </c>
      <c r="F24" s="19" t="str">
        <f t="shared" si="7"/>
        <v/>
      </c>
      <c r="G24" s="21" t="str">
        <f t="shared" si="8"/>
        <v/>
      </c>
      <c r="I24" s="1493"/>
      <c r="J24" s="1495"/>
      <c r="K24" s="113">
        <v>11.79</v>
      </c>
      <c r="L24" s="82">
        <v>36549</v>
      </c>
      <c r="M24" s="25"/>
      <c r="N24" s="25"/>
      <c r="O24" s="25"/>
      <c r="P24" s="25"/>
    </row>
    <row r="25" spans="2:16">
      <c r="C25" s="11" t="str">
        <f t="shared" si="4"/>
        <v>苏州物资控股（集团）有限责任公司</v>
      </c>
      <c r="D25" s="21">
        <f t="shared" si="5"/>
        <v>12.9</v>
      </c>
      <c r="E25" s="21">
        <f t="shared" si="6"/>
        <v>9.0299999999999994</v>
      </c>
      <c r="F25" s="19">
        <f t="shared" si="7"/>
        <v>7000</v>
      </c>
      <c r="G25" s="21">
        <f t="shared" si="8"/>
        <v>8.26</v>
      </c>
      <c r="I25" s="638">
        <v>8</v>
      </c>
      <c r="J25" s="639" t="s">
        <v>490</v>
      </c>
      <c r="K25" s="113">
        <v>12.9</v>
      </c>
      <c r="L25" s="82">
        <v>90300</v>
      </c>
      <c r="M25" s="25"/>
      <c r="N25" s="25"/>
      <c r="O25" s="25"/>
      <c r="P25" s="25"/>
    </row>
    <row r="26" spans="2:16">
      <c r="B26" s="24">
        <f t="shared" ref="B26:C35" si="9">IF(I26=0,"",I26)</f>
        <v>9</v>
      </c>
      <c r="C26" s="11" t="str">
        <f t="shared" si="4"/>
        <v>财通基金管理有限公司</v>
      </c>
      <c r="D26" s="21">
        <f t="shared" si="5"/>
        <v>11.51</v>
      </c>
      <c r="E26" s="21">
        <f t="shared" si="6"/>
        <v>4.0285000000000002</v>
      </c>
      <c r="F26" s="19" t="str">
        <f t="shared" si="7"/>
        <v/>
      </c>
      <c r="G26" s="21" t="str">
        <f t="shared" si="8"/>
        <v/>
      </c>
      <c r="I26" s="638">
        <v>9</v>
      </c>
      <c r="J26" s="639" t="s">
        <v>115</v>
      </c>
      <c r="K26" s="113">
        <v>11.51</v>
      </c>
      <c r="L26" s="82">
        <v>40285</v>
      </c>
      <c r="M26" s="25"/>
      <c r="N26" s="25"/>
      <c r="O26" s="25"/>
      <c r="P26" s="25"/>
    </row>
    <row r="27" spans="2:16">
      <c r="B27" s="24">
        <f t="shared" si="9"/>
        <v>10</v>
      </c>
      <c r="C27" s="11" t="str">
        <f t="shared" si="4"/>
        <v>诺安基金管理有限公司</v>
      </c>
      <c r="D27" s="21">
        <f t="shared" si="5"/>
        <v>11.62</v>
      </c>
      <c r="E27" s="21">
        <f t="shared" si="6"/>
        <v>3.7183999999999999</v>
      </c>
      <c r="F27" s="19" t="str">
        <f t="shared" si="7"/>
        <v/>
      </c>
      <c r="G27" s="21" t="str">
        <f t="shared" si="8"/>
        <v/>
      </c>
      <c r="I27" s="638">
        <v>10</v>
      </c>
      <c r="J27" s="639" t="s">
        <v>147</v>
      </c>
      <c r="K27" s="113">
        <v>11.62</v>
      </c>
      <c r="L27" s="82">
        <v>37184</v>
      </c>
      <c r="M27" s="25"/>
      <c r="N27" s="25"/>
      <c r="O27" s="25"/>
      <c r="P27" s="25"/>
    </row>
    <row r="28" spans="2:16">
      <c r="B28" s="24">
        <f t="shared" si="9"/>
        <v>11</v>
      </c>
      <c r="C28" s="11" t="str">
        <f t="shared" si="4"/>
        <v>泰达宏利基金管理有限公司</v>
      </c>
      <c r="D28" s="21">
        <f t="shared" si="5"/>
        <v>11.53</v>
      </c>
      <c r="E28" s="21">
        <f t="shared" si="6"/>
        <v>3.5743</v>
      </c>
      <c r="F28" s="19" t="str">
        <f t="shared" si="7"/>
        <v/>
      </c>
      <c r="G28" s="21" t="str">
        <f t="shared" si="8"/>
        <v/>
      </c>
      <c r="I28" s="1491">
        <v>11</v>
      </c>
      <c r="J28" s="1492" t="s">
        <v>148</v>
      </c>
      <c r="K28" s="113">
        <v>11.53</v>
      </c>
      <c r="L28" s="82">
        <v>35743</v>
      </c>
      <c r="M28" s="25"/>
      <c r="N28" s="25"/>
      <c r="O28" s="25"/>
      <c r="P28" s="25"/>
    </row>
    <row r="29" spans="2:16">
      <c r="B29" s="24" t="str">
        <f t="shared" si="9"/>
        <v/>
      </c>
      <c r="C29" s="11" t="str">
        <f t="shared" si="4"/>
        <v/>
      </c>
      <c r="D29" s="21">
        <f t="shared" si="5"/>
        <v>11.52</v>
      </c>
      <c r="E29" s="21">
        <f t="shared" si="6"/>
        <v>3.6863999999999999</v>
      </c>
      <c r="F29" s="19" t="str">
        <f t="shared" si="7"/>
        <v/>
      </c>
      <c r="G29" s="21" t="str">
        <f t="shared" si="8"/>
        <v/>
      </c>
      <c r="I29" s="1491"/>
      <c r="J29" s="1492"/>
      <c r="K29" s="113">
        <v>11.52</v>
      </c>
      <c r="L29" s="82">
        <v>36864</v>
      </c>
      <c r="M29" s="25"/>
      <c r="N29" s="25"/>
      <c r="O29" s="25"/>
      <c r="P29" s="25"/>
    </row>
    <row r="30" spans="2:16">
      <c r="B30" s="24" t="str">
        <f t="shared" si="9"/>
        <v/>
      </c>
      <c r="C30" s="11" t="str">
        <f t="shared" si="4"/>
        <v/>
      </c>
      <c r="D30" s="21">
        <f t="shared" si="5"/>
        <v>11.51</v>
      </c>
      <c r="E30" s="21">
        <f t="shared" si="6"/>
        <v>3.7982999999999998</v>
      </c>
      <c r="F30" s="19" t="str">
        <f t="shared" si="7"/>
        <v/>
      </c>
      <c r="G30" s="21" t="str">
        <f t="shared" si="8"/>
        <v/>
      </c>
      <c r="I30" s="1491"/>
      <c r="J30" s="1492"/>
      <c r="K30" s="113">
        <v>11.51</v>
      </c>
      <c r="L30" s="82">
        <v>37983</v>
      </c>
      <c r="M30" s="25"/>
      <c r="N30" s="25"/>
      <c r="O30" s="25"/>
      <c r="P30" s="25"/>
    </row>
    <row r="31" spans="2:16">
      <c r="B31" s="24">
        <f t="shared" si="9"/>
        <v>12</v>
      </c>
      <c r="C31" s="11" t="str">
        <f t="shared" si="9"/>
        <v>中新苏州工业园区城市投资运营有限公
司</v>
      </c>
      <c r="D31" s="21">
        <f t="shared" si="5"/>
        <v>12</v>
      </c>
      <c r="E31" s="21">
        <f t="shared" si="6"/>
        <v>3.6</v>
      </c>
      <c r="F31" s="19">
        <f t="shared" si="7"/>
        <v>3000</v>
      </c>
      <c r="G31" s="21">
        <f t="shared" si="8"/>
        <v>3.54</v>
      </c>
      <c r="I31" s="638">
        <v>12</v>
      </c>
      <c r="J31" s="115" t="s">
        <v>489</v>
      </c>
      <c r="K31" s="113">
        <v>12</v>
      </c>
      <c r="L31" s="82">
        <v>36000</v>
      </c>
      <c r="M31" s="25"/>
      <c r="N31" s="25"/>
      <c r="O31" s="25"/>
      <c r="P31" s="25"/>
    </row>
    <row r="32" spans="2:16">
      <c r="B32" s="24">
        <f t="shared" si="9"/>
        <v>13</v>
      </c>
      <c r="C32" s="11" t="str">
        <f t="shared" si="9"/>
        <v>金鹰基金管理有限公司</v>
      </c>
      <c r="D32" s="21">
        <f t="shared" si="5"/>
        <v>12.41</v>
      </c>
      <c r="E32" s="21">
        <f t="shared" si="6"/>
        <v>3.7229999999999999</v>
      </c>
      <c r="F32" s="19">
        <f t="shared" si="7"/>
        <v>3100</v>
      </c>
      <c r="G32" s="21">
        <f t="shared" si="8"/>
        <v>3.6579999999999999</v>
      </c>
      <c r="I32" s="1493">
        <v>13</v>
      </c>
      <c r="J32" s="1495" t="s">
        <v>278</v>
      </c>
      <c r="K32" s="113">
        <v>12.41</v>
      </c>
      <c r="L32" s="82">
        <v>37230</v>
      </c>
      <c r="M32" s="25"/>
      <c r="N32" s="25"/>
      <c r="O32" s="25"/>
      <c r="P32" s="25"/>
    </row>
    <row r="33" spans="1:20">
      <c r="B33" s="24" t="str">
        <f t="shared" si="9"/>
        <v/>
      </c>
      <c r="C33" s="11" t="str">
        <f t="shared" si="9"/>
        <v/>
      </c>
      <c r="D33" s="21">
        <f t="shared" si="5"/>
        <v>11.85</v>
      </c>
      <c r="E33" s="21">
        <f t="shared" si="6"/>
        <v>3.6735000000000002</v>
      </c>
      <c r="F33" s="19" t="str">
        <f t="shared" si="7"/>
        <v/>
      </c>
      <c r="G33" s="21" t="str">
        <f t="shared" si="8"/>
        <v/>
      </c>
      <c r="I33" s="1493"/>
      <c r="J33" s="1495"/>
      <c r="K33" s="113">
        <v>11.85</v>
      </c>
      <c r="L33" s="82">
        <v>36735</v>
      </c>
      <c r="M33" s="25"/>
      <c r="N33" s="25"/>
      <c r="O33" s="25"/>
      <c r="P33" s="25"/>
    </row>
    <row r="34" spans="1:20">
      <c r="B34" s="24">
        <f t="shared" si="9"/>
        <v>14</v>
      </c>
      <c r="C34" s="11" t="str">
        <f t="shared" si="9"/>
        <v>平安大华基金管理有限公司</v>
      </c>
      <c r="D34" s="21">
        <f t="shared" si="5"/>
        <v>11.7</v>
      </c>
      <c r="E34" s="21">
        <f t="shared" si="6"/>
        <v>4.7969999999999997</v>
      </c>
      <c r="F34" s="19" t="str">
        <f t="shared" si="7"/>
        <v/>
      </c>
      <c r="G34" s="21" t="str">
        <f t="shared" si="8"/>
        <v/>
      </c>
      <c r="I34" s="114">
        <v>14</v>
      </c>
      <c r="J34" s="639" t="s">
        <v>146</v>
      </c>
      <c r="K34" s="113">
        <v>11.7</v>
      </c>
      <c r="L34" s="82">
        <v>47970</v>
      </c>
      <c r="M34" s="25"/>
      <c r="N34" s="25"/>
      <c r="O34" s="25"/>
      <c r="P34" s="25"/>
    </row>
    <row r="35" spans="1:20">
      <c r="B35" s="24" t="str">
        <f t="shared" si="9"/>
        <v/>
      </c>
      <c r="C35" s="11" t="str">
        <f t="shared" si="9"/>
        <v/>
      </c>
      <c r="D35" s="21">
        <f t="shared" si="5"/>
        <v>11.51</v>
      </c>
      <c r="E35" s="21">
        <f t="shared" si="6"/>
        <v>9.4382000000000001</v>
      </c>
      <c r="F35" s="19" t="str">
        <f t="shared" si="7"/>
        <v/>
      </c>
      <c r="G35" s="21" t="str">
        <f t="shared" si="8"/>
        <v/>
      </c>
      <c r="I35" s="114"/>
      <c r="J35" s="639"/>
      <c r="K35" s="113">
        <v>11.51</v>
      </c>
      <c r="L35" s="82">
        <v>94382</v>
      </c>
      <c r="M35" s="25"/>
      <c r="N35" s="25"/>
      <c r="O35" s="25"/>
      <c r="P35" s="25"/>
    </row>
    <row r="36" spans="1:20">
      <c r="I36" s="28"/>
    </row>
    <row r="37" spans="1:20">
      <c r="A37" s="12" t="s">
        <v>106</v>
      </c>
      <c r="B37" s="12" t="s">
        <v>126</v>
      </c>
      <c r="C37" s="12" t="s">
        <v>107</v>
      </c>
      <c r="D37" s="12" t="s">
        <v>4</v>
      </c>
      <c r="E37" s="13" t="s">
        <v>108</v>
      </c>
      <c r="F37" s="13" t="s">
        <v>109</v>
      </c>
      <c r="G37" s="12" t="s">
        <v>274</v>
      </c>
      <c r="H37" s="12" t="s">
        <v>273</v>
      </c>
      <c r="I37" s="12" t="s">
        <v>116</v>
      </c>
      <c r="J37" s="14" t="s">
        <v>110</v>
      </c>
      <c r="K37" s="14" t="s">
        <v>276</v>
      </c>
      <c r="L37" s="14" t="s">
        <v>117</v>
      </c>
      <c r="M37" s="15" t="s">
        <v>275</v>
      </c>
      <c r="N37" s="12" t="s">
        <v>111</v>
      </c>
      <c r="O37" s="8" t="s">
        <v>12</v>
      </c>
      <c r="P37" s="8" t="s">
        <v>190</v>
      </c>
      <c r="Q37" s="15" t="s">
        <v>129</v>
      </c>
      <c r="R37" s="14" t="s">
        <v>220</v>
      </c>
    </row>
    <row r="38" spans="1:20">
      <c r="A38" s="11">
        <v>2</v>
      </c>
      <c r="B38" s="9" t="s">
        <v>161</v>
      </c>
      <c r="C38" s="1" t="s">
        <v>19</v>
      </c>
      <c r="D38" s="1" t="s">
        <v>18</v>
      </c>
      <c r="E38" s="3">
        <v>70</v>
      </c>
      <c r="F38" s="3">
        <v>69.999999965599997</v>
      </c>
      <c r="G38" s="2">
        <v>42381</v>
      </c>
      <c r="H38" s="2" t="s">
        <v>151</v>
      </c>
      <c r="I38" s="11">
        <v>28.1</v>
      </c>
      <c r="J38" s="3">
        <v>20.48</v>
      </c>
      <c r="K38" s="3">
        <f>J38/I38</f>
        <v>0.72882562277580065</v>
      </c>
      <c r="L38" s="3">
        <v>22.64</v>
      </c>
      <c r="M38" s="10">
        <f>L38/I38</f>
        <v>0.80569395017793588</v>
      </c>
      <c r="N38" s="47">
        <v>9</v>
      </c>
      <c r="O38" s="2">
        <v>42758</v>
      </c>
      <c r="P38" s="10">
        <v>23.93</v>
      </c>
      <c r="Q38" s="18">
        <f>(P38*(1+S38/10)+T38/10)/L38</f>
        <v>1.0808303886925794</v>
      </c>
      <c r="R38" s="11" t="s">
        <v>244</v>
      </c>
      <c r="S38" s="22">
        <f>IFERROR(RIGHT(LEFT(R38,FIND("股",R38)-1),(FIND("股",R38)-1-FIND("转",R38))),0)</f>
        <v>0</v>
      </c>
      <c r="T38" s="23" t="str">
        <f>IFERROR(RIGHT(LEFT(R38,FIND("元",R38)-1),(FIND("元",R38)-1-FIND("派",R38))),0)</f>
        <v>5.4</v>
      </c>
    </row>
    <row r="39" spans="1:20">
      <c r="B39" s="27" t="s">
        <v>118</v>
      </c>
      <c r="C39" s="16" t="s">
        <v>112</v>
      </c>
      <c r="D39" s="16" t="s">
        <v>113</v>
      </c>
      <c r="E39" s="16" t="s">
        <v>288</v>
      </c>
      <c r="F39" s="17" t="s">
        <v>287</v>
      </c>
      <c r="G39" s="16" t="s">
        <v>289</v>
      </c>
      <c r="I39" s="25" t="s">
        <v>477</v>
      </c>
      <c r="J39" s="25" t="s">
        <v>296</v>
      </c>
      <c r="K39" s="25" t="s">
        <v>488</v>
      </c>
      <c r="L39" s="25" t="s">
        <v>487</v>
      </c>
      <c r="M39" s="39" t="s">
        <v>366</v>
      </c>
      <c r="N39" s="25" t="s">
        <v>486</v>
      </c>
      <c r="O39" s="25" t="s">
        <v>160</v>
      </c>
      <c r="P39" s="57"/>
    </row>
    <row r="40" spans="1:20">
      <c r="B40" s="28">
        <f t="shared" ref="B40:C66" si="10">IF(I40=0,"",I40)</f>
        <v>1</v>
      </c>
      <c r="C40" s="11" t="str">
        <f t="shared" si="10"/>
        <v>信达新兴财富（北京）资产管理</v>
      </c>
      <c r="D40" s="21">
        <f t="shared" ref="D40:D66" si="11">K40</f>
        <v>22.64</v>
      </c>
      <c r="E40" s="21">
        <f t="shared" ref="E40:E66" si="12">L40/10000</f>
        <v>7.5979839999999994</v>
      </c>
      <c r="F40" s="19">
        <f t="shared" ref="F40:F66" si="13">IFERROR(VLOOKUP(C40,N$39:P$52,2,FALSE)/10000,"")</f>
        <v>1432.3847000000001</v>
      </c>
      <c r="G40" s="21">
        <f t="shared" ref="G40:G66" si="14">IFERROR(F40*L$38/10000,"")</f>
        <v>3.2429189608</v>
      </c>
      <c r="I40" s="25">
        <v>1</v>
      </c>
      <c r="J40" s="25" t="s">
        <v>484</v>
      </c>
      <c r="K40" s="25">
        <v>22.64</v>
      </c>
      <c r="L40" s="112">
        <v>75979.839999999997</v>
      </c>
      <c r="M40" s="25"/>
      <c r="N40" s="25" t="s">
        <v>115</v>
      </c>
      <c r="O40" s="26">
        <v>64743374</v>
      </c>
      <c r="P40" s="25"/>
    </row>
    <row r="41" spans="1:20">
      <c r="B41" s="28" t="str">
        <f t="shared" si="10"/>
        <v/>
      </c>
      <c r="C41" s="11" t="str">
        <f t="shared" si="10"/>
        <v/>
      </c>
      <c r="D41" s="21">
        <f t="shared" si="11"/>
        <v>21.58</v>
      </c>
      <c r="E41" s="21">
        <f t="shared" si="12"/>
        <v>7.5961600000000002</v>
      </c>
      <c r="F41" s="19" t="str">
        <f t="shared" si="13"/>
        <v/>
      </c>
      <c r="G41" s="21" t="str">
        <f t="shared" si="14"/>
        <v/>
      </c>
      <c r="I41" s="25"/>
      <c r="J41" s="25"/>
      <c r="K41" s="25">
        <v>21.58</v>
      </c>
      <c r="L41" s="112">
        <v>75961.600000000006</v>
      </c>
      <c r="M41" s="25"/>
      <c r="N41" s="25" t="s">
        <v>144</v>
      </c>
      <c r="O41" s="26">
        <v>41966872</v>
      </c>
      <c r="P41" s="25"/>
    </row>
    <row r="42" spans="1:20">
      <c r="B42" s="28" t="str">
        <f t="shared" si="10"/>
        <v/>
      </c>
      <c r="C42" s="11" t="str">
        <f t="shared" si="10"/>
        <v/>
      </c>
      <c r="D42" s="21">
        <f t="shared" si="11"/>
        <v>20.48</v>
      </c>
      <c r="E42" s="21">
        <f t="shared" si="12"/>
        <v>7.5980800000000004</v>
      </c>
      <c r="F42" s="19" t="str">
        <f t="shared" si="13"/>
        <v/>
      </c>
      <c r="G42" s="21" t="str">
        <f t="shared" si="14"/>
        <v/>
      </c>
      <c r="I42" s="25"/>
      <c r="J42" s="25"/>
      <c r="K42" s="25">
        <v>20.48</v>
      </c>
      <c r="L42" s="112">
        <v>75980.800000000003</v>
      </c>
      <c r="M42" s="25"/>
      <c r="N42" s="25" t="s">
        <v>121</v>
      </c>
      <c r="O42" s="26">
        <v>33126015</v>
      </c>
      <c r="P42" s="25"/>
    </row>
    <row r="43" spans="1:20">
      <c r="B43" s="28">
        <f t="shared" si="10"/>
        <v>2</v>
      </c>
      <c r="C43" s="11" t="str">
        <f t="shared" si="10"/>
        <v>新华资产管理股份有限公司</v>
      </c>
      <c r="D43" s="21">
        <f t="shared" si="11"/>
        <v>20.88</v>
      </c>
      <c r="E43" s="21">
        <f t="shared" si="12"/>
        <v>7.0010639999999995</v>
      </c>
      <c r="F43" s="19" t="str">
        <f t="shared" si="13"/>
        <v/>
      </c>
      <c r="G43" s="21" t="str">
        <f t="shared" si="14"/>
        <v/>
      </c>
      <c r="I43" s="25">
        <v>2</v>
      </c>
      <c r="J43" s="25" t="s">
        <v>226</v>
      </c>
      <c r="K43" s="25">
        <v>20.88</v>
      </c>
      <c r="L43" s="112">
        <v>70010.64</v>
      </c>
      <c r="M43" s="25"/>
      <c r="N43" s="25" t="s">
        <v>148</v>
      </c>
      <c r="O43" s="26">
        <v>31319787</v>
      </c>
      <c r="P43" s="25"/>
    </row>
    <row r="44" spans="1:20">
      <c r="B44" s="28">
        <f t="shared" si="10"/>
        <v>3</v>
      </c>
      <c r="C44" s="11" t="str">
        <f t="shared" si="10"/>
        <v>国开金融有限责任公司</v>
      </c>
      <c r="D44" s="21">
        <f t="shared" si="11"/>
        <v>20.48</v>
      </c>
      <c r="E44" s="21">
        <f t="shared" si="12"/>
        <v>7</v>
      </c>
      <c r="F44" s="19" t="str">
        <f t="shared" si="13"/>
        <v/>
      </c>
      <c r="G44" s="21" t="str">
        <f t="shared" si="14"/>
        <v/>
      </c>
      <c r="I44" s="25">
        <v>3</v>
      </c>
      <c r="J44" s="25" t="s">
        <v>485</v>
      </c>
      <c r="K44" s="25">
        <v>20.48</v>
      </c>
      <c r="L44" s="112">
        <v>70000</v>
      </c>
      <c r="M44" s="25"/>
      <c r="N44" s="25" t="s">
        <v>403</v>
      </c>
      <c r="O44" s="26">
        <v>30928816</v>
      </c>
      <c r="P44" s="25"/>
    </row>
    <row r="45" spans="1:20">
      <c r="B45" s="28">
        <f t="shared" si="10"/>
        <v>4</v>
      </c>
      <c r="C45" s="11" t="str">
        <f t="shared" si="10"/>
        <v>工银瑞信基金管理有限公司</v>
      </c>
      <c r="D45" s="21">
        <f t="shared" si="11"/>
        <v>22</v>
      </c>
      <c r="E45" s="21">
        <f t="shared" si="12"/>
        <v>7.3743999999999996</v>
      </c>
      <c r="F45" s="19" t="str">
        <f t="shared" si="13"/>
        <v/>
      </c>
      <c r="G45" s="21" t="str">
        <f t="shared" si="14"/>
        <v/>
      </c>
      <c r="I45" s="25">
        <v>4</v>
      </c>
      <c r="J45" s="25" t="s">
        <v>145</v>
      </c>
      <c r="K45" s="25">
        <v>22</v>
      </c>
      <c r="L45" s="112">
        <v>73744</v>
      </c>
      <c r="M45" s="25"/>
      <c r="N45" s="25" t="s">
        <v>142</v>
      </c>
      <c r="O45" s="26">
        <v>30928312</v>
      </c>
      <c r="P45" s="25"/>
    </row>
    <row r="46" spans="1:20">
      <c r="B46" s="28">
        <f t="shared" si="10"/>
        <v>5</v>
      </c>
      <c r="C46" s="11" t="str">
        <f t="shared" si="10"/>
        <v>招商财富资产管理有限公司</v>
      </c>
      <c r="D46" s="21">
        <f t="shared" si="11"/>
        <v>23.45</v>
      </c>
      <c r="E46" s="21">
        <f t="shared" si="12"/>
        <v>7.0021699999999996</v>
      </c>
      <c r="F46" s="19">
        <f t="shared" si="13"/>
        <v>3092.8312000000001</v>
      </c>
      <c r="G46" s="21">
        <f t="shared" si="14"/>
        <v>7.0021698367999994</v>
      </c>
      <c r="I46" s="25">
        <v>5</v>
      </c>
      <c r="J46" s="25" t="s">
        <v>142</v>
      </c>
      <c r="K46" s="25">
        <v>23.45</v>
      </c>
      <c r="L46" s="112">
        <v>70021.7</v>
      </c>
      <c r="M46" s="25"/>
      <c r="N46" s="25" t="s">
        <v>133</v>
      </c>
      <c r="O46" s="26">
        <v>30927310</v>
      </c>
      <c r="P46" s="25"/>
    </row>
    <row r="47" spans="1:20">
      <c r="B47" s="28" t="str">
        <f t="shared" si="10"/>
        <v/>
      </c>
      <c r="C47" s="11" t="str">
        <f t="shared" si="10"/>
        <v/>
      </c>
      <c r="D47" s="21">
        <f t="shared" si="11"/>
        <v>22.51</v>
      </c>
      <c r="E47" s="21">
        <f t="shared" si="12"/>
        <v>7.0006100000000009</v>
      </c>
      <c r="F47" s="19" t="str">
        <f t="shared" si="13"/>
        <v/>
      </c>
      <c r="G47" s="21" t="str">
        <f t="shared" si="14"/>
        <v/>
      </c>
      <c r="I47" s="25"/>
      <c r="J47" s="25"/>
      <c r="K47" s="25">
        <v>22.51</v>
      </c>
      <c r="L47" s="112">
        <v>70006.100000000006</v>
      </c>
      <c r="M47" s="25"/>
      <c r="N47" s="25" t="s">
        <v>483</v>
      </c>
      <c r="O47" s="26">
        <v>30922946</v>
      </c>
      <c r="P47" s="25"/>
    </row>
    <row r="48" spans="1:20">
      <c r="B48" s="28" t="str">
        <f t="shared" si="10"/>
        <v/>
      </c>
      <c r="C48" s="11" t="str">
        <f t="shared" si="10"/>
        <v/>
      </c>
      <c r="D48" s="21">
        <f t="shared" si="11"/>
        <v>20.5</v>
      </c>
      <c r="E48" s="21">
        <f t="shared" si="12"/>
        <v>7.00075</v>
      </c>
      <c r="F48" s="19" t="str">
        <f t="shared" si="13"/>
        <v/>
      </c>
      <c r="G48" s="21" t="str">
        <f t="shared" si="14"/>
        <v/>
      </c>
      <c r="I48" s="25"/>
      <c r="J48" s="25"/>
      <c r="K48" s="25">
        <v>20.5</v>
      </c>
      <c r="L48" s="112">
        <v>70007.5</v>
      </c>
      <c r="M48" s="25"/>
      <c r="N48" s="25" t="s">
        <v>484</v>
      </c>
      <c r="O48" s="26">
        <v>14323847</v>
      </c>
      <c r="P48" s="25"/>
    </row>
    <row r="49" spans="2:16">
      <c r="B49" s="28">
        <f t="shared" si="10"/>
        <v>6</v>
      </c>
      <c r="C49" s="11" t="str">
        <f t="shared" si="10"/>
        <v>青岛城投金融控股集团有限</v>
      </c>
      <c r="D49" s="21">
        <f t="shared" si="11"/>
        <v>24.05</v>
      </c>
      <c r="E49" s="21">
        <f t="shared" si="12"/>
        <v>7.0009550000000003</v>
      </c>
      <c r="F49" s="19">
        <f t="shared" si="13"/>
        <v>3092.2946000000002</v>
      </c>
      <c r="G49" s="21">
        <f t="shared" si="14"/>
        <v>7.0009549743999999</v>
      </c>
      <c r="I49" s="25">
        <v>6</v>
      </c>
      <c r="J49" s="25" t="s">
        <v>483</v>
      </c>
      <c r="K49" s="25">
        <v>24.05</v>
      </c>
      <c r="L49" s="112">
        <v>70009.55</v>
      </c>
      <c r="M49" s="25"/>
      <c r="N49" s="25"/>
      <c r="O49" s="25"/>
      <c r="P49" s="25"/>
    </row>
    <row r="50" spans="2:16">
      <c r="B50" s="28">
        <f t="shared" si="10"/>
        <v>7</v>
      </c>
      <c r="C50" s="11" t="str">
        <f t="shared" si="10"/>
        <v>中信建投基金管理有限公司</v>
      </c>
      <c r="D50" s="21">
        <f t="shared" si="11"/>
        <v>25.5</v>
      </c>
      <c r="E50" s="21">
        <f t="shared" si="12"/>
        <v>9.5013000000000005</v>
      </c>
      <c r="F50" s="19">
        <f t="shared" si="13"/>
        <v>4196.6872000000003</v>
      </c>
      <c r="G50" s="21">
        <f t="shared" si="14"/>
        <v>9.5012998207999999</v>
      </c>
      <c r="I50" s="25">
        <v>7</v>
      </c>
      <c r="J50" s="25" t="s">
        <v>144</v>
      </c>
      <c r="K50" s="25">
        <v>25.5</v>
      </c>
      <c r="L50" s="112">
        <v>95013</v>
      </c>
      <c r="M50" s="25"/>
      <c r="N50" s="25"/>
      <c r="O50" s="25"/>
      <c r="P50" s="25"/>
    </row>
    <row r="51" spans="2:16">
      <c r="B51" s="28" t="str">
        <f t="shared" si="10"/>
        <v/>
      </c>
      <c r="C51" s="11" t="str">
        <f t="shared" si="10"/>
        <v/>
      </c>
      <c r="D51" s="21">
        <f t="shared" si="11"/>
        <v>24.8</v>
      </c>
      <c r="E51" s="21">
        <f t="shared" si="12"/>
        <v>9.4959199999999999</v>
      </c>
      <c r="F51" s="19" t="str">
        <f t="shared" si="13"/>
        <v/>
      </c>
      <c r="G51" s="21" t="str">
        <f t="shared" si="14"/>
        <v/>
      </c>
      <c r="I51" s="25"/>
      <c r="J51" s="25"/>
      <c r="K51" s="25">
        <v>24.8</v>
      </c>
      <c r="L51" s="112">
        <v>94959.2</v>
      </c>
      <c r="M51" s="25"/>
      <c r="N51" s="25"/>
      <c r="O51" s="25"/>
      <c r="P51" s="25"/>
    </row>
    <row r="52" spans="2:16">
      <c r="B52" s="28" t="str">
        <f t="shared" si="10"/>
        <v/>
      </c>
      <c r="C52" s="11" t="str">
        <f t="shared" si="10"/>
        <v/>
      </c>
      <c r="D52" s="21">
        <f t="shared" si="11"/>
        <v>23.5</v>
      </c>
      <c r="E52" s="21">
        <f t="shared" si="12"/>
        <v>9.5010499999999993</v>
      </c>
      <c r="F52" s="19" t="str">
        <f t="shared" si="13"/>
        <v/>
      </c>
      <c r="G52" s="21" t="str">
        <f t="shared" si="14"/>
        <v/>
      </c>
      <c r="I52" s="25"/>
      <c r="J52" s="25"/>
      <c r="K52" s="25">
        <v>23.5</v>
      </c>
      <c r="L52" s="112">
        <v>95010.5</v>
      </c>
      <c r="M52" s="25"/>
      <c r="N52" s="25"/>
      <c r="O52" s="25"/>
      <c r="P52" s="25"/>
    </row>
    <row r="53" spans="2:16">
      <c r="B53" s="28">
        <f t="shared" si="10"/>
        <v>8</v>
      </c>
      <c r="C53" s="11" t="str">
        <f t="shared" si="10"/>
        <v>华安基金管理有限公司</v>
      </c>
      <c r="D53" s="21">
        <f t="shared" si="11"/>
        <v>20.7</v>
      </c>
      <c r="E53" s="21">
        <f t="shared" si="12"/>
        <v>7.5906899999999995</v>
      </c>
      <c r="F53" s="19" t="str">
        <f t="shared" si="13"/>
        <v/>
      </c>
      <c r="G53" s="21" t="str">
        <f t="shared" si="14"/>
        <v/>
      </c>
      <c r="I53" s="25">
        <v>8</v>
      </c>
      <c r="J53" s="25" t="s">
        <v>136</v>
      </c>
      <c r="K53" s="25">
        <v>20.7</v>
      </c>
      <c r="L53" s="112">
        <v>75906.899999999994</v>
      </c>
      <c r="M53" s="25"/>
      <c r="N53" s="25"/>
      <c r="O53" s="25"/>
      <c r="P53" s="25"/>
    </row>
    <row r="54" spans="2:16">
      <c r="B54" s="28">
        <f t="shared" si="10"/>
        <v>9</v>
      </c>
      <c r="C54" s="11" t="str">
        <f t="shared" si="10"/>
        <v>国寿安保基金管理有限公司</v>
      </c>
      <c r="D54" s="21">
        <f t="shared" si="11"/>
        <v>25.64</v>
      </c>
      <c r="E54" s="21">
        <f t="shared" si="12"/>
        <v>7.0022839999999995</v>
      </c>
      <c r="F54" s="19">
        <f t="shared" si="13"/>
        <v>3092.8816000000002</v>
      </c>
      <c r="G54" s="21">
        <f t="shared" si="14"/>
        <v>7.002283942400001</v>
      </c>
      <c r="I54" s="25">
        <v>9</v>
      </c>
      <c r="J54" s="25" t="s">
        <v>403</v>
      </c>
      <c r="K54" s="25">
        <v>25.64</v>
      </c>
      <c r="L54" s="112">
        <v>70022.84</v>
      </c>
      <c r="M54" s="25"/>
      <c r="N54" s="25"/>
      <c r="O54" s="25"/>
      <c r="P54" s="25"/>
    </row>
    <row r="55" spans="2:16">
      <c r="B55" s="28">
        <f t="shared" si="10"/>
        <v>10</v>
      </c>
      <c r="C55" s="11" t="str">
        <f t="shared" si="10"/>
        <v>长城国融投资管理有限公司</v>
      </c>
      <c r="D55" s="21">
        <f t="shared" si="11"/>
        <v>23.69</v>
      </c>
      <c r="E55" s="21">
        <f t="shared" si="12"/>
        <v>7.0003950000000001</v>
      </c>
      <c r="F55" s="19">
        <f t="shared" si="13"/>
        <v>3092.7310000000002</v>
      </c>
      <c r="G55" s="21">
        <f t="shared" si="14"/>
        <v>7.0019429840000011</v>
      </c>
      <c r="I55" s="25">
        <v>10</v>
      </c>
      <c r="J55" s="25" t="s">
        <v>133</v>
      </c>
      <c r="K55" s="25">
        <v>23.69</v>
      </c>
      <c r="L55" s="112">
        <v>70003.95</v>
      </c>
      <c r="M55" s="25"/>
      <c r="N55" s="25"/>
      <c r="O55" s="25"/>
      <c r="P55" s="25"/>
    </row>
    <row r="56" spans="2:16">
      <c r="B56" s="28" t="str">
        <f t="shared" si="10"/>
        <v/>
      </c>
      <c r="C56" s="11" t="str">
        <f t="shared" si="10"/>
        <v/>
      </c>
      <c r="D56" s="21">
        <f t="shared" si="11"/>
        <v>23.01</v>
      </c>
      <c r="E56" s="21">
        <f t="shared" si="12"/>
        <v>7.0019429999999989</v>
      </c>
      <c r="F56" s="19" t="str">
        <f t="shared" si="13"/>
        <v/>
      </c>
      <c r="G56" s="21" t="str">
        <f t="shared" si="14"/>
        <v/>
      </c>
      <c r="I56" s="25"/>
      <c r="J56" s="25"/>
      <c r="K56" s="25">
        <v>23.01</v>
      </c>
      <c r="L56" s="112">
        <v>70019.429999999993</v>
      </c>
      <c r="M56" s="25"/>
      <c r="N56" s="25"/>
      <c r="O56" s="25"/>
      <c r="P56" s="25"/>
    </row>
    <row r="57" spans="2:16">
      <c r="B57" s="28">
        <f t="shared" si="10"/>
        <v>11</v>
      </c>
      <c r="C57" s="11" t="str">
        <f t="shared" si="10"/>
        <v>申万菱信基金管理有限公司</v>
      </c>
      <c r="D57" s="21">
        <f t="shared" si="11"/>
        <v>25</v>
      </c>
      <c r="E57" s="21">
        <f t="shared" si="12"/>
        <v>7</v>
      </c>
      <c r="F57" s="19">
        <f t="shared" si="13"/>
        <v>3312.6015000000002</v>
      </c>
      <c r="G57" s="21">
        <f t="shared" si="14"/>
        <v>7.4997297960000013</v>
      </c>
      <c r="I57" s="25">
        <v>11</v>
      </c>
      <c r="J57" s="25" t="s">
        <v>121</v>
      </c>
      <c r="K57" s="25">
        <v>25</v>
      </c>
      <c r="L57" s="112">
        <v>70000</v>
      </c>
      <c r="M57" s="25"/>
      <c r="N57" s="25"/>
      <c r="O57" s="25"/>
      <c r="P57" s="25"/>
    </row>
    <row r="58" spans="2:16">
      <c r="B58" s="28" t="str">
        <f t="shared" si="10"/>
        <v/>
      </c>
      <c r="C58" s="11" t="str">
        <f t="shared" si="10"/>
        <v/>
      </c>
      <c r="D58" s="21">
        <f t="shared" si="11"/>
        <v>24.85</v>
      </c>
      <c r="E58" s="21">
        <f t="shared" si="12"/>
        <v>7.4997300000000005</v>
      </c>
      <c r="F58" s="19" t="str">
        <f t="shared" si="13"/>
        <v/>
      </c>
      <c r="G58" s="21" t="str">
        <f t="shared" si="14"/>
        <v/>
      </c>
      <c r="I58" s="25"/>
      <c r="J58" s="25"/>
      <c r="K58" s="25">
        <v>24.85</v>
      </c>
      <c r="L58" s="112">
        <v>74997.3</v>
      </c>
      <c r="M58" s="25"/>
      <c r="N58" s="25"/>
      <c r="O58" s="25"/>
      <c r="P58" s="25"/>
    </row>
    <row r="59" spans="2:16">
      <c r="B59" s="28">
        <f t="shared" si="10"/>
        <v>12</v>
      </c>
      <c r="C59" s="11" t="str">
        <f t="shared" si="10"/>
        <v>财通基金管理有限公司</v>
      </c>
      <c r="D59" s="21">
        <f t="shared" si="11"/>
        <v>24.29</v>
      </c>
      <c r="E59" s="21">
        <f t="shared" si="12"/>
        <v>10.240664000000001</v>
      </c>
      <c r="F59" s="19">
        <f t="shared" si="13"/>
        <v>6474.3374000000003</v>
      </c>
      <c r="G59" s="21">
        <f t="shared" si="14"/>
        <v>14.657899873600002</v>
      </c>
      <c r="I59" s="25">
        <v>12</v>
      </c>
      <c r="J59" s="25" t="s">
        <v>115</v>
      </c>
      <c r="K59" s="25">
        <v>24.29</v>
      </c>
      <c r="L59" s="112">
        <v>102406.64</v>
      </c>
      <c r="M59" s="25"/>
      <c r="N59" s="25"/>
      <c r="O59" s="25"/>
      <c r="P59" s="25"/>
    </row>
    <row r="60" spans="2:16">
      <c r="B60" s="28" t="str">
        <f t="shared" si="10"/>
        <v/>
      </c>
      <c r="C60" s="11" t="str">
        <f t="shared" si="10"/>
        <v/>
      </c>
      <c r="D60" s="21">
        <f t="shared" si="11"/>
        <v>23</v>
      </c>
      <c r="E60" s="21">
        <f t="shared" si="12"/>
        <v>14.6579</v>
      </c>
      <c r="F60" s="19" t="str">
        <f t="shared" si="13"/>
        <v/>
      </c>
      <c r="G60" s="21" t="str">
        <f t="shared" si="14"/>
        <v/>
      </c>
      <c r="I60" s="25"/>
      <c r="J60" s="25"/>
      <c r="K60" s="25">
        <v>23</v>
      </c>
      <c r="L60" s="112">
        <v>146579</v>
      </c>
      <c r="M60" s="25"/>
      <c r="N60" s="25"/>
      <c r="O60" s="25"/>
      <c r="P60" s="25"/>
    </row>
    <row r="61" spans="2:16">
      <c r="B61" s="28" t="str">
        <f t="shared" si="10"/>
        <v/>
      </c>
      <c r="C61" s="11" t="str">
        <f t="shared" si="10"/>
        <v/>
      </c>
      <c r="D61" s="21">
        <f t="shared" si="11"/>
        <v>22.48</v>
      </c>
      <c r="E61" s="21">
        <f t="shared" si="12"/>
        <v>16.599232000000001</v>
      </c>
      <c r="F61" s="19" t="str">
        <f t="shared" si="13"/>
        <v/>
      </c>
      <c r="G61" s="21" t="str">
        <f t="shared" si="14"/>
        <v/>
      </c>
      <c r="I61" s="25"/>
      <c r="J61" s="25"/>
      <c r="K61" s="25">
        <v>22.48</v>
      </c>
      <c r="L61" s="112">
        <v>165992.32000000001</v>
      </c>
      <c r="M61" s="25"/>
      <c r="N61" s="25"/>
      <c r="O61" s="25"/>
      <c r="P61" s="25"/>
    </row>
    <row r="62" spans="2:16">
      <c r="B62" s="28">
        <f t="shared" si="10"/>
        <v>13</v>
      </c>
      <c r="C62" s="11" t="str">
        <f t="shared" si="10"/>
        <v>平安大华基金管理有限公司</v>
      </c>
      <c r="D62" s="21">
        <f t="shared" si="11"/>
        <v>21.48</v>
      </c>
      <c r="E62" s="21">
        <f t="shared" si="12"/>
        <v>20.998848000000002</v>
      </c>
      <c r="F62" s="19" t="str">
        <f t="shared" si="13"/>
        <v/>
      </c>
      <c r="G62" s="21" t="str">
        <f t="shared" si="14"/>
        <v/>
      </c>
      <c r="I62" s="25">
        <v>13</v>
      </c>
      <c r="J62" s="25" t="s">
        <v>146</v>
      </c>
      <c r="K62" s="25">
        <v>21.48</v>
      </c>
      <c r="L62" s="112">
        <v>209988.48000000001</v>
      </c>
      <c r="M62" s="25"/>
      <c r="N62" s="25"/>
      <c r="O62" s="25"/>
      <c r="P62" s="25"/>
    </row>
    <row r="63" spans="2:16">
      <c r="B63" s="28">
        <f t="shared" si="10"/>
        <v>14</v>
      </c>
      <c r="C63" s="11" t="str">
        <f t="shared" si="10"/>
        <v>泰达宏利基金管理有限公司</v>
      </c>
      <c r="D63" s="21">
        <f t="shared" si="11"/>
        <v>22.8</v>
      </c>
      <c r="E63" s="21">
        <f>L63/10000</f>
        <v>7.0907999999999998</v>
      </c>
      <c r="F63" s="19">
        <f>IFERROR(VLOOKUP(C63,N$39:P$52,2,FALSE)/10000,"")</f>
        <v>3131.9787000000001</v>
      </c>
      <c r="G63" s="21">
        <f>IFERROR(F63*L$38/10000,"")</f>
        <v>7.0907997768</v>
      </c>
      <c r="I63" s="25">
        <v>14</v>
      </c>
      <c r="J63" s="25" t="s">
        <v>148</v>
      </c>
      <c r="K63" s="25">
        <v>22.8</v>
      </c>
      <c r="L63" s="112">
        <v>70908</v>
      </c>
      <c r="M63" s="25"/>
      <c r="N63" s="25"/>
      <c r="O63" s="25"/>
      <c r="P63" s="25"/>
    </row>
    <row r="64" spans="2:16">
      <c r="B64" s="28" t="str">
        <f t="shared" si="10"/>
        <v/>
      </c>
      <c r="C64" s="11" t="str">
        <f t="shared" si="10"/>
        <v/>
      </c>
      <c r="D64" s="21">
        <f t="shared" si="11"/>
        <v>22.48</v>
      </c>
      <c r="E64" s="21">
        <f t="shared" si="12"/>
        <v>8.9223119999999998</v>
      </c>
      <c r="F64" s="19" t="str">
        <f t="shared" si="13"/>
        <v/>
      </c>
      <c r="G64" s="21" t="str">
        <f t="shared" si="14"/>
        <v/>
      </c>
      <c r="I64" s="25"/>
      <c r="J64" s="25"/>
      <c r="K64" s="25">
        <v>22.48</v>
      </c>
      <c r="L64" s="112">
        <v>89223.12</v>
      </c>
      <c r="M64" s="25"/>
      <c r="N64" s="25"/>
      <c r="O64" s="25"/>
      <c r="P64" s="25"/>
    </row>
    <row r="65" spans="1:20">
      <c r="B65" s="28" t="str">
        <f t="shared" si="10"/>
        <v/>
      </c>
      <c r="C65" s="11" t="str">
        <f t="shared" si="10"/>
        <v/>
      </c>
      <c r="D65" s="21">
        <f t="shared" si="11"/>
        <v>21</v>
      </c>
      <c r="E65" s="21">
        <f t="shared" si="12"/>
        <v>11.8986</v>
      </c>
      <c r="F65" s="19" t="str">
        <f t="shared" si="13"/>
        <v/>
      </c>
      <c r="G65" s="21" t="str">
        <f t="shared" si="14"/>
        <v/>
      </c>
      <c r="I65" s="25"/>
      <c r="J65" s="25"/>
      <c r="K65" s="25">
        <v>21</v>
      </c>
      <c r="L65" s="112">
        <v>118986</v>
      </c>
      <c r="M65" s="25"/>
      <c r="N65" s="25"/>
      <c r="O65" s="25"/>
      <c r="P65" s="25"/>
    </row>
    <row r="66" spans="1:20">
      <c r="B66" s="28">
        <f t="shared" si="10"/>
        <v>15</v>
      </c>
      <c r="C66" s="11" t="str">
        <f t="shared" si="10"/>
        <v>兴业财富资产管理有限公司</v>
      </c>
      <c r="D66" s="21">
        <f t="shared" si="11"/>
        <v>22.51</v>
      </c>
      <c r="E66" s="21">
        <f t="shared" si="12"/>
        <v>7.0006100000000009</v>
      </c>
      <c r="F66" s="19" t="str">
        <f t="shared" si="13"/>
        <v/>
      </c>
      <c r="G66" s="21" t="str">
        <f t="shared" si="14"/>
        <v/>
      </c>
      <c r="I66" s="25">
        <v>15</v>
      </c>
      <c r="J66" s="25" t="s">
        <v>352</v>
      </c>
      <c r="K66" s="25">
        <v>22.51</v>
      </c>
      <c r="L66" s="112">
        <v>70006.100000000006</v>
      </c>
      <c r="M66" s="25"/>
      <c r="N66" s="25"/>
      <c r="O66" s="25"/>
      <c r="P66" s="25"/>
    </row>
    <row r="67" spans="1:20">
      <c r="I67" s="111"/>
      <c r="J67" s="108"/>
      <c r="K67" s="110"/>
      <c r="L67" s="109"/>
      <c r="M67" s="108"/>
    </row>
    <row r="68" spans="1:20">
      <c r="A68" s="12" t="s">
        <v>106</v>
      </c>
      <c r="B68" s="12" t="s">
        <v>126</v>
      </c>
      <c r="C68" s="12" t="s">
        <v>107</v>
      </c>
      <c r="D68" s="12" t="s">
        <v>4</v>
      </c>
      <c r="E68" s="13" t="s">
        <v>108</v>
      </c>
      <c r="F68" s="13" t="s">
        <v>109</v>
      </c>
      <c r="G68" s="12" t="s">
        <v>274</v>
      </c>
      <c r="H68" s="12" t="s">
        <v>273</v>
      </c>
      <c r="I68" s="12" t="s">
        <v>116</v>
      </c>
      <c r="J68" s="14" t="s">
        <v>110</v>
      </c>
      <c r="K68" s="14" t="s">
        <v>276</v>
      </c>
      <c r="L68" s="14" t="s">
        <v>117</v>
      </c>
      <c r="M68" s="15" t="s">
        <v>275</v>
      </c>
      <c r="N68" s="12" t="s">
        <v>111</v>
      </c>
      <c r="O68" s="8" t="s">
        <v>12</v>
      </c>
      <c r="P68" s="8" t="s">
        <v>190</v>
      </c>
      <c r="Q68" s="15" t="s">
        <v>129</v>
      </c>
      <c r="R68" s="14" t="s">
        <v>220</v>
      </c>
    </row>
    <row r="69" spans="1:20">
      <c r="A69" s="11">
        <v>3</v>
      </c>
      <c r="B69" s="9" t="s">
        <v>3605</v>
      </c>
      <c r="C69" s="1" t="s">
        <v>59</v>
      </c>
      <c r="D69" s="1" t="s">
        <v>58</v>
      </c>
      <c r="E69" s="3">
        <v>11</v>
      </c>
      <c r="F69" s="3">
        <v>10.999999884499999</v>
      </c>
      <c r="G69" s="2">
        <v>42382</v>
      </c>
      <c r="H69" s="2" t="s">
        <v>151</v>
      </c>
      <c r="I69" s="11">
        <v>15.83</v>
      </c>
      <c r="J69" s="3">
        <v>12.75</v>
      </c>
      <c r="K69" s="3">
        <f>J69/I69</f>
        <v>0.80543272267845867</v>
      </c>
      <c r="L69" s="3">
        <v>13.01</v>
      </c>
      <c r="M69" s="10">
        <f>L69/I69</f>
        <v>0.82185723310170555</v>
      </c>
      <c r="N69" s="47">
        <v>8</v>
      </c>
      <c r="O69" s="2">
        <v>42760</v>
      </c>
      <c r="P69" s="10">
        <v>12.1</v>
      </c>
      <c r="Q69" s="18">
        <f>(P69*(1+S69/10)+T69/10)/L69</f>
        <v>0.93089930822444267</v>
      </c>
      <c r="R69" s="11" t="s">
        <v>245</v>
      </c>
      <c r="S69" s="22">
        <f>IFERROR(RIGHT(LEFT(R69,FIND("股",R69)-1),(FIND("股",R69)-1-FIND("转",R69))),0)</f>
        <v>0</v>
      </c>
      <c r="T69" s="23" t="str">
        <f>IFERROR(RIGHT(LEFT(R69,FIND("元",R69)-1),(FIND("元",R69)-1-FIND("派",R69))),0)</f>
        <v>0.11</v>
      </c>
    </row>
    <row r="70" spans="1:20">
      <c r="B70" s="27" t="s">
        <v>118</v>
      </c>
      <c r="C70" s="16" t="s">
        <v>112</v>
      </c>
      <c r="D70" s="16" t="s">
        <v>113</v>
      </c>
      <c r="E70" s="16" t="s">
        <v>288</v>
      </c>
      <c r="F70" s="17" t="s">
        <v>287</v>
      </c>
      <c r="G70" s="16" t="s">
        <v>289</v>
      </c>
      <c r="I70" s="640" t="s">
        <v>482</v>
      </c>
      <c r="J70" s="107" t="s">
        <v>481</v>
      </c>
      <c r="K70" s="106" t="s">
        <v>480</v>
      </c>
      <c r="L70" s="60" t="s">
        <v>479</v>
      </c>
      <c r="M70" s="640"/>
      <c r="N70" s="71" t="s">
        <v>478</v>
      </c>
      <c r="O70" s="973">
        <v>8455035</v>
      </c>
      <c r="P70" s="32"/>
    </row>
    <row r="71" spans="1:20">
      <c r="B71" s="28">
        <f t="shared" ref="B71:C83" si="15">IF(I71=0,"",I71)</f>
        <v>1</v>
      </c>
      <c r="C71" s="11" t="str">
        <f t="shared" si="15"/>
        <v>天弘基金管理有限公司</v>
      </c>
      <c r="D71" s="21">
        <f t="shared" ref="D71:D83" si="16">K71</f>
        <v>16.170000000000002</v>
      </c>
      <c r="E71" s="21">
        <f t="shared" ref="E71:E83" si="17">L71/100000000</f>
        <v>1.199999955</v>
      </c>
      <c r="F71" s="19">
        <f t="shared" ref="F71:F81" si="18">IFERROR(VLOOKUP(C71,N$70:P$83,2,FALSE)/10000,"")</f>
        <v>922.3673</v>
      </c>
      <c r="G71" s="21">
        <f t="shared" ref="G71:G85" si="19">IFERROR(F71*L$69/10000,"")</f>
        <v>1.1999998572999999</v>
      </c>
      <c r="I71" s="974">
        <v>1</v>
      </c>
      <c r="J71" s="71" t="s">
        <v>279</v>
      </c>
      <c r="K71" s="975">
        <v>16.170000000000002</v>
      </c>
      <c r="L71" s="976">
        <v>119999995.5</v>
      </c>
      <c r="M71" s="640"/>
      <c r="N71" s="71" t="s">
        <v>279</v>
      </c>
      <c r="O71" s="973">
        <v>9223673</v>
      </c>
    </row>
    <row r="72" spans="1:20">
      <c r="B72" s="28">
        <f t="shared" si="15"/>
        <v>2</v>
      </c>
      <c r="C72" s="11" t="str">
        <f t="shared" si="15"/>
        <v>泰达宏利基金管理有限公司</v>
      </c>
      <c r="D72" s="21">
        <f t="shared" si="16"/>
        <v>15.36</v>
      </c>
      <c r="E72" s="21">
        <f t="shared" si="17"/>
        <v>1.1000000000000001</v>
      </c>
      <c r="F72" s="19">
        <f t="shared" si="18"/>
        <v>922.36739999999998</v>
      </c>
      <c r="G72" s="21">
        <f t="shared" si="19"/>
        <v>1.1999999874</v>
      </c>
      <c r="I72" s="977">
        <v>2</v>
      </c>
      <c r="J72" s="75" t="s">
        <v>148</v>
      </c>
      <c r="K72" s="975">
        <v>15.36</v>
      </c>
      <c r="L72" s="976">
        <v>110000000</v>
      </c>
      <c r="M72" s="640"/>
      <c r="N72" s="71" t="s">
        <v>130</v>
      </c>
      <c r="O72" s="973">
        <v>8528823</v>
      </c>
    </row>
    <row r="73" spans="1:20">
      <c r="B73" s="28" t="str">
        <f t="shared" si="15"/>
        <v/>
      </c>
      <c r="C73" s="11" t="str">
        <f t="shared" si="15"/>
        <v/>
      </c>
      <c r="D73" s="21">
        <f t="shared" si="16"/>
        <v>14.5</v>
      </c>
      <c r="E73" s="21">
        <f t="shared" si="17"/>
        <v>1.2</v>
      </c>
      <c r="F73" s="19" t="str">
        <f t="shared" si="18"/>
        <v/>
      </c>
      <c r="G73" s="21" t="str">
        <f t="shared" si="19"/>
        <v/>
      </c>
      <c r="I73" s="977"/>
      <c r="J73" s="75"/>
      <c r="K73" s="975">
        <v>14.5</v>
      </c>
      <c r="L73" s="976">
        <v>120000000</v>
      </c>
      <c r="M73" s="640"/>
      <c r="N73" s="71" t="s">
        <v>148</v>
      </c>
      <c r="O73" s="973">
        <v>9223674</v>
      </c>
    </row>
    <row r="74" spans="1:20">
      <c r="B74" s="28">
        <f t="shared" si="15"/>
        <v>3</v>
      </c>
      <c r="C74" s="11" t="str">
        <f t="shared" si="15"/>
        <v>建信基金管理有限责任公司</v>
      </c>
      <c r="D74" s="21">
        <f t="shared" si="16"/>
        <v>14.6</v>
      </c>
      <c r="E74" s="21">
        <f t="shared" si="17"/>
        <v>1.1095999999999999</v>
      </c>
      <c r="F74" s="19">
        <f t="shared" si="18"/>
        <v>852.88229999999999</v>
      </c>
      <c r="G74" s="21">
        <f t="shared" si="19"/>
        <v>1.1095998722999998</v>
      </c>
      <c r="I74" s="977">
        <v>3</v>
      </c>
      <c r="J74" s="75" t="s">
        <v>130</v>
      </c>
      <c r="K74" s="975">
        <v>14.6</v>
      </c>
      <c r="L74" s="976">
        <v>110960000</v>
      </c>
      <c r="M74" s="640"/>
      <c r="N74" s="71" t="s">
        <v>134</v>
      </c>
      <c r="O74" s="973">
        <v>8455034</v>
      </c>
    </row>
    <row r="75" spans="1:20">
      <c r="B75" s="28" t="str">
        <f t="shared" si="15"/>
        <v/>
      </c>
      <c r="C75" s="11" t="str">
        <f t="shared" si="15"/>
        <v/>
      </c>
      <c r="D75" s="21">
        <f t="shared" si="16"/>
        <v>13.6</v>
      </c>
      <c r="E75" s="21">
        <f t="shared" si="17"/>
        <v>1.1015999999999999</v>
      </c>
      <c r="F75" s="19" t="str">
        <f t="shared" si="18"/>
        <v/>
      </c>
      <c r="G75" s="21" t="str">
        <f t="shared" si="19"/>
        <v/>
      </c>
      <c r="I75" s="977"/>
      <c r="J75" s="75"/>
      <c r="K75" s="975">
        <v>13.6</v>
      </c>
      <c r="L75" s="976">
        <v>110160000</v>
      </c>
      <c r="M75" s="640"/>
      <c r="N75" s="71" t="s">
        <v>115</v>
      </c>
      <c r="O75" s="978">
        <v>25411222</v>
      </c>
    </row>
    <row r="76" spans="1:20">
      <c r="B76" s="28" t="str">
        <f t="shared" si="15"/>
        <v/>
      </c>
      <c r="C76" s="11" t="str">
        <f t="shared" si="15"/>
        <v/>
      </c>
      <c r="D76" s="21">
        <f t="shared" si="16"/>
        <v>12.75</v>
      </c>
      <c r="E76" s="21">
        <f t="shared" si="17"/>
        <v>1.1092500000000001</v>
      </c>
      <c r="F76" s="19" t="str">
        <f t="shared" si="18"/>
        <v/>
      </c>
      <c r="G76" s="21" t="str">
        <f t="shared" si="19"/>
        <v/>
      </c>
      <c r="I76" s="977"/>
      <c r="J76" s="75"/>
      <c r="K76" s="975">
        <v>12.75</v>
      </c>
      <c r="L76" s="976">
        <v>110925000</v>
      </c>
      <c r="M76" s="640"/>
      <c r="N76" s="71" t="s">
        <v>128</v>
      </c>
      <c r="O76" s="973">
        <v>8500000</v>
      </c>
    </row>
    <row r="77" spans="1:20">
      <c r="B77" s="28">
        <f t="shared" si="15"/>
        <v>4</v>
      </c>
      <c r="C77" s="11" t="str">
        <f t="shared" si="15"/>
        <v>财通基金管理有限公司</v>
      </c>
      <c r="D77" s="21">
        <f t="shared" si="16"/>
        <v>13.66</v>
      </c>
      <c r="E77" s="21">
        <f t="shared" si="17"/>
        <v>2.6259999999999999</v>
      </c>
      <c r="F77" s="19">
        <f t="shared" si="18"/>
        <v>2541.1221999999998</v>
      </c>
      <c r="G77" s="21">
        <f t="shared" si="19"/>
        <v>3.3059999821999999</v>
      </c>
      <c r="I77" s="977">
        <v>4</v>
      </c>
      <c r="J77" s="75" t="s">
        <v>115</v>
      </c>
      <c r="K77" s="975">
        <v>13.66</v>
      </c>
      <c r="L77" s="976">
        <v>262600000</v>
      </c>
      <c r="M77" s="640"/>
      <c r="N77" s="71" t="s">
        <v>127</v>
      </c>
      <c r="O77" s="973">
        <v>6752884</v>
      </c>
    </row>
    <row r="78" spans="1:20">
      <c r="B78" s="28" t="str">
        <f t="shared" si="15"/>
        <v/>
      </c>
      <c r="C78" s="11" t="str">
        <f t="shared" si="15"/>
        <v/>
      </c>
      <c r="D78" s="21">
        <f t="shared" si="16"/>
        <v>13.02</v>
      </c>
      <c r="E78" s="21">
        <f t="shared" si="17"/>
        <v>3.306</v>
      </c>
      <c r="F78" s="19" t="str">
        <f t="shared" si="18"/>
        <v/>
      </c>
      <c r="G78" s="21" t="str">
        <f t="shared" si="19"/>
        <v/>
      </c>
      <c r="I78" s="977"/>
      <c r="J78" s="75"/>
      <c r="K78" s="975">
        <v>13.02</v>
      </c>
      <c r="L78" s="976">
        <v>330600000</v>
      </c>
      <c r="M78" s="640"/>
      <c r="N78" s="640"/>
      <c r="O78" s="640"/>
    </row>
    <row r="79" spans="1:20">
      <c r="B79" s="28" t="str">
        <f t="shared" si="15"/>
        <v/>
      </c>
      <c r="C79" s="11" t="str">
        <f t="shared" si="15"/>
        <v/>
      </c>
      <c r="D79" s="21">
        <f t="shared" si="16"/>
        <v>12.81</v>
      </c>
      <c r="E79" s="21">
        <f t="shared" si="17"/>
        <v>4.0069999999999997</v>
      </c>
      <c r="F79" s="19" t="str">
        <f t="shared" si="18"/>
        <v/>
      </c>
      <c r="G79" s="21" t="str">
        <f t="shared" si="19"/>
        <v/>
      </c>
      <c r="I79" s="977"/>
      <c r="J79" s="75"/>
      <c r="K79" s="975">
        <v>12.81</v>
      </c>
      <c r="L79" s="976">
        <v>400700000</v>
      </c>
      <c r="M79" s="640"/>
      <c r="N79" s="640"/>
      <c r="O79" s="640"/>
    </row>
    <row r="80" spans="1:20">
      <c r="B80" s="28">
        <f t="shared" si="15"/>
        <v>5</v>
      </c>
      <c r="C80" s="11" t="str">
        <f t="shared" si="15"/>
        <v>创金合信基金管理有限公司</v>
      </c>
      <c r="D80" s="21">
        <f t="shared" si="16"/>
        <v>13.58</v>
      </c>
      <c r="E80" s="21">
        <f t="shared" si="17"/>
        <v>1.1000000000000001</v>
      </c>
      <c r="F80" s="19">
        <f t="shared" si="18"/>
        <v>845.50340000000006</v>
      </c>
      <c r="G80" s="21">
        <f t="shared" si="19"/>
        <v>1.0999999234000002</v>
      </c>
      <c r="I80" s="974">
        <v>5</v>
      </c>
      <c r="J80" s="71" t="s">
        <v>134</v>
      </c>
      <c r="K80" s="975">
        <v>13.58</v>
      </c>
      <c r="L80" s="976">
        <v>110000000</v>
      </c>
      <c r="M80" s="640"/>
      <c r="N80" s="640"/>
      <c r="O80" s="640"/>
    </row>
    <row r="81" spans="1:20">
      <c r="B81" s="28">
        <f t="shared" si="15"/>
        <v>6</v>
      </c>
      <c r="C81" s="11" t="str">
        <f t="shared" si="15"/>
        <v>东海基金管理有限责任公司</v>
      </c>
      <c r="D81" s="21">
        <f t="shared" si="16"/>
        <v>13.01</v>
      </c>
      <c r="E81" s="21">
        <f t="shared" si="17"/>
        <v>1.10585</v>
      </c>
      <c r="F81" s="19">
        <f t="shared" si="18"/>
        <v>850</v>
      </c>
      <c r="G81" s="21">
        <f t="shared" si="19"/>
        <v>1.10585</v>
      </c>
      <c r="I81" s="974">
        <v>6</v>
      </c>
      <c r="J81" s="71" t="s">
        <v>128</v>
      </c>
      <c r="K81" s="975">
        <v>13.01</v>
      </c>
      <c r="L81" s="976">
        <v>110585000</v>
      </c>
      <c r="M81" s="640"/>
      <c r="N81" s="640"/>
      <c r="O81" s="640"/>
    </row>
    <row r="82" spans="1:20">
      <c r="B82" s="28">
        <f t="shared" si="15"/>
        <v>7</v>
      </c>
      <c r="C82" s="11" t="str">
        <f t="shared" si="15"/>
        <v>第一创业证券股份有限公司</v>
      </c>
      <c r="D82" s="21">
        <f t="shared" si="16"/>
        <v>13.01</v>
      </c>
      <c r="E82" s="21">
        <f t="shared" si="17"/>
        <v>1.1001255999999999</v>
      </c>
      <c r="F82" s="19">
        <f>IFERROR(VLOOKUP(C82,N$70:P$83,2,FALSE)/10000,"")</f>
        <v>675.28840000000002</v>
      </c>
      <c r="G82" s="21">
        <f t="shared" si="19"/>
        <v>0.87855020839999998</v>
      </c>
      <c r="I82" s="974">
        <v>7</v>
      </c>
      <c r="J82" s="71" t="s">
        <v>127</v>
      </c>
      <c r="K82" s="975">
        <v>13.01</v>
      </c>
      <c r="L82" s="976">
        <v>110012560</v>
      </c>
      <c r="M82" s="640"/>
      <c r="N82" s="640"/>
      <c r="O82" s="640"/>
    </row>
    <row r="83" spans="1:20">
      <c r="B83" s="28">
        <f t="shared" si="15"/>
        <v>8</v>
      </c>
      <c r="C83" s="11" t="str">
        <f t="shared" si="15"/>
        <v>朱新明</v>
      </c>
      <c r="D83" s="21">
        <f t="shared" si="16"/>
        <v>12.75</v>
      </c>
      <c r="E83" s="21">
        <f t="shared" si="17"/>
        <v>1.1000000000000001</v>
      </c>
      <c r="F83" s="19" t="str">
        <f t="shared" ref="F83:F85" si="20">IFERROR(VLOOKUP(C83,N$70:P$83,2,FALSE)/10000,"")</f>
        <v/>
      </c>
      <c r="G83" s="21" t="str">
        <f t="shared" si="19"/>
        <v/>
      </c>
      <c r="I83" s="974">
        <v>8</v>
      </c>
      <c r="J83" s="71" t="s">
        <v>406</v>
      </c>
      <c r="K83" s="975">
        <v>12.75</v>
      </c>
      <c r="L83" s="976">
        <v>110000000</v>
      </c>
      <c r="M83" s="640"/>
      <c r="N83" s="640"/>
      <c r="O83" s="640"/>
    </row>
    <row r="84" spans="1:20">
      <c r="B84" s="28"/>
      <c r="C84" s="1496" t="s">
        <v>3606</v>
      </c>
      <c r="D84" s="1497"/>
      <c r="E84" s="1497"/>
      <c r="F84" s="1497"/>
      <c r="G84" s="1498"/>
      <c r="I84" s="974"/>
      <c r="J84" s="71"/>
      <c r="K84" s="975"/>
      <c r="L84" s="976"/>
      <c r="M84" s="640"/>
      <c r="N84" s="640"/>
      <c r="O84" s="640"/>
    </row>
    <row r="85" spans="1:20">
      <c r="B85" s="28"/>
      <c r="C85" s="979" t="str">
        <f>N70</f>
        <v>天津百利机械装备集团有限公司</v>
      </c>
      <c r="D85" s="21"/>
      <c r="E85" s="21"/>
      <c r="F85" s="19">
        <f t="shared" si="20"/>
        <v>845.50350000000003</v>
      </c>
      <c r="G85" s="21">
        <f t="shared" si="19"/>
        <v>1.1000000535000001</v>
      </c>
      <c r="I85" s="974"/>
      <c r="J85" s="71"/>
      <c r="K85" s="975"/>
      <c r="L85" s="976"/>
      <c r="M85" s="640"/>
      <c r="N85" s="640"/>
      <c r="O85" s="640"/>
    </row>
    <row r="87" spans="1:20">
      <c r="A87" s="12" t="s">
        <v>106</v>
      </c>
      <c r="B87" s="12" t="s">
        <v>126</v>
      </c>
      <c r="C87" s="12" t="s">
        <v>107</v>
      </c>
      <c r="D87" s="12" t="s">
        <v>4</v>
      </c>
      <c r="E87" s="13" t="s">
        <v>108</v>
      </c>
      <c r="F87" s="13" t="s">
        <v>109</v>
      </c>
      <c r="G87" s="12" t="s">
        <v>274</v>
      </c>
      <c r="H87" s="12" t="s">
        <v>273</v>
      </c>
      <c r="I87" s="12" t="s">
        <v>116</v>
      </c>
      <c r="J87" s="14" t="s">
        <v>110</v>
      </c>
      <c r="K87" s="14" t="s">
        <v>276</v>
      </c>
      <c r="L87" s="14" t="s">
        <v>117</v>
      </c>
      <c r="M87" s="15" t="s">
        <v>275</v>
      </c>
      <c r="N87" s="12" t="s">
        <v>111</v>
      </c>
      <c r="O87" s="8" t="s">
        <v>12</v>
      </c>
      <c r="P87" s="8" t="s">
        <v>190</v>
      </c>
      <c r="Q87" s="15" t="s">
        <v>129</v>
      </c>
      <c r="R87" s="14" t="s">
        <v>220</v>
      </c>
    </row>
    <row r="88" spans="1:20">
      <c r="A88" s="11">
        <v>4</v>
      </c>
      <c r="B88" s="9" t="s">
        <v>163</v>
      </c>
      <c r="C88" s="1" t="s">
        <v>83</v>
      </c>
      <c r="D88" s="1" t="s">
        <v>82</v>
      </c>
      <c r="E88" s="3">
        <v>10</v>
      </c>
      <c r="F88" s="3">
        <v>9.9999999935999995</v>
      </c>
      <c r="G88" s="2">
        <v>42377</v>
      </c>
      <c r="H88" s="2" t="s">
        <v>151</v>
      </c>
      <c r="I88" s="11">
        <v>25.28</v>
      </c>
      <c r="J88" s="3">
        <v>17.57</v>
      </c>
      <c r="K88" s="3">
        <f>J88/I88</f>
        <v>0.69501582278481011</v>
      </c>
      <c r="L88" s="3">
        <v>25.28</v>
      </c>
      <c r="M88" s="10">
        <f>L88/I88</f>
        <v>1</v>
      </c>
      <c r="N88" s="47">
        <v>8</v>
      </c>
      <c r="O88" s="2">
        <v>42769</v>
      </c>
      <c r="P88" s="10">
        <v>20.85</v>
      </c>
      <c r="Q88" s="18">
        <f>(P88*(1+S88/10)+T88/10)/L88</f>
        <v>0.826740506329114</v>
      </c>
      <c r="R88" s="11" t="s">
        <v>246</v>
      </c>
      <c r="S88" s="22">
        <f>IFERROR(RIGHT(LEFT(R88,FIND("股",R88)-1),(FIND("股",R88)-1-FIND("转",R88))),0)</f>
        <v>0</v>
      </c>
      <c r="T88" s="23" t="str">
        <f>IFERROR(RIGHT(LEFT(R88,FIND("元",R88)-1),(FIND("元",R88)-1-FIND("派",R88))),0)</f>
        <v>0.50</v>
      </c>
    </row>
    <row r="89" spans="1:20" ht="17" customHeight="1">
      <c r="B89" s="27" t="s">
        <v>118</v>
      </c>
      <c r="C89" s="16" t="s">
        <v>112</v>
      </c>
      <c r="D89" s="16" t="s">
        <v>113</v>
      </c>
      <c r="E89" s="16" t="s">
        <v>288</v>
      </c>
      <c r="F89" s="17" t="s">
        <v>287</v>
      </c>
      <c r="G89" s="16" t="s">
        <v>289</v>
      </c>
      <c r="I89" s="105" t="s">
        <v>477</v>
      </c>
      <c r="J89" s="56" t="s">
        <v>322</v>
      </c>
      <c r="K89" s="86" t="s">
        <v>476</v>
      </c>
      <c r="L89" s="86" t="s">
        <v>475</v>
      </c>
      <c r="M89" s="39"/>
      <c r="N89" s="104" t="s">
        <v>331</v>
      </c>
      <c r="O89" s="103" t="s">
        <v>474</v>
      </c>
      <c r="P89" s="57"/>
    </row>
    <row r="90" spans="1:20" ht="15" customHeight="1">
      <c r="B90" s="24">
        <f t="shared" ref="B90:C121" si="21">IF(I90=0,"",I90)</f>
        <v>1</v>
      </c>
      <c r="C90" s="11" t="str">
        <f t="shared" si="21"/>
        <v>浪潮软件集团有限公司</v>
      </c>
      <c r="D90" s="21" t="str">
        <f t="shared" ref="D90:D153" si="22">K90</f>
        <v>-</v>
      </c>
      <c r="E90" s="21">
        <f t="shared" ref="E90:E153" si="23">L90/100000000</f>
        <v>1</v>
      </c>
      <c r="F90" s="19">
        <f t="shared" ref="F90:F153" si="24">IFERROR(VLOOKUP(C90,N$90:P$175,2,FALSE)/10000,"")</f>
        <v>395.56970000000001</v>
      </c>
      <c r="G90" s="21">
        <f t="shared" ref="G90:G153" si="25">IFERROR(F90*L$88/10000,"")</f>
        <v>1.0000002016</v>
      </c>
      <c r="I90" s="974">
        <v>1</v>
      </c>
      <c r="J90" s="71" t="s">
        <v>473</v>
      </c>
      <c r="K90" s="102" t="s">
        <v>294</v>
      </c>
      <c r="L90" s="976">
        <v>100000000</v>
      </c>
      <c r="M90" s="25"/>
      <c r="N90" s="101" t="s">
        <v>473</v>
      </c>
      <c r="O90" s="973">
        <v>3955697</v>
      </c>
      <c r="P90" s="25"/>
    </row>
    <row r="91" spans="1:20" ht="15" customHeight="1">
      <c r="B91" s="24">
        <f t="shared" si="21"/>
        <v>2</v>
      </c>
      <c r="C91" s="11" t="str">
        <f t="shared" si="21"/>
        <v>金鹰基金管理有限公司</v>
      </c>
      <c r="D91" s="21">
        <f t="shared" si="22"/>
        <v>27.52</v>
      </c>
      <c r="E91" s="21">
        <f t="shared" si="23"/>
        <v>1.04</v>
      </c>
      <c r="F91" s="19">
        <f t="shared" si="24"/>
        <v>411.39240000000001</v>
      </c>
      <c r="G91" s="21">
        <f t="shared" si="25"/>
        <v>1.0399999872000001</v>
      </c>
      <c r="I91" s="977">
        <v>2</v>
      </c>
      <c r="J91" s="75" t="s">
        <v>278</v>
      </c>
      <c r="K91" s="980">
        <v>27.52</v>
      </c>
      <c r="L91" s="976">
        <v>104000000</v>
      </c>
      <c r="M91" s="25"/>
      <c r="N91" s="101" t="s">
        <v>278</v>
      </c>
      <c r="O91" s="973">
        <v>4113924</v>
      </c>
      <c r="P91" s="25"/>
    </row>
    <row r="92" spans="1:20" ht="15" customHeight="1">
      <c r="B92" s="24" t="str">
        <f t="shared" si="21"/>
        <v/>
      </c>
      <c r="C92" s="11" t="str">
        <f t="shared" si="21"/>
        <v/>
      </c>
      <c r="D92" s="21">
        <f t="shared" si="22"/>
        <v>25.05</v>
      </c>
      <c r="E92" s="21">
        <f t="shared" si="23"/>
        <v>1.04</v>
      </c>
      <c r="F92" s="19" t="str">
        <f t="shared" si="24"/>
        <v/>
      </c>
      <c r="G92" s="21" t="str">
        <f t="shared" si="25"/>
        <v/>
      </c>
      <c r="I92" s="977"/>
      <c r="J92" s="75"/>
      <c r="K92" s="980">
        <v>25.05</v>
      </c>
      <c r="L92" s="976">
        <v>104000000</v>
      </c>
      <c r="M92" s="25"/>
      <c r="N92" s="71" t="s">
        <v>472</v>
      </c>
      <c r="O92" s="973">
        <v>3955696</v>
      </c>
      <c r="P92" s="25"/>
    </row>
    <row r="93" spans="1:20" ht="15" customHeight="1">
      <c r="B93" s="24" t="str">
        <f t="shared" si="21"/>
        <v/>
      </c>
      <c r="C93" s="11" t="str">
        <f t="shared" si="21"/>
        <v/>
      </c>
      <c r="D93" s="21">
        <f t="shared" si="22"/>
        <v>20.23</v>
      </c>
      <c r="E93" s="21">
        <f t="shared" si="23"/>
        <v>1.1006899999999999</v>
      </c>
      <c r="F93" s="19" t="str">
        <f t="shared" si="24"/>
        <v/>
      </c>
      <c r="G93" s="21" t="str">
        <f t="shared" si="25"/>
        <v/>
      </c>
      <c r="I93" s="977"/>
      <c r="J93" s="75"/>
      <c r="K93" s="980">
        <v>20.23</v>
      </c>
      <c r="L93" s="976">
        <v>110069000</v>
      </c>
      <c r="M93" s="25"/>
      <c r="N93" s="101" t="s">
        <v>471</v>
      </c>
      <c r="O93" s="973">
        <v>3955696</v>
      </c>
      <c r="P93" s="25"/>
    </row>
    <row r="94" spans="1:20" ht="15" customHeight="1">
      <c r="B94" s="24">
        <f t="shared" si="21"/>
        <v>3</v>
      </c>
      <c r="C94" s="11" t="str">
        <f t="shared" si="21"/>
        <v>农银汇理(上海)资产管理有限公司</v>
      </c>
      <c r="D94" s="21">
        <f t="shared" si="22"/>
        <v>26.8</v>
      </c>
      <c r="E94" s="21">
        <f t="shared" si="23"/>
        <v>1</v>
      </c>
      <c r="F94" s="19">
        <f t="shared" si="24"/>
        <v>395.56959999999998</v>
      </c>
      <c r="G94" s="21">
        <f t="shared" si="25"/>
        <v>0.99999994879999998</v>
      </c>
      <c r="I94" s="974">
        <v>3</v>
      </c>
      <c r="J94" s="71" t="s">
        <v>472</v>
      </c>
      <c r="K94" s="975">
        <v>26.8</v>
      </c>
      <c r="L94" s="976">
        <v>100000000</v>
      </c>
      <c r="M94" s="25"/>
      <c r="N94" s="101" t="s">
        <v>470</v>
      </c>
      <c r="O94" s="973">
        <v>9607493</v>
      </c>
      <c r="P94" s="25"/>
    </row>
    <row r="95" spans="1:20" ht="15" customHeight="1">
      <c r="B95" s="24">
        <f t="shared" si="21"/>
        <v>4</v>
      </c>
      <c r="C95" s="11" t="str">
        <f t="shared" si="21"/>
        <v>泰达宏利基金管理有限公司</v>
      </c>
      <c r="D95" s="21">
        <f t="shared" si="22"/>
        <v>26</v>
      </c>
      <c r="E95" s="21">
        <f t="shared" si="23"/>
        <v>1.05</v>
      </c>
      <c r="F95" s="19">
        <f t="shared" si="24"/>
        <v>15312.257791999999</v>
      </c>
      <c r="G95" s="21">
        <f t="shared" si="25"/>
        <v>38.709387698175995</v>
      </c>
      <c r="I95" s="977">
        <v>4</v>
      </c>
      <c r="J95" s="75" t="s">
        <v>148</v>
      </c>
      <c r="K95" s="980">
        <v>26</v>
      </c>
      <c r="L95" s="976">
        <v>105000000</v>
      </c>
      <c r="M95" s="25"/>
      <c r="N95" s="71" t="s">
        <v>468</v>
      </c>
      <c r="O95" s="976">
        <v>99999994.879999995</v>
      </c>
      <c r="P95" s="25"/>
    </row>
    <row r="96" spans="1:20" ht="15" customHeight="1">
      <c r="B96" s="24" t="str">
        <f t="shared" si="21"/>
        <v/>
      </c>
      <c r="C96" s="11" t="str">
        <f t="shared" si="21"/>
        <v/>
      </c>
      <c r="D96" s="21">
        <f t="shared" si="22"/>
        <v>25.28</v>
      </c>
      <c r="E96" s="21">
        <f t="shared" si="23"/>
        <v>2.4500000000000002</v>
      </c>
      <c r="F96" s="19" t="str">
        <f t="shared" si="24"/>
        <v/>
      </c>
      <c r="G96" s="21" t="str">
        <f t="shared" si="25"/>
        <v/>
      </c>
      <c r="I96" s="977"/>
      <c r="J96" s="75"/>
      <c r="K96" s="980">
        <v>25.28</v>
      </c>
      <c r="L96" s="976">
        <v>245000000</v>
      </c>
      <c r="M96" s="25"/>
      <c r="N96" s="71" t="s">
        <v>469</v>
      </c>
      <c r="O96" s="100">
        <v>99999994.879999995</v>
      </c>
      <c r="P96" s="25"/>
    </row>
    <row r="97" spans="2:16" ht="15" customHeight="1">
      <c r="B97" s="24" t="str">
        <f t="shared" si="21"/>
        <v/>
      </c>
      <c r="C97" s="11" t="str">
        <f t="shared" si="21"/>
        <v/>
      </c>
      <c r="D97" s="21">
        <f t="shared" si="22"/>
        <v>23.4</v>
      </c>
      <c r="E97" s="21">
        <f t="shared" si="23"/>
        <v>2.86</v>
      </c>
      <c r="F97" s="19" t="str">
        <f t="shared" si="24"/>
        <v/>
      </c>
      <c r="G97" s="21" t="str">
        <f t="shared" si="25"/>
        <v/>
      </c>
      <c r="I97" s="977"/>
      <c r="J97" s="75"/>
      <c r="K97" s="980">
        <v>23.4</v>
      </c>
      <c r="L97" s="976">
        <v>286000000</v>
      </c>
      <c r="M97" s="25"/>
      <c r="N97" s="99" t="s">
        <v>148</v>
      </c>
      <c r="O97" s="981">
        <v>153122577.91999999</v>
      </c>
      <c r="P97" s="25"/>
    </row>
    <row r="98" spans="2:16" ht="15" customHeight="1">
      <c r="B98" s="24">
        <f t="shared" si="21"/>
        <v>5</v>
      </c>
      <c r="C98" s="11" t="str">
        <f t="shared" si="21"/>
        <v>武汉开发投资有限公司</v>
      </c>
      <c r="D98" s="21">
        <f t="shared" si="22"/>
        <v>25.66</v>
      </c>
      <c r="E98" s="21">
        <f t="shared" si="23"/>
        <v>1</v>
      </c>
      <c r="F98" s="19">
        <f t="shared" si="24"/>
        <v>395.56959999999998</v>
      </c>
      <c r="G98" s="21">
        <f t="shared" si="25"/>
        <v>0.99999994879999998</v>
      </c>
      <c r="I98" s="977">
        <v>5</v>
      </c>
      <c r="J98" s="75" t="s">
        <v>471</v>
      </c>
      <c r="K98" s="980">
        <v>25.66</v>
      </c>
      <c r="L98" s="976">
        <v>100000000</v>
      </c>
      <c r="M98" s="25"/>
      <c r="N98" s="25"/>
      <c r="O98" s="25"/>
      <c r="P98" s="25"/>
    </row>
    <row r="99" spans="2:16" ht="15" customHeight="1">
      <c r="B99" s="24" t="str">
        <f t="shared" si="21"/>
        <v/>
      </c>
      <c r="C99" s="11" t="str">
        <f t="shared" si="21"/>
        <v/>
      </c>
      <c r="D99" s="21">
        <f t="shared" si="22"/>
        <v>24.5</v>
      </c>
      <c r="E99" s="21">
        <f t="shared" si="23"/>
        <v>1.1000000000000001</v>
      </c>
      <c r="F99" s="19" t="str">
        <f t="shared" si="24"/>
        <v/>
      </c>
      <c r="G99" s="21" t="str">
        <f t="shared" si="25"/>
        <v/>
      </c>
      <c r="I99" s="977"/>
      <c r="J99" s="75"/>
      <c r="K99" s="980">
        <v>24.5</v>
      </c>
      <c r="L99" s="976">
        <v>110000000</v>
      </c>
      <c r="M99" s="25"/>
      <c r="N99" s="25"/>
      <c r="O99" s="25"/>
      <c r="P99" s="25"/>
    </row>
    <row r="100" spans="2:16" ht="15" customHeight="1">
      <c r="B100" s="24" t="str">
        <f t="shared" si="21"/>
        <v/>
      </c>
      <c r="C100" s="11" t="str">
        <f t="shared" si="21"/>
        <v/>
      </c>
      <c r="D100" s="21">
        <f t="shared" si="22"/>
        <v>22.5</v>
      </c>
      <c r="E100" s="21">
        <f t="shared" si="23"/>
        <v>1.2</v>
      </c>
      <c r="F100" s="19" t="str">
        <f t="shared" si="24"/>
        <v/>
      </c>
      <c r="G100" s="21" t="str">
        <f t="shared" si="25"/>
        <v/>
      </c>
      <c r="I100" s="977"/>
      <c r="J100" s="75"/>
      <c r="K100" s="980">
        <v>22.5</v>
      </c>
      <c r="L100" s="976">
        <v>120000000</v>
      </c>
      <c r="M100" s="25"/>
      <c r="N100" s="25"/>
      <c r="O100" s="25"/>
      <c r="P100" s="25"/>
    </row>
    <row r="101" spans="2:16" ht="15" customHeight="1">
      <c r="B101" s="24">
        <f t="shared" si="21"/>
        <v>6</v>
      </c>
      <c r="C101" s="11" t="str">
        <f t="shared" si="21"/>
        <v>东方邦信创业投资有限公司</v>
      </c>
      <c r="D101" s="21">
        <f t="shared" si="22"/>
        <v>25.6</v>
      </c>
      <c r="E101" s="21">
        <f t="shared" si="23"/>
        <v>2.4287744</v>
      </c>
      <c r="F101" s="19">
        <f t="shared" si="24"/>
        <v>960.74929999999995</v>
      </c>
      <c r="G101" s="21">
        <f t="shared" si="25"/>
        <v>2.4287742303999997</v>
      </c>
      <c r="I101" s="974">
        <v>6</v>
      </c>
      <c r="J101" s="71" t="s">
        <v>470</v>
      </c>
      <c r="K101" s="975">
        <v>25.6</v>
      </c>
      <c r="L101" s="976">
        <v>242877440</v>
      </c>
      <c r="M101" s="25"/>
      <c r="N101" s="25"/>
      <c r="O101" s="25"/>
      <c r="P101" s="25"/>
    </row>
    <row r="102" spans="2:16" ht="15" customHeight="1">
      <c r="B102" s="24">
        <f t="shared" si="21"/>
        <v>7</v>
      </c>
      <c r="C102" s="11" t="str">
        <f t="shared" si="21"/>
        <v>邦信资产管理有限公司</v>
      </c>
      <c r="D102" s="21">
        <f t="shared" si="22"/>
        <v>25.6</v>
      </c>
      <c r="E102" s="21">
        <f t="shared" si="23"/>
        <v>1</v>
      </c>
      <c r="F102" s="19">
        <f t="shared" si="24"/>
        <v>9999.9994879999995</v>
      </c>
      <c r="G102" s="21">
        <f t="shared" si="25"/>
        <v>25.279998705663999</v>
      </c>
      <c r="I102" s="974">
        <v>7</v>
      </c>
      <c r="J102" s="71" t="s">
        <v>469</v>
      </c>
      <c r="K102" s="975">
        <v>25.6</v>
      </c>
      <c r="L102" s="976">
        <v>100000000</v>
      </c>
      <c r="M102" s="25"/>
      <c r="N102" s="25"/>
      <c r="O102" s="25"/>
      <c r="P102" s="25"/>
    </row>
    <row r="103" spans="2:16" ht="15" customHeight="1">
      <c r="B103" s="24">
        <f t="shared" si="21"/>
        <v>8</v>
      </c>
      <c r="C103" s="11" t="str">
        <f t="shared" si="21"/>
        <v>山东省金融资产管理股份有限公司</v>
      </c>
      <c r="D103" s="21">
        <f t="shared" si="22"/>
        <v>25.6</v>
      </c>
      <c r="E103" s="21">
        <f t="shared" si="23"/>
        <v>1</v>
      </c>
      <c r="F103" s="19">
        <f t="shared" si="24"/>
        <v>9999.9994879999995</v>
      </c>
      <c r="G103" s="21">
        <f t="shared" si="25"/>
        <v>25.279998705663999</v>
      </c>
      <c r="I103" s="974">
        <v>8</v>
      </c>
      <c r="J103" s="71" t="s">
        <v>468</v>
      </c>
      <c r="K103" s="975">
        <v>25.6</v>
      </c>
      <c r="L103" s="976">
        <v>100000000</v>
      </c>
      <c r="M103" s="25"/>
      <c r="N103" s="25"/>
      <c r="O103" s="25"/>
      <c r="P103" s="25"/>
    </row>
    <row r="104" spans="2:16" ht="15" customHeight="1">
      <c r="B104" s="24">
        <f t="shared" si="21"/>
        <v>9</v>
      </c>
      <c r="C104" s="11" t="str">
        <f t="shared" si="21"/>
        <v>中广核资本控股有限公司</v>
      </c>
      <c r="D104" s="21">
        <f t="shared" si="22"/>
        <v>25.08</v>
      </c>
      <c r="E104" s="21">
        <f t="shared" si="23"/>
        <v>1.1000000000000001</v>
      </c>
      <c r="F104" s="19" t="str">
        <f t="shared" si="24"/>
        <v/>
      </c>
      <c r="G104" s="21" t="str">
        <f t="shared" si="25"/>
        <v/>
      </c>
      <c r="I104" s="974">
        <v>9</v>
      </c>
      <c r="J104" s="71" t="s">
        <v>362</v>
      </c>
      <c r="K104" s="975">
        <v>25.08</v>
      </c>
      <c r="L104" s="976">
        <v>110000000</v>
      </c>
      <c r="M104" s="25"/>
      <c r="N104" s="25"/>
      <c r="O104" s="25"/>
      <c r="P104" s="25"/>
    </row>
    <row r="105" spans="2:16" ht="15" customHeight="1">
      <c r="B105" s="24">
        <f t="shared" si="21"/>
        <v>10</v>
      </c>
      <c r="C105" s="11" t="str">
        <f t="shared" si="21"/>
        <v>招商财富资产管理有限公司</v>
      </c>
      <c r="D105" s="21">
        <f t="shared" si="22"/>
        <v>24.68</v>
      </c>
      <c r="E105" s="21">
        <f t="shared" si="23"/>
        <v>1</v>
      </c>
      <c r="F105" s="19" t="str">
        <f t="shared" si="24"/>
        <v/>
      </c>
      <c r="G105" s="21" t="str">
        <f t="shared" si="25"/>
        <v/>
      </c>
      <c r="I105" s="974">
        <v>10</v>
      </c>
      <c r="J105" s="71" t="s">
        <v>142</v>
      </c>
      <c r="K105" s="975">
        <v>24.68</v>
      </c>
      <c r="L105" s="976">
        <v>100000000</v>
      </c>
      <c r="M105" s="25"/>
      <c r="N105" s="25"/>
      <c r="O105" s="25"/>
      <c r="P105" s="25"/>
    </row>
    <row r="106" spans="2:16" ht="15" customHeight="1">
      <c r="B106" s="24">
        <f t="shared" si="21"/>
        <v>11</v>
      </c>
      <c r="C106" s="11" t="str">
        <f t="shared" si="21"/>
        <v>鹏华资产管理(深圳)有限公司</v>
      </c>
      <c r="D106" s="21">
        <f t="shared" si="22"/>
        <v>24.5</v>
      </c>
      <c r="E106" s="21">
        <f t="shared" si="23"/>
        <v>1</v>
      </c>
      <c r="F106" s="19" t="str">
        <f t="shared" si="24"/>
        <v/>
      </c>
      <c r="G106" s="21" t="str">
        <f t="shared" si="25"/>
        <v/>
      </c>
      <c r="I106" s="974">
        <v>11</v>
      </c>
      <c r="J106" s="71" t="s">
        <v>467</v>
      </c>
      <c r="K106" s="975">
        <v>24.5</v>
      </c>
      <c r="L106" s="976">
        <v>100000000</v>
      </c>
      <c r="M106" s="25"/>
      <c r="N106" s="25"/>
      <c r="O106" s="25"/>
      <c r="P106" s="25"/>
    </row>
    <row r="107" spans="2:16" ht="15" customHeight="1">
      <c r="B107" s="24">
        <f t="shared" si="21"/>
        <v>12</v>
      </c>
      <c r="C107" s="11" t="str">
        <f t="shared" si="21"/>
        <v>浙江新大集团有限公司</v>
      </c>
      <c r="D107" s="21">
        <f t="shared" si="22"/>
        <v>23.97</v>
      </c>
      <c r="E107" s="21">
        <f t="shared" si="23"/>
        <v>1.15056</v>
      </c>
      <c r="F107" s="19" t="str">
        <f t="shared" si="24"/>
        <v/>
      </c>
      <c r="G107" s="21" t="str">
        <f t="shared" si="25"/>
        <v/>
      </c>
      <c r="I107" s="977">
        <v>12</v>
      </c>
      <c r="J107" s="75" t="s">
        <v>466</v>
      </c>
      <c r="K107" s="980">
        <v>23.97</v>
      </c>
      <c r="L107" s="976">
        <v>115056000</v>
      </c>
      <c r="M107" s="25"/>
      <c r="N107" s="25"/>
      <c r="O107" s="25"/>
      <c r="P107" s="25"/>
    </row>
    <row r="108" spans="2:16" ht="15" customHeight="1">
      <c r="B108" s="24" t="str">
        <f t="shared" si="21"/>
        <v/>
      </c>
      <c r="C108" s="11" t="str">
        <f t="shared" si="21"/>
        <v/>
      </c>
      <c r="D108" s="21">
        <f t="shared" si="22"/>
        <v>21.57</v>
      </c>
      <c r="E108" s="21">
        <f t="shared" si="23"/>
        <v>1.3049850000000001</v>
      </c>
      <c r="F108" s="19" t="str">
        <f t="shared" si="24"/>
        <v/>
      </c>
      <c r="G108" s="21" t="str">
        <f t="shared" si="25"/>
        <v/>
      </c>
      <c r="I108" s="977"/>
      <c r="J108" s="75"/>
      <c r="K108" s="980">
        <v>21.57</v>
      </c>
      <c r="L108" s="976">
        <v>130498500</v>
      </c>
      <c r="M108" s="25"/>
      <c r="N108" s="25"/>
      <c r="O108" s="25"/>
      <c r="P108" s="25"/>
    </row>
    <row r="109" spans="2:16" ht="15" customHeight="1">
      <c r="B109" s="24" t="str">
        <f t="shared" si="21"/>
        <v/>
      </c>
      <c r="C109" s="11" t="str">
        <f t="shared" si="21"/>
        <v/>
      </c>
      <c r="D109" s="21">
        <f t="shared" si="22"/>
        <v>19.77</v>
      </c>
      <c r="E109" s="21">
        <f t="shared" si="23"/>
        <v>1.3641300000000001</v>
      </c>
      <c r="F109" s="19" t="str">
        <f t="shared" si="24"/>
        <v/>
      </c>
      <c r="G109" s="21" t="str">
        <f t="shared" si="25"/>
        <v/>
      </c>
      <c r="I109" s="977"/>
      <c r="J109" s="75"/>
      <c r="K109" s="980">
        <v>19.77</v>
      </c>
      <c r="L109" s="976">
        <v>136413000</v>
      </c>
      <c r="M109" s="25"/>
      <c r="N109" s="25"/>
      <c r="O109" s="25"/>
      <c r="P109" s="25"/>
    </row>
    <row r="110" spans="2:16" ht="15" customHeight="1">
      <c r="B110" s="24">
        <f t="shared" si="21"/>
        <v>13</v>
      </c>
      <c r="C110" s="11" t="str">
        <f t="shared" si="21"/>
        <v>广发乾和投资有限公司</v>
      </c>
      <c r="D110" s="21">
        <f t="shared" si="22"/>
        <v>23.73</v>
      </c>
      <c r="E110" s="21">
        <f t="shared" si="23"/>
        <v>1</v>
      </c>
      <c r="F110" s="19" t="str">
        <f t="shared" si="24"/>
        <v/>
      </c>
      <c r="G110" s="21" t="str">
        <f t="shared" si="25"/>
        <v/>
      </c>
      <c r="I110" s="977">
        <v>13</v>
      </c>
      <c r="J110" s="75" t="s">
        <v>465</v>
      </c>
      <c r="K110" s="980">
        <v>23.73</v>
      </c>
      <c r="L110" s="976">
        <v>100000000</v>
      </c>
      <c r="M110" s="25"/>
      <c r="N110" s="25"/>
      <c r="O110" s="25"/>
      <c r="P110" s="25"/>
    </row>
    <row r="111" spans="2:16" ht="15" customHeight="1">
      <c r="B111" s="24" t="str">
        <f t="shared" si="21"/>
        <v/>
      </c>
      <c r="C111" s="11" t="str">
        <f t="shared" si="21"/>
        <v/>
      </c>
      <c r="D111" s="21">
        <f t="shared" si="22"/>
        <v>23.71</v>
      </c>
      <c r="E111" s="21">
        <f t="shared" si="23"/>
        <v>1</v>
      </c>
      <c r="F111" s="19" t="str">
        <f t="shared" si="24"/>
        <v/>
      </c>
      <c r="G111" s="21" t="str">
        <f t="shared" si="25"/>
        <v/>
      </c>
      <c r="I111" s="977"/>
      <c r="J111" s="75"/>
      <c r="K111" s="980">
        <v>23.71</v>
      </c>
      <c r="L111" s="976">
        <v>100000000</v>
      </c>
      <c r="M111" s="25"/>
      <c r="N111" s="25"/>
      <c r="O111" s="25"/>
      <c r="P111" s="25"/>
    </row>
    <row r="112" spans="2:16" ht="15" customHeight="1">
      <c r="B112" s="24" t="str">
        <f t="shared" si="21"/>
        <v/>
      </c>
      <c r="C112" s="11" t="str">
        <f t="shared" si="21"/>
        <v/>
      </c>
      <c r="D112" s="21">
        <f t="shared" si="22"/>
        <v>22.48</v>
      </c>
      <c r="E112" s="21">
        <f t="shared" si="23"/>
        <v>1</v>
      </c>
      <c r="F112" s="19" t="str">
        <f t="shared" si="24"/>
        <v/>
      </c>
      <c r="G112" s="21" t="str">
        <f t="shared" si="25"/>
        <v/>
      </c>
      <c r="I112" s="977"/>
      <c r="J112" s="75"/>
      <c r="K112" s="980">
        <v>22.48</v>
      </c>
      <c r="L112" s="976">
        <v>100000000</v>
      </c>
      <c r="M112" s="25"/>
      <c r="N112" s="25"/>
      <c r="O112" s="25"/>
      <c r="P112" s="25"/>
    </row>
    <row r="113" spans="2:16" ht="15" customHeight="1">
      <c r="B113" s="24">
        <f t="shared" si="21"/>
        <v>14</v>
      </c>
      <c r="C113" s="11" t="str">
        <f t="shared" si="21"/>
        <v>天弘基金管理有限公司</v>
      </c>
      <c r="D113" s="21">
        <f t="shared" si="22"/>
        <v>23.23</v>
      </c>
      <c r="E113" s="21">
        <f t="shared" si="23"/>
        <v>1.125</v>
      </c>
      <c r="F113" s="19" t="str">
        <f t="shared" si="24"/>
        <v/>
      </c>
      <c r="G113" s="21" t="str">
        <f t="shared" si="25"/>
        <v/>
      </c>
      <c r="I113" s="974">
        <v>14</v>
      </c>
      <c r="J113" s="71" t="s">
        <v>279</v>
      </c>
      <c r="K113" s="975">
        <v>23.23</v>
      </c>
      <c r="L113" s="976">
        <v>112500000</v>
      </c>
      <c r="M113" s="25"/>
      <c r="N113" s="25"/>
      <c r="O113" s="25"/>
      <c r="P113" s="25"/>
    </row>
    <row r="114" spans="2:16" ht="15" customHeight="1">
      <c r="B114" s="24">
        <f t="shared" si="21"/>
        <v>15</v>
      </c>
      <c r="C114" s="11" t="str">
        <f t="shared" si="21"/>
        <v>第一创业证券股份有限公司</v>
      </c>
      <c r="D114" s="21">
        <f t="shared" si="22"/>
        <v>23.02</v>
      </c>
      <c r="E114" s="21">
        <f t="shared" si="23"/>
        <v>1</v>
      </c>
      <c r="F114" s="19" t="str">
        <f t="shared" si="24"/>
        <v/>
      </c>
      <c r="G114" s="21" t="str">
        <f t="shared" si="25"/>
        <v/>
      </c>
      <c r="I114" s="977">
        <v>15</v>
      </c>
      <c r="J114" s="75" t="s">
        <v>127</v>
      </c>
      <c r="K114" s="980">
        <v>23.02</v>
      </c>
      <c r="L114" s="976">
        <v>100000000</v>
      </c>
      <c r="M114" s="25"/>
      <c r="N114" s="25"/>
      <c r="O114" s="25"/>
      <c r="P114" s="25"/>
    </row>
    <row r="115" spans="2:16" ht="15" customHeight="1">
      <c r="B115" s="24" t="str">
        <f t="shared" si="21"/>
        <v/>
      </c>
      <c r="C115" s="11" t="str">
        <f t="shared" si="21"/>
        <v/>
      </c>
      <c r="D115" s="21">
        <f t="shared" si="22"/>
        <v>21.23</v>
      </c>
      <c r="E115" s="21">
        <f t="shared" si="23"/>
        <v>1.5</v>
      </c>
      <c r="F115" s="19" t="str">
        <f t="shared" si="24"/>
        <v/>
      </c>
      <c r="G115" s="21" t="str">
        <f t="shared" si="25"/>
        <v/>
      </c>
      <c r="I115" s="977"/>
      <c r="J115" s="75"/>
      <c r="K115" s="980">
        <v>21.23</v>
      </c>
      <c r="L115" s="976">
        <v>150000000</v>
      </c>
      <c r="M115" s="25"/>
      <c r="N115" s="25"/>
      <c r="O115" s="25"/>
      <c r="P115" s="25"/>
    </row>
    <row r="116" spans="2:16" ht="15" customHeight="1">
      <c r="B116" s="24" t="str">
        <f t="shared" si="21"/>
        <v/>
      </c>
      <c r="C116" s="11" t="str">
        <f t="shared" si="21"/>
        <v/>
      </c>
      <c r="D116" s="21">
        <f t="shared" si="22"/>
        <v>19.12</v>
      </c>
      <c r="E116" s="21">
        <f t="shared" si="23"/>
        <v>2</v>
      </c>
      <c r="F116" s="19" t="str">
        <f t="shared" si="24"/>
        <v/>
      </c>
      <c r="G116" s="21" t="str">
        <f t="shared" si="25"/>
        <v/>
      </c>
      <c r="I116" s="977"/>
      <c r="J116" s="75"/>
      <c r="K116" s="980">
        <v>19.12</v>
      </c>
      <c r="L116" s="976">
        <v>200000000</v>
      </c>
      <c r="M116" s="25"/>
      <c r="N116" s="25"/>
      <c r="O116" s="25"/>
      <c r="P116" s="25"/>
    </row>
    <row r="117" spans="2:16" ht="15" customHeight="1">
      <c r="B117" s="24">
        <f t="shared" si="21"/>
        <v>16</v>
      </c>
      <c r="C117" s="11" t="str">
        <f t="shared" si="21"/>
        <v>华富基金管理有限公司</v>
      </c>
      <c r="D117" s="21">
        <f t="shared" si="22"/>
        <v>22.75</v>
      </c>
      <c r="E117" s="21">
        <f t="shared" si="23"/>
        <v>1</v>
      </c>
      <c r="F117" s="19" t="str">
        <f t="shared" si="24"/>
        <v/>
      </c>
      <c r="G117" s="21" t="str">
        <f t="shared" si="25"/>
        <v/>
      </c>
      <c r="I117" s="974">
        <v>16</v>
      </c>
      <c r="J117" s="71" t="s">
        <v>314</v>
      </c>
      <c r="K117" s="975">
        <v>22.75</v>
      </c>
      <c r="L117" s="976">
        <v>100000000</v>
      </c>
      <c r="M117" s="25"/>
      <c r="N117" s="25"/>
      <c r="O117" s="25"/>
      <c r="P117" s="25"/>
    </row>
    <row r="118" spans="2:16" ht="15" customHeight="1">
      <c r="B118" s="24">
        <f t="shared" si="21"/>
        <v>17</v>
      </c>
      <c r="C118" s="11" t="str">
        <f t="shared" si="21"/>
        <v>博时资本管理有限公司</v>
      </c>
      <c r="D118" s="21">
        <f t="shared" si="22"/>
        <v>22.55</v>
      </c>
      <c r="E118" s="21">
        <f t="shared" si="23"/>
        <v>1</v>
      </c>
      <c r="F118" s="19" t="str">
        <f t="shared" si="24"/>
        <v/>
      </c>
      <c r="G118" s="21" t="str">
        <f t="shared" si="25"/>
        <v/>
      </c>
      <c r="I118" s="974">
        <v>17</v>
      </c>
      <c r="J118" s="71" t="s">
        <v>315</v>
      </c>
      <c r="K118" s="975">
        <v>22.55</v>
      </c>
      <c r="L118" s="976">
        <v>100000000</v>
      </c>
      <c r="M118" s="25"/>
      <c r="N118" s="25"/>
      <c r="O118" s="25"/>
      <c r="P118" s="25"/>
    </row>
    <row r="119" spans="2:16" ht="15" customHeight="1">
      <c r="B119" s="24">
        <f t="shared" si="21"/>
        <v>18</v>
      </c>
      <c r="C119" s="11" t="str">
        <f t="shared" si="21"/>
        <v>光大保德信基金管理有限公司</v>
      </c>
      <c r="D119" s="21">
        <f t="shared" si="22"/>
        <v>22.5</v>
      </c>
      <c r="E119" s="21">
        <f t="shared" si="23"/>
        <v>2.1</v>
      </c>
      <c r="F119" s="19" t="str">
        <f t="shared" si="24"/>
        <v/>
      </c>
      <c r="G119" s="21" t="str">
        <f t="shared" si="25"/>
        <v/>
      </c>
      <c r="I119" s="974">
        <v>18</v>
      </c>
      <c r="J119" s="71" t="s">
        <v>141</v>
      </c>
      <c r="K119" s="975">
        <v>22.5</v>
      </c>
      <c r="L119" s="976">
        <v>210000000</v>
      </c>
      <c r="M119" s="25"/>
      <c r="N119" s="25"/>
      <c r="O119" s="25"/>
      <c r="P119" s="25"/>
    </row>
    <row r="120" spans="2:16" ht="15" customHeight="1">
      <c r="B120" s="24">
        <f t="shared" si="21"/>
        <v>19</v>
      </c>
      <c r="C120" s="11" t="str">
        <f t="shared" si="21"/>
        <v>北京郁金香天枢资产管理中心(有限合
伙)</v>
      </c>
      <c r="D120" s="21">
        <f t="shared" si="22"/>
        <v>22.5</v>
      </c>
      <c r="E120" s="21">
        <f t="shared" si="23"/>
        <v>2</v>
      </c>
      <c r="F120" s="19" t="str">
        <f t="shared" si="24"/>
        <v/>
      </c>
      <c r="G120" s="21" t="str">
        <f t="shared" si="25"/>
        <v/>
      </c>
      <c r="I120" s="974">
        <v>19</v>
      </c>
      <c r="J120" s="39" t="s">
        <v>464</v>
      </c>
      <c r="K120" s="975">
        <v>22.5</v>
      </c>
      <c r="L120" s="976">
        <v>200000000</v>
      </c>
      <c r="M120" s="25"/>
      <c r="N120" s="25"/>
      <c r="O120" s="25"/>
      <c r="P120" s="25"/>
    </row>
    <row r="121" spans="2:16" ht="15" customHeight="1">
      <c r="B121" s="24">
        <f t="shared" si="21"/>
        <v>20</v>
      </c>
      <c r="C121" s="11" t="str">
        <f t="shared" si="21"/>
        <v>北京隆成明润投资有限公司</v>
      </c>
      <c r="D121" s="21">
        <f t="shared" si="22"/>
        <v>22.5</v>
      </c>
      <c r="E121" s="21">
        <f t="shared" si="23"/>
        <v>1</v>
      </c>
      <c r="F121" s="19" t="str">
        <f t="shared" si="24"/>
        <v/>
      </c>
      <c r="G121" s="21" t="str">
        <f t="shared" si="25"/>
        <v/>
      </c>
      <c r="I121" s="977">
        <v>20</v>
      </c>
      <c r="J121" s="75" t="s">
        <v>463</v>
      </c>
      <c r="K121" s="980">
        <v>22.5</v>
      </c>
      <c r="L121" s="976">
        <v>100000000</v>
      </c>
      <c r="M121" s="25"/>
      <c r="N121" s="25"/>
      <c r="O121" s="25"/>
      <c r="P121" s="25"/>
    </row>
    <row r="122" spans="2:16" ht="15" customHeight="1">
      <c r="B122" s="24" t="str">
        <f t="shared" ref="B122:C153" si="26">IF(I122=0,"",I122)</f>
        <v/>
      </c>
      <c r="C122" s="11" t="str">
        <f t="shared" si="26"/>
        <v/>
      </c>
      <c r="D122" s="21">
        <f t="shared" si="22"/>
        <v>21</v>
      </c>
      <c r="E122" s="21">
        <f t="shared" si="23"/>
        <v>1</v>
      </c>
      <c r="F122" s="19" t="str">
        <f t="shared" si="24"/>
        <v/>
      </c>
      <c r="G122" s="21" t="str">
        <f t="shared" si="25"/>
        <v/>
      </c>
      <c r="I122" s="977"/>
      <c r="J122" s="75"/>
      <c r="K122" s="980">
        <v>21</v>
      </c>
      <c r="L122" s="976">
        <v>100000000</v>
      </c>
      <c r="M122" s="25"/>
      <c r="N122" s="25"/>
      <c r="O122" s="25"/>
      <c r="P122" s="25"/>
    </row>
    <row r="123" spans="2:16" ht="15" customHeight="1">
      <c r="B123" s="24" t="str">
        <f t="shared" si="26"/>
        <v/>
      </c>
      <c r="C123" s="11" t="str">
        <f t="shared" si="26"/>
        <v/>
      </c>
      <c r="D123" s="21">
        <f t="shared" si="22"/>
        <v>17.57</v>
      </c>
      <c r="E123" s="21">
        <f t="shared" si="23"/>
        <v>1</v>
      </c>
      <c r="F123" s="19" t="str">
        <f t="shared" si="24"/>
        <v/>
      </c>
      <c r="G123" s="21" t="str">
        <f t="shared" si="25"/>
        <v/>
      </c>
      <c r="I123" s="977"/>
      <c r="J123" s="75"/>
      <c r="K123" s="980">
        <v>17.57</v>
      </c>
      <c r="L123" s="976">
        <v>100000000</v>
      </c>
      <c r="M123" s="25"/>
      <c r="N123" s="25"/>
      <c r="O123" s="25"/>
      <c r="P123" s="25"/>
    </row>
    <row r="124" spans="2:16" ht="15" customHeight="1">
      <c r="B124" s="24">
        <f t="shared" si="26"/>
        <v>21</v>
      </c>
      <c r="C124" s="11" t="str">
        <f t="shared" si="26"/>
        <v>上海诚鼎扬子投资合伙企业(有限合
伙)</v>
      </c>
      <c r="D124" s="21">
        <f t="shared" si="22"/>
        <v>22.5</v>
      </c>
      <c r="E124" s="21">
        <f t="shared" si="23"/>
        <v>1</v>
      </c>
      <c r="F124" s="19" t="str">
        <f t="shared" si="24"/>
        <v/>
      </c>
      <c r="G124" s="21" t="str">
        <f t="shared" si="25"/>
        <v/>
      </c>
      <c r="I124" s="974">
        <v>21</v>
      </c>
      <c r="J124" s="39" t="s">
        <v>462</v>
      </c>
      <c r="K124" s="975">
        <v>22.5</v>
      </c>
      <c r="L124" s="976">
        <v>100000000</v>
      </c>
      <c r="M124" s="25"/>
      <c r="N124" s="25"/>
      <c r="O124" s="25"/>
      <c r="P124" s="25"/>
    </row>
    <row r="125" spans="2:16" ht="15" customHeight="1">
      <c r="B125" s="24">
        <f t="shared" si="26"/>
        <v>22</v>
      </c>
      <c r="C125" s="11" t="str">
        <f t="shared" si="26"/>
        <v>财通基金管理有限公司</v>
      </c>
      <c r="D125" s="21">
        <f t="shared" si="22"/>
        <v>22.48</v>
      </c>
      <c r="E125" s="21">
        <f t="shared" si="23"/>
        <v>4.3419999999999996</v>
      </c>
      <c r="F125" s="19" t="str">
        <f t="shared" si="24"/>
        <v/>
      </c>
      <c r="G125" s="21" t="str">
        <f t="shared" si="25"/>
        <v/>
      </c>
      <c r="I125" s="977">
        <v>22</v>
      </c>
      <c r="J125" s="75" t="s">
        <v>115</v>
      </c>
      <c r="K125" s="980">
        <v>22.48</v>
      </c>
      <c r="L125" s="976">
        <v>434200000</v>
      </c>
      <c r="M125" s="25"/>
      <c r="N125" s="25"/>
      <c r="O125" s="25"/>
      <c r="P125" s="25"/>
    </row>
    <row r="126" spans="2:16" ht="15" customHeight="1">
      <c r="B126" s="24" t="str">
        <f t="shared" si="26"/>
        <v/>
      </c>
      <c r="C126" s="11" t="str">
        <f t="shared" si="26"/>
        <v/>
      </c>
      <c r="D126" s="21">
        <f t="shared" si="22"/>
        <v>21.1</v>
      </c>
      <c r="E126" s="21">
        <f t="shared" si="23"/>
        <v>8.1</v>
      </c>
      <c r="F126" s="19" t="str">
        <f t="shared" si="24"/>
        <v/>
      </c>
      <c r="G126" s="21" t="str">
        <f t="shared" si="25"/>
        <v/>
      </c>
      <c r="I126" s="977"/>
      <c r="J126" s="75"/>
      <c r="K126" s="980">
        <v>21.1</v>
      </c>
      <c r="L126" s="976">
        <v>810000000</v>
      </c>
      <c r="M126" s="25"/>
      <c r="N126" s="25"/>
      <c r="O126" s="25"/>
      <c r="P126" s="25"/>
    </row>
    <row r="127" spans="2:16" ht="15" customHeight="1">
      <c r="B127" s="24" t="str">
        <f t="shared" si="26"/>
        <v/>
      </c>
      <c r="C127" s="11" t="str">
        <f t="shared" si="26"/>
        <v/>
      </c>
      <c r="D127" s="21">
        <f t="shared" si="22"/>
        <v>19.98</v>
      </c>
      <c r="E127" s="21">
        <f t="shared" si="23"/>
        <v>9</v>
      </c>
      <c r="F127" s="19" t="str">
        <f t="shared" si="24"/>
        <v/>
      </c>
      <c r="G127" s="21" t="str">
        <f t="shared" si="25"/>
        <v/>
      </c>
      <c r="I127" s="977"/>
      <c r="J127" s="75"/>
      <c r="K127" s="980">
        <v>19.98</v>
      </c>
      <c r="L127" s="976">
        <v>900000000</v>
      </c>
      <c r="M127" s="25"/>
      <c r="N127" s="25"/>
      <c r="O127" s="25"/>
      <c r="P127" s="25"/>
    </row>
    <row r="128" spans="2:16" ht="15" customHeight="1">
      <c r="B128" s="24">
        <f t="shared" si="26"/>
        <v>23</v>
      </c>
      <c r="C128" s="11" t="str">
        <f t="shared" si="26"/>
        <v>中信证券股份有限公司</v>
      </c>
      <c r="D128" s="21">
        <f t="shared" si="22"/>
        <v>22.01</v>
      </c>
      <c r="E128" s="21">
        <f t="shared" si="23"/>
        <v>1</v>
      </c>
      <c r="F128" s="19" t="str">
        <f t="shared" si="24"/>
        <v/>
      </c>
      <c r="G128" s="21" t="str">
        <f t="shared" si="25"/>
        <v/>
      </c>
      <c r="I128" s="982">
        <v>23</v>
      </c>
      <c r="J128" s="99" t="s">
        <v>316</v>
      </c>
      <c r="K128" s="980">
        <v>22.01</v>
      </c>
      <c r="L128" s="976">
        <v>100000000</v>
      </c>
      <c r="M128" s="25"/>
      <c r="N128" s="25"/>
      <c r="O128" s="25"/>
      <c r="P128" s="25"/>
    </row>
    <row r="129" spans="2:16" ht="15" customHeight="1">
      <c r="B129" s="24" t="str">
        <f t="shared" si="26"/>
        <v/>
      </c>
      <c r="C129" s="11" t="str">
        <f t="shared" si="26"/>
        <v/>
      </c>
      <c r="D129" s="21">
        <f t="shared" si="22"/>
        <v>20.73</v>
      </c>
      <c r="E129" s="21">
        <f t="shared" si="23"/>
        <v>1.3</v>
      </c>
      <c r="F129" s="19" t="str">
        <f t="shared" si="24"/>
        <v/>
      </c>
      <c r="G129" s="21" t="str">
        <f t="shared" si="25"/>
        <v/>
      </c>
      <c r="I129" s="982"/>
      <c r="J129" s="99"/>
      <c r="K129" s="980">
        <v>20.73</v>
      </c>
      <c r="L129" s="976">
        <v>130000000</v>
      </c>
      <c r="M129" s="25"/>
      <c r="N129" s="25"/>
      <c r="O129" s="25"/>
      <c r="P129" s="25"/>
    </row>
    <row r="130" spans="2:16" ht="15" customHeight="1">
      <c r="B130" s="24" t="str">
        <f t="shared" si="26"/>
        <v/>
      </c>
      <c r="C130" s="11" t="str">
        <f t="shared" si="26"/>
        <v/>
      </c>
      <c r="D130" s="21">
        <f t="shared" si="22"/>
        <v>18.73</v>
      </c>
      <c r="E130" s="21">
        <f t="shared" si="23"/>
        <v>1.5</v>
      </c>
      <c r="F130" s="19" t="str">
        <f t="shared" si="24"/>
        <v/>
      </c>
      <c r="G130" s="21" t="str">
        <f t="shared" si="25"/>
        <v/>
      </c>
      <c r="I130" s="98"/>
      <c r="J130" s="98"/>
      <c r="K130" s="975">
        <v>18.73</v>
      </c>
      <c r="L130" s="976">
        <v>150000000</v>
      </c>
      <c r="M130" s="25"/>
      <c r="N130" s="25"/>
      <c r="O130" s="25"/>
      <c r="P130" s="25"/>
    </row>
    <row r="131" spans="2:16" ht="15" customHeight="1">
      <c r="B131" s="24">
        <f t="shared" si="26"/>
        <v>24</v>
      </c>
      <c r="C131" s="11" t="str">
        <f t="shared" si="26"/>
        <v>华安未来资产管理(上海)有限公司</v>
      </c>
      <c r="D131" s="21">
        <f t="shared" si="22"/>
        <v>21.99</v>
      </c>
      <c r="E131" s="21">
        <f t="shared" si="23"/>
        <v>1.1990000000000001</v>
      </c>
      <c r="F131" s="19" t="str">
        <f t="shared" si="24"/>
        <v/>
      </c>
      <c r="G131" s="21" t="str">
        <f t="shared" si="25"/>
        <v/>
      </c>
      <c r="I131" s="982">
        <v>24</v>
      </c>
      <c r="J131" s="99" t="s">
        <v>461</v>
      </c>
      <c r="K131" s="980">
        <v>21.99</v>
      </c>
      <c r="L131" s="976">
        <v>119900000</v>
      </c>
      <c r="M131" s="25"/>
      <c r="N131" s="25"/>
      <c r="O131" s="25"/>
      <c r="P131" s="25"/>
    </row>
    <row r="132" spans="2:16" ht="15" customHeight="1">
      <c r="B132" s="24" t="str">
        <f t="shared" si="26"/>
        <v/>
      </c>
      <c r="C132" s="11" t="str">
        <f t="shared" si="26"/>
        <v/>
      </c>
      <c r="D132" s="21">
        <f t="shared" si="22"/>
        <v>19.88</v>
      </c>
      <c r="E132" s="21">
        <f t="shared" si="23"/>
        <v>1.2</v>
      </c>
      <c r="F132" s="19" t="str">
        <f t="shared" si="24"/>
        <v/>
      </c>
      <c r="G132" s="21" t="str">
        <f t="shared" si="25"/>
        <v/>
      </c>
      <c r="I132" s="982"/>
      <c r="J132" s="99"/>
      <c r="K132" s="980">
        <v>19.88</v>
      </c>
      <c r="L132" s="976">
        <v>120000000</v>
      </c>
      <c r="M132" s="25"/>
      <c r="N132" s="25"/>
      <c r="O132" s="25"/>
      <c r="P132" s="25"/>
    </row>
    <row r="133" spans="2:16" ht="15" customHeight="1">
      <c r="B133" s="24">
        <f t="shared" si="26"/>
        <v>25</v>
      </c>
      <c r="C133" s="11" t="str">
        <f t="shared" si="26"/>
        <v>深圳君盛青湾投资企业(有限合伙)</v>
      </c>
      <c r="D133" s="21">
        <f t="shared" si="22"/>
        <v>21.93</v>
      </c>
      <c r="E133" s="21">
        <f t="shared" si="23"/>
        <v>1</v>
      </c>
      <c r="F133" s="19" t="str">
        <f t="shared" si="24"/>
        <v/>
      </c>
      <c r="G133" s="21" t="str">
        <f t="shared" si="25"/>
        <v/>
      </c>
      <c r="I133" s="977">
        <v>25</v>
      </c>
      <c r="J133" s="75" t="s">
        <v>460</v>
      </c>
      <c r="K133" s="980">
        <v>21.93</v>
      </c>
      <c r="L133" s="976">
        <v>100000000</v>
      </c>
      <c r="M133" s="25"/>
      <c r="N133" s="25"/>
      <c r="O133" s="25"/>
      <c r="P133" s="25"/>
    </row>
    <row r="134" spans="2:16" ht="15" customHeight="1">
      <c r="B134" s="24" t="str">
        <f t="shared" si="26"/>
        <v/>
      </c>
      <c r="C134" s="11" t="str">
        <f t="shared" si="26"/>
        <v/>
      </c>
      <c r="D134" s="21">
        <f t="shared" si="22"/>
        <v>21.07</v>
      </c>
      <c r="E134" s="21">
        <f t="shared" si="23"/>
        <v>1</v>
      </c>
      <c r="F134" s="19" t="str">
        <f t="shared" si="24"/>
        <v/>
      </c>
      <c r="G134" s="21" t="str">
        <f t="shared" si="25"/>
        <v/>
      </c>
      <c r="I134" s="977"/>
      <c r="J134" s="75"/>
      <c r="K134" s="980">
        <v>21.07</v>
      </c>
      <c r="L134" s="976">
        <v>100000000</v>
      </c>
      <c r="M134" s="25"/>
      <c r="N134" s="25"/>
      <c r="O134" s="25"/>
      <c r="P134" s="25"/>
    </row>
    <row r="135" spans="2:16" ht="15" customHeight="1">
      <c r="B135" s="24" t="str">
        <f t="shared" si="26"/>
        <v/>
      </c>
      <c r="C135" s="11" t="str">
        <f t="shared" si="26"/>
        <v/>
      </c>
      <c r="D135" s="21">
        <f t="shared" si="22"/>
        <v>20.2</v>
      </c>
      <c r="E135" s="21">
        <f t="shared" si="23"/>
        <v>1</v>
      </c>
      <c r="F135" s="19" t="str">
        <f t="shared" si="24"/>
        <v/>
      </c>
      <c r="G135" s="21" t="str">
        <f t="shared" si="25"/>
        <v/>
      </c>
      <c r="I135" s="977"/>
      <c r="J135" s="75"/>
      <c r="K135" s="980">
        <v>20.2</v>
      </c>
      <c r="L135" s="976">
        <v>100000000</v>
      </c>
      <c r="M135" s="25"/>
      <c r="N135" s="25"/>
      <c r="O135" s="25"/>
      <c r="P135" s="25"/>
    </row>
    <row r="136" spans="2:16" ht="15" customHeight="1">
      <c r="B136" s="24">
        <f t="shared" si="26"/>
        <v>26</v>
      </c>
      <c r="C136" s="11" t="str">
        <f t="shared" si="26"/>
        <v>中国银河证券股份有限公司</v>
      </c>
      <c r="D136" s="21">
        <f t="shared" si="22"/>
        <v>21.38</v>
      </c>
      <c r="E136" s="21">
        <f t="shared" si="23"/>
        <v>1.2</v>
      </c>
      <c r="F136" s="19" t="str">
        <f t="shared" si="24"/>
        <v/>
      </c>
      <c r="G136" s="21" t="str">
        <f t="shared" si="25"/>
        <v/>
      </c>
      <c r="I136" s="974">
        <v>26</v>
      </c>
      <c r="J136" s="71" t="s">
        <v>13</v>
      </c>
      <c r="K136" s="975">
        <v>21.38</v>
      </c>
      <c r="L136" s="976">
        <v>120000000</v>
      </c>
      <c r="M136" s="25"/>
      <c r="N136" s="25"/>
      <c r="O136" s="25"/>
      <c r="P136" s="25"/>
    </row>
    <row r="137" spans="2:16" ht="15" customHeight="1">
      <c r="B137" s="24">
        <f t="shared" si="26"/>
        <v>27</v>
      </c>
      <c r="C137" s="11" t="str">
        <f t="shared" si="26"/>
        <v>湘财证券股份有限公司</v>
      </c>
      <c r="D137" s="21">
        <f t="shared" si="22"/>
        <v>21.33</v>
      </c>
      <c r="E137" s="21">
        <f t="shared" si="23"/>
        <v>2</v>
      </c>
      <c r="F137" s="19" t="str">
        <f t="shared" si="24"/>
        <v/>
      </c>
      <c r="G137" s="21" t="str">
        <f t="shared" si="25"/>
        <v/>
      </c>
      <c r="I137" s="974">
        <v>27</v>
      </c>
      <c r="J137" s="71" t="s">
        <v>459</v>
      </c>
      <c r="K137" s="975">
        <v>21.33</v>
      </c>
      <c r="L137" s="976">
        <v>200000000</v>
      </c>
      <c r="M137" s="25"/>
      <c r="N137" s="25"/>
      <c r="O137" s="25"/>
      <c r="P137" s="25"/>
    </row>
    <row r="138" spans="2:16" ht="15" customHeight="1">
      <c r="B138" s="24">
        <f t="shared" si="26"/>
        <v>28</v>
      </c>
      <c r="C138" s="11" t="str">
        <f t="shared" si="26"/>
        <v>兴证证券资产管理有限公司</v>
      </c>
      <c r="D138" s="21">
        <f t="shared" si="22"/>
        <v>21.2</v>
      </c>
      <c r="E138" s="21">
        <f t="shared" si="23"/>
        <v>1</v>
      </c>
      <c r="F138" s="19" t="str">
        <f t="shared" si="24"/>
        <v/>
      </c>
      <c r="G138" s="21" t="str">
        <f t="shared" si="25"/>
        <v/>
      </c>
      <c r="I138" s="977">
        <v>28</v>
      </c>
      <c r="J138" s="75" t="s">
        <v>150</v>
      </c>
      <c r="K138" s="980">
        <v>21.2</v>
      </c>
      <c r="L138" s="976">
        <v>100000000</v>
      </c>
      <c r="M138" s="25"/>
      <c r="N138" s="25"/>
      <c r="O138" s="25"/>
      <c r="P138" s="25"/>
    </row>
    <row r="139" spans="2:16" ht="15" customHeight="1">
      <c r="B139" s="24" t="str">
        <f t="shared" si="26"/>
        <v/>
      </c>
      <c r="C139" s="11" t="str">
        <f t="shared" si="26"/>
        <v/>
      </c>
      <c r="D139" s="21">
        <f t="shared" si="22"/>
        <v>20.2</v>
      </c>
      <c r="E139" s="21">
        <f t="shared" si="23"/>
        <v>2</v>
      </c>
      <c r="F139" s="19" t="str">
        <f t="shared" si="24"/>
        <v/>
      </c>
      <c r="G139" s="21" t="str">
        <f t="shared" si="25"/>
        <v/>
      </c>
      <c r="I139" s="977"/>
      <c r="J139" s="75"/>
      <c r="K139" s="980">
        <v>20.2</v>
      </c>
      <c r="L139" s="976">
        <v>200000000</v>
      </c>
      <c r="M139" s="25"/>
      <c r="N139" s="25"/>
      <c r="O139" s="25"/>
      <c r="P139" s="25"/>
    </row>
    <row r="140" spans="2:16" ht="15" customHeight="1">
      <c r="B140" s="24" t="str">
        <f t="shared" si="26"/>
        <v/>
      </c>
      <c r="C140" s="11" t="str">
        <f t="shared" si="26"/>
        <v/>
      </c>
      <c r="D140" s="21">
        <f t="shared" si="22"/>
        <v>18.5</v>
      </c>
      <c r="E140" s="21">
        <f t="shared" si="23"/>
        <v>3</v>
      </c>
      <c r="F140" s="19" t="str">
        <f t="shared" si="24"/>
        <v/>
      </c>
      <c r="G140" s="21" t="str">
        <f t="shared" si="25"/>
        <v/>
      </c>
      <c r="I140" s="977"/>
      <c r="J140" s="75"/>
      <c r="K140" s="980">
        <v>18.5</v>
      </c>
      <c r="L140" s="976">
        <v>300000000</v>
      </c>
      <c r="M140" s="25"/>
      <c r="N140" s="25"/>
      <c r="O140" s="25"/>
      <c r="P140" s="25"/>
    </row>
    <row r="141" spans="2:16" ht="15" customHeight="1">
      <c r="B141" s="24">
        <f t="shared" si="26"/>
        <v>29</v>
      </c>
      <c r="C141" s="11" t="str">
        <f t="shared" si="26"/>
        <v>申万菱信基金管理有限公司</v>
      </c>
      <c r="D141" s="21">
        <f t="shared" si="22"/>
        <v>21.03</v>
      </c>
      <c r="E141" s="21">
        <f t="shared" si="23"/>
        <v>1.01</v>
      </c>
      <c r="F141" s="19" t="str">
        <f t="shared" si="24"/>
        <v/>
      </c>
      <c r="G141" s="21" t="str">
        <f t="shared" si="25"/>
        <v/>
      </c>
      <c r="I141" s="974">
        <v>29</v>
      </c>
      <c r="J141" s="71" t="s">
        <v>121</v>
      </c>
      <c r="K141" s="975">
        <v>21.03</v>
      </c>
      <c r="L141" s="976">
        <v>101000000</v>
      </c>
      <c r="M141" s="25"/>
      <c r="N141" s="25"/>
      <c r="O141" s="25"/>
      <c r="P141" s="25"/>
    </row>
    <row r="142" spans="2:16" ht="15" customHeight="1">
      <c r="B142" s="24">
        <f t="shared" si="26"/>
        <v>30</v>
      </c>
      <c r="C142" s="11" t="str">
        <f t="shared" si="26"/>
        <v>博时基金管理有限公司</v>
      </c>
      <c r="D142" s="21">
        <f t="shared" si="22"/>
        <v>20.61</v>
      </c>
      <c r="E142" s="21">
        <f t="shared" si="23"/>
        <v>1</v>
      </c>
      <c r="F142" s="19" t="str">
        <f t="shared" si="24"/>
        <v/>
      </c>
      <c r="G142" s="21" t="str">
        <f t="shared" si="25"/>
        <v/>
      </c>
      <c r="I142" s="982">
        <v>30</v>
      </c>
      <c r="J142" s="99" t="s">
        <v>173</v>
      </c>
      <c r="K142" s="980">
        <v>20.61</v>
      </c>
      <c r="L142" s="976">
        <v>100000000</v>
      </c>
      <c r="M142" s="25"/>
      <c r="N142" s="25"/>
      <c r="O142" s="25"/>
      <c r="P142" s="25"/>
    </row>
    <row r="143" spans="2:16" ht="15" customHeight="1">
      <c r="B143" s="24" t="str">
        <f t="shared" si="26"/>
        <v/>
      </c>
      <c r="C143" s="11" t="str">
        <f t="shared" si="26"/>
        <v/>
      </c>
      <c r="D143" s="21">
        <f t="shared" si="22"/>
        <v>19.010000000000002</v>
      </c>
      <c r="E143" s="21">
        <f t="shared" si="23"/>
        <v>2</v>
      </c>
      <c r="F143" s="19" t="str">
        <f t="shared" si="24"/>
        <v/>
      </c>
      <c r="G143" s="21" t="str">
        <f t="shared" si="25"/>
        <v/>
      </c>
      <c r="I143" s="982"/>
      <c r="J143" s="99"/>
      <c r="K143" s="980">
        <v>19.010000000000002</v>
      </c>
      <c r="L143" s="976">
        <v>200000000</v>
      </c>
      <c r="M143" s="25"/>
      <c r="N143" s="25"/>
      <c r="O143" s="25"/>
      <c r="P143" s="25"/>
    </row>
    <row r="144" spans="2:16" ht="15" customHeight="1">
      <c r="B144" s="24">
        <f t="shared" si="26"/>
        <v>31</v>
      </c>
      <c r="C144" s="11" t="str">
        <f t="shared" si="26"/>
        <v>张克强</v>
      </c>
      <c r="D144" s="21">
        <f t="shared" si="22"/>
        <v>20.53</v>
      </c>
      <c r="E144" s="21">
        <f t="shared" si="23"/>
        <v>1</v>
      </c>
      <c r="F144" s="19" t="str">
        <f t="shared" si="24"/>
        <v/>
      </c>
      <c r="G144" s="21" t="str">
        <f t="shared" si="25"/>
        <v/>
      </c>
      <c r="I144" s="977">
        <v>31</v>
      </c>
      <c r="J144" s="75" t="s">
        <v>458</v>
      </c>
      <c r="K144" s="980">
        <v>20.53</v>
      </c>
      <c r="L144" s="976">
        <v>100000000</v>
      </c>
      <c r="M144" s="25"/>
      <c r="N144" s="25"/>
      <c r="O144" s="25"/>
      <c r="P144" s="25"/>
    </row>
    <row r="145" spans="2:16" ht="15" customHeight="1">
      <c r="B145" s="24" t="str">
        <f t="shared" si="26"/>
        <v/>
      </c>
      <c r="C145" s="11" t="str">
        <f t="shared" si="26"/>
        <v/>
      </c>
      <c r="D145" s="21">
        <f t="shared" si="22"/>
        <v>19.53</v>
      </c>
      <c r="E145" s="21">
        <f t="shared" si="23"/>
        <v>1.1000000000000001</v>
      </c>
      <c r="F145" s="19" t="str">
        <f t="shared" si="24"/>
        <v/>
      </c>
      <c r="G145" s="21" t="str">
        <f t="shared" si="25"/>
        <v/>
      </c>
      <c r="I145" s="977"/>
      <c r="J145" s="75"/>
      <c r="K145" s="980">
        <v>19.53</v>
      </c>
      <c r="L145" s="976">
        <v>110000000</v>
      </c>
      <c r="M145" s="25"/>
      <c r="N145" s="25"/>
      <c r="O145" s="25"/>
      <c r="P145" s="25"/>
    </row>
    <row r="146" spans="2:16" ht="15" customHeight="1">
      <c r="B146" s="24" t="str">
        <f t="shared" si="26"/>
        <v/>
      </c>
      <c r="C146" s="11" t="str">
        <f t="shared" si="26"/>
        <v/>
      </c>
      <c r="D146" s="21">
        <f t="shared" si="22"/>
        <v>18.03</v>
      </c>
      <c r="E146" s="21">
        <f t="shared" si="23"/>
        <v>1.2</v>
      </c>
      <c r="F146" s="19" t="str">
        <f t="shared" si="24"/>
        <v/>
      </c>
      <c r="G146" s="21" t="str">
        <f t="shared" si="25"/>
        <v/>
      </c>
      <c r="I146" s="977"/>
      <c r="J146" s="75"/>
      <c r="K146" s="980">
        <v>18.03</v>
      </c>
      <c r="L146" s="976">
        <v>120000000</v>
      </c>
      <c r="M146" s="25"/>
      <c r="N146" s="25"/>
      <c r="O146" s="25"/>
      <c r="P146" s="25"/>
    </row>
    <row r="147" spans="2:16" ht="15" customHeight="1">
      <c r="B147" s="24">
        <f t="shared" si="26"/>
        <v>32</v>
      </c>
      <c r="C147" s="11" t="str">
        <f t="shared" si="26"/>
        <v>平安大华基金管理有限公司</v>
      </c>
      <c r="D147" s="21">
        <f t="shared" si="22"/>
        <v>20.48</v>
      </c>
      <c r="E147" s="21">
        <f t="shared" si="23"/>
        <v>2</v>
      </c>
      <c r="F147" s="19" t="str">
        <f t="shared" si="24"/>
        <v/>
      </c>
      <c r="G147" s="21" t="str">
        <f t="shared" si="25"/>
        <v/>
      </c>
      <c r="I147" s="974">
        <v>32</v>
      </c>
      <c r="J147" s="71" t="s">
        <v>146</v>
      </c>
      <c r="K147" s="975">
        <v>20.48</v>
      </c>
      <c r="L147" s="976">
        <v>200000000</v>
      </c>
      <c r="M147" s="25"/>
      <c r="N147" s="25"/>
      <c r="O147" s="25"/>
      <c r="P147" s="25"/>
    </row>
    <row r="148" spans="2:16" ht="15" customHeight="1">
      <c r="B148" s="24">
        <f t="shared" si="26"/>
        <v>33</v>
      </c>
      <c r="C148" s="11" t="str">
        <f t="shared" si="26"/>
        <v>诺安基金管理有限公司</v>
      </c>
      <c r="D148" s="21">
        <f t="shared" si="22"/>
        <v>20.350000000000001</v>
      </c>
      <c r="E148" s="21">
        <f t="shared" si="23"/>
        <v>1.42</v>
      </c>
      <c r="F148" s="19" t="str">
        <f t="shared" si="24"/>
        <v/>
      </c>
      <c r="G148" s="21" t="str">
        <f t="shared" si="25"/>
        <v/>
      </c>
      <c r="I148" s="982">
        <v>33</v>
      </c>
      <c r="J148" s="99" t="s">
        <v>147</v>
      </c>
      <c r="K148" s="980">
        <v>20.350000000000001</v>
      </c>
      <c r="L148" s="976">
        <v>142000000</v>
      </c>
      <c r="M148" s="25"/>
      <c r="N148" s="25"/>
      <c r="O148" s="25"/>
      <c r="P148" s="25"/>
    </row>
    <row r="149" spans="2:16" ht="15" customHeight="1">
      <c r="B149" s="24" t="str">
        <f t="shared" si="26"/>
        <v/>
      </c>
      <c r="C149" s="11" t="str">
        <f t="shared" si="26"/>
        <v/>
      </c>
      <c r="D149" s="21">
        <f t="shared" si="22"/>
        <v>18.5</v>
      </c>
      <c r="E149" s="21">
        <f t="shared" si="23"/>
        <v>1.54</v>
      </c>
      <c r="F149" s="19" t="str">
        <f t="shared" si="24"/>
        <v/>
      </c>
      <c r="G149" s="21" t="str">
        <f t="shared" si="25"/>
        <v/>
      </c>
      <c r="I149" s="982"/>
      <c r="J149" s="99"/>
      <c r="K149" s="980">
        <v>18.5</v>
      </c>
      <c r="L149" s="976">
        <v>154000000</v>
      </c>
      <c r="M149" s="25"/>
      <c r="N149" s="25"/>
      <c r="O149" s="25"/>
      <c r="P149" s="25"/>
    </row>
    <row r="150" spans="2:16" ht="15" customHeight="1">
      <c r="B150" s="24">
        <f t="shared" si="26"/>
        <v>34</v>
      </c>
      <c r="C150" s="11" t="str">
        <f t="shared" si="26"/>
        <v>广发基金管理有限公司</v>
      </c>
      <c r="D150" s="21">
        <f t="shared" si="22"/>
        <v>20.3</v>
      </c>
      <c r="E150" s="21">
        <f t="shared" si="23"/>
        <v>3.5</v>
      </c>
      <c r="F150" s="19" t="str">
        <f t="shared" si="24"/>
        <v/>
      </c>
      <c r="G150" s="21" t="str">
        <f t="shared" si="25"/>
        <v/>
      </c>
      <c r="I150" s="974">
        <v>34</v>
      </c>
      <c r="J150" s="71" t="s">
        <v>363</v>
      </c>
      <c r="K150" s="975">
        <v>20.3</v>
      </c>
      <c r="L150" s="976">
        <v>350000000</v>
      </c>
      <c r="M150" s="25"/>
      <c r="N150" s="25"/>
      <c r="O150" s="25"/>
      <c r="P150" s="25"/>
    </row>
    <row r="151" spans="2:16" ht="15" customHeight="1">
      <c r="B151" s="24">
        <f t="shared" si="26"/>
        <v>35</v>
      </c>
      <c r="C151" s="11" t="str">
        <f t="shared" si="26"/>
        <v>阳光资产管理股份有限公司</v>
      </c>
      <c r="D151" s="21">
        <f t="shared" si="22"/>
        <v>20.16</v>
      </c>
      <c r="E151" s="21">
        <f t="shared" si="23"/>
        <v>1</v>
      </c>
      <c r="F151" s="19" t="str">
        <f t="shared" si="24"/>
        <v/>
      </c>
      <c r="G151" s="21" t="str">
        <f t="shared" si="25"/>
        <v/>
      </c>
      <c r="I151" s="974">
        <v>35</v>
      </c>
      <c r="J151" s="71" t="s">
        <v>457</v>
      </c>
      <c r="K151" s="975">
        <v>20.16</v>
      </c>
      <c r="L151" s="976">
        <v>100000000</v>
      </c>
      <c r="M151" s="25"/>
      <c r="N151" s="25"/>
      <c r="O151" s="25"/>
      <c r="P151" s="25"/>
    </row>
    <row r="152" spans="2:16" ht="15" customHeight="1">
      <c r="B152" s="24">
        <f t="shared" si="26"/>
        <v>36</v>
      </c>
      <c r="C152" s="11" t="str">
        <f t="shared" si="26"/>
        <v>东海基金管理有限责任公司</v>
      </c>
      <c r="D152" s="21">
        <f t="shared" si="22"/>
        <v>20.010000000000002</v>
      </c>
      <c r="E152" s="21">
        <f t="shared" si="23"/>
        <v>2</v>
      </c>
      <c r="F152" s="19" t="str">
        <f t="shared" si="24"/>
        <v/>
      </c>
      <c r="G152" s="21" t="str">
        <f t="shared" si="25"/>
        <v/>
      </c>
      <c r="I152" s="977">
        <v>36</v>
      </c>
      <c r="J152" s="75" t="s">
        <v>128</v>
      </c>
      <c r="K152" s="980">
        <v>20.010000000000002</v>
      </c>
      <c r="L152" s="976">
        <v>200000000</v>
      </c>
      <c r="M152" s="25"/>
      <c r="N152" s="25"/>
      <c r="O152" s="25"/>
      <c r="P152" s="25"/>
    </row>
    <row r="153" spans="2:16" ht="15" customHeight="1">
      <c r="B153" s="24" t="str">
        <f t="shared" si="26"/>
        <v/>
      </c>
      <c r="C153" s="11" t="str">
        <f t="shared" si="26"/>
        <v/>
      </c>
      <c r="D153" s="21">
        <f t="shared" si="22"/>
        <v>19.010000000000002</v>
      </c>
      <c r="E153" s="21">
        <f t="shared" si="23"/>
        <v>3</v>
      </c>
      <c r="F153" s="19" t="str">
        <f t="shared" si="24"/>
        <v/>
      </c>
      <c r="G153" s="21" t="str">
        <f t="shared" si="25"/>
        <v/>
      </c>
      <c r="I153" s="977"/>
      <c r="J153" s="75"/>
      <c r="K153" s="980">
        <v>19.010000000000002</v>
      </c>
      <c r="L153" s="976">
        <v>300000000</v>
      </c>
      <c r="M153" s="25"/>
      <c r="N153" s="25"/>
      <c r="O153" s="25"/>
      <c r="P153" s="25"/>
    </row>
    <row r="154" spans="2:16" ht="15" customHeight="1">
      <c r="B154" s="24" t="str">
        <f t="shared" ref="B154:C175" si="27">IF(I154=0,"",I154)</f>
        <v/>
      </c>
      <c r="C154" s="11" t="str">
        <f t="shared" si="27"/>
        <v/>
      </c>
      <c r="D154" s="21">
        <f t="shared" ref="D154:D175" si="28">K154</f>
        <v>18.010000000000002</v>
      </c>
      <c r="E154" s="21">
        <f t="shared" ref="E154:E175" si="29">L154/100000000</f>
        <v>4.5999999999999996</v>
      </c>
      <c r="F154" s="19" t="str">
        <f t="shared" ref="F154:F175" si="30">IFERROR(VLOOKUP(C154,N$90:P$175,2,FALSE)/10000,"")</f>
        <v/>
      </c>
      <c r="G154" s="21" t="str">
        <f t="shared" ref="G154:G175" si="31">IFERROR(F154*L$88/10000,"")</f>
        <v/>
      </c>
      <c r="I154" s="977"/>
      <c r="J154" s="75"/>
      <c r="K154" s="980">
        <v>18.010000000000002</v>
      </c>
      <c r="L154" s="976">
        <v>460000000</v>
      </c>
      <c r="M154" s="25"/>
      <c r="N154" s="25"/>
      <c r="O154" s="25"/>
      <c r="P154" s="25"/>
    </row>
    <row r="155" spans="2:16" ht="15" customHeight="1">
      <c r="B155" s="24">
        <f t="shared" si="27"/>
        <v>37</v>
      </c>
      <c r="C155" s="11" t="str">
        <f t="shared" si="27"/>
        <v>南方基金管理有限公司</v>
      </c>
      <c r="D155" s="21">
        <f t="shared" si="28"/>
        <v>20</v>
      </c>
      <c r="E155" s="21">
        <f t="shared" si="29"/>
        <v>1.02</v>
      </c>
      <c r="F155" s="19" t="str">
        <f t="shared" si="30"/>
        <v/>
      </c>
      <c r="G155" s="21" t="str">
        <f t="shared" si="31"/>
        <v/>
      </c>
      <c r="I155" s="974">
        <v>37</v>
      </c>
      <c r="J155" s="71" t="s">
        <v>321</v>
      </c>
      <c r="K155" s="975">
        <v>20</v>
      </c>
      <c r="L155" s="976">
        <v>102000000</v>
      </c>
      <c r="M155" s="25"/>
      <c r="N155" s="25"/>
      <c r="O155" s="25"/>
      <c r="P155" s="25"/>
    </row>
    <row r="156" spans="2:16" ht="15" customHeight="1">
      <c r="B156" s="24">
        <f t="shared" si="27"/>
        <v>38</v>
      </c>
      <c r="C156" s="11" t="str">
        <f t="shared" si="27"/>
        <v>申万菱信(上海)资产管理有限公司</v>
      </c>
      <c r="D156" s="21">
        <f t="shared" si="28"/>
        <v>19.28</v>
      </c>
      <c r="E156" s="21">
        <f t="shared" si="29"/>
        <v>1.6</v>
      </c>
      <c r="F156" s="19" t="str">
        <f t="shared" si="30"/>
        <v/>
      </c>
      <c r="G156" s="21" t="str">
        <f t="shared" si="31"/>
        <v/>
      </c>
      <c r="I156" s="974">
        <v>38</v>
      </c>
      <c r="J156" s="71" t="s">
        <v>456</v>
      </c>
      <c r="K156" s="975">
        <v>19.28</v>
      </c>
      <c r="L156" s="976">
        <v>160000000</v>
      </c>
      <c r="M156" s="25"/>
      <c r="N156" s="25"/>
      <c r="O156" s="25"/>
      <c r="P156" s="25"/>
    </row>
    <row r="157" spans="2:16" ht="15" customHeight="1">
      <c r="B157" s="24">
        <f t="shared" si="27"/>
        <v>39</v>
      </c>
      <c r="C157" s="11" t="str">
        <f t="shared" si="27"/>
        <v>兴业全球基金管理有限公司</v>
      </c>
      <c r="D157" s="21">
        <f t="shared" si="28"/>
        <v>19.100000000000001</v>
      </c>
      <c r="E157" s="21">
        <f t="shared" si="29"/>
        <v>1.03</v>
      </c>
      <c r="F157" s="19" t="str">
        <f t="shared" si="30"/>
        <v/>
      </c>
      <c r="G157" s="21" t="str">
        <f t="shared" si="31"/>
        <v/>
      </c>
      <c r="I157" s="982">
        <v>39</v>
      </c>
      <c r="J157" s="99" t="s">
        <v>131</v>
      </c>
      <c r="K157" s="980">
        <v>19.100000000000001</v>
      </c>
      <c r="L157" s="976">
        <v>103000000</v>
      </c>
      <c r="M157" s="25"/>
      <c r="N157" s="25"/>
      <c r="O157" s="25"/>
      <c r="P157" s="25"/>
    </row>
    <row r="158" spans="2:16" ht="15" customHeight="1">
      <c r="B158" s="24" t="str">
        <f t="shared" si="27"/>
        <v/>
      </c>
      <c r="C158" s="11" t="str">
        <f t="shared" si="27"/>
        <v/>
      </c>
      <c r="D158" s="21">
        <f t="shared" si="28"/>
        <v>18.100000000000001</v>
      </c>
      <c r="E158" s="21">
        <f t="shared" si="29"/>
        <v>2.96</v>
      </c>
      <c r="F158" s="19" t="str">
        <f t="shared" si="30"/>
        <v/>
      </c>
      <c r="G158" s="21" t="str">
        <f t="shared" si="31"/>
        <v/>
      </c>
      <c r="I158" s="982"/>
      <c r="J158" s="99"/>
      <c r="K158" s="980">
        <v>18.100000000000001</v>
      </c>
      <c r="L158" s="976">
        <v>296000000</v>
      </c>
      <c r="M158" s="25"/>
      <c r="N158" s="25"/>
      <c r="O158" s="25"/>
      <c r="P158" s="25"/>
    </row>
    <row r="159" spans="2:16" ht="15" customHeight="1">
      <c r="B159" s="24">
        <f t="shared" si="27"/>
        <v>40</v>
      </c>
      <c r="C159" s="11" t="str">
        <f t="shared" si="27"/>
        <v>创金合信基金管理有限公司</v>
      </c>
      <c r="D159" s="21">
        <f t="shared" si="28"/>
        <v>18.8</v>
      </c>
      <c r="E159" s="21">
        <f t="shared" si="29"/>
        <v>1.5549999999999999</v>
      </c>
      <c r="F159" s="19" t="str">
        <f t="shared" si="30"/>
        <v/>
      </c>
      <c r="G159" s="21" t="str">
        <f t="shared" si="31"/>
        <v/>
      </c>
      <c r="I159" s="974">
        <v>40</v>
      </c>
      <c r="J159" s="71" t="s">
        <v>134</v>
      </c>
      <c r="K159" s="975">
        <v>18.8</v>
      </c>
      <c r="L159" s="976">
        <v>155500000</v>
      </c>
      <c r="M159" s="25"/>
      <c r="N159" s="25"/>
      <c r="O159" s="25"/>
      <c r="P159" s="25"/>
    </row>
    <row r="160" spans="2:16" ht="15" customHeight="1">
      <c r="B160" s="24">
        <f t="shared" si="27"/>
        <v>41</v>
      </c>
      <c r="C160" s="11" t="str">
        <f t="shared" si="27"/>
        <v>江苏宗申三轮摩托车制造有限公司</v>
      </c>
      <c r="D160" s="21">
        <f t="shared" si="28"/>
        <v>18.57</v>
      </c>
      <c r="E160" s="21">
        <f t="shared" si="29"/>
        <v>1</v>
      </c>
      <c r="F160" s="19" t="str">
        <f t="shared" si="30"/>
        <v/>
      </c>
      <c r="G160" s="21" t="str">
        <f t="shared" si="31"/>
        <v/>
      </c>
      <c r="I160" s="974">
        <v>41</v>
      </c>
      <c r="J160" s="71" t="s">
        <v>455</v>
      </c>
      <c r="K160" s="975">
        <v>18.57</v>
      </c>
      <c r="L160" s="976">
        <v>100000000</v>
      </c>
      <c r="M160" s="25"/>
      <c r="N160" s="25"/>
      <c r="O160" s="25"/>
      <c r="P160" s="25"/>
    </row>
    <row r="161" spans="2:16" ht="15" customHeight="1">
      <c r="B161" s="24">
        <f t="shared" si="27"/>
        <v>42</v>
      </c>
      <c r="C161" s="11" t="str">
        <f t="shared" si="27"/>
        <v>新华基金管理有限公司</v>
      </c>
      <c r="D161" s="21">
        <f t="shared" si="28"/>
        <v>18.52</v>
      </c>
      <c r="E161" s="21">
        <f t="shared" si="29"/>
        <v>1</v>
      </c>
      <c r="F161" s="19" t="str">
        <f t="shared" si="30"/>
        <v/>
      </c>
      <c r="G161" s="21" t="str">
        <f t="shared" si="31"/>
        <v/>
      </c>
      <c r="I161" s="974">
        <v>42</v>
      </c>
      <c r="J161" s="71" t="s">
        <v>454</v>
      </c>
      <c r="K161" s="975">
        <v>18.52</v>
      </c>
      <c r="L161" s="976">
        <v>100000000</v>
      </c>
      <c r="M161" s="25"/>
      <c r="N161" s="25"/>
      <c r="O161" s="25"/>
      <c r="P161" s="25"/>
    </row>
    <row r="162" spans="2:16" ht="15" customHeight="1">
      <c r="B162" s="24">
        <f t="shared" si="27"/>
        <v>43</v>
      </c>
      <c r="C162" s="11" t="str">
        <f t="shared" si="27"/>
        <v>张怀斌</v>
      </c>
      <c r="D162" s="21">
        <f t="shared" si="28"/>
        <v>18.149999999999999</v>
      </c>
      <c r="E162" s="21">
        <f t="shared" si="29"/>
        <v>1.01</v>
      </c>
      <c r="F162" s="19" t="str">
        <f t="shared" si="30"/>
        <v/>
      </c>
      <c r="G162" s="21" t="str">
        <f t="shared" si="31"/>
        <v/>
      </c>
      <c r="I162" s="974">
        <v>43</v>
      </c>
      <c r="J162" s="71" t="s">
        <v>281</v>
      </c>
      <c r="K162" s="975">
        <v>18.149999999999999</v>
      </c>
      <c r="L162" s="976">
        <v>101000000</v>
      </c>
      <c r="M162" s="25"/>
      <c r="N162" s="25"/>
      <c r="O162" s="25"/>
      <c r="P162" s="25"/>
    </row>
    <row r="163" spans="2:16" ht="15" customHeight="1">
      <c r="B163" s="24">
        <f t="shared" si="27"/>
        <v>44</v>
      </c>
      <c r="C163" s="11" t="str">
        <f t="shared" si="27"/>
        <v>海通证券股份有限公司</v>
      </c>
      <c r="D163" s="21">
        <f t="shared" si="28"/>
        <v>18</v>
      </c>
      <c r="E163" s="21">
        <f t="shared" si="29"/>
        <v>1</v>
      </c>
      <c r="F163" s="19" t="str">
        <f t="shared" si="30"/>
        <v/>
      </c>
      <c r="G163" s="21" t="str">
        <f t="shared" si="31"/>
        <v/>
      </c>
      <c r="I163" s="974">
        <v>44</v>
      </c>
      <c r="J163" s="71" t="s">
        <v>8</v>
      </c>
      <c r="K163" s="975">
        <v>18</v>
      </c>
      <c r="L163" s="976">
        <v>100000000</v>
      </c>
      <c r="M163" s="25"/>
      <c r="N163" s="25"/>
      <c r="O163" s="25"/>
      <c r="P163" s="25"/>
    </row>
    <row r="164" spans="2:16" ht="15" customHeight="1">
      <c r="B164" s="24">
        <f t="shared" si="27"/>
        <v>45</v>
      </c>
      <c r="C164" s="11" t="str">
        <f t="shared" si="27"/>
        <v>上银基金管理有限公司</v>
      </c>
      <c r="D164" s="21">
        <f t="shared" si="28"/>
        <v>18</v>
      </c>
      <c r="E164" s="21">
        <f t="shared" si="29"/>
        <v>1</v>
      </c>
      <c r="F164" s="19" t="str">
        <f t="shared" si="30"/>
        <v/>
      </c>
      <c r="G164" s="21" t="str">
        <f t="shared" si="31"/>
        <v/>
      </c>
      <c r="I164" s="974">
        <v>45</v>
      </c>
      <c r="J164" s="71" t="s">
        <v>317</v>
      </c>
      <c r="K164" s="975">
        <v>18</v>
      </c>
      <c r="L164" s="976">
        <v>100000000</v>
      </c>
      <c r="M164" s="25"/>
      <c r="N164" s="25"/>
      <c r="O164" s="25"/>
      <c r="P164" s="25"/>
    </row>
    <row r="165" spans="2:16" ht="15" customHeight="1">
      <c r="B165" s="24">
        <f t="shared" si="27"/>
        <v>46</v>
      </c>
      <c r="C165" s="11" t="str">
        <f t="shared" si="27"/>
        <v>珠海中兵广发投资基金合伙企业(有限
合伙)</v>
      </c>
      <c r="D165" s="21">
        <f t="shared" si="28"/>
        <v>17.89</v>
      </c>
      <c r="E165" s="21">
        <f t="shared" si="29"/>
        <v>1</v>
      </c>
      <c r="F165" s="19" t="str">
        <f t="shared" si="30"/>
        <v/>
      </c>
      <c r="G165" s="21" t="str">
        <f t="shared" si="31"/>
        <v/>
      </c>
      <c r="I165" s="974">
        <v>46</v>
      </c>
      <c r="J165" s="39" t="s">
        <v>453</v>
      </c>
      <c r="K165" s="975">
        <v>17.89</v>
      </c>
      <c r="L165" s="976">
        <v>100000000</v>
      </c>
      <c r="M165" s="25"/>
      <c r="N165" s="25"/>
      <c r="O165" s="25"/>
      <c r="P165" s="25"/>
    </row>
    <row r="166" spans="2:16" ht="15" customHeight="1">
      <c r="B166" s="24">
        <f t="shared" si="27"/>
        <v>47</v>
      </c>
      <c r="C166" s="11" t="str">
        <f t="shared" si="27"/>
        <v>长安财富资产管理有限公司</v>
      </c>
      <c r="D166" s="21">
        <f t="shared" si="28"/>
        <v>17.59</v>
      </c>
      <c r="E166" s="21">
        <f t="shared" si="29"/>
        <v>1.2</v>
      </c>
      <c r="F166" s="19" t="str">
        <f t="shared" si="30"/>
        <v/>
      </c>
      <c r="G166" s="21" t="str">
        <f t="shared" si="31"/>
        <v/>
      </c>
      <c r="I166" s="977">
        <v>47</v>
      </c>
      <c r="J166" s="75" t="s">
        <v>452</v>
      </c>
      <c r="K166" s="980">
        <v>17.59</v>
      </c>
      <c r="L166" s="976">
        <v>120000000</v>
      </c>
      <c r="M166" s="25"/>
      <c r="N166" s="25"/>
      <c r="O166" s="25"/>
      <c r="P166" s="25"/>
    </row>
    <row r="167" spans="2:16" ht="15" customHeight="1">
      <c r="B167" s="24" t="str">
        <f t="shared" si="27"/>
        <v/>
      </c>
      <c r="C167" s="11" t="str">
        <f t="shared" si="27"/>
        <v/>
      </c>
      <c r="D167" s="21">
        <f t="shared" si="28"/>
        <v>17.579999999999998</v>
      </c>
      <c r="E167" s="21">
        <f t="shared" si="29"/>
        <v>1.2</v>
      </c>
      <c r="F167" s="19" t="str">
        <f t="shared" si="30"/>
        <v/>
      </c>
      <c r="G167" s="21" t="str">
        <f t="shared" si="31"/>
        <v/>
      </c>
      <c r="I167" s="977"/>
      <c r="J167" s="75"/>
      <c r="K167" s="980">
        <v>17.579999999999998</v>
      </c>
      <c r="L167" s="976">
        <v>120000000</v>
      </c>
      <c r="M167" s="25"/>
      <c r="N167" s="25"/>
      <c r="O167" s="25"/>
      <c r="P167" s="25"/>
    </row>
    <row r="168" spans="2:16" ht="15" customHeight="1">
      <c r="B168" s="24" t="str">
        <f t="shared" si="27"/>
        <v/>
      </c>
      <c r="C168" s="11" t="str">
        <f t="shared" si="27"/>
        <v/>
      </c>
      <c r="D168" s="21">
        <f t="shared" si="28"/>
        <v>17.57</v>
      </c>
      <c r="E168" s="21">
        <f t="shared" si="29"/>
        <v>1.2</v>
      </c>
      <c r="F168" s="19" t="str">
        <f t="shared" si="30"/>
        <v/>
      </c>
      <c r="G168" s="21" t="str">
        <f t="shared" si="31"/>
        <v/>
      </c>
      <c r="I168" s="977"/>
      <c r="J168" s="75"/>
      <c r="K168" s="980">
        <v>17.57</v>
      </c>
      <c r="L168" s="976">
        <v>120000000</v>
      </c>
      <c r="M168" s="25"/>
      <c r="N168" s="25"/>
      <c r="O168" s="25"/>
      <c r="P168" s="25"/>
    </row>
    <row r="169" spans="2:16" ht="15" customHeight="1">
      <c r="B169" s="24">
        <f t="shared" si="27"/>
        <v>48</v>
      </c>
      <c r="C169" s="11" t="str">
        <f t="shared" si="27"/>
        <v>华泰柏瑞基金管理有限公司</v>
      </c>
      <c r="D169" s="21">
        <f t="shared" si="28"/>
        <v>17.59</v>
      </c>
      <c r="E169" s="21">
        <f t="shared" si="29"/>
        <v>1</v>
      </c>
      <c r="F169" s="19" t="str">
        <f t="shared" si="30"/>
        <v/>
      </c>
      <c r="G169" s="21" t="str">
        <f t="shared" si="31"/>
        <v/>
      </c>
      <c r="I169" s="977">
        <v>48</v>
      </c>
      <c r="J169" s="75" t="s">
        <v>122</v>
      </c>
      <c r="K169" s="980">
        <v>17.59</v>
      </c>
      <c r="L169" s="976">
        <v>100000000</v>
      </c>
      <c r="M169" s="25"/>
      <c r="N169" s="25"/>
      <c r="O169" s="25"/>
      <c r="P169" s="25"/>
    </row>
    <row r="170" spans="2:16" ht="15" customHeight="1">
      <c r="B170" s="24" t="str">
        <f t="shared" si="27"/>
        <v/>
      </c>
      <c r="C170" s="11" t="str">
        <f t="shared" si="27"/>
        <v/>
      </c>
      <c r="D170" s="21">
        <f t="shared" si="28"/>
        <v>17.579999999999998</v>
      </c>
      <c r="E170" s="21">
        <f t="shared" si="29"/>
        <v>1.2</v>
      </c>
      <c r="F170" s="19" t="str">
        <f t="shared" si="30"/>
        <v/>
      </c>
      <c r="G170" s="21" t="str">
        <f t="shared" si="31"/>
        <v/>
      </c>
      <c r="I170" s="977"/>
      <c r="J170" s="75"/>
      <c r="K170" s="980">
        <v>17.579999999999998</v>
      </c>
      <c r="L170" s="976">
        <v>120000000</v>
      </c>
      <c r="M170" s="25"/>
      <c r="N170" s="25"/>
      <c r="O170" s="25"/>
      <c r="P170" s="25"/>
    </row>
    <row r="171" spans="2:16" ht="15" customHeight="1">
      <c r="B171" s="24" t="str">
        <f t="shared" si="27"/>
        <v/>
      </c>
      <c r="C171" s="11" t="str">
        <f t="shared" si="27"/>
        <v/>
      </c>
      <c r="D171" s="21">
        <f t="shared" si="28"/>
        <v>17.57</v>
      </c>
      <c r="E171" s="21">
        <f t="shared" si="29"/>
        <v>1.4</v>
      </c>
      <c r="F171" s="19" t="str">
        <f t="shared" si="30"/>
        <v/>
      </c>
      <c r="G171" s="21" t="str">
        <f t="shared" si="31"/>
        <v/>
      </c>
      <c r="I171" s="977"/>
      <c r="J171" s="75"/>
      <c r="K171" s="980">
        <v>17.57</v>
      </c>
      <c r="L171" s="976">
        <v>140000000</v>
      </c>
      <c r="M171" s="25"/>
      <c r="N171" s="25"/>
      <c r="O171" s="25"/>
      <c r="P171" s="25"/>
    </row>
    <row r="172" spans="2:16" ht="15" customHeight="1">
      <c r="B172" s="24">
        <f t="shared" si="27"/>
        <v>49</v>
      </c>
      <c r="C172" s="11" t="str">
        <f t="shared" si="27"/>
        <v>华夏人寿保险股份有限公司</v>
      </c>
      <c r="D172" s="21">
        <f t="shared" si="28"/>
        <v>17.579999999999998</v>
      </c>
      <c r="E172" s="21">
        <f t="shared" si="29"/>
        <v>1</v>
      </c>
      <c r="F172" s="19" t="str">
        <f t="shared" si="30"/>
        <v/>
      </c>
      <c r="G172" s="21" t="str">
        <f t="shared" si="31"/>
        <v/>
      </c>
      <c r="I172" s="974">
        <v>49</v>
      </c>
      <c r="J172" s="71" t="s">
        <v>119</v>
      </c>
      <c r="K172" s="975">
        <v>17.579999999999998</v>
      </c>
      <c r="L172" s="976">
        <v>100000000</v>
      </c>
      <c r="M172" s="25"/>
      <c r="N172" s="25"/>
      <c r="O172" s="25"/>
      <c r="P172" s="25"/>
    </row>
    <row r="173" spans="2:16" ht="15" customHeight="1">
      <c r="B173" s="24">
        <f t="shared" si="27"/>
        <v>50</v>
      </c>
      <c r="C173" s="11" t="str">
        <f t="shared" si="27"/>
        <v>南京瑞达信沨股权投资合伙企业(有限</v>
      </c>
      <c r="D173" s="21">
        <f t="shared" si="28"/>
        <v>17.579999999999998</v>
      </c>
      <c r="E173" s="21">
        <f t="shared" si="29"/>
        <v>1</v>
      </c>
      <c r="F173" s="19" t="str">
        <f t="shared" si="30"/>
        <v/>
      </c>
      <c r="G173" s="21" t="str">
        <f t="shared" si="31"/>
        <v/>
      </c>
      <c r="I173" s="974">
        <v>50</v>
      </c>
      <c r="J173" s="71" t="s">
        <v>451</v>
      </c>
      <c r="K173" s="975">
        <v>17.579999999999998</v>
      </c>
      <c r="L173" s="976">
        <v>100000000</v>
      </c>
      <c r="M173" s="25"/>
      <c r="N173" s="25"/>
      <c r="O173" s="25"/>
      <c r="P173" s="25"/>
    </row>
    <row r="174" spans="2:16" ht="15" customHeight="1">
      <c r="B174" s="24" t="str">
        <f t="shared" si="27"/>
        <v/>
      </c>
      <c r="C174" s="11" t="str">
        <f t="shared" si="27"/>
        <v>合伙)</v>
      </c>
      <c r="D174" s="21">
        <f t="shared" si="28"/>
        <v>17.57</v>
      </c>
      <c r="E174" s="21">
        <f t="shared" si="29"/>
        <v>1</v>
      </c>
      <c r="F174" s="19" t="str">
        <f t="shared" si="30"/>
        <v/>
      </c>
      <c r="G174" s="21" t="str">
        <f t="shared" si="31"/>
        <v/>
      </c>
      <c r="I174" s="98"/>
      <c r="J174" s="71" t="s">
        <v>450</v>
      </c>
      <c r="K174" s="975">
        <v>17.57</v>
      </c>
      <c r="L174" s="976">
        <v>100000000</v>
      </c>
      <c r="M174" s="25"/>
      <c r="N174" s="25"/>
      <c r="O174" s="25"/>
      <c r="P174" s="25"/>
    </row>
    <row r="175" spans="2:16" ht="15" customHeight="1">
      <c r="B175" s="24">
        <f t="shared" si="27"/>
        <v>51</v>
      </c>
      <c r="C175" s="11" t="str">
        <f t="shared" si="27"/>
        <v>三峡资本控股有限责任公司</v>
      </c>
      <c r="D175" s="21">
        <f t="shared" si="28"/>
        <v>17.57</v>
      </c>
      <c r="E175" s="21">
        <f t="shared" si="29"/>
        <v>1</v>
      </c>
      <c r="F175" s="19" t="str">
        <f t="shared" si="30"/>
        <v/>
      </c>
      <c r="G175" s="21" t="str">
        <f t="shared" si="31"/>
        <v/>
      </c>
      <c r="I175" s="983">
        <v>51</v>
      </c>
      <c r="J175" s="71" t="s">
        <v>449</v>
      </c>
      <c r="K175" s="975">
        <v>17.57</v>
      </c>
      <c r="L175" s="976">
        <v>100000000</v>
      </c>
      <c r="M175" s="25"/>
      <c r="N175" s="25"/>
      <c r="O175" s="25"/>
      <c r="P175" s="25"/>
    </row>
    <row r="177" spans="1:20">
      <c r="A177" s="12" t="s">
        <v>106</v>
      </c>
      <c r="B177" s="12" t="s">
        <v>126</v>
      </c>
      <c r="C177" s="12" t="s">
        <v>107</v>
      </c>
      <c r="D177" s="12" t="s">
        <v>4</v>
      </c>
      <c r="E177" s="13" t="s">
        <v>108</v>
      </c>
      <c r="F177" s="13" t="s">
        <v>109</v>
      </c>
      <c r="G177" s="12" t="s">
        <v>274</v>
      </c>
      <c r="H177" s="12" t="s">
        <v>273</v>
      </c>
      <c r="I177" s="12" t="s">
        <v>116</v>
      </c>
      <c r="J177" s="14" t="s">
        <v>110</v>
      </c>
      <c r="K177" s="14" t="s">
        <v>276</v>
      </c>
      <c r="L177" s="14" t="s">
        <v>117</v>
      </c>
      <c r="M177" s="15" t="s">
        <v>275</v>
      </c>
      <c r="N177" s="12" t="s">
        <v>111</v>
      </c>
      <c r="O177" s="8" t="s">
        <v>12</v>
      </c>
      <c r="P177" s="8" t="s">
        <v>190</v>
      </c>
      <c r="Q177" s="15" t="s">
        <v>129</v>
      </c>
      <c r="R177" s="14" t="s">
        <v>220</v>
      </c>
    </row>
    <row r="178" spans="1:20">
      <c r="A178" s="11">
        <v>5</v>
      </c>
      <c r="B178" s="9" t="s">
        <v>3607</v>
      </c>
      <c r="C178" s="1" t="s">
        <v>31</v>
      </c>
      <c r="D178" s="1" t="s">
        <v>30</v>
      </c>
      <c r="E178" s="3">
        <v>57.5</v>
      </c>
      <c r="F178" s="3">
        <v>57.49999992</v>
      </c>
      <c r="G178" s="2">
        <v>42376</v>
      </c>
      <c r="H178" s="2" t="s">
        <v>151</v>
      </c>
      <c r="I178" s="11">
        <v>10.28</v>
      </c>
      <c r="J178" s="3">
        <v>8.73</v>
      </c>
      <c r="K178" s="3">
        <f>J178/I178</f>
        <v>0.84922178988326857</v>
      </c>
      <c r="L178" s="3">
        <v>9</v>
      </c>
      <c r="M178" s="10">
        <f>L178/I178</f>
        <v>0.87548638132295731</v>
      </c>
      <c r="N178" s="47">
        <v>9</v>
      </c>
      <c r="O178" s="2">
        <v>42767</v>
      </c>
      <c r="P178" s="10">
        <v>9.23</v>
      </c>
      <c r="Q178" s="18">
        <f>(P178*(1+S178/10)+T178/10)/L178</f>
        <v>1.0755555555555556</v>
      </c>
      <c r="R178" s="11" t="s">
        <v>3604</v>
      </c>
      <c r="S178" s="22">
        <f>IFERROR(RIGHT(LEFT(R178,FIND("股",R178)-1),(FIND("股",R178)-1-FIND("转",R178))),0)</f>
        <v>0</v>
      </c>
      <c r="T178" s="23">
        <f>1.5*3</f>
        <v>4.5</v>
      </c>
    </row>
    <row r="179" spans="1:20">
      <c r="B179" s="27" t="s">
        <v>118</v>
      </c>
      <c r="C179" s="16" t="s">
        <v>112</v>
      </c>
      <c r="D179" s="16" t="s">
        <v>113</v>
      </c>
      <c r="E179" s="16" t="s">
        <v>288</v>
      </c>
      <c r="F179" s="17" t="s">
        <v>287</v>
      </c>
      <c r="G179" s="16" t="s">
        <v>289</v>
      </c>
      <c r="I179" s="97" t="s">
        <v>312</v>
      </c>
      <c r="J179" s="97" t="s">
        <v>365</v>
      </c>
      <c r="K179" s="640" t="s">
        <v>448</v>
      </c>
      <c r="L179" s="58" t="s">
        <v>447</v>
      </c>
      <c r="M179" s="96" t="s">
        <v>446</v>
      </c>
      <c r="N179" s="97" t="s">
        <v>365</v>
      </c>
      <c r="O179" s="96" t="s">
        <v>446</v>
      </c>
      <c r="P179" s="32"/>
    </row>
    <row r="180" spans="1:20">
      <c r="B180" s="28">
        <f t="shared" ref="B180:C197" si="32">IF(I180=0,"",I180)</f>
        <v>1</v>
      </c>
      <c r="C180" s="11" t="str">
        <f t="shared" si="32"/>
        <v>信泰人寿保险股份
有限公司</v>
      </c>
      <c r="D180" s="21">
        <f t="shared" ref="D180:D197" si="33">K180</f>
        <v>9</v>
      </c>
      <c r="E180" s="21">
        <f t="shared" ref="E180:E197" si="34">L180/10000</f>
        <v>5.5</v>
      </c>
      <c r="F180" s="19"/>
      <c r="G180" s="21"/>
      <c r="I180" s="95">
        <v>1</v>
      </c>
      <c r="J180" s="58" t="s">
        <v>445</v>
      </c>
      <c r="K180" s="94">
        <v>9</v>
      </c>
      <c r="L180" s="93">
        <v>55000</v>
      </c>
      <c r="M180" s="92">
        <v>0</v>
      </c>
      <c r="N180" s="58" t="s">
        <v>445</v>
      </c>
      <c r="O180" s="92">
        <v>0</v>
      </c>
    </row>
    <row r="181" spans="1:20">
      <c r="B181" s="28">
        <f t="shared" si="32"/>
        <v>2</v>
      </c>
      <c r="C181" s="11" t="str">
        <f t="shared" si="32"/>
        <v>海通证券股份有限
公司</v>
      </c>
      <c r="D181" s="21">
        <f t="shared" si="33"/>
        <v>9</v>
      </c>
      <c r="E181" s="21">
        <f t="shared" si="34"/>
        <v>5.5</v>
      </c>
      <c r="F181" s="19"/>
      <c r="G181" s="21"/>
      <c r="I181" s="95">
        <v>2</v>
      </c>
      <c r="J181" s="58" t="s">
        <v>444</v>
      </c>
      <c r="K181" s="94">
        <v>9</v>
      </c>
      <c r="L181" s="93">
        <v>55000</v>
      </c>
      <c r="M181" s="92">
        <v>0</v>
      </c>
      <c r="N181" s="58" t="s">
        <v>444</v>
      </c>
      <c r="O181" s="92">
        <v>0</v>
      </c>
    </row>
    <row r="182" spans="1:20">
      <c r="B182" s="28">
        <f t="shared" si="32"/>
        <v>3</v>
      </c>
      <c r="C182" s="11" t="str">
        <f t="shared" si="32"/>
        <v>新华联控股有限公
司</v>
      </c>
      <c r="D182" s="21">
        <f t="shared" si="33"/>
        <v>10.1</v>
      </c>
      <c r="E182" s="21">
        <f t="shared" si="34"/>
        <v>5.5</v>
      </c>
      <c r="F182" s="19">
        <f t="shared" ref="F182:F197" si="35">IFERROR(VLOOKUP(C182,N$180:P$203,2,FALSE)/10000,"")</f>
        <v>6111.1111000000001</v>
      </c>
      <c r="G182" s="21">
        <f t="shared" ref="G182:G199" si="36">IFERROR(F182*L$178/10000,"")</f>
        <v>5.4999999900000001</v>
      </c>
      <c r="I182" s="87">
        <v>3</v>
      </c>
      <c r="J182" s="58" t="s">
        <v>443</v>
      </c>
      <c r="K182" s="984">
        <v>10.1</v>
      </c>
      <c r="L182" s="985">
        <v>55000</v>
      </c>
      <c r="M182" s="985">
        <v>61111111</v>
      </c>
      <c r="N182" s="58" t="s">
        <v>443</v>
      </c>
      <c r="O182" s="985">
        <v>61111111</v>
      </c>
    </row>
    <row r="183" spans="1:20">
      <c r="B183" s="28">
        <f t="shared" si="32"/>
        <v>4</v>
      </c>
      <c r="C183" s="11" t="str">
        <f t="shared" si="32"/>
        <v>中国银河证券股份
有限公司</v>
      </c>
      <c r="D183" s="21">
        <f t="shared" si="33"/>
        <v>9.08</v>
      </c>
      <c r="E183" s="21">
        <f t="shared" si="34"/>
        <v>6</v>
      </c>
      <c r="F183" s="19">
        <f t="shared" si="35"/>
        <v>6666.6665999999996</v>
      </c>
      <c r="G183" s="21">
        <f t="shared" si="36"/>
        <v>5.9999999399999995</v>
      </c>
      <c r="I183" s="87">
        <v>4</v>
      </c>
      <c r="J183" s="58" t="s">
        <v>442</v>
      </c>
      <c r="K183" s="984">
        <v>9.08</v>
      </c>
      <c r="L183" s="985">
        <v>60000</v>
      </c>
      <c r="M183" s="985">
        <v>66666666</v>
      </c>
      <c r="N183" s="58" t="s">
        <v>442</v>
      </c>
      <c r="O183" s="985">
        <v>66666666</v>
      </c>
    </row>
    <row r="184" spans="1:20">
      <c r="B184" s="28">
        <f t="shared" si="32"/>
        <v>5</v>
      </c>
      <c r="C184" s="11" t="str">
        <f t="shared" si="32"/>
        <v>泰达宏利基金管理有限公司</v>
      </c>
      <c r="D184" s="21">
        <f t="shared" si="33"/>
        <v>10.27</v>
      </c>
      <c r="E184" s="21">
        <f t="shared" si="34"/>
        <v>5.7</v>
      </c>
      <c r="F184" s="19">
        <f t="shared" si="35"/>
        <v>6333.3333000000002</v>
      </c>
      <c r="G184" s="21">
        <f t="shared" si="36"/>
        <v>5.6999999700000004</v>
      </c>
      <c r="I184" s="88">
        <v>5</v>
      </c>
      <c r="J184" s="55" t="s">
        <v>441</v>
      </c>
      <c r="K184" s="984">
        <v>10.27</v>
      </c>
      <c r="L184" s="985">
        <v>57000</v>
      </c>
      <c r="M184" s="986">
        <v>63333333</v>
      </c>
      <c r="N184" s="55" t="s">
        <v>441</v>
      </c>
      <c r="O184" s="986">
        <v>63333333</v>
      </c>
    </row>
    <row r="185" spans="1:20">
      <c r="B185" s="28" t="str">
        <f t="shared" si="32"/>
        <v/>
      </c>
      <c r="C185" s="11" t="str">
        <f t="shared" si="32"/>
        <v/>
      </c>
      <c r="D185" s="21">
        <f t="shared" si="33"/>
        <v>9.5</v>
      </c>
      <c r="E185" s="21">
        <f t="shared" si="34"/>
        <v>5.7</v>
      </c>
      <c r="F185" s="19" t="str">
        <f t="shared" si="35"/>
        <v/>
      </c>
      <c r="G185" s="21" t="str">
        <f t="shared" si="36"/>
        <v/>
      </c>
      <c r="I185" s="88"/>
      <c r="J185" s="55"/>
      <c r="K185" s="984">
        <v>9.5</v>
      </c>
      <c r="L185" s="985">
        <v>57000</v>
      </c>
      <c r="M185" s="986"/>
      <c r="N185" s="55"/>
      <c r="O185" s="986"/>
    </row>
    <row r="186" spans="1:20">
      <c r="B186" s="28" t="str">
        <f t="shared" si="32"/>
        <v/>
      </c>
      <c r="C186" s="11" t="str">
        <f t="shared" si="32"/>
        <v/>
      </c>
      <c r="D186" s="21">
        <f t="shared" si="33"/>
        <v>8.8000000000000007</v>
      </c>
      <c r="E186" s="21">
        <f t="shared" si="34"/>
        <v>5.77</v>
      </c>
      <c r="F186" s="19" t="str">
        <f t="shared" si="35"/>
        <v/>
      </c>
      <c r="G186" s="21" t="str">
        <f t="shared" si="36"/>
        <v/>
      </c>
      <c r="I186" s="88"/>
      <c r="J186" s="55"/>
      <c r="K186" s="984">
        <v>8.8000000000000007</v>
      </c>
      <c r="L186" s="985">
        <v>57700</v>
      </c>
      <c r="M186" s="986"/>
      <c r="N186" s="55"/>
      <c r="O186" s="986"/>
    </row>
    <row r="187" spans="1:20">
      <c r="B187" s="28">
        <f t="shared" si="32"/>
        <v>6</v>
      </c>
      <c r="C187" s="11" t="str">
        <f t="shared" si="32"/>
        <v>建信基金管理有限
责任公司</v>
      </c>
      <c r="D187" s="21">
        <f t="shared" si="33"/>
        <v>9.52</v>
      </c>
      <c r="E187" s="21">
        <f t="shared" si="34"/>
        <v>6.9</v>
      </c>
      <c r="F187" s="19">
        <f t="shared" si="35"/>
        <v>7666.6665999999996</v>
      </c>
      <c r="G187" s="21">
        <f t="shared" si="36"/>
        <v>6.8999999399999998</v>
      </c>
      <c r="I187" s="87">
        <v>6</v>
      </c>
      <c r="J187" s="58" t="s">
        <v>440</v>
      </c>
      <c r="K187" s="984">
        <v>9.52</v>
      </c>
      <c r="L187" s="985">
        <v>69000</v>
      </c>
      <c r="M187" s="985">
        <v>76666666</v>
      </c>
      <c r="N187" s="58" t="s">
        <v>440</v>
      </c>
      <c r="O187" s="985">
        <v>76666666</v>
      </c>
    </row>
    <row r="188" spans="1:20">
      <c r="B188" s="28">
        <f t="shared" si="32"/>
        <v>7</v>
      </c>
      <c r="C188" s="11" t="str">
        <f t="shared" si="32"/>
        <v>东海瑞京资产管理
（上海）有限公司</v>
      </c>
      <c r="D188" s="21">
        <f t="shared" si="33"/>
        <v>8.75</v>
      </c>
      <c r="E188" s="21">
        <f t="shared" si="34"/>
        <v>5.5</v>
      </c>
      <c r="F188" s="19"/>
      <c r="G188" s="21"/>
      <c r="I188" s="95">
        <v>7</v>
      </c>
      <c r="J188" s="640" t="s">
        <v>439</v>
      </c>
      <c r="K188" s="94">
        <v>8.75</v>
      </c>
      <c r="L188" s="93">
        <v>55000</v>
      </c>
      <c r="M188" s="92">
        <v>0</v>
      </c>
      <c r="N188" s="640" t="s">
        <v>439</v>
      </c>
      <c r="O188" s="92">
        <v>0</v>
      </c>
    </row>
    <row r="189" spans="1:20">
      <c r="B189" s="28">
        <f t="shared" si="32"/>
        <v>8</v>
      </c>
      <c r="C189" s="11" t="str">
        <f t="shared" si="32"/>
        <v>华安未来资产（上海）有限公司</v>
      </c>
      <c r="D189" s="21">
        <f t="shared" si="33"/>
        <v>9.36</v>
      </c>
      <c r="E189" s="21">
        <f t="shared" si="34"/>
        <v>6.25</v>
      </c>
      <c r="F189" s="19">
        <f t="shared" si="35"/>
        <v>7888.8887999999997</v>
      </c>
      <c r="G189" s="21">
        <f t="shared" si="36"/>
        <v>7.0999999199999992</v>
      </c>
      <c r="I189" s="88">
        <v>8</v>
      </c>
      <c r="J189" s="55" t="s">
        <v>438</v>
      </c>
      <c r="K189" s="984">
        <v>9.36</v>
      </c>
      <c r="L189" s="985">
        <v>62500</v>
      </c>
      <c r="M189" s="986">
        <v>78888888</v>
      </c>
      <c r="N189" s="55" t="s">
        <v>438</v>
      </c>
      <c r="O189" s="986">
        <v>78888888</v>
      </c>
    </row>
    <row r="190" spans="1:20">
      <c r="B190" s="28" t="str">
        <f t="shared" si="32"/>
        <v/>
      </c>
      <c r="C190" s="11" t="str">
        <f t="shared" si="32"/>
        <v/>
      </c>
      <c r="D190" s="21">
        <f t="shared" si="33"/>
        <v>9.19</v>
      </c>
      <c r="E190" s="21">
        <f t="shared" si="34"/>
        <v>7.1</v>
      </c>
      <c r="F190" s="19" t="str">
        <f t="shared" si="35"/>
        <v/>
      </c>
      <c r="G190" s="21" t="str">
        <f t="shared" si="36"/>
        <v/>
      </c>
      <c r="I190" s="88"/>
      <c r="J190" s="55"/>
      <c r="K190" s="984">
        <v>9.19</v>
      </c>
      <c r="L190" s="985">
        <v>71000</v>
      </c>
      <c r="M190" s="986"/>
      <c r="N190" s="55"/>
      <c r="O190" s="986"/>
    </row>
    <row r="191" spans="1:20">
      <c r="B191" s="28" t="str">
        <f t="shared" si="32"/>
        <v/>
      </c>
      <c r="C191" s="11" t="str">
        <f t="shared" si="32"/>
        <v/>
      </c>
      <c r="D191" s="21">
        <f t="shared" si="33"/>
        <v>8.73</v>
      </c>
      <c r="E191" s="21">
        <f t="shared" si="34"/>
        <v>7.55</v>
      </c>
      <c r="F191" s="19" t="str">
        <f t="shared" si="35"/>
        <v/>
      </c>
      <c r="G191" s="21" t="str">
        <f t="shared" si="36"/>
        <v/>
      </c>
      <c r="I191" s="88"/>
      <c r="J191" s="55"/>
      <c r="K191" s="984">
        <v>8.73</v>
      </c>
      <c r="L191" s="985">
        <v>75500</v>
      </c>
      <c r="M191" s="986"/>
      <c r="N191" s="55"/>
      <c r="O191" s="986"/>
    </row>
    <row r="192" spans="1:20">
      <c r="B192" s="28">
        <f t="shared" si="32"/>
        <v>9</v>
      </c>
      <c r="C192" s="11" t="str">
        <f t="shared" si="32"/>
        <v>润海投资有限公司</v>
      </c>
      <c r="D192" s="21">
        <f t="shared" si="33"/>
        <v>9</v>
      </c>
      <c r="E192" s="21">
        <f t="shared" si="34"/>
        <v>5.5</v>
      </c>
      <c r="F192" s="19"/>
      <c r="G192" s="21"/>
      <c r="I192" s="87">
        <v>9</v>
      </c>
      <c r="J192" s="90" t="s">
        <v>437</v>
      </c>
      <c r="K192" s="53">
        <v>9</v>
      </c>
      <c r="L192" s="91">
        <v>55000</v>
      </c>
      <c r="M192" s="89">
        <v>0</v>
      </c>
      <c r="N192" s="90" t="s">
        <v>437</v>
      </c>
      <c r="O192" s="89">
        <v>0</v>
      </c>
    </row>
    <row r="193" spans="1:20">
      <c r="B193" s="28">
        <f t="shared" si="32"/>
        <v>10</v>
      </c>
      <c r="C193" s="11" t="str">
        <f t="shared" si="32"/>
        <v>财通基金管理有限公司</v>
      </c>
      <c r="D193" s="21">
        <f t="shared" si="33"/>
        <v>9</v>
      </c>
      <c r="E193" s="21">
        <f t="shared" si="34"/>
        <v>6.6420000000000003</v>
      </c>
      <c r="F193" s="19">
        <f t="shared" si="35"/>
        <v>1305.5558000000001</v>
      </c>
      <c r="G193" s="21">
        <f t="shared" si="36"/>
        <v>1.17500022</v>
      </c>
      <c r="I193" s="88">
        <v>10</v>
      </c>
      <c r="J193" s="55" t="s">
        <v>436</v>
      </c>
      <c r="K193" s="984">
        <v>9</v>
      </c>
      <c r="L193" s="985">
        <v>66420</v>
      </c>
      <c r="M193" s="986">
        <v>13055558</v>
      </c>
      <c r="N193" s="55" t="s">
        <v>436</v>
      </c>
      <c r="O193" s="986">
        <v>13055558</v>
      </c>
    </row>
    <row r="194" spans="1:20">
      <c r="B194" s="28" t="str">
        <f t="shared" si="32"/>
        <v/>
      </c>
      <c r="C194" s="11" t="str">
        <f t="shared" si="32"/>
        <v/>
      </c>
      <c r="D194" s="21">
        <f t="shared" si="33"/>
        <v>8.8000000000000007</v>
      </c>
      <c r="E194" s="21">
        <f t="shared" si="34"/>
        <v>13.016</v>
      </c>
      <c r="F194" s="19" t="str">
        <f t="shared" si="35"/>
        <v/>
      </c>
      <c r="G194" s="21" t="str">
        <f t="shared" si="36"/>
        <v/>
      </c>
      <c r="I194" s="88"/>
      <c r="J194" s="55"/>
      <c r="K194" s="984">
        <v>8.8000000000000007</v>
      </c>
      <c r="L194" s="985">
        <v>130160</v>
      </c>
      <c r="M194" s="986"/>
      <c r="N194" s="55"/>
      <c r="O194" s="986"/>
    </row>
    <row r="195" spans="1:20">
      <c r="B195" s="28" t="str">
        <f t="shared" si="32"/>
        <v/>
      </c>
      <c r="C195" s="11" t="str">
        <f t="shared" si="32"/>
        <v/>
      </c>
      <c r="D195" s="21">
        <f t="shared" si="33"/>
        <v>8.73</v>
      </c>
      <c r="E195" s="21">
        <f t="shared" si="34"/>
        <v>13.276</v>
      </c>
      <c r="F195" s="19" t="str">
        <f t="shared" si="35"/>
        <v/>
      </c>
      <c r="G195" s="21" t="str">
        <f t="shared" si="36"/>
        <v/>
      </c>
      <c r="I195" s="88"/>
      <c r="J195" s="55"/>
      <c r="K195" s="984">
        <v>8.73</v>
      </c>
      <c r="L195" s="985">
        <v>132760</v>
      </c>
      <c r="M195" s="986"/>
      <c r="N195" s="55"/>
      <c r="O195" s="986"/>
    </row>
    <row r="196" spans="1:20">
      <c r="B196" s="28">
        <f t="shared" si="32"/>
        <v>11</v>
      </c>
      <c r="C196" s="11" t="str">
        <f t="shared" si="32"/>
        <v>德邦创新资本有限
责任公司</v>
      </c>
      <c r="D196" s="21">
        <f t="shared" si="33"/>
        <v>9.5</v>
      </c>
      <c r="E196" s="21">
        <f t="shared" si="34"/>
        <v>11</v>
      </c>
      <c r="F196" s="19">
        <f t="shared" si="35"/>
        <v>12222.2222</v>
      </c>
      <c r="G196" s="21">
        <f t="shared" si="36"/>
        <v>10.99999998</v>
      </c>
      <c r="I196" s="87">
        <v>11</v>
      </c>
      <c r="J196" s="58" t="s">
        <v>435</v>
      </c>
      <c r="K196" s="984">
        <v>9.5</v>
      </c>
      <c r="L196" s="985">
        <v>110000</v>
      </c>
      <c r="M196" s="985">
        <v>122222222</v>
      </c>
      <c r="N196" s="58" t="s">
        <v>435</v>
      </c>
      <c r="O196" s="985">
        <v>122222222</v>
      </c>
    </row>
    <row r="197" spans="1:20">
      <c r="B197" s="28">
        <f t="shared" si="32"/>
        <v>12</v>
      </c>
      <c r="C197" s="11" t="str">
        <f t="shared" si="32"/>
        <v>林芝锦华投资管理
有限公司</v>
      </c>
      <c r="D197" s="21">
        <f t="shared" si="33"/>
        <v>9.25</v>
      </c>
      <c r="E197" s="21">
        <f t="shared" si="34"/>
        <v>5.5</v>
      </c>
      <c r="F197" s="19">
        <f t="shared" si="35"/>
        <v>6111.1111000000001</v>
      </c>
      <c r="G197" s="21">
        <f t="shared" si="36"/>
        <v>5.4999999900000001</v>
      </c>
      <c r="I197" s="87">
        <v>12</v>
      </c>
      <c r="J197" s="58" t="s">
        <v>434</v>
      </c>
      <c r="K197" s="984">
        <v>9.25</v>
      </c>
      <c r="L197" s="985">
        <v>55000</v>
      </c>
      <c r="M197" s="985">
        <v>61111111</v>
      </c>
      <c r="N197" s="58" t="s">
        <v>434</v>
      </c>
      <c r="O197" s="985">
        <v>61111111</v>
      </c>
    </row>
    <row r="198" spans="1:20">
      <c r="B198" s="28"/>
      <c r="C198" s="1490" t="s">
        <v>327</v>
      </c>
      <c r="D198" s="1490"/>
      <c r="E198" s="1490"/>
      <c r="F198" s="1490"/>
      <c r="G198" s="1490"/>
      <c r="I198" s="87"/>
      <c r="J198" s="58"/>
      <c r="K198" s="984"/>
      <c r="L198" s="985"/>
      <c r="M198" s="985"/>
      <c r="N198" s="58"/>
      <c r="O198" s="985"/>
    </row>
    <row r="199" spans="1:20">
      <c r="B199" s="28"/>
      <c r="C199" s="11" t="s">
        <v>3608</v>
      </c>
      <c r="D199" s="21"/>
      <c r="E199" s="21"/>
      <c r="F199" s="19">
        <v>9583.33</v>
      </c>
      <c r="G199" s="21">
        <f t="shared" si="36"/>
        <v>8.6249970000000005</v>
      </c>
      <c r="I199" s="87"/>
      <c r="J199" s="58"/>
      <c r="K199" s="984"/>
      <c r="L199" s="985"/>
      <c r="M199" s="985"/>
      <c r="N199" s="58"/>
      <c r="O199" s="985"/>
    </row>
    <row r="200" spans="1:20">
      <c r="I200" s="33"/>
      <c r="J200" s="34"/>
      <c r="K200" s="35"/>
      <c r="L200" s="36"/>
    </row>
    <row r="201" spans="1:20">
      <c r="A201" s="12" t="s">
        <v>106</v>
      </c>
      <c r="B201" s="12" t="s">
        <v>126</v>
      </c>
      <c r="C201" s="12" t="s">
        <v>107</v>
      </c>
      <c r="D201" s="12" t="s">
        <v>4</v>
      </c>
      <c r="E201" s="13" t="s">
        <v>108</v>
      </c>
      <c r="F201" s="13" t="s">
        <v>109</v>
      </c>
      <c r="G201" s="12" t="s">
        <v>274</v>
      </c>
      <c r="H201" s="12" t="s">
        <v>273</v>
      </c>
      <c r="I201" s="12" t="s">
        <v>116</v>
      </c>
      <c r="J201" s="14" t="s">
        <v>110</v>
      </c>
      <c r="K201" s="14" t="s">
        <v>276</v>
      </c>
      <c r="L201" s="14" t="s">
        <v>117</v>
      </c>
      <c r="M201" s="15" t="s">
        <v>275</v>
      </c>
      <c r="N201" s="29" t="s">
        <v>111</v>
      </c>
      <c r="O201" s="30" t="s">
        <v>12</v>
      </c>
      <c r="P201" s="8" t="s">
        <v>190</v>
      </c>
      <c r="Q201" s="15" t="s">
        <v>129</v>
      </c>
      <c r="R201" s="14" t="s">
        <v>220</v>
      </c>
    </row>
    <row r="202" spans="1:20">
      <c r="A202" s="11">
        <v>6</v>
      </c>
      <c r="B202" s="9" t="s">
        <v>165</v>
      </c>
      <c r="C202" s="1" t="s">
        <v>11</v>
      </c>
      <c r="D202" s="1" t="s">
        <v>3</v>
      </c>
      <c r="E202" s="3">
        <v>2.15</v>
      </c>
      <c r="F202" s="3">
        <v>2.1499998389999999</v>
      </c>
      <c r="G202" s="2">
        <v>42389</v>
      </c>
      <c r="H202" s="2" t="s">
        <v>151</v>
      </c>
      <c r="I202" s="11">
        <v>26.48</v>
      </c>
      <c r="J202" s="3">
        <v>6.69</v>
      </c>
      <c r="K202" s="3">
        <f>J202/I202</f>
        <v>0.25264350453172207</v>
      </c>
      <c r="L202" s="3">
        <v>18.3</v>
      </c>
      <c r="M202" s="10">
        <f>L202/I202</f>
        <v>0.69108761329305135</v>
      </c>
      <c r="N202" s="47">
        <v>2</v>
      </c>
      <c r="O202" s="2">
        <v>42816</v>
      </c>
      <c r="P202" s="10">
        <v>24.79</v>
      </c>
      <c r="Q202" s="18">
        <f>(P202*(1+S202/10)+T202/10)/L202</f>
        <v>1.3546448087431693</v>
      </c>
      <c r="R202" s="11" t="s">
        <v>223</v>
      </c>
      <c r="S202" s="22">
        <f>IFERROR(RIGHT(LEFT(R202,FIND("股",R202)-1),(FIND("股",R202)-1-FIND("转",R202))),0)</f>
        <v>0</v>
      </c>
      <c r="T202" s="23">
        <f>IFERROR(RIGHT(LEFT(R202,FIND("元",R202)-1),(FIND("元",R202)-1-FIND("派",R202))),0)</f>
        <v>0</v>
      </c>
    </row>
    <row r="203" spans="1:20">
      <c r="B203" s="27" t="s">
        <v>118</v>
      </c>
      <c r="C203" s="16" t="s">
        <v>112</v>
      </c>
      <c r="D203" s="16" t="s">
        <v>113</v>
      </c>
      <c r="E203" s="16" t="s">
        <v>288</v>
      </c>
      <c r="F203" s="17" t="s">
        <v>287</v>
      </c>
      <c r="G203" s="16" t="s">
        <v>289</v>
      </c>
      <c r="I203" s="56" t="s">
        <v>298</v>
      </c>
      <c r="J203" s="56" t="s">
        <v>331</v>
      </c>
      <c r="K203" s="58" t="s">
        <v>339</v>
      </c>
      <c r="L203" s="86" t="s">
        <v>364</v>
      </c>
      <c r="M203" s="57"/>
      <c r="N203" s="105" t="s">
        <v>322</v>
      </c>
      <c r="O203" s="987" t="s">
        <v>323</v>
      </c>
      <c r="P203" s="32"/>
    </row>
    <row r="204" spans="1:20">
      <c r="B204" s="28">
        <f t="shared" ref="B204:C239" si="37">IF(I204=0,"",I204)</f>
        <v>1</v>
      </c>
      <c r="C204" s="11" t="str">
        <f t="shared" si="37"/>
        <v>钢研大慧投资有限公司</v>
      </c>
      <c r="D204" s="21">
        <f t="shared" ref="D204:D239" si="38">K204</f>
        <v>10</v>
      </c>
      <c r="E204" s="21">
        <f t="shared" ref="E204:E239" si="39">L204/100000000</f>
        <v>0.25</v>
      </c>
      <c r="F204" s="19" t="str">
        <f t="shared" ref="F204:F239" si="40">IFERROR(VLOOKUP(C204,N$204:Q$239,2,FALSE)/10000,"")</f>
        <v/>
      </c>
      <c r="G204" s="21" t="str">
        <f t="shared" ref="G204:G239" si="41">IFERROR(F204*L$202/10000,"")</f>
        <v/>
      </c>
      <c r="I204" s="61">
        <v>1</v>
      </c>
      <c r="J204" s="639" t="s">
        <v>433</v>
      </c>
      <c r="K204" s="80">
        <v>10</v>
      </c>
      <c r="L204" s="82">
        <v>25000000</v>
      </c>
      <c r="M204" s="25"/>
      <c r="N204" s="72" t="s">
        <v>127</v>
      </c>
      <c r="O204" s="83">
        <v>1202185</v>
      </c>
    </row>
    <row r="205" spans="1:20">
      <c r="B205" s="28">
        <f t="shared" si="37"/>
        <v>2</v>
      </c>
      <c r="C205" s="11" t="str">
        <f t="shared" si="37"/>
        <v>泰康资产管理有限责任公司</v>
      </c>
      <c r="D205" s="21">
        <f t="shared" si="38"/>
        <v>7.7</v>
      </c>
      <c r="E205" s="21">
        <f t="shared" si="39"/>
        <v>0.40500000000000003</v>
      </c>
      <c r="F205" s="19" t="str">
        <f t="shared" si="40"/>
        <v/>
      </c>
      <c r="G205" s="21" t="str">
        <f t="shared" si="41"/>
        <v/>
      </c>
      <c r="I205" s="61">
        <v>2</v>
      </c>
      <c r="J205" s="639" t="s">
        <v>124</v>
      </c>
      <c r="K205" s="80">
        <v>7.7</v>
      </c>
      <c r="L205" s="82">
        <v>40500000</v>
      </c>
      <c r="M205" s="25"/>
      <c r="N205" s="72" t="s">
        <v>115</v>
      </c>
      <c r="O205" s="83">
        <v>10546448</v>
      </c>
    </row>
    <row r="206" spans="1:20">
      <c r="B206" s="28">
        <f t="shared" si="37"/>
        <v>3</v>
      </c>
      <c r="C206" s="11" t="str">
        <f t="shared" si="37"/>
        <v>海通证券股份有限公司</v>
      </c>
      <c r="D206" s="21">
        <f t="shared" si="38"/>
        <v>10</v>
      </c>
      <c r="E206" s="21">
        <f t="shared" si="39"/>
        <v>0.215</v>
      </c>
      <c r="F206" s="19" t="str">
        <f t="shared" si="40"/>
        <v/>
      </c>
      <c r="G206" s="21" t="str">
        <f t="shared" si="41"/>
        <v/>
      </c>
      <c r="I206" s="61">
        <v>3</v>
      </c>
      <c r="J206" s="639" t="s">
        <v>8</v>
      </c>
      <c r="K206" s="80">
        <v>10</v>
      </c>
      <c r="L206" s="82">
        <v>21500000</v>
      </c>
      <c r="M206" s="25"/>
      <c r="N206" s="25"/>
      <c r="O206" s="25"/>
    </row>
    <row r="207" spans="1:20">
      <c r="B207" s="28">
        <f t="shared" si="37"/>
        <v>4</v>
      </c>
      <c r="C207" s="11" t="str">
        <f t="shared" si="37"/>
        <v>西部信托有限公司</v>
      </c>
      <c r="D207" s="21">
        <f t="shared" si="38"/>
        <v>8.6</v>
      </c>
      <c r="E207" s="21">
        <f t="shared" si="39"/>
        <v>0.215</v>
      </c>
      <c r="F207" s="19" t="str">
        <f t="shared" si="40"/>
        <v/>
      </c>
      <c r="G207" s="21" t="str">
        <f t="shared" si="41"/>
        <v/>
      </c>
      <c r="I207" s="61">
        <v>4</v>
      </c>
      <c r="J207" s="639" t="s">
        <v>432</v>
      </c>
      <c r="K207" s="80">
        <v>8.6</v>
      </c>
      <c r="L207" s="82">
        <v>21500000</v>
      </c>
      <c r="M207" s="25"/>
      <c r="N207" s="25"/>
      <c r="O207" s="25"/>
    </row>
    <row r="208" spans="1:20">
      <c r="B208" s="28">
        <f t="shared" si="37"/>
        <v>5</v>
      </c>
      <c r="C208" s="11" t="str">
        <f t="shared" si="37"/>
        <v>第一创业证券股份有限公司</v>
      </c>
      <c r="D208" s="21">
        <f t="shared" si="38"/>
        <v>21.02</v>
      </c>
      <c r="E208" s="21">
        <f t="shared" si="39"/>
        <v>0.22</v>
      </c>
      <c r="F208" s="19">
        <f t="shared" si="40"/>
        <v>120.21850000000001</v>
      </c>
      <c r="G208" s="21">
        <f t="shared" si="41"/>
        <v>0.21999985500000002</v>
      </c>
      <c r="I208" s="65">
        <v>5</v>
      </c>
      <c r="J208" s="62" t="s">
        <v>127</v>
      </c>
      <c r="K208" s="80">
        <v>21.02</v>
      </c>
      <c r="L208" s="82">
        <v>22000000</v>
      </c>
      <c r="M208" s="25"/>
      <c r="N208" s="25"/>
      <c r="O208" s="25"/>
    </row>
    <row r="209" spans="2:15">
      <c r="B209" s="28" t="str">
        <f t="shared" si="37"/>
        <v/>
      </c>
      <c r="C209" s="11" t="str">
        <f t="shared" si="37"/>
        <v/>
      </c>
      <c r="D209" s="21">
        <f t="shared" si="38"/>
        <v>15.23</v>
      </c>
      <c r="E209" s="21">
        <f t="shared" si="39"/>
        <v>0.42</v>
      </c>
      <c r="F209" s="19" t="str">
        <f t="shared" si="40"/>
        <v/>
      </c>
      <c r="G209" s="21" t="str">
        <f t="shared" si="41"/>
        <v/>
      </c>
      <c r="I209" s="65"/>
      <c r="J209" s="62"/>
      <c r="K209" s="80">
        <v>15.23</v>
      </c>
      <c r="L209" s="82">
        <v>42000000</v>
      </c>
      <c r="M209" s="25"/>
      <c r="N209" s="25"/>
      <c r="O209" s="25"/>
    </row>
    <row r="210" spans="2:15">
      <c r="B210" s="28">
        <f t="shared" si="37"/>
        <v>6</v>
      </c>
      <c r="C210" s="11" t="str">
        <f t="shared" si="37"/>
        <v>国商融通（北京）投资基金管理有限公
司</v>
      </c>
      <c r="D210" s="21">
        <f t="shared" si="38"/>
        <v>6.7</v>
      </c>
      <c r="E210" s="21">
        <f t="shared" si="39"/>
        <v>0.215</v>
      </c>
      <c r="F210" s="19" t="str">
        <f t="shared" si="40"/>
        <v/>
      </c>
      <c r="G210" s="21" t="str">
        <f t="shared" si="41"/>
        <v/>
      </c>
      <c r="I210" s="61">
        <v>6</v>
      </c>
      <c r="J210" s="640" t="s">
        <v>431</v>
      </c>
      <c r="K210" s="80">
        <v>6.7</v>
      </c>
      <c r="L210" s="82">
        <v>21500000</v>
      </c>
      <c r="M210" s="25"/>
      <c r="N210" s="25"/>
      <c r="O210" s="25"/>
    </row>
    <row r="211" spans="2:15">
      <c r="B211" s="28">
        <f t="shared" si="37"/>
        <v>7</v>
      </c>
      <c r="C211" s="11" t="str">
        <f t="shared" si="37"/>
        <v>东源（天津）股权投资基金管理股份有
限公司</v>
      </c>
      <c r="D211" s="21">
        <f t="shared" si="38"/>
        <v>6.7</v>
      </c>
      <c r="E211" s="21">
        <f t="shared" si="39"/>
        <v>0.215</v>
      </c>
      <c r="F211" s="19" t="str">
        <f t="shared" si="40"/>
        <v/>
      </c>
      <c r="G211" s="21" t="str">
        <f t="shared" si="41"/>
        <v/>
      </c>
      <c r="I211" s="61">
        <v>7</v>
      </c>
      <c r="J211" s="640" t="s">
        <v>430</v>
      </c>
      <c r="K211" s="80">
        <v>6.7</v>
      </c>
      <c r="L211" s="82">
        <v>21500000</v>
      </c>
      <c r="M211" s="25"/>
      <c r="N211" s="25"/>
      <c r="O211" s="25"/>
    </row>
    <row r="212" spans="2:15">
      <c r="B212" s="28">
        <f t="shared" si="37"/>
        <v>8</v>
      </c>
      <c r="C212" s="11" t="str">
        <f t="shared" si="37"/>
        <v>吴文莉</v>
      </c>
      <c r="D212" s="21">
        <f t="shared" si="38"/>
        <v>9.98</v>
      </c>
      <c r="E212" s="21">
        <f t="shared" si="39"/>
        <v>0.215</v>
      </c>
      <c r="F212" s="19" t="str">
        <f t="shared" si="40"/>
        <v/>
      </c>
      <c r="G212" s="21" t="str">
        <f t="shared" si="41"/>
        <v/>
      </c>
      <c r="I212" s="81">
        <v>8</v>
      </c>
      <c r="J212" s="639" t="s">
        <v>429</v>
      </c>
      <c r="K212" s="80">
        <v>9.98</v>
      </c>
      <c r="L212" s="79">
        <v>21500000</v>
      </c>
      <c r="M212" s="25"/>
      <c r="N212" s="25"/>
      <c r="O212" s="25"/>
    </row>
    <row r="213" spans="2:15">
      <c r="B213" s="28">
        <f t="shared" si="37"/>
        <v>9</v>
      </c>
      <c r="C213" s="11" t="str">
        <f t="shared" si="37"/>
        <v>兴业全球基金管理有限公司</v>
      </c>
      <c r="D213" s="21">
        <f t="shared" si="38"/>
        <v>12.1</v>
      </c>
      <c r="E213" s="21">
        <f t="shared" si="39"/>
        <v>2.0099999999999998</v>
      </c>
      <c r="F213" s="19" t="str">
        <f t="shared" si="40"/>
        <v/>
      </c>
      <c r="G213" s="21" t="str">
        <f t="shared" si="41"/>
        <v/>
      </c>
      <c r="I213" s="81">
        <v>9</v>
      </c>
      <c r="J213" s="639" t="s">
        <v>131</v>
      </c>
      <c r="K213" s="80">
        <v>12.1</v>
      </c>
      <c r="L213" s="79">
        <v>201000000</v>
      </c>
      <c r="M213" s="25"/>
      <c r="N213" s="25"/>
      <c r="O213" s="25"/>
    </row>
    <row r="214" spans="2:15">
      <c r="B214" s="28">
        <f t="shared" si="37"/>
        <v>10</v>
      </c>
      <c r="C214" s="11" t="str">
        <f t="shared" si="37"/>
        <v>东海基金管理有限责任公司</v>
      </c>
      <c r="D214" s="21">
        <f t="shared" si="38"/>
        <v>13.01</v>
      </c>
      <c r="E214" s="21">
        <f t="shared" si="39"/>
        <v>0.43</v>
      </c>
      <c r="F214" s="19" t="str">
        <f t="shared" si="40"/>
        <v/>
      </c>
      <c r="G214" s="21" t="str">
        <f t="shared" si="41"/>
        <v/>
      </c>
      <c r="I214" s="65">
        <v>10</v>
      </c>
      <c r="J214" s="62" t="s">
        <v>128</v>
      </c>
      <c r="K214" s="80">
        <v>13.01</v>
      </c>
      <c r="L214" s="79">
        <v>43000000</v>
      </c>
      <c r="M214" s="25"/>
      <c r="N214" s="25"/>
      <c r="O214" s="25"/>
    </row>
    <row r="215" spans="2:15">
      <c r="B215" s="28" t="str">
        <f t="shared" si="37"/>
        <v/>
      </c>
      <c r="C215" s="11" t="str">
        <f t="shared" si="37"/>
        <v/>
      </c>
      <c r="D215" s="21">
        <f t="shared" si="38"/>
        <v>12.01</v>
      </c>
      <c r="E215" s="21">
        <f t="shared" si="39"/>
        <v>0.64500000000000002</v>
      </c>
      <c r="F215" s="19" t="str">
        <f t="shared" si="40"/>
        <v/>
      </c>
      <c r="G215" s="21" t="str">
        <f t="shared" si="41"/>
        <v/>
      </c>
      <c r="I215" s="65"/>
      <c r="J215" s="62"/>
      <c r="K215" s="80">
        <v>12.01</v>
      </c>
      <c r="L215" s="79">
        <v>64500000</v>
      </c>
      <c r="M215" s="25"/>
      <c r="N215" s="25"/>
      <c r="O215" s="25"/>
    </row>
    <row r="216" spans="2:15">
      <c r="B216" s="28">
        <f t="shared" si="37"/>
        <v>11</v>
      </c>
      <c r="C216" s="11" t="str">
        <f t="shared" si="37"/>
        <v>中信证券股份有限公司</v>
      </c>
      <c r="D216" s="21">
        <f t="shared" si="38"/>
        <v>6.78</v>
      </c>
      <c r="E216" s="21">
        <f t="shared" si="39"/>
        <v>0.5</v>
      </c>
      <c r="F216" s="19" t="str">
        <f t="shared" si="40"/>
        <v/>
      </c>
      <c r="G216" s="21" t="str">
        <f t="shared" si="41"/>
        <v/>
      </c>
      <c r="I216" s="81">
        <v>11</v>
      </c>
      <c r="J216" s="639" t="s">
        <v>316</v>
      </c>
      <c r="K216" s="80">
        <v>6.78</v>
      </c>
      <c r="L216" s="79">
        <v>50000000</v>
      </c>
      <c r="M216" s="25"/>
      <c r="N216" s="25"/>
      <c r="O216" s="25"/>
    </row>
    <row r="217" spans="2:15">
      <c r="B217" s="28">
        <f t="shared" si="37"/>
        <v>12</v>
      </c>
      <c r="C217" s="11" t="str">
        <f t="shared" si="37"/>
        <v>陈剑锋</v>
      </c>
      <c r="D217" s="21">
        <f t="shared" si="38"/>
        <v>14.51</v>
      </c>
      <c r="E217" s="21">
        <f t="shared" si="39"/>
        <v>0.22</v>
      </c>
      <c r="F217" s="19" t="str">
        <f t="shared" si="40"/>
        <v/>
      </c>
      <c r="G217" s="21" t="str">
        <f t="shared" si="41"/>
        <v/>
      </c>
      <c r="I217" s="81">
        <v>12</v>
      </c>
      <c r="J217" s="639" t="s">
        <v>428</v>
      </c>
      <c r="K217" s="80">
        <v>14.51</v>
      </c>
      <c r="L217" s="79">
        <v>22000000</v>
      </c>
      <c r="M217" s="25"/>
      <c r="N217" s="25"/>
      <c r="O217" s="25"/>
    </row>
    <row r="218" spans="2:15">
      <c r="B218" s="28">
        <f t="shared" si="37"/>
        <v>13</v>
      </c>
      <c r="C218" s="11" t="str">
        <f t="shared" si="37"/>
        <v>华安基金管理有限公司</v>
      </c>
      <c r="D218" s="21">
        <f t="shared" si="38"/>
        <v>9.5</v>
      </c>
      <c r="E218" s="21">
        <f t="shared" si="39"/>
        <v>0.215</v>
      </c>
      <c r="F218" s="19" t="str">
        <f t="shared" si="40"/>
        <v/>
      </c>
      <c r="G218" s="21" t="str">
        <f t="shared" si="41"/>
        <v/>
      </c>
      <c r="I218" s="81">
        <v>13</v>
      </c>
      <c r="J218" s="639" t="s">
        <v>136</v>
      </c>
      <c r="K218" s="80">
        <v>9.5</v>
      </c>
      <c r="L218" s="79">
        <v>21500000</v>
      </c>
      <c r="M218" s="25"/>
      <c r="N218" s="25"/>
      <c r="O218" s="25"/>
    </row>
    <row r="219" spans="2:15">
      <c r="B219" s="28">
        <f t="shared" si="37"/>
        <v>14</v>
      </c>
      <c r="C219" s="11" t="str">
        <f t="shared" si="37"/>
        <v>创金合信基金管理有限公司</v>
      </c>
      <c r="D219" s="21">
        <f t="shared" si="38"/>
        <v>10.08</v>
      </c>
      <c r="E219" s="21">
        <f t="shared" si="39"/>
        <v>0.24</v>
      </c>
      <c r="F219" s="19" t="str">
        <f t="shared" si="40"/>
        <v/>
      </c>
      <c r="G219" s="21" t="str">
        <f t="shared" si="41"/>
        <v/>
      </c>
      <c r="I219" s="65">
        <v>14</v>
      </c>
      <c r="J219" s="62" t="s">
        <v>134</v>
      </c>
      <c r="K219" s="80">
        <v>10.08</v>
      </c>
      <c r="L219" s="79">
        <v>24000000</v>
      </c>
      <c r="M219" s="25"/>
      <c r="N219" s="25"/>
      <c r="O219" s="25"/>
    </row>
    <row r="220" spans="2:15">
      <c r="B220" s="28" t="str">
        <f t="shared" si="37"/>
        <v/>
      </c>
      <c r="C220" s="11" t="str">
        <f t="shared" si="37"/>
        <v/>
      </c>
      <c r="D220" s="21">
        <f t="shared" si="38"/>
        <v>10</v>
      </c>
      <c r="E220" s="21">
        <f t="shared" si="39"/>
        <v>0.45500000000000002</v>
      </c>
      <c r="F220" s="19" t="str">
        <f t="shared" si="40"/>
        <v/>
      </c>
      <c r="G220" s="21" t="str">
        <f t="shared" si="41"/>
        <v/>
      </c>
      <c r="I220" s="65"/>
      <c r="J220" s="62"/>
      <c r="K220" s="80">
        <v>10</v>
      </c>
      <c r="L220" s="79">
        <v>45500000</v>
      </c>
      <c r="M220" s="25"/>
      <c r="N220" s="25"/>
      <c r="O220" s="25"/>
    </row>
    <row r="221" spans="2:15">
      <c r="B221" s="28">
        <f t="shared" si="37"/>
        <v>15</v>
      </c>
      <c r="C221" s="11" t="str">
        <f t="shared" si="37"/>
        <v>南京瑞达信沨股权投资合伙企业（有限合伙）</v>
      </c>
      <c r="D221" s="21">
        <f t="shared" si="38"/>
        <v>10.55</v>
      </c>
      <c r="E221" s="21">
        <f t="shared" si="39"/>
        <v>0.215</v>
      </c>
      <c r="F221" s="19" t="str">
        <f t="shared" si="40"/>
        <v/>
      </c>
      <c r="G221" s="21" t="str">
        <f t="shared" si="41"/>
        <v/>
      </c>
      <c r="I221" s="63">
        <v>15</v>
      </c>
      <c r="J221" s="62" t="s">
        <v>311</v>
      </c>
      <c r="K221" s="80">
        <v>10.55</v>
      </c>
      <c r="L221" s="79">
        <v>21500000</v>
      </c>
      <c r="M221" s="25"/>
      <c r="N221" s="25"/>
      <c r="O221" s="25"/>
    </row>
    <row r="222" spans="2:15">
      <c r="B222" s="28" t="str">
        <f t="shared" si="37"/>
        <v/>
      </c>
      <c r="C222" s="11" t="str">
        <f t="shared" si="37"/>
        <v/>
      </c>
      <c r="D222" s="21">
        <f t="shared" si="38"/>
        <v>10</v>
      </c>
      <c r="E222" s="21">
        <f t="shared" si="39"/>
        <v>0.215</v>
      </c>
      <c r="F222" s="19" t="str">
        <f t="shared" si="40"/>
        <v/>
      </c>
      <c r="G222" s="21" t="str">
        <f t="shared" si="41"/>
        <v/>
      </c>
      <c r="I222" s="63"/>
      <c r="J222" s="62"/>
      <c r="K222" s="80">
        <v>10</v>
      </c>
      <c r="L222" s="79">
        <v>21500000</v>
      </c>
      <c r="M222" s="25"/>
      <c r="N222" s="25"/>
      <c r="O222" s="25"/>
    </row>
    <row r="223" spans="2:15">
      <c r="B223" s="28" t="str">
        <f t="shared" si="37"/>
        <v/>
      </c>
      <c r="C223" s="11" t="str">
        <f t="shared" si="37"/>
        <v/>
      </c>
      <c r="D223" s="21">
        <f t="shared" si="38"/>
        <v>9</v>
      </c>
      <c r="E223" s="21">
        <f t="shared" si="39"/>
        <v>0.215</v>
      </c>
      <c r="F223" s="19" t="str">
        <f t="shared" si="40"/>
        <v/>
      </c>
      <c r="G223" s="21" t="str">
        <f t="shared" si="41"/>
        <v/>
      </c>
      <c r="I223" s="63"/>
      <c r="J223" s="62"/>
      <c r="K223" s="80">
        <v>9</v>
      </c>
      <c r="L223" s="79">
        <v>21500000</v>
      </c>
      <c r="M223" s="25"/>
      <c r="N223" s="25"/>
      <c r="O223" s="25"/>
    </row>
    <row r="224" spans="2:15">
      <c r="B224" s="28">
        <f t="shared" si="37"/>
        <v>16</v>
      </c>
      <c r="C224" s="11" t="str">
        <f t="shared" si="37"/>
        <v>财通基金管理有限公司</v>
      </c>
      <c r="D224" s="21">
        <f t="shared" si="38"/>
        <v>20</v>
      </c>
      <c r="E224" s="21">
        <f t="shared" si="39"/>
        <v>0.221</v>
      </c>
      <c r="F224" s="19">
        <f t="shared" si="40"/>
        <v>1054.6448</v>
      </c>
      <c r="G224" s="21">
        <f t="shared" si="41"/>
        <v>1.9299999839999999</v>
      </c>
      <c r="I224" s="65">
        <v>16</v>
      </c>
      <c r="J224" s="62" t="s">
        <v>115</v>
      </c>
      <c r="K224" s="80">
        <v>20</v>
      </c>
      <c r="L224" s="79">
        <v>22100000</v>
      </c>
      <c r="M224" s="25"/>
      <c r="N224" s="25"/>
      <c r="O224" s="25"/>
    </row>
    <row r="225" spans="2:15">
      <c r="B225" s="28" t="str">
        <f t="shared" si="37"/>
        <v/>
      </c>
      <c r="C225" s="11" t="str">
        <f t="shared" si="37"/>
        <v/>
      </c>
      <c r="D225" s="21">
        <f t="shared" si="38"/>
        <v>18.3</v>
      </c>
      <c r="E225" s="21">
        <f t="shared" si="39"/>
        <v>2.15</v>
      </c>
      <c r="F225" s="19" t="str">
        <f t="shared" si="40"/>
        <v/>
      </c>
      <c r="G225" s="21" t="str">
        <f t="shared" si="41"/>
        <v/>
      </c>
      <c r="I225" s="65"/>
      <c r="J225" s="62"/>
      <c r="K225" s="80">
        <v>18.3</v>
      </c>
      <c r="L225" s="79">
        <v>215000000</v>
      </c>
      <c r="M225" s="25"/>
      <c r="N225" s="25"/>
      <c r="O225" s="25"/>
    </row>
    <row r="226" spans="2:15">
      <c r="B226" s="28">
        <f t="shared" si="37"/>
        <v>17</v>
      </c>
      <c r="C226" s="11" t="str">
        <f t="shared" si="37"/>
        <v>申万菱信基金管理有限公司</v>
      </c>
      <c r="D226" s="21">
        <f t="shared" si="38"/>
        <v>11.88</v>
      </c>
      <c r="E226" s="21">
        <f t="shared" si="39"/>
        <v>0.6</v>
      </c>
      <c r="F226" s="19" t="str">
        <f t="shared" si="40"/>
        <v/>
      </c>
      <c r="G226" s="21" t="str">
        <f t="shared" si="41"/>
        <v/>
      </c>
      <c r="I226" s="63">
        <v>17</v>
      </c>
      <c r="J226" s="43" t="s">
        <v>121</v>
      </c>
      <c r="K226" s="80">
        <v>11.88</v>
      </c>
      <c r="L226" s="79">
        <v>60000000</v>
      </c>
      <c r="M226" s="25"/>
      <c r="N226" s="25"/>
      <c r="O226" s="25"/>
    </row>
    <row r="227" spans="2:15">
      <c r="B227" s="28" t="str">
        <f t="shared" si="37"/>
        <v/>
      </c>
      <c r="C227" s="11" t="str">
        <f t="shared" si="37"/>
        <v/>
      </c>
      <c r="D227" s="21">
        <f t="shared" si="38"/>
        <v>8.49</v>
      </c>
      <c r="E227" s="21">
        <f t="shared" si="39"/>
        <v>1.03</v>
      </c>
      <c r="F227" s="19" t="str">
        <f t="shared" si="40"/>
        <v/>
      </c>
      <c r="G227" s="21" t="str">
        <f t="shared" si="41"/>
        <v/>
      </c>
      <c r="I227" s="63"/>
      <c r="J227" s="43"/>
      <c r="K227" s="80">
        <v>8.49</v>
      </c>
      <c r="L227" s="79">
        <v>103000000</v>
      </c>
      <c r="M227" s="25"/>
      <c r="N227" s="25"/>
      <c r="O227" s="25"/>
    </row>
    <row r="228" spans="2:15">
      <c r="B228" s="28" t="str">
        <f t="shared" si="37"/>
        <v/>
      </c>
      <c r="C228" s="11" t="str">
        <f t="shared" si="37"/>
        <v/>
      </c>
      <c r="D228" s="21">
        <f t="shared" si="38"/>
        <v>7.02</v>
      </c>
      <c r="E228" s="21">
        <f t="shared" si="39"/>
        <v>1.6</v>
      </c>
      <c r="F228" s="19" t="str">
        <f t="shared" si="40"/>
        <v/>
      </c>
      <c r="G228" s="21" t="str">
        <f t="shared" si="41"/>
        <v/>
      </c>
      <c r="I228" s="63"/>
      <c r="J228" s="43"/>
      <c r="K228" s="80">
        <v>7.02</v>
      </c>
      <c r="L228" s="79">
        <v>160000000</v>
      </c>
      <c r="M228" s="25"/>
      <c r="N228" s="25"/>
      <c r="O228" s="25"/>
    </row>
    <row r="229" spans="2:15">
      <c r="B229" s="28">
        <f t="shared" si="37"/>
        <v>18</v>
      </c>
      <c r="C229" s="11" t="str">
        <f t="shared" si="37"/>
        <v>赖宗阳</v>
      </c>
      <c r="D229" s="21">
        <f t="shared" si="38"/>
        <v>14.17</v>
      </c>
      <c r="E229" s="21">
        <f t="shared" si="39"/>
        <v>0.22</v>
      </c>
      <c r="F229" s="19" t="str">
        <f t="shared" si="40"/>
        <v/>
      </c>
      <c r="G229" s="21" t="str">
        <f t="shared" si="41"/>
        <v/>
      </c>
      <c r="I229" s="63">
        <v>18</v>
      </c>
      <c r="J229" s="43" t="s">
        <v>137</v>
      </c>
      <c r="K229" s="80">
        <v>14.17</v>
      </c>
      <c r="L229" s="79">
        <v>22000000</v>
      </c>
      <c r="M229" s="25"/>
      <c r="N229" s="25"/>
      <c r="O229" s="25"/>
    </row>
    <row r="230" spans="2:15">
      <c r="B230" s="28" t="str">
        <f t="shared" si="37"/>
        <v/>
      </c>
      <c r="C230" s="11" t="str">
        <f t="shared" si="37"/>
        <v/>
      </c>
      <c r="D230" s="21">
        <f t="shared" si="38"/>
        <v>12.77</v>
      </c>
      <c r="E230" s="21">
        <f t="shared" si="39"/>
        <v>0.25</v>
      </c>
      <c r="F230" s="19" t="str">
        <f t="shared" si="40"/>
        <v/>
      </c>
      <c r="G230" s="21" t="str">
        <f t="shared" si="41"/>
        <v/>
      </c>
      <c r="I230" s="63"/>
      <c r="J230" s="43"/>
      <c r="K230" s="80">
        <v>12.77</v>
      </c>
      <c r="L230" s="79">
        <v>25000000</v>
      </c>
      <c r="M230" s="25"/>
      <c r="N230" s="25"/>
      <c r="O230" s="25"/>
    </row>
    <row r="231" spans="2:15">
      <c r="B231" s="28" t="str">
        <f t="shared" si="37"/>
        <v/>
      </c>
      <c r="C231" s="11" t="str">
        <f t="shared" si="37"/>
        <v/>
      </c>
      <c r="D231" s="21">
        <f t="shared" si="38"/>
        <v>10.27</v>
      </c>
      <c r="E231" s="21">
        <f t="shared" si="39"/>
        <v>0.3</v>
      </c>
      <c r="F231" s="19" t="str">
        <f t="shared" si="40"/>
        <v/>
      </c>
      <c r="G231" s="21" t="str">
        <f t="shared" si="41"/>
        <v/>
      </c>
      <c r="I231" s="63"/>
      <c r="J231" s="43"/>
      <c r="K231" s="80">
        <v>10.27</v>
      </c>
      <c r="L231" s="79">
        <v>30000000</v>
      </c>
      <c r="M231" s="25"/>
      <c r="N231" s="25"/>
      <c r="O231" s="25"/>
    </row>
    <row r="232" spans="2:15">
      <c r="B232" s="28">
        <f t="shared" si="37"/>
        <v>19</v>
      </c>
      <c r="C232" s="11" t="str">
        <f t="shared" si="37"/>
        <v>诺安基金管理有限公司</v>
      </c>
      <c r="D232" s="21">
        <f t="shared" si="38"/>
        <v>11</v>
      </c>
      <c r="E232" s="21">
        <f t="shared" si="39"/>
        <v>0.36</v>
      </c>
      <c r="F232" s="19" t="str">
        <f t="shared" si="40"/>
        <v/>
      </c>
      <c r="G232" s="21" t="str">
        <f t="shared" si="41"/>
        <v/>
      </c>
      <c r="I232" s="65">
        <v>19</v>
      </c>
      <c r="J232" s="62" t="s">
        <v>147</v>
      </c>
      <c r="K232" s="80">
        <v>11</v>
      </c>
      <c r="L232" s="79">
        <v>36000000</v>
      </c>
      <c r="M232" s="25"/>
      <c r="N232" s="25"/>
      <c r="O232" s="25"/>
    </row>
    <row r="233" spans="2:15">
      <c r="B233" s="28" t="str">
        <f t="shared" si="37"/>
        <v/>
      </c>
      <c r="C233" s="11" t="str">
        <f t="shared" si="37"/>
        <v/>
      </c>
      <c r="D233" s="21">
        <f t="shared" si="38"/>
        <v>9.16</v>
      </c>
      <c r="E233" s="21">
        <f t="shared" si="39"/>
        <v>0.625</v>
      </c>
      <c r="F233" s="19" t="str">
        <f t="shared" si="40"/>
        <v/>
      </c>
      <c r="G233" s="21" t="str">
        <f t="shared" si="41"/>
        <v/>
      </c>
      <c r="I233" s="65"/>
      <c r="J233" s="62"/>
      <c r="K233" s="80">
        <v>9.16</v>
      </c>
      <c r="L233" s="79">
        <v>62500000</v>
      </c>
      <c r="M233" s="25"/>
      <c r="N233" s="25"/>
      <c r="O233" s="25"/>
    </row>
    <row r="234" spans="2:15">
      <c r="B234" s="28">
        <f t="shared" si="37"/>
        <v>20</v>
      </c>
      <c r="C234" s="11" t="str">
        <f t="shared" si="37"/>
        <v>蒋根青</v>
      </c>
      <c r="D234" s="21">
        <f t="shared" si="38"/>
        <v>16.5</v>
      </c>
      <c r="E234" s="21">
        <f t="shared" si="39"/>
        <v>0.26</v>
      </c>
      <c r="F234" s="19" t="str">
        <f t="shared" si="40"/>
        <v/>
      </c>
      <c r="G234" s="21" t="str">
        <f t="shared" si="41"/>
        <v/>
      </c>
      <c r="I234" s="81">
        <v>20</v>
      </c>
      <c r="J234" s="639" t="s">
        <v>427</v>
      </c>
      <c r="K234" s="80">
        <v>16.5</v>
      </c>
      <c r="L234" s="79">
        <v>26000000</v>
      </c>
      <c r="M234" s="25"/>
      <c r="N234" s="25"/>
      <c r="O234" s="25"/>
    </row>
    <row r="235" spans="2:15">
      <c r="B235" s="28">
        <f t="shared" si="37"/>
        <v>21</v>
      </c>
      <c r="C235" s="11" t="str">
        <f t="shared" si="37"/>
        <v>北京韬蕴八号产业投资管理中心（有限
合伙）</v>
      </c>
      <c r="D235" s="21">
        <f t="shared" si="38"/>
        <v>11.88</v>
      </c>
      <c r="E235" s="21">
        <f t="shared" si="39"/>
        <v>0.436</v>
      </c>
      <c r="F235" s="19" t="str">
        <f t="shared" si="40"/>
        <v/>
      </c>
      <c r="G235" s="21" t="str">
        <f t="shared" si="41"/>
        <v/>
      </c>
      <c r="I235" s="81">
        <v>21</v>
      </c>
      <c r="J235" s="640" t="s">
        <v>426</v>
      </c>
      <c r="K235" s="80">
        <v>11.88</v>
      </c>
      <c r="L235" s="79">
        <v>43600000</v>
      </c>
      <c r="M235" s="25"/>
      <c r="N235" s="25"/>
      <c r="O235" s="25"/>
    </row>
    <row r="236" spans="2:15">
      <c r="B236" s="28">
        <f t="shared" si="37"/>
        <v>22</v>
      </c>
      <c r="C236" s="11" t="str">
        <f t="shared" si="37"/>
        <v>国盈资产管理有限公司</v>
      </c>
      <c r="D236" s="21">
        <f t="shared" si="38"/>
        <v>14</v>
      </c>
      <c r="E236" s="21">
        <f t="shared" si="39"/>
        <v>0.3</v>
      </c>
      <c r="F236" s="19" t="str">
        <f t="shared" si="40"/>
        <v/>
      </c>
      <c r="G236" s="21" t="str">
        <f t="shared" si="41"/>
        <v/>
      </c>
      <c r="I236" s="63">
        <v>22</v>
      </c>
      <c r="J236" s="43" t="s">
        <v>425</v>
      </c>
      <c r="K236" s="80">
        <v>14</v>
      </c>
      <c r="L236" s="79">
        <v>30000000</v>
      </c>
      <c r="M236" s="25"/>
      <c r="N236" s="25"/>
      <c r="O236" s="25"/>
    </row>
    <row r="237" spans="2:15">
      <c r="B237" s="28" t="str">
        <f t="shared" si="37"/>
        <v/>
      </c>
      <c r="C237" s="11" t="str">
        <f t="shared" si="37"/>
        <v/>
      </c>
      <c r="D237" s="21">
        <f t="shared" si="38"/>
        <v>13.5</v>
      </c>
      <c r="E237" s="21">
        <f t="shared" si="39"/>
        <v>0.3</v>
      </c>
      <c r="F237" s="19" t="str">
        <f t="shared" si="40"/>
        <v/>
      </c>
      <c r="G237" s="21" t="str">
        <f t="shared" si="41"/>
        <v/>
      </c>
      <c r="I237" s="63"/>
      <c r="J237" s="43"/>
      <c r="K237" s="80">
        <v>13.5</v>
      </c>
      <c r="L237" s="79">
        <v>30000000</v>
      </c>
      <c r="M237" s="25"/>
      <c r="N237" s="25"/>
      <c r="O237" s="25"/>
    </row>
    <row r="238" spans="2:15">
      <c r="B238" s="28" t="str">
        <f t="shared" si="37"/>
        <v/>
      </c>
      <c r="C238" s="11" t="str">
        <f t="shared" si="37"/>
        <v/>
      </c>
      <c r="D238" s="21">
        <f t="shared" si="38"/>
        <v>11.5</v>
      </c>
      <c r="E238" s="21">
        <f t="shared" si="39"/>
        <v>0.5</v>
      </c>
      <c r="F238" s="19" t="str">
        <f t="shared" si="40"/>
        <v/>
      </c>
      <c r="G238" s="21" t="str">
        <f t="shared" si="41"/>
        <v/>
      </c>
      <c r="I238" s="63"/>
      <c r="J238" s="43"/>
      <c r="K238" s="80">
        <v>11.5</v>
      </c>
      <c r="L238" s="79">
        <v>50000000</v>
      </c>
      <c r="M238" s="25"/>
      <c r="N238" s="25"/>
      <c r="O238" s="25"/>
    </row>
    <row r="239" spans="2:15">
      <c r="B239" s="28">
        <f t="shared" si="37"/>
        <v>23</v>
      </c>
      <c r="C239" s="11" t="str">
        <f t="shared" si="37"/>
        <v>申万菱信（上海）资产管理有限公司</v>
      </c>
      <c r="D239" s="21">
        <f t="shared" si="38"/>
        <v>13.28</v>
      </c>
      <c r="E239" s="21">
        <f t="shared" si="39"/>
        <v>0.51</v>
      </c>
      <c r="F239" s="19" t="str">
        <f t="shared" si="40"/>
        <v/>
      </c>
      <c r="G239" s="21" t="str">
        <f t="shared" si="41"/>
        <v/>
      </c>
      <c r="I239" s="81">
        <v>23</v>
      </c>
      <c r="J239" s="639" t="s">
        <v>138</v>
      </c>
      <c r="K239" s="80">
        <v>13.28</v>
      </c>
      <c r="L239" s="79">
        <v>51000000</v>
      </c>
      <c r="M239" s="25"/>
      <c r="N239" s="25"/>
      <c r="O239" s="25"/>
    </row>
    <row r="241" spans="1:20">
      <c r="A241" s="12" t="s">
        <v>106</v>
      </c>
      <c r="B241" s="12" t="s">
        <v>126</v>
      </c>
      <c r="C241" s="12" t="s">
        <v>107</v>
      </c>
      <c r="D241" s="12" t="s">
        <v>4</v>
      </c>
      <c r="E241" s="13" t="s">
        <v>108</v>
      </c>
      <c r="F241" s="13" t="s">
        <v>109</v>
      </c>
      <c r="G241" s="12" t="s">
        <v>274</v>
      </c>
      <c r="H241" s="12" t="s">
        <v>273</v>
      </c>
      <c r="I241" s="12" t="s">
        <v>116</v>
      </c>
      <c r="J241" s="14" t="s">
        <v>110</v>
      </c>
      <c r="K241" s="14" t="s">
        <v>276</v>
      </c>
      <c r="L241" s="14" t="s">
        <v>117</v>
      </c>
      <c r="M241" s="15" t="s">
        <v>275</v>
      </c>
      <c r="N241" s="29" t="s">
        <v>111</v>
      </c>
      <c r="O241" s="30" t="s">
        <v>12</v>
      </c>
      <c r="P241" s="8" t="s">
        <v>190</v>
      </c>
      <c r="Q241" s="15" t="s">
        <v>129</v>
      </c>
      <c r="R241" s="14" t="s">
        <v>220</v>
      </c>
    </row>
    <row r="242" spans="1:20">
      <c r="A242" s="11">
        <v>7</v>
      </c>
      <c r="B242" s="9" t="s">
        <v>166</v>
      </c>
      <c r="C242" s="1" t="s">
        <v>95</v>
      </c>
      <c r="D242" s="1" t="s">
        <v>94</v>
      </c>
      <c r="E242" s="3">
        <v>16.7</v>
      </c>
      <c r="F242" s="3">
        <v>16.7</v>
      </c>
      <c r="G242" s="2">
        <v>42387</v>
      </c>
      <c r="H242" s="2" t="s">
        <v>151</v>
      </c>
      <c r="I242" s="11">
        <v>25.3</v>
      </c>
      <c r="J242" s="3">
        <v>16.64</v>
      </c>
      <c r="K242" s="3">
        <f>J242/I242</f>
        <v>0.6577075098814229</v>
      </c>
      <c r="L242" s="3">
        <v>20</v>
      </c>
      <c r="M242" s="10">
        <f>L242/I242</f>
        <v>0.79051383399209485</v>
      </c>
      <c r="N242" s="47">
        <v>8</v>
      </c>
      <c r="O242" s="2">
        <v>42769</v>
      </c>
      <c r="P242" s="10">
        <v>9.93</v>
      </c>
      <c r="Q242" s="18">
        <f>(P242*(1+S242/10)+T242/10)/L242</f>
        <v>0.998</v>
      </c>
      <c r="R242" s="11" t="s">
        <v>247</v>
      </c>
      <c r="S242" s="22" t="str">
        <f>IFERROR(RIGHT(LEFT(R242,FIND("股",R242)-1),(FIND("股",R242)-1-FIND("转",R242))),0)</f>
        <v>10</v>
      </c>
      <c r="T242" s="23" t="str">
        <f>IFERROR(RIGHT(LEFT(R242,FIND("元",R242)-1),(FIND("元",R242)-1-FIND("派",R242))),0)</f>
        <v>1.00</v>
      </c>
    </row>
    <row r="243" spans="1:20">
      <c r="B243" s="27" t="s">
        <v>118</v>
      </c>
      <c r="C243" s="16" t="s">
        <v>112</v>
      </c>
      <c r="D243" s="16" t="s">
        <v>113</v>
      </c>
      <c r="E243" s="16" t="s">
        <v>288</v>
      </c>
      <c r="F243" s="17" t="s">
        <v>287</v>
      </c>
      <c r="G243" s="16" t="s">
        <v>289</v>
      </c>
      <c r="I243" s="56" t="s">
        <v>118</v>
      </c>
      <c r="J243" s="56" t="s">
        <v>424</v>
      </c>
      <c r="K243" s="39" t="s">
        <v>423</v>
      </c>
      <c r="L243" s="41" t="s">
        <v>422</v>
      </c>
      <c r="M243" s="57"/>
      <c r="N243" s="56" t="s">
        <v>421</v>
      </c>
      <c r="O243" s="78" t="s">
        <v>420</v>
      </c>
      <c r="P243" s="57"/>
    </row>
    <row r="244" spans="1:20">
      <c r="B244" s="28">
        <f t="shared" ref="B244:C262" si="42">IF(I244=0,"",I244)</f>
        <v>1</v>
      </c>
      <c r="C244" s="11" t="str">
        <f t="shared" si="42"/>
        <v>深圳中植产投互联网金融投资企业（有限
合伙）</v>
      </c>
      <c r="D244" s="21">
        <f t="shared" ref="D244:D262" si="43">K244</f>
        <v>20</v>
      </c>
      <c r="E244" s="21">
        <f t="shared" ref="E244:E262" si="44">L244/10000</f>
        <v>3.34</v>
      </c>
      <c r="F244" s="19">
        <f t="shared" ref="F244:F262" si="45">IFERROR(VLOOKUP(C244,N$243:Q$262,2,FALSE)/1,"")</f>
        <v>625</v>
      </c>
      <c r="G244" s="21">
        <f t="shared" ref="G244:G262" si="46">IFERROR(F244*L$242/10000,"")</f>
        <v>1.25</v>
      </c>
      <c r="I244" s="638">
        <v>1</v>
      </c>
      <c r="J244" s="39" t="s">
        <v>419</v>
      </c>
      <c r="K244" s="74">
        <v>20</v>
      </c>
      <c r="L244" s="73">
        <v>33400</v>
      </c>
      <c r="M244" s="25"/>
      <c r="N244" s="639" t="s">
        <v>417</v>
      </c>
      <c r="O244" s="66">
        <v>1090</v>
      </c>
      <c r="P244" s="25"/>
    </row>
    <row r="245" spans="1:20">
      <c r="B245" s="28">
        <f t="shared" si="42"/>
        <v>2</v>
      </c>
      <c r="C245" s="11" t="str">
        <f t="shared" si="42"/>
        <v>湖州泽瑞投资管理合伙企业（有限合伙）</v>
      </c>
      <c r="D245" s="21">
        <f t="shared" si="43"/>
        <v>20</v>
      </c>
      <c r="E245" s="21">
        <f t="shared" si="44"/>
        <v>1.68</v>
      </c>
      <c r="F245" s="19" t="str">
        <f t="shared" si="45"/>
        <v/>
      </c>
      <c r="G245" s="21" t="str">
        <f t="shared" si="46"/>
        <v/>
      </c>
      <c r="I245" s="638">
        <v>2</v>
      </c>
      <c r="J245" s="71" t="s">
        <v>418</v>
      </c>
      <c r="K245" s="74">
        <v>20</v>
      </c>
      <c r="L245" s="73">
        <v>16800</v>
      </c>
      <c r="M245" s="25"/>
      <c r="N245" s="639" t="s">
        <v>415</v>
      </c>
      <c r="O245" s="66">
        <v>1180</v>
      </c>
      <c r="P245" s="25"/>
    </row>
    <row r="246" spans="1:20">
      <c r="B246" s="28">
        <f t="shared" si="42"/>
        <v>3</v>
      </c>
      <c r="C246" s="11" t="str">
        <f t="shared" si="42"/>
        <v>中国银河证券股份有限公司</v>
      </c>
      <c r="D246" s="21">
        <f t="shared" si="43"/>
        <v>20</v>
      </c>
      <c r="E246" s="21">
        <f t="shared" si="44"/>
        <v>2</v>
      </c>
      <c r="F246" s="19" t="str">
        <f t="shared" si="45"/>
        <v/>
      </c>
      <c r="G246" s="21" t="str">
        <f t="shared" si="46"/>
        <v/>
      </c>
      <c r="I246" s="638">
        <v>3</v>
      </c>
      <c r="J246" s="71" t="s">
        <v>13</v>
      </c>
      <c r="K246" s="74">
        <v>20</v>
      </c>
      <c r="L246" s="73">
        <v>20000</v>
      </c>
      <c r="M246" s="25"/>
      <c r="N246" s="639" t="s">
        <v>278</v>
      </c>
      <c r="O246" s="66">
        <v>1335</v>
      </c>
      <c r="P246" s="25"/>
    </row>
    <row r="247" spans="1:20">
      <c r="B247" s="28">
        <f t="shared" si="42"/>
        <v>4</v>
      </c>
      <c r="C247" s="11" t="str">
        <f t="shared" si="42"/>
        <v>第一创业证券股份有限公司</v>
      </c>
      <c r="D247" s="21">
        <f t="shared" si="43"/>
        <v>23.1</v>
      </c>
      <c r="E247" s="21">
        <f t="shared" si="44"/>
        <v>1.7</v>
      </c>
      <c r="F247" s="19">
        <f t="shared" si="45"/>
        <v>1250</v>
      </c>
      <c r="G247" s="21">
        <f t="shared" si="46"/>
        <v>2.5</v>
      </c>
      <c r="I247" s="76">
        <v>4</v>
      </c>
      <c r="J247" s="75" t="s">
        <v>127</v>
      </c>
      <c r="K247" s="74">
        <v>23.1</v>
      </c>
      <c r="L247" s="73">
        <v>17000</v>
      </c>
      <c r="M247" s="25"/>
      <c r="N247" s="639" t="s">
        <v>235</v>
      </c>
      <c r="O247" s="66">
        <v>1135</v>
      </c>
      <c r="P247" s="25"/>
    </row>
    <row r="248" spans="1:20">
      <c r="B248" s="28" t="str">
        <f t="shared" si="42"/>
        <v/>
      </c>
      <c r="C248" s="11" t="str">
        <f t="shared" si="42"/>
        <v/>
      </c>
      <c r="D248" s="21">
        <f t="shared" si="43"/>
        <v>21.1</v>
      </c>
      <c r="E248" s="21">
        <f t="shared" si="44"/>
        <v>2.5</v>
      </c>
      <c r="F248" s="19" t="str">
        <f t="shared" si="45"/>
        <v/>
      </c>
      <c r="G248" s="21" t="str">
        <f t="shared" si="46"/>
        <v/>
      </c>
      <c r="I248" s="76"/>
      <c r="J248" s="75"/>
      <c r="K248" s="74">
        <v>21.1</v>
      </c>
      <c r="L248" s="73">
        <v>25000</v>
      </c>
      <c r="M248" s="25"/>
      <c r="N248" s="639" t="s">
        <v>127</v>
      </c>
      <c r="O248" s="66">
        <v>1250</v>
      </c>
      <c r="P248" s="25"/>
    </row>
    <row r="249" spans="1:20">
      <c r="B249" s="28" t="str">
        <f t="shared" si="42"/>
        <v/>
      </c>
      <c r="C249" s="11" t="str">
        <f t="shared" si="42"/>
        <v/>
      </c>
      <c r="D249" s="21">
        <f t="shared" si="43"/>
        <v>18.100000000000001</v>
      </c>
      <c r="E249" s="21">
        <f t="shared" si="44"/>
        <v>3.3</v>
      </c>
      <c r="F249" s="19" t="str">
        <f t="shared" si="45"/>
        <v/>
      </c>
      <c r="G249" s="21" t="str">
        <f t="shared" si="46"/>
        <v/>
      </c>
      <c r="I249" s="76"/>
      <c r="J249" s="75"/>
      <c r="K249" s="74">
        <v>18.100000000000001</v>
      </c>
      <c r="L249" s="73">
        <v>33000</v>
      </c>
      <c r="M249" s="25"/>
      <c r="N249" s="639" t="s">
        <v>121</v>
      </c>
      <c r="O249" s="77">
        <v>845</v>
      </c>
      <c r="P249" s="25"/>
    </row>
    <row r="250" spans="1:20">
      <c r="B250" s="28">
        <f t="shared" si="42"/>
        <v>5</v>
      </c>
      <c r="C250" s="11" t="str">
        <f t="shared" si="42"/>
        <v>民生加银基金管理有限公司</v>
      </c>
      <c r="D250" s="21">
        <f t="shared" si="43"/>
        <v>26.8</v>
      </c>
      <c r="E250" s="21">
        <f t="shared" si="44"/>
        <v>2.17</v>
      </c>
      <c r="F250" s="19">
        <f t="shared" si="45"/>
        <v>1090</v>
      </c>
      <c r="G250" s="21">
        <f t="shared" si="46"/>
        <v>2.1800000000000002</v>
      </c>
      <c r="I250" s="76">
        <v>5</v>
      </c>
      <c r="J250" s="75" t="s">
        <v>417</v>
      </c>
      <c r="K250" s="74">
        <v>26.8</v>
      </c>
      <c r="L250" s="73">
        <v>21700</v>
      </c>
      <c r="M250" s="25"/>
      <c r="N250" s="639" t="s">
        <v>115</v>
      </c>
      <c r="O250" s="77">
        <v>890</v>
      </c>
      <c r="P250" s="25"/>
    </row>
    <row r="251" spans="1:20">
      <c r="B251" s="28" t="str">
        <f t="shared" si="42"/>
        <v/>
      </c>
      <c r="C251" s="11" t="str">
        <f t="shared" si="42"/>
        <v/>
      </c>
      <c r="D251" s="21">
        <f t="shared" si="43"/>
        <v>24.8</v>
      </c>
      <c r="E251" s="21">
        <f t="shared" si="44"/>
        <v>2.1800000000000002</v>
      </c>
      <c r="F251" s="19" t="str">
        <f t="shared" si="45"/>
        <v/>
      </c>
      <c r="G251" s="21" t="str">
        <f t="shared" si="46"/>
        <v/>
      </c>
      <c r="I251" s="76"/>
      <c r="J251" s="75"/>
      <c r="K251" s="74">
        <v>24.8</v>
      </c>
      <c r="L251" s="73">
        <v>21800</v>
      </c>
      <c r="M251" s="25"/>
      <c r="N251" s="640" t="s">
        <v>416</v>
      </c>
      <c r="O251" s="77">
        <v>625</v>
      </c>
      <c r="P251" s="25"/>
    </row>
    <row r="252" spans="1:20">
      <c r="B252" s="28">
        <f t="shared" si="42"/>
        <v>6</v>
      </c>
      <c r="C252" s="11" t="str">
        <f t="shared" si="42"/>
        <v>顾子皿</v>
      </c>
      <c r="D252" s="21">
        <f t="shared" si="43"/>
        <v>23.5</v>
      </c>
      <c r="E252" s="21">
        <f t="shared" si="44"/>
        <v>2.36</v>
      </c>
      <c r="F252" s="19">
        <f t="shared" si="45"/>
        <v>1180</v>
      </c>
      <c r="G252" s="21">
        <f t="shared" si="46"/>
        <v>2.36</v>
      </c>
      <c r="I252" s="638">
        <v>6</v>
      </c>
      <c r="J252" s="71" t="s">
        <v>415</v>
      </c>
      <c r="K252" s="74">
        <v>23.5</v>
      </c>
      <c r="L252" s="73">
        <v>23600</v>
      </c>
      <c r="M252" s="25"/>
      <c r="N252" s="25"/>
      <c r="O252" s="25"/>
      <c r="P252" s="25"/>
    </row>
    <row r="253" spans="1:20">
      <c r="B253" s="28">
        <f t="shared" si="42"/>
        <v>7</v>
      </c>
      <c r="C253" s="11" t="str">
        <f t="shared" si="42"/>
        <v>金鹰基金管理有限公司</v>
      </c>
      <c r="D253" s="21">
        <f t="shared" si="43"/>
        <v>22</v>
      </c>
      <c r="E253" s="21">
        <f t="shared" si="44"/>
        <v>2.67</v>
      </c>
      <c r="F253" s="19">
        <f t="shared" si="45"/>
        <v>1335</v>
      </c>
      <c r="G253" s="21">
        <f t="shared" si="46"/>
        <v>2.67</v>
      </c>
      <c r="I253" s="76">
        <v>7</v>
      </c>
      <c r="J253" s="75" t="s">
        <v>278</v>
      </c>
      <c r="K253" s="74">
        <v>22</v>
      </c>
      <c r="L253" s="73">
        <v>26700</v>
      </c>
      <c r="M253" s="25"/>
      <c r="N253" s="25"/>
      <c r="O253" s="25"/>
      <c r="P253" s="25"/>
    </row>
    <row r="254" spans="1:20">
      <c r="B254" s="28" t="str">
        <f t="shared" si="42"/>
        <v/>
      </c>
      <c r="C254" s="11" t="str">
        <f t="shared" si="42"/>
        <v/>
      </c>
      <c r="D254" s="21">
        <f t="shared" si="43"/>
        <v>20</v>
      </c>
      <c r="E254" s="21">
        <f t="shared" si="44"/>
        <v>2.77</v>
      </c>
      <c r="F254" s="19" t="str">
        <f t="shared" si="45"/>
        <v/>
      </c>
      <c r="G254" s="21" t="str">
        <f t="shared" si="46"/>
        <v/>
      </c>
      <c r="I254" s="76"/>
      <c r="J254" s="75"/>
      <c r="K254" s="74">
        <v>20</v>
      </c>
      <c r="L254" s="73">
        <v>27700</v>
      </c>
      <c r="M254" s="25"/>
      <c r="N254" s="25"/>
      <c r="O254" s="25"/>
      <c r="P254" s="25"/>
    </row>
    <row r="255" spans="1:20">
      <c r="B255" s="28">
        <f t="shared" si="42"/>
        <v>8</v>
      </c>
      <c r="C255" s="11" t="str">
        <f t="shared" si="42"/>
        <v>东海基金管理有限责任公司</v>
      </c>
      <c r="D255" s="21">
        <f t="shared" si="43"/>
        <v>18.100000000000001</v>
      </c>
      <c r="E255" s="21">
        <f t="shared" si="44"/>
        <v>1.67</v>
      </c>
      <c r="F255" s="19" t="str">
        <f t="shared" si="45"/>
        <v/>
      </c>
      <c r="G255" s="21" t="str">
        <f t="shared" si="46"/>
        <v/>
      </c>
      <c r="I255" s="638">
        <v>8</v>
      </c>
      <c r="J255" s="71" t="s">
        <v>128</v>
      </c>
      <c r="K255" s="74">
        <v>18.100000000000001</v>
      </c>
      <c r="L255" s="73">
        <v>16700</v>
      </c>
      <c r="M255" s="25"/>
      <c r="N255" s="25"/>
      <c r="O255" s="25"/>
      <c r="P255" s="25"/>
    </row>
    <row r="256" spans="1:20">
      <c r="B256" s="28">
        <f t="shared" si="42"/>
        <v>9</v>
      </c>
      <c r="C256" s="11" t="str">
        <f t="shared" si="42"/>
        <v>财通基金管理有限公司</v>
      </c>
      <c r="D256" s="21">
        <f t="shared" si="43"/>
        <v>20.8</v>
      </c>
      <c r="E256" s="21">
        <f t="shared" si="44"/>
        <v>2.23</v>
      </c>
      <c r="F256" s="19">
        <f t="shared" si="45"/>
        <v>890</v>
      </c>
      <c r="G256" s="21">
        <f t="shared" si="46"/>
        <v>1.78</v>
      </c>
      <c r="I256" s="76">
        <v>9</v>
      </c>
      <c r="J256" s="75" t="s">
        <v>115</v>
      </c>
      <c r="K256" s="74">
        <v>20.8</v>
      </c>
      <c r="L256" s="73">
        <v>22300</v>
      </c>
      <c r="M256" s="25"/>
      <c r="N256" s="25"/>
      <c r="O256" s="25"/>
      <c r="P256" s="25"/>
    </row>
    <row r="257" spans="1:20">
      <c r="B257" s="28" t="str">
        <f t="shared" si="42"/>
        <v/>
      </c>
      <c r="C257" s="11" t="str">
        <f t="shared" si="42"/>
        <v/>
      </c>
      <c r="D257" s="21">
        <f t="shared" si="43"/>
        <v>19.7</v>
      </c>
      <c r="E257" s="21">
        <f t="shared" si="44"/>
        <v>4.29</v>
      </c>
      <c r="F257" s="19" t="str">
        <f t="shared" si="45"/>
        <v/>
      </c>
      <c r="G257" s="21" t="str">
        <f t="shared" si="46"/>
        <v/>
      </c>
      <c r="I257" s="76"/>
      <c r="J257" s="75"/>
      <c r="K257" s="74">
        <v>19.7</v>
      </c>
      <c r="L257" s="73">
        <v>42900</v>
      </c>
      <c r="M257" s="25"/>
      <c r="N257" s="25"/>
      <c r="O257" s="25"/>
      <c r="P257" s="25"/>
    </row>
    <row r="258" spans="1:20">
      <c r="B258" s="28" t="str">
        <f t="shared" si="42"/>
        <v/>
      </c>
      <c r="C258" s="11" t="str">
        <f t="shared" si="42"/>
        <v/>
      </c>
      <c r="D258" s="21">
        <f t="shared" si="43"/>
        <v>18.399999999999999</v>
      </c>
      <c r="E258" s="21">
        <f t="shared" si="44"/>
        <v>5.63</v>
      </c>
      <c r="F258" s="19" t="str">
        <f t="shared" si="45"/>
        <v/>
      </c>
      <c r="G258" s="21" t="str">
        <f t="shared" si="46"/>
        <v/>
      </c>
      <c r="I258" s="76"/>
      <c r="J258" s="75"/>
      <c r="K258" s="74">
        <v>18.399999999999999</v>
      </c>
      <c r="L258" s="73">
        <v>56300</v>
      </c>
      <c r="M258" s="25"/>
      <c r="N258" s="25"/>
      <c r="O258" s="25"/>
      <c r="P258" s="25"/>
    </row>
    <row r="259" spans="1:20">
      <c r="B259" s="28">
        <f t="shared" si="42"/>
        <v>10</v>
      </c>
      <c r="C259" s="11" t="str">
        <f t="shared" si="42"/>
        <v>上银基金管理有限公司</v>
      </c>
      <c r="D259" s="21">
        <f t="shared" si="43"/>
        <v>17.600000000000001</v>
      </c>
      <c r="E259" s="21">
        <f t="shared" si="44"/>
        <v>2.54</v>
      </c>
      <c r="F259" s="19" t="str">
        <f t="shared" si="45"/>
        <v/>
      </c>
      <c r="G259" s="21" t="str">
        <f t="shared" si="46"/>
        <v/>
      </c>
      <c r="I259" s="638">
        <v>10</v>
      </c>
      <c r="J259" s="71" t="s">
        <v>317</v>
      </c>
      <c r="K259" s="74">
        <v>17.600000000000001</v>
      </c>
      <c r="L259" s="73">
        <v>25400</v>
      </c>
      <c r="M259" s="25"/>
      <c r="N259" s="25"/>
      <c r="O259" s="25"/>
      <c r="P259" s="25"/>
    </row>
    <row r="260" spans="1:20">
      <c r="B260" s="28">
        <f t="shared" si="42"/>
        <v>11</v>
      </c>
      <c r="C260" s="11" t="str">
        <f t="shared" si="42"/>
        <v>申万菱信基金管理有限公司</v>
      </c>
      <c r="D260" s="21">
        <f t="shared" si="43"/>
        <v>21.1</v>
      </c>
      <c r="E260" s="21">
        <f t="shared" si="44"/>
        <v>1.69</v>
      </c>
      <c r="F260" s="19">
        <f t="shared" si="45"/>
        <v>845</v>
      </c>
      <c r="G260" s="21">
        <f t="shared" si="46"/>
        <v>1.69</v>
      </c>
      <c r="I260" s="638">
        <v>11</v>
      </c>
      <c r="J260" s="71" t="s">
        <v>121</v>
      </c>
      <c r="K260" s="74">
        <v>21.1</v>
      </c>
      <c r="L260" s="73">
        <v>16900</v>
      </c>
      <c r="M260" s="25"/>
      <c r="N260" s="25"/>
      <c r="O260" s="25"/>
      <c r="P260" s="25"/>
    </row>
    <row r="261" spans="1:20">
      <c r="B261" s="28">
        <f t="shared" si="42"/>
        <v>12</v>
      </c>
      <c r="C261" s="11" t="str">
        <f t="shared" si="42"/>
        <v>申万菱信（上海）资产管理有限公司</v>
      </c>
      <c r="D261" s="21">
        <f t="shared" si="43"/>
        <v>17.3</v>
      </c>
      <c r="E261" s="21">
        <f t="shared" si="44"/>
        <v>2.8</v>
      </c>
      <c r="F261" s="19" t="str">
        <f t="shared" si="45"/>
        <v/>
      </c>
      <c r="G261" s="21" t="str">
        <f t="shared" si="46"/>
        <v/>
      </c>
      <c r="I261" s="638">
        <v>12</v>
      </c>
      <c r="J261" s="71" t="s">
        <v>138</v>
      </c>
      <c r="K261" s="74">
        <v>17.3</v>
      </c>
      <c r="L261" s="73">
        <v>28000</v>
      </c>
      <c r="M261" s="25"/>
      <c r="N261" s="25"/>
      <c r="O261" s="25"/>
      <c r="P261" s="25"/>
    </row>
    <row r="262" spans="1:20">
      <c r="B262" s="28">
        <f t="shared" si="42"/>
        <v>13</v>
      </c>
      <c r="C262" s="11" t="str">
        <f t="shared" si="42"/>
        <v>中欧盛世资产管理（上海）有限公司</v>
      </c>
      <c r="D262" s="21">
        <f t="shared" si="43"/>
        <v>21.2</v>
      </c>
      <c r="E262" s="21">
        <f t="shared" si="44"/>
        <v>2.27</v>
      </c>
      <c r="F262" s="19">
        <f t="shared" si="45"/>
        <v>1135</v>
      </c>
      <c r="G262" s="21">
        <f t="shared" si="46"/>
        <v>2.27</v>
      </c>
      <c r="I262" s="638">
        <v>13</v>
      </c>
      <c r="J262" s="71" t="s">
        <v>235</v>
      </c>
      <c r="K262" s="74">
        <v>21.2</v>
      </c>
      <c r="L262" s="73">
        <v>22700</v>
      </c>
      <c r="M262" s="25"/>
      <c r="N262" s="25"/>
      <c r="O262" s="25"/>
      <c r="P262" s="25"/>
    </row>
    <row r="264" spans="1:20">
      <c r="A264" s="12" t="s">
        <v>106</v>
      </c>
      <c r="B264" s="12" t="s">
        <v>126</v>
      </c>
      <c r="C264" s="12" t="s">
        <v>107</v>
      </c>
      <c r="D264" s="12" t="s">
        <v>4</v>
      </c>
      <c r="E264" s="13" t="s">
        <v>108</v>
      </c>
      <c r="F264" s="13" t="s">
        <v>109</v>
      </c>
      <c r="G264" s="12" t="s">
        <v>274</v>
      </c>
      <c r="H264" s="12" t="s">
        <v>273</v>
      </c>
      <c r="I264" s="12" t="s">
        <v>116</v>
      </c>
      <c r="J264" s="14" t="s">
        <v>110</v>
      </c>
      <c r="K264" s="14" t="s">
        <v>276</v>
      </c>
      <c r="L264" s="14" t="s">
        <v>117</v>
      </c>
      <c r="M264" s="15" t="s">
        <v>275</v>
      </c>
      <c r="N264" s="12" t="s">
        <v>111</v>
      </c>
      <c r="O264" s="8" t="s">
        <v>12</v>
      </c>
      <c r="P264" s="8" t="s">
        <v>190</v>
      </c>
      <c r="Q264" s="15" t="s">
        <v>129</v>
      </c>
      <c r="R264" s="14" t="s">
        <v>220</v>
      </c>
    </row>
    <row r="265" spans="1:20">
      <c r="A265" s="11">
        <v>8</v>
      </c>
      <c r="B265" s="9" t="s">
        <v>167</v>
      </c>
      <c r="C265" s="1" t="s">
        <v>39</v>
      </c>
      <c r="D265" s="1" t="s">
        <v>38</v>
      </c>
      <c r="E265" s="3">
        <v>7.26</v>
      </c>
      <c r="F265" s="3">
        <v>7.2599999559999997</v>
      </c>
      <c r="G265" s="2">
        <v>42395</v>
      </c>
      <c r="H265" s="2" t="s">
        <v>151</v>
      </c>
      <c r="I265" s="11">
        <v>12.9</v>
      </c>
      <c r="J265" s="3">
        <v>8.68</v>
      </c>
      <c r="K265" s="3">
        <f>J265/I265</f>
        <v>0.67286821705426347</v>
      </c>
      <c r="L265" s="3">
        <v>9.1999999999999993</v>
      </c>
      <c r="M265" s="10">
        <f>L265/I265</f>
        <v>0.71317829457364335</v>
      </c>
      <c r="N265" s="47">
        <v>7</v>
      </c>
      <c r="O265" s="2">
        <v>42772</v>
      </c>
      <c r="P265" s="10">
        <v>11.74</v>
      </c>
      <c r="Q265" s="18">
        <f>(P265*(1+S265/10)+T265/10)/L265</f>
        <v>1.2760869565217392</v>
      </c>
      <c r="R265" s="11" t="s">
        <v>223</v>
      </c>
      <c r="S265" s="22">
        <f>IFERROR(RIGHT(LEFT(R265,FIND("股",R265)-1),(FIND("股",R265)-1-FIND("转",R265))),0)</f>
        <v>0</v>
      </c>
      <c r="T265" s="23">
        <f>IFERROR(RIGHT(LEFT(R265,FIND("元",R265)-1),(FIND("元",R265)-1-FIND("派",R265))),0)</f>
        <v>0</v>
      </c>
    </row>
    <row r="267" spans="1:20" ht="27">
      <c r="B267" s="27" t="s">
        <v>118</v>
      </c>
      <c r="C267" s="16" t="s">
        <v>112</v>
      </c>
      <c r="D267" s="16" t="s">
        <v>113</v>
      </c>
      <c r="E267" s="16" t="s">
        <v>288</v>
      </c>
      <c r="F267" s="16" t="s">
        <v>288</v>
      </c>
      <c r="G267" s="17" t="s">
        <v>287</v>
      </c>
      <c r="H267" s="16" t="s">
        <v>289</v>
      </c>
      <c r="I267" s="72" t="s">
        <v>118</v>
      </c>
      <c r="J267" s="71" t="s">
        <v>414</v>
      </c>
      <c r="K267" s="640" t="s">
        <v>413</v>
      </c>
      <c r="L267" s="101" t="s">
        <v>3609</v>
      </c>
      <c r="M267" s="70" t="s">
        <v>411</v>
      </c>
      <c r="N267" s="69" t="s">
        <v>365</v>
      </c>
      <c r="O267" s="68" t="s">
        <v>410</v>
      </c>
      <c r="P267" s="67"/>
    </row>
    <row r="268" spans="1:20">
      <c r="B268" s="28">
        <f t="shared" ref="B268:C291" si="47">IF(I268=0,"",I268)</f>
        <v>1</v>
      </c>
      <c r="C268" s="11" t="str">
        <f t="shared" si="47"/>
        <v>第一创业证券股份有限公司</v>
      </c>
      <c r="D268" s="21">
        <f t="shared" ref="D268:D291" si="48">K268</f>
        <v>11.22</v>
      </c>
      <c r="E268" s="21">
        <f t="shared" ref="E268:E291" si="49">L268/10000</f>
        <v>0.73</v>
      </c>
      <c r="F268" s="988">
        <f>L268/10000</f>
        <v>0.73</v>
      </c>
      <c r="G268" s="19">
        <f t="shared" ref="G268:G291" si="50">IFERROR(VLOOKUP(C268,N$268:P$291,2,FALSE)/10000,"")</f>
        <v>793.47820000000002</v>
      </c>
      <c r="H268" s="21">
        <f t="shared" ref="H268:H291" si="51">IFERROR(G268*$L$265/10000,"")</f>
        <v>0.72999994400000001</v>
      </c>
      <c r="I268" s="65">
        <v>1</v>
      </c>
      <c r="J268" s="639" t="s">
        <v>127</v>
      </c>
      <c r="K268" s="989">
        <v>11.22</v>
      </c>
      <c r="L268" s="990">
        <v>7300</v>
      </c>
      <c r="M268" s="991">
        <v>0.43333300000000002</v>
      </c>
      <c r="N268" s="639" t="s">
        <v>127</v>
      </c>
      <c r="O268" s="66">
        <v>7934782</v>
      </c>
    </row>
    <row r="269" spans="1:20">
      <c r="B269" s="28" t="str">
        <f t="shared" si="47"/>
        <v/>
      </c>
      <c r="C269" s="11" t="str">
        <f t="shared" si="47"/>
        <v/>
      </c>
      <c r="D269" s="21">
        <f t="shared" si="48"/>
        <v>9.15</v>
      </c>
      <c r="E269" s="21">
        <f t="shared" si="49"/>
        <v>1.4</v>
      </c>
      <c r="F269" s="988">
        <f t="shared" ref="F269:F291" si="52">L269/10000</f>
        <v>1.4</v>
      </c>
      <c r="G269" s="19" t="str">
        <f t="shared" si="50"/>
        <v/>
      </c>
      <c r="H269" s="21" t="str">
        <f t="shared" si="51"/>
        <v/>
      </c>
      <c r="I269" s="65"/>
      <c r="J269" s="64"/>
      <c r="K269" s="989">
        <v>9.15</v>
      </c>
      <c r="L269" s="990">
        <v>14000</v>
      </c>
      <c r="M269" s="991"/>
      <c r="N269" s="639" t="s">
        <v>361</v>
      </c>
      <c r="O269" s="66">
        <v>17065217</v>
      </c>
    </row>
    <row r="270" spans="1:20">
      <c r="B270" s="28">
        <f t="shared" si="47"/>
        <v>2</v>
      </c>
      <c r="C270" s="11" t="str">
        <f t="shared" si="47"/>
        <v>兴业全球基金管
理有限公司</v>
      </c>
      <c r="D270" s="21">
        <f t="shared" si="48"/>
        <v>8.82</v>
      </c>
      <c r="E270" s="21">
        <f t="shared" si="49"/>
        <v>1.9</v>
      </c>
      <c r="F270" s="988">
        <f t="shared" si="52"/>
        <v>1.9</v>
      </c>
      <c r="G270" s="19" t="str">
        <f t="shared" si="50"/>
        <v/>
      </c>
      <c r="H270" s="21" t="str">
        <f t="shared" si="51"/>
        <v/>
      </c>
      <c r="I270" s="61">
        <v>2</v>
      </c>
      <c r="J270" s="58" t="s">
        <v>409</v>
      </c>
      <c r="K270" s="989">
        <v>8.82</v>
      </c>
      <c r="L270" s="990">
        <v>19000</v>
      </c>
      <c r="M270" s="992">
        <v>0.4375</v>
      </c>
      <c r="N270" s="639" t="s">
        <v>115</v>
      </c>
      <c r="O270" s="66">
        <v>20652173</v>
      </c>
    </row>
    <row r="271" spans="1:20">
      <c r="B271" s="28">
        <f t="shared" si="47"/>
        <v>3</v>
      </c>
      <c r="C271" s="11" t="str">
        <f t="shared" si="47"/>
        <v>财通基金管理有限公司</v>
      </c>
      <c r="D271" s="21">
        <f t="shared" si="48"/>
        <v>11.17</v>
      </c>
      <c r="E271" s="21">
        <f t="shared" si="49"/>
        <v>1.9</v>
      </c>
      <c r="F271" s="988">
        <f t="shared" si="52"/>
        <v>1.9</v>
      </c>
      <c r="G271" s="19">
        <f t="shared" si="50"/>
        <v>2065.2172999999998</v>
      </c>
      <c r="H271" s="21">
        <f t="shared" si="51"/>
        <v>1.8999999159999996</v>
      </c>
      <c r="I271" s="65">
        <v>3</v>
      </c>
      <c r="J271" s="639" t="s">
        <v>115</v>
      </c>
      <c r="K271" s="989">
        <v>11.17</v>
      </c>
      <c r="L271" s="990">
        <v>19000</v>
      </c>
      <c r="M271" s="991">
        <v>0.46319399999999999</v>
      </c>
      <c r="N271" s="58" t="s">
        <v>405</v>
      </c>
      <c r="O271" s="66">
        <v>7891304</v>
      </c>
    </row>
    <row r="272" spans="1:20">
      <c r="B272" s="28" t="str">
        <f t="shared" si="47"/>
        <v/>
      </c>
      <c r="C272" s="11" t="str">
        <f t="shared" si="47"/>
        <v/>
      </c>
      <c r="D272" s="21">
        <f t="shared" si="48"/>
        <v>8.68</v>
      </c>
      <c r="E272" s="21">
        <f t="shared" si="49"/>
        <v>1.9</v>
      </c>
      <c r="F272" s="988">
        <f t="shared" si="52"/>
        <v>1.9</v>
      </c>
      <c r="G272" s="19" t="str">
        <f t="shared" si="50"/>
        <v/>
      </c>
      <c r="H272" s="21" t="str">
        <f t="shared" si="51"/>
        <v/>
      </c>
      <c r="I272" s="65"/>
      <c r="J272" s="64"/>
      <c r="K272" s="989">
        <v>8.68</v>
      </c>
      <c r="L272" s="990">
        <v>19000</v>
      </c>
      <c r="M272" s="991"/>
      <c r="N272" s="639" t="s">
        <v>403</v>
      </c>
      <c r="O272" s="66">
        <v>11847826</v>
      </c>
    </row>
    <row r="273" spans="2:15">
      <c r="B273" s="28">
        <f t="shared" si="47"/>
        <v>4</v>
      </c>
      <c r="C273" s="11" t="str">
        <f t="shared" si="47"/>
        <v>申万宏源证券有
限公司</v>
      </c>
      <c r="D273" s="21">
        <f t="shared" si="48"/>
        <v>8.8000000000000007</v>
      </c>
      <c r="E273" s="21">
        <f t="shared" si="49"/>
        <v>0.72599999999999998</v>
      </c>
      <c r="F273" s="988">
        <f t="shared" si="52"/>
        <v>0.72599999999999998</v>
      </c>
      <c r="G273" s="19" t="str">
        <f t="shared" si="50"/>
        <v/>
      </c>
      <c r="H273" s="21" t="str">
        <f t="shared" si="51"/>
        <v/>
      </c>
      <c r="I273" s="61">
        <v>4</v>
      </c>
      <c r="J273" s="58" t="s">
        <v>408</v>
      </c>
      <c r="K273" s="989">
        <v>8.8000000000000007</v>
      </c>
      <c r="L273" s="990">
        <v>7260</v>
      </c>
      <c r="M273" s="992">
        <v>0.46805600000000003</v>
      </c>
      <c r="N273" s="639" t="s">
        <v>128</v>
      </c>
      <c r="O273" s="66">
        <v>8152173</v>
      </c>
    </row>
    <row r="274" spans="2:15">
      <c r="B274" s="28">
        <f t="shared" si="47"/>
        <v>5</v>
      </c>
      <c r="C274" s="11" t="str">
        <f t="shared" si="47"/>
        <v>民生通惠资产管
理有限公司</v>
      </c>
      <c r="D274" s="21">
        <f t="shared" si="48"/>
        <v>8.98</v>
      </c>
      <c r="E274" s="21">
        <f t="shared" si="49"/>
        <v>0.72599999999999998</v>
      </c>
      <c r="F274" s="988">
        <f t="shared" si="52"/>
        <v>0.72599999999999998</v>
      </c>
      <c r="G274" s="19" t="str">
        <f t="shared" si="50"/>
        <v/>
      </c>
      <c r="H274" s="21" t="str">
        <f t="shared" si="51"/>
        <v/>
      </c>
      <c r="I274" s="65">
        <v>5</v>
      </c>
      <c r="J274" s="64" t="s">
        <v>407</v>
      </c>
      <c r="K274" s="989">
        <v>8.98</v>
      </c>
      <c r="L274" s="990">
        <v>7260</v>
      </c>
      <c r="M274" s="991">
        <v>0.47291699999999998</v>
      </c>
      <c r="N274" s="639" t="s">
        <v>121</v>
      </c>
      <c r="O274" s="66">
        <v>5369568</v>
      </c>
    </row>
    <row r="275" spans="2:15">
      <c r="B275" s="28" t="str">
        <f t="shared" si="47"/>
        <v/>
      </c>
      <c r="C275" s="11" t="str">
        <f t="shared" si="47"/>
        <v/>
      </c>
      <c r="D275" s="21">
        <f t="shared" si="48"/>
        <v>8.8800000000000008</v>
      </c>
      <c r="E275" s="21">
        <f t="shared" si="49"/>
        <v>0.8</v>
      </c>
      <c r="F275" s="988">
        <f t="shared" si="52"/>
        <v>0.8</v>
      </c>
      <c r="G275" s="19" t="str">
        <f t="shared" si="50"/>
        <v/>
      </c>
      <c r="H275" s="21" t="str">
        <f t="shared" si="51"/>
        <v/>
      </c>
      <c r="I275" s="65"/>
      <c r="J275" s="64"/>
      <c r="K275" s="989">
        <v>8.8800000000000008</v>
      </c>
      <c r="L275" s="990">
        <v>8000</v>
      </c>
      <c r="M275" s="991"/>
      <c r="N275" s="25"/>
      <c r="O275" s="25"/>
    </row>
    <row r="276" spans="2:15">
      <c r="B276" s="28">
        <f t="shared" si="47"/>
        <v>6</v>
      </c>
      <c r="C276" s="11" t="str">
        <f t="shared" si="47"/>
        <v>长信基金管理有限责任公司</v>
      </c>
      <c r="D276" s="21">
        <f t="shared" si="48"/>
        <v>11.21</v>
      </c>
      <c r="E276" s="21">
        <f t="shared" si="49"/>
        <v>1.57</v>
      </c>
      <c r="F276" s="988">
        <f t="shared" si="52"/>
        <v>1.57</v>
      </c>
      <c r="G276" s="19">
        <f t="shared" si="50"/>
        <v>1706.5217</v>
      </c>
      <c r="H276" s="21">
        <f t="shared" si="51"/>
        <v>1.5699999639999997</v>
      </c>
      <c r="I276" s="63">
        <v>6</v>
      </c>
      <c r="J276" s="639" t="s">
        <v>361</v>
      </c>
      <c r="K276" s="989">
        <v>11.21</v>
      </c>
      <c r="L276" s="990">
        <v>15700</v>
      </c>
      <c r="M276" s="991">
        <v>0.47638900000000001</v>
      </c>
      <c r="N276" s="25"/>
      <c r="O276" s="25"/>
    </row>
    <row r="277" spans="2:15">
      <c r="B277" s="28" t="str">
        <f t="shared" si="47"/>
        <v/>
      </c>
      <c r="C277" s="11" t="str">
        <f t="shared" si="47"/>
        <v/>
      </c>
      <c r="D277" s="21">
        <f t="shared" si="48"/>
        <v>10.55</v>
      </c>
      <c r="E277" s="21">
        <f t="shared" si="49"/>
        <v>1.57</v>
      </c>
      <c r="F277" s="988">
        <f t="shared" si="52"/>
        <v>1.57</v>
      </c>
      <c r="G277" s="19" t="str">
        <f t="shared" si="50"/>
        <v/>
      </c>
      <c r="H277" s="21" t="str">
        <f t="shared" si="51"/>
        <v/>
      </c>
      <c r="I277" s="63"/>
      <c r="J277" s="62"/>
      <c r="K277" s="989">
        <v>10.55</v>
      </c>
      <c r="L277" s="990">
        <v>15700</v>
      </c>
      <c r="M277" s="991"/>
      <c r="N277" s="25"/>
      <c r="O277" s="25"/>
    </row>
    <row r="278" spans="2:15">
      <c r="B278" s="28" t="str">
        <f t="shared" si="47"/>
        <v/>
      </c>
      <c r="C278" s="11" t="str">
        <f t="shared" si="47"/>
        <v/>
      </c>
      <c r="D278" s="21">
        <f t="shared" si="48"/>
        <v>8.68</v>
      </c>
      <c r="E278" s="21">
        <f t="shared" si="49"/>
        <v>1.57</v>
      </c>
      <c r="F278" s="988">
        <f t="shared" si="52"/>
        <v>1.57</v>
      </c>
      <c r="G278" s="19" t="str">
        <f t="shared" si="50"/>
        <v/>
      </c>
      <c r="H278" s="21" t="str">
        <f t="shared" si="51"/>
        <v/>
      </c>
      <c r="I278" s="63"/>
      <c r="J278" s="62"/>
      <c r="K278" s="989">
        <v>8.68</v>
      </c>
      <c r="L278" s="990">
        <v>15700</v>
      </c>
      <c r="M278" s="991"/>
      <c r="N278" s="25"/>
      <c r="O278" s="25"/>
    </row>
    <row r="279" spans="2:15">
      <c r="B279" s="28">
        <f t="shared" si="47"/>
        <v>7</v>
      </c>
      <c r="C279" s="11" t="str">
        <f t="shared" si="47"/>
        <v>朱新明</v>
      </c>
      <c r="D279" s="21">
        <f t="shared" si="48"/>
        <v>8.8800000000000008</v>
      </c>
      <c r="E279" s="21">
        <f t="shared" si="49"/>
        <v>0.72599999999999998</v>
      </c>
      <c r="F279" s="988">
        <f t="shared" si="52"/>
        <v>0.72599999999999998</v>
      </c>
      <c r="G279" s="19" t="str">
        <f t="shared" si="50"/>
        <v/>
      </c>
      <c r="H279" s="21" t="str">
        <f t="shared" si="51"/>
        <v/>
      </c>
      <c r="I279" s="63">
        <v>7</v>
      </c>
      <c r="J279" s="43" t="s">
        <v>406</v>
      </c>
      <c r="K279" s="989">
        <v>8.8800000000000008</v>
      </c>
      <c r="L279" s="990">
        <v>7260</v>
      </c>
      <c r="M279" s="991">
        <v>0.48402800000000001</v>
      </c>
      <c r="N279" s="25"/>
      <c r="O279" s="25"/>
    </row>
    <row r="280" spans="2:15">
      <c r="B280" s="28" t="str">
        <f t="shared" si="47"/>
        <v/>
      </c>
      <c r="C280" s="11" t="str">
        <f t="shared" si="47"/>
        <v/>
      </c>
      <c r="D280" s="21">
        <f t="shared" si="48"/>
        <v>8.7799999999999994</v>
      </c>
      <c r="E280" s="21">
        <f t="shared" si="49"/>
        <v>0.72599999999999998</v>
      </c>
      <c r="F280" s="988">
        <f t="shared" si="52"/>
        <v>0.72599999999999998</v>
      </c>
      <c r="G280" s="19" t="str">
        <f t="shared" si="50"/>
        <v/>
      </c>
      <c r="H280" s="21" t="str">
        <f t="shared" si="51"/>
        <v/>
      </c>
      <c r="I280" s="63"/>
      <c r="J280" s="43"/>
      <c r="K280" s="989">
        <v>8.7799999999999994</v>
      </c>
      <c r="L280" s="990">
        <v>7260</v>
      </c>
      <c r="M280" s="991"/>
      <c r="N280" s="25"/>
      <c r="O280" s="25"/>
    </row>
    <row r="281" spans="2:15">
      <c r="B281" s="28" t="str">
        <f t="shared" si="47"/>
        <v/>
      </c>
      <c r="C281" s="11" t="str">
        <f t="shared" si="47"/>
        <v/>
      </c>
      <c r="D281" s="21">
        <f t="shared" si="48"/>
        <v>8.68</v>
      </c>
      <c r="E281" s="21">
        <f t="shared" si="49"/>
        <v>0.72599999999999998</v>
      </c>
      <c r="F281" s="988">
        <f t="shared" si="52"/>
        <v>0.72599999999999998</v>
      </c>
      <c r="G281" s="19" t="str">
        <f t="shared" si="50"/>
        <v/>
      </c>
      <c r="H281" s="21" t="str">
        <f t="shared" si="51"/>
        <v/>
      </c>
      <c r="I281" s="63"/>
      <c r="J281" s="43"/>
      <c r="K281" s="989">
        <v>8.68</v>
      </c>
      <c r="L281" s="990">
        <v>7260</v>
      </c>
      <c r="M281" s="991"/>
      <c r="N281" s="25"/>
      <c r="O281" s="25"/>
    </row>
    <row r="282" spans="2:15">
      <c r="B282" s="28">
        <f t="shared" si="47"/>
        <v>8</v>
      </c>
      <c r="C282" s="11" t="str">
        <f t="shared" si="47"/>
        <v>东海基金管理有限责任公司</v>
      </c>
      <c r="D282" s="21">
        <f t="shared" si="48"/>
        <v>9.31</v>
      </c>
      <c r="E282" s="21">
        <f t="shared" si="49"/>
        <v>0.75</v>
      </c>
      <c r="F282" s="988">
        <f t="shared" si="52"/>
        <v>0.75</v>
      </c>
      <c r="G282" s="19">
        <f t="shared" si="50"/>
        <v>815.21730000000002</v>
      </c>
      <c r="H282" s="21">
        <f t="shared" si="51"/>
        <v>0.74999991599999993</v>
      </c>
      <c r="I282" s="63">
        <v>8</v>
      </c>
      <c r="J282" s="639" t="s">
        <v>128</v>
      </c>
      <c r="K282" s="989">
        <v>9.31</v>
      </c>
      <c r="L282" s="990">
        <v>7500</v>
      </c>
      <c r="M282" s="991">
        <v>0.48819400000000002</v>
      </c>
      <c r="N282" s="25"/>
      <c r="O282" s="25"/>
    </row>
    <row r="283" spans="2:15">
      <c r="B283" s="28" t="str">
        <f t="shared" si="47"/>
        <v/>
      </c>
      <c r="C283" s="11" t="str">
        <f t="shared" si="47"/>
        <v/>
      </c>
      <c r="D283" s="21">
        <f t="shared" si="48"/>
        <v>9.01</v>
      </c>
      <c r="E283" s="21">
        <f t="shared" si="49"/>
        <v>1.5</v>
      </c>
      <c r="F283" s="988">
        <f t="shared" si="52"/>
        <v>1.5</v>
      </c>
      <c r="G283" s="19" t="str">
        <f t="shared" si="50"/>
        <v/>
      </c>
      <c r="H283" s="21" t="str">
        <f t="shared" si="51"/>
        <v/>
      </c>
      <c r="I283" s="63"/>
      <c r="J283" s="62"/>
      <c r="K283" s="989">
        <v>9.01</v>
      </c>
      <c r="L283" s="990">
        <v>15000</v>
      </c>
      <c r="M283" s="991"/>
      <c r="N283" s="25"/>
      <c r="O283" s="25"/>
    </row>
    <row r="284" spans="2:15">
      <c r="B284" s="28" t="str">
        <f t="shared" si="47"/>
        <v/>
      </c>
      <c r="C284" s="11" t="str">
        <f t="shared" si="47"/>
        <v/>
      </c>
      <c r="D284" s="21">
        <f t="shared" si="48"/>
        <v>8.7799999999999994</v>
      </c>
      <c r="E284" s="21">
        <f t="shared" si="49"/>
        <v>1.9</v>
      </c>
      <c r="F284" s="988">
        <f t="shared" si="52"/>
        <v>1.9</v>
      </c>
      <c r="G284" s="19" t="str">
        <f t="shared" si="50"/>
        <v/>
      </c>
      <c r="H284" s="21" t="str">
        <f t="shared" si="51"/>
        <v/>
      </c>
      <c r="I284" s="63"/>
      <c r="J284" s="62"/>
      <c r="K284" s="989">
        <v>8.7799999999999994</v>
      </c>
      <c r="L284" s="990">
        <v>19000</v>
      </c>
      <c r="M284" s="991"/>
      <c r="N284" s="25"/>
      <c r="O284" s="25"/>
    </row>
    <row r="285" spans="2:15">
      <c r="B285" s="28">
        <f t="shared" si="47"/>
        <v>9</v>
      </c>
      <c r="C285" s="11" t="str">
        <f t="shared" si="47"/>
        <v>上海长江财富资产管理有限
公司</v>
      </c>
      <c r="D285" s="21">
        <f t="shared" si="48"/>
        <v>10.55</v>
      </c>
      <c r="E285" s="21">
        <f t="shared" si="49"/>
        <v>0.72599999999999998</v>
      </c>
      <c r="F285" s="988">
        <f t="shared" si="52"/>
        <v>0.72599999999999998</v>
      </c>
      <c r="G285" s="19">
        <f t="shared" si="50"/>
        <v>789.13040000000001</v>
      </c>
      <c r="H285" s="21">
        <f t="shared" si="51"/>
        <v>0.725999968</v>
      </c>
      <c r="I285" s="63">
        <v>9</v>
      </c>
      <c r="J285" s="58" t="s">
        <v>405</v>
      </c>
      <c r="K285" s="989">
        <v>10.55</v>
      </c>
      <c r="L285" s="990">
        <v>7260</v>
      </c>
      <c r="M285" s="991">
        <v>0.48888900000000002</v>
      </c>
      <c r="N285" s="25"/>
      <c r="O285" s="25"/>
    </row>
    <row r="286" spans="2:15">
      <c r="B286" s="28" t="str">
        <f t="shared" si="47"/>
        <v/>
      </c>
      <c r="C286" s="11" t="str">
        <f t="shared" si="47"/>
        <v/>
      </c>
      <c r="D286" s="21">
        <f t="shared" si="48"/>
        <v>9.8000000000000007</v>
      </c>
      <c r="E286" s="21">
        <f t="shared" si="49"/>
        <v>0.72599999999999998</v>
      </c>
      <c r="F286" s="988">
        <f t="shared" si="52"/>
        <v>0.72599999999999998</v>
      </c>
      <c r="G286" s="19" t="str">
        <f t="shared" si="50"/>
        <v/>
      </c>
      <c r="H286" s="21" t="str">
        <f t="shared" si="51"/>
        <v/>
      </c>
      <c r="I286" s="63"/>
      <c r="J286" s="62"/>
      <c r="K286" s="989">
        <v>9.8000000000000007</v>
      </c>
      <c r="L286" s="990">
        <v>7260</v>
      </c>
      <c r="M286" s="991"/>
      <c r="N286" s="25"/>
      <c r="O286" s="25"/>
    </row>
    <row r="287" spans="2:15">
      <c r="B287" s="28" t="str">
        <f t="shared" si="47"/>
        <v/>
      </c>
      <c r="C287" s="11" t="str">
        <f t="shared" si="47"/>
        <v/>
      </c>
      <c r="D287" s="21">
        <f t="shared" si="48"/>
        <v>8.68</v>
      </c>
      <c r="E287" s="21">
        <f t="shared" si="49"/>
        <v>0.72599999999999998</v>
      </c>
      <c r="F287" s="988">
        <f t="shared" si="52"/>
        <v>0.72599999999999998</v>
      </c>
      <c r="G287" s="19" t="str">
        <f t="shared" si="50"/>
        <v/>
      </c>
      <c r="H287" s="21" t="str">
        <f t="shared" si="51"/>
        <v/>
      </c>
      <c r="I287" s="63"/>
      <c r="J287" s="62"/>
      <c r="K287" s="989">
        <v>8.68</v>
      </c>
      <c r="L287" s="990">
        <v>7260</v>
      </c>
      <c r="M287" s="991"/>
      <c r="N287" s="25"/>
      <c r="O287" s="25"/>
    </row>
    <row r="288" spans="2:15">
      <c r="B288" s="28">
        <f t="shared" si="47"/>
        <v>10</v>
      </c>
      <c r="C288" s="11" t="str">
        <f t="shared" si="47"/>
        <v>诺安基金管理有
限公司</v>
      </c>
      <c r="D288" s="21">
        <f t="shared" si="48"/>
        <v>8.7100000000000009</v>
      </c>
      <c r="E288" s="21">
        <f t="shared" si="49"/>
        <v>1.5860000000000001</v>
      </c>
      <c r="F288" s="988">
        <f t="shared" si="52"/>
        <v>1.5860000000000001</v>
      </c>
      <c r="G288" s="19" t="str">
        <f t="shared" si="50"/>
        <v/>
      </c>
      <c r="H288" s="21" t="str">
        <f t="shared" si="51"/>
        <v/>
      </c>
      <c r="I288" s="61">
        <v>10</v>
      </c>
      <c r="J288" s="58" t="s">
        <v>404</v>
      </c>
      <c r="K288" s="989">
        <v>8.7100000000000009</v>
      </c>
      <c r="L288" s="990">
        <v>15860</v>
      </c>
      <c r="M288" s="992">
        <v>0.49236099999999999</v>
      </c>
      <c r="N288" s="25"/>
      <c r="O288" s="25"/>
    </row>
    <row r="289" spans="1:20">
      <c r="B289" s="28">
        <f t="shared" si="47"/>
        <v>11</v>
      </c>
      <c r="C289" s="11" t="str">
        <f t="shared" si="47"/>
        <v>国寿安保基金管理有限公司</v>
      </c>
      <c r="D289" s="21">
        <f t="shared" si="48"/>
        <v>10.3</v>
      </c>
      <c r="E289" s="21">
        <f t="shared" si="49"/>
        <v>1.0900000000000001</v>
      </c>
      <c r="F289" s="988">
        <f t="shared" si="52"/>
        <v>1.0900000000000001</v>
      </c>
      <c r="G289" s="19">
        <f t="shared" si="50"/>
        <v>1184.7826</v>
      </c>
      <c r="H289" s="21">
        <f t="shared" si="51"/>
        <v>1.0899999919999999</v>
      </c>
      <c r="I289" s="61">
        <v>11</v>
      </c>
      <c r="J289" s="639" t="s">
        <v>403</v>
      </c>
      <c r="K289" s="989">
        <v>10.3</v>
      </c>
      <c r="L289" s="990">
        <v>10900</v>
      </c>
      <c r="M289" s="992">
        <v>0.49583300000000002</v>
      </c>
      <c r="N289" s="25"/>
      <c r="O289" s="25"/>
    </row>
    <row r="290" spans="1:20">
      <c r="B290" s="28">
        <f t="shared" si="47"/>
        <v>12</v>
      </c>
      <c r="C290" s="11" t="str">
        <f t="shared" si="47"/>
        <v>西藏瑞华投资发
展有限公司</v>
      </c>
      <c r="D290" s="21">
        <f t="shared" si="48"/>
        <v>8.83</v>
      </c>
      <c r="E290" s="21">
        <f t="shared" si="49"/>
        <v>1.3</v>
      </c>
      <c r="F290" s="988">
        <f t="shared" si="52"/>
        <v>1.3</v>
      </c>
      <c r="G290" s="19" t="str">
        <f t="shared" si="50"/>
        <v/>
      </c>
      <c r="H290" s="21" t="str">
        <f t="shared" si="51"/>
        <v/>
      </c>
      <c r="I290" s="61">
        <v>12</v>
      </c>
      <c r="J290" s="58" t="s">
        <v>402</v>
      </c>
      <c r="K290" s="989">
        <v>8.83</v>
      </c>
      <c r="L290" s="990">
        <v>13000</v>
      </c>
      <c r="M290" s="992">
        <v>0.497222</v>
      </c>
      <c r="N290" s="25"/>
      <c r="O290" s="25"/>
    </row>
    <row r="291" spans="1:20">
      <c r="B291" s="28">
        <f t="shared" si="47"/>
        <v>13</v>
      </c>
      <c r="C291" s="11" t="str">
        <f t="shared" si="47"/>
        <v>申万菱信基金管理有限公司</v>
      </c>
      <c r="D291" s="21">
        <f t="shared" si="48"/>
        <v>9.1999999999999993</v>
      </c>
      <c r="E291" s="21">
        <f t="shared" si="49"/>
        <v>1</v>
      </c>
      <c r="F291" s="988">
        <f t="shared" si="52"/>
        <v>1</v>
      </c>
      <c r="G291" s="19">
        <f t="shared" si="50"/>
        <v>536.95680000000004</v>
      </c>
      <c r="H291" s="21">
        <f t="shared" si="51"/>
        <v>0.49400025599999997</v>
      </c>
      <c r="I291" s="61">
        <v>13</v>
      </c>
      <c r="J291" s="639" t="s">
        <v>121</v>
      </c>
      <c r="K291" s="989">
        <v>9.1999999999999993</v>
      </c>
      <c r="L291" s="990">
        <v>10000</v>
      </c>
      <c r="M291" s="992">
        <v>0.49861100000000003</v>
      </c>
      <c r="N291" s="25"/>
      <c r="O291" s="25"/>
    </row>
    <row r="293" spans="1:20">
      <c r="A293" s="12" t="s">
        <v>106</v>
      </c>
      <c r="B293" s="12" t="s">
        <v>126</v>
      </c>
      <c r="C293" s="12" t="s">
        <v>107</v>
      </c>
      <c r="D293" s="12" t="s">
        <v>4</v>
      </c>
      <c r="E293" s="13" t="s">
        <v>108</v>
      </c>
      <c r="F293" s="13" t="s">
        <v>109</v>
      </c>
      <c r="G293" s="12" t="s">
        <v>274</v>
      </c>
      <c r="H293" s="12" t="s">
        <v>273</v>
      </c>
      <c r="I293" s="12" t="s">
        <v>116</v>
      </c>
      <c r="J293" s="14" t="s">
        <v>110</v>
      </c>
      <c r="K293" s="14" t="s">
        <v>276</v>
      </c>
      <c r="L293" s="14" t="s">
        <v>117</v>
      </c>
      <c r="M293" s="15" t="s">
        <v>275</v>
      </c>
      <c r="N293" s="12" t="s">
        <v>111</v>
      </c>
      <c r="O293" s="8" t="s">
        <v>12</v>
      </c>
      <c r="P293" s="8" t="s">
        <v>190</v>
      </c>
      <c r="Q293" s="15" t="s">
        <v>129</v>
      </c>
      <c r="R293" s="14" t="s">
        <v>220</v>
      </c>
    </row>
    <row r="294" spans="1:20">
      <c r="A294" s="11">
        <v>9</v>
      </c>
      <c r="B294" s="9" t="s">
        <v>168</v>
      </c>
      <c r="C294" s="1" t="s">
        <v>5</v>
      </c>
      <c r="D294" s="1" t="s">
        <v>2</v>
      </c>
      <c r="E294" s="3">
        <v>9.9896999999999991</v>
      </c>
      <c r="F294" s="3">
        <v>5.1230000000000002</v>
      </c>
      <c r="G294" s="2">
        <v>42383</v>
      </c>
      <c r="H294" s="2" t="s">
        <v>151</v>
      </c>
      <c r="I294" s="11">
        <v>63.5</v>
      </c>
      <c r="J294" s="3">
        <v>51.22</v>
      </c>
      <c r="K294" s="3">
        <f>J294/I294</f>
        <v>0.80661417322834639</v>
      </c>
      <c r="L294" s="3">
        <v>51.23</v>
      </c>
      <c r="M294" s="10">
        <f>L294/I294</f>
        <v>0.80677165354330704</v>
      </c>
      <c r="N294" s="47">
        <v>5</v>
      </c>
      <c r="O294" s="2">
        <v>42775</v>
      </c>
      <c r="P294" s="10">
        <v>33.18</v>
      </c>
      <c r="Q294" s="18">
        <f>(P294*(1+S294/10)+T294/10)/L294</f>
        <v>1.2982627366777282</v>
      </c>
      <c r="R294" s="11" t="s">
        <v>248</v>
      </c>
      <c r="S294" s="22" t="str">
        <f>IFERROR(RIGHT(LEFT(R294,FIND("股",R294)-1),(FIND("股",R294)-1-FIND("转",R294))),0)</f>
        <v>10</v>
      </c>
      <c r="T294" s="23" t="str">
        <f>IFERROR(RIGHT(LEFT(R294,FIND("元",R294)-1),(FIND("元",R294)-1-FIND("派",R294))),0)</f>
        <v>1.5</v>
      </c>
    </row>
    <row r="296" spans="1:20">
      <c r="B296" s="27" t="s">
        <v>118</v>
      </c>
      <c r="C296" s="16" t="s">
        <v>112</v>
      </c>
      <c r="D296" s="16" t="s">
        <v>113</v>
      </c>
      <c r="E296" s="16" t="s">
        <v>288</v>
      </c>
      <c r="F296" s="17" t="s">
        <v>287</v>
      </c>
      <c r="G296" s="16" t="s">
        <v>289</v>
      </c>
      <c r="I296" s="60" t="s">
        <v>343</v>
      </c>
      <c r="J296" s="59" t="s">
        <v>344</v>
      </c>
      <c r="K296" s="58" t="s">
        <v>367</v>
      </c>
      <c r="L296" s="60" t="s">
        <v>401</v>
      </c>
      <c r="M296" s="57"/>
      <c r="N296" s="56" t="s">
        <v>322</v>
      </c>
      <c r="O296" s="55" t="s">
        <v>400</v>
      </c>
      <c r="P296" s="55"/>
      <c r="Q296" s="55"/>
    </row>
    <row r="297" spans="1:20">
      <c r="B297" s="28">
        <f t="shared" ref="B297:C300" si="53">IF(I297=0,"",I297)</f>
        <v>1</v>
      </c>
      <c r="C297" s="11" t="str">
        <f t="shared" si="53"/>
        <v>天津联亿乾坤贸易有限公司</v>
      </c>
      <c r="D297" s="21">
        <f>K297</f>
        <v>51.23</v>
      </c>
      <c r="E297" s="21">
        <f>L297/100000000</f>
        <v>1.1526749999999999</v>
      </c>
      <c r="F297" s="19">
        <f>IFERROR(VLOOKUP(C297,N$297:P$304,2,FALSE)/10000,"")</f>
        <v>225</v>
      </c>
      <c r="G297" s="21">
        <f>IFERROR(F297*$L$294/10000,"")</f>
        <v>1.1526749999999999</v>
      </c>
      <c r="I297" s="25">
        <v>1</v>
      </c>
      <c r="J297" s="51" t="s">
        <v>399</v>
      </c>
      <c r="K297" s="53">
        <v>51.23</v>
      </c>
      <c r="L297" s="52">
        <v>115267500</v>
      </c>
      <c r="M297" s="52"/>
      <c r="N297" s="51" t="s">
        <v>399</v>
      </c>
      <c r="O297" s="50">
        <v>2250000</v>
      </c>
      <c r="P297" s="50"/>
      <c r="Q297" s="50"/>
    </row>
    <row r="298" spans="1:20">
      <c r="B298" s="28">
        <f t="shared" si="53"/>
        <v>2</v>
      </c>
      <c r="C298" s="11" t="str">
        <f t="shared" si="53"/>
        <v>北京隆达创展科贸有限公司</v>
      </c>
      <c r="D298" s="21">
        <f>K298</f>
        <v>51.23</v>
      </c>
      <c r="E298" s="21">
        <f>L298/100000000</f>
        <v>1.1526749999999999</v>
      </c>
      <c r="F298" s="19">
        <f>IFERROR(VLOOKUP(C298,N$297:P$304,2,FALSE)/10000,"")</f>
        <v>225</v>
      </c>
      <c r="G298" s="21">
        <f>IFERROR(F298*$L$294/10000,"")</f>
        <v>1.1526749999999999</v>
      </c>
      <c r="I298" s="25">
        <v>2</v>
      </c>
      <c r="J298" s="51" t="s">
        <v>123</v>
      </c>
      <c r="K298" s="53">
        <v>51.23</v>
      </c>
      <c r="L298" s="52">
        <v>115267500</v>
      </c>
      <c r="M298" s="52"/>
      <c r="N298" s="51" t="s">
        <v>123</v>
      </c>
      <c r="O298" s="50">
        <v>2250000</v>
      </c>
      <c r="P298" s="50"/>
      <c r="Q298" s="50"/>
    </row>
    <row r="299" spans="1:20">
      <c r="B299" s="28">
        <f t="shared" si="53"/>
        <v>3</v>
      </c>
      <c r="C299" s="11" t="str">
        <f t="shared" si="53"/>
        <v>北京中京伟业投资管理有限责任公司</v>
      </c>
      <c r="D299" s="21">
        <f>K299</f>
        <v>51.23</v>
      </c>
      <c r="E299" s="21">
        <f>L299/100000000</f>
        <v>1.1526749999999999</v>
      </c>
      <c r="F299" s="19">
        <f>IFERROR(VLOOKUP(C299,N$297:P$304,2,FALSE)/10000,"")</f>
        <v>225</v>
      </c>
      <c r="G299" s="21">
        <f>IFERROR(F299*$L$294/10000,"")</f>
        <v>1.1526749999999999</v>
      </c>
      <c r="I299" s="25">
        <v>3</v>
      </c>
      <c r="J299" s="51" t="s">
        <v>398</v>
      </c>
      <c r="K299" s="53">
        <v>51.23</v>
      </c>
      <c r="L299" s="52">
        <v>115267500</v>
      </c>
      <c r="M299" s="52"/>
      <c r="N299" s="51" t="s">
        <v>398</v>
      </c>
      <c r="O299" s="54">
        <v>2250000</v>
      </c>
      <c r="P299" s="54"/>
      <c r="Q299" s="54"/>
    </row>
    <row r="300" spans="1:20">
      <c r="B300" s="28">
        <f t="shared" si="53"/>
        <v>4</v>
      </c>
      <c r="C300" s="11" t="str">
        <f t="shared" si="53"/>
        <v>大连乾阳科技有限公司</v>
      </c>
      <c r="D300" s="21">
        <f>K300</f>
        <v>51.23</v>
      </c>
      <c r="E300" s="21">
        <f>L300/100000000</f>
        <v>1.1526749999999999</v>
      </c>
      <c r="F300" s="19">
        <f>IFERROR(VLOOKUP(C300,N$297:P$304,2,FALSE)/10000,"")</f>
        <v>225</v>
      </c>
      <c r="G300" s="21">
        <f>IFERROR(F300*$L$294/10000,"")</f>
        <v>1.1526749999999999</v>
      </c>
      <c r="I300" s="25">
        <v>4</v>
      </c>
      <c r="J300" s="51" t="s">
        <v>397</v>
      </c>
      <c r="K300" s="53">
        <v>51.23</v>
      </c>
      <c r="L300" s="52">
        <v>115267500</v>
      </c>
      <c r="M300" s="52"/>
      <c r="N300" s="51" t="s">
        <v>397</v>
      </c>
      <c r="O300" s="50">
        <v>2250000</v>
      </c>
      <c r="P300" s="50"/>
      <c r="Q300" s="50"/>
    </row>
    <row r="301" spans="1:20">
      <c r="I301" s="25"/>
      <c r="J301" s="25"/>
      <c r="K301" s="25"/>
      <c r="L301" s="25"/>
      <c r="M301" s="25"/>
      <c r="N301" s="49" t="s">
        <v>396</v>
      </c>
      <c r="O301" s="48">
        <v>1000000</v>
      </c>
      <c r="P301" s="25"/>
      <c r="Q301" s="25"/>
    </row>
    <row r="302" spans="1:20">
      <c r="B302" s="28"/>
      <c r="C302" s="16" t="s">
        <v>395</v>
      </c>
      <c r="D302" s="16"/>
      <c r="E302" s="16"/>
      <c r="F302" s="16"/>
      <c r="G302" s="16"/>
      <c r="I302" s="25"/>
      <c r="J302" s="25"/>
      <c r="K302" s="25"/>
      <c r="L302" s="25"/>
      <c r="M302" s="25"/>
      <c r="N302" s="25"/>
      <c r="O302" s="25"/>
      <c r="P302" s="25"/>
      <c r="Q302" s="25"/>
    </row>
    <row r="303" spans="1:20">
      <c r="B303" s="28">
        <v>1</v>
      </c>
      <c r="C303" s="37" t="str">
        <f>N301</f>
        <v>荣继华</v>
      </c>
      <c r="D303" s="21"/>
      <c r="E303" s="21"/>
      <c r="F303" s="19">
        <f>IFERROR(VLOOKUP(C303,N$297:P$304,2,FALSE)/10000,"")</f>
        <v>100</v>
      </c>
      <c r="G303" s="21">
        <f>IFERROR(F303*$L$294/10000,"")</f>
        <v>0.51229999999999998</v>
      </c>
      <c r="I303" s="25"/>
      <c r="J303" s="25"/>
      <c r="K303" s="25"/>
      <c r="L303" s="25"/>
      <c r="M303" s="25"/>
      <c r="N303" s="25"/>
      <c r="O303" s="25"/>
      <c r="P303" s="25"/>
      <c r="Q303" s="25"/>
    </row>
    <row r="305" spans="1:20">
      <c r="A305" s="12" t="s">
        <v>106</v>
      </c>
      <c r="B305" s="12" t="s">
        <v>126</v>
      </c>
      <c r="C305" s="12" t="s">
        <v>107</v>
      </c>
      <c r="D305" s="12" t="s">
        <v>4</v>
      </c>
      <c r="E305" s="13" t="s">
        <v>108</v>
      </c>
      <c r="F305" s="13" t="s">
        <v>109</v>
      </c>
      <c r="G305" s="12" t="s">
        <v>274</v>
      </c>
      <c r="H305" s="12" t="s">
        <v>273</v>
      </c>
      <c r="I305" s="12" t="s">
        <v>116</v>
      </c>
      <c r="J305" s="14" t="s">
        <v>110</v>
      </c>
      <c r="K305" s="14" t="s">
        <v>276</v>
      </c>
      <c r="L305" s="14" t="s">
        <v>117</v>
      </c>
      <c r="M305" s="15" t="s">
        <v>275</v>
      </c>
      <c r="N305" s="12" t="s">
        <v>111</v>
      </c>
      <c r="O305" s="8" t="s">
        <v>12</v>
      </c>
      <c r="P305" s="8" t="s">
        <v>190</v>
      </c>
      <c r="Q305" s="15" t="s">
        <v>129</v>
      </c>
      <c r="R305" s="14" t="s">
        <v>220</v>
      </c>
    </row>
    <row r="306" spans="1:20">
      <c r="A306" s="11">
        <v>10</v>
      </c>
      <c r="B306" s="9" t="s">
        <v>169</v>
      </c>
      <c r="C306" s="1" t="s">
        <v>47</v>
      </c>
      <c r="D306" s="1" t="s">
        <v>46</v>
      </c>
      <c r="E306" s="3">
        <v>10.3325</v>
      </c>
      <c r="F306" s="3">
        <v>10.33248699</v>
      </c>
      <c r="G306" s="2">
        <v>42374</v>
      </c>
      <c r="H306" s="2" t="s">
        <v>151</v>
      </c>
      <c r="I306" s="11">
        <v>18.989999999999998</v>
      </c>
      <c r="J306" s="3">
        <v>15.67</v>
      </c>
      <c r="K306" s="3">
        <f>J306/I306</f>
        <v>0.82517114270668779</v>
      </c>
      <c r="L306" s="3">
        <v>16.87</v>
      </c>
      <c r="M306" s="10">
        <f>L306/I306</f>
        <v>0.88836229594523441</v>
      </c>
      <c r="N306" s="47">
        <v>9</v>
      </c>
      <c r="O306" s="2">
        <v>42772</v>
      </c>
      <c r="P306" s="10">
        <v>15</v>
      </c>
      <c r="Q306" s="18">
        <f>(P306*(1+S306/10)+T306/10)/L306</f>
        <v>0.89508002371072903</v>
      </c>
      <c r="R306" s="11" t="s">
        <v>242</v>
      </c>
      <c r="S306" s="22">
        <f>IFERROR(RIGHT(LEFT(R306,FIND("股",R306)-1),(FIND("股",R306)-1-FIND("转",R306))),0)</f>
        <v>0</v>
      </c>
      <c r="T306" s="23" t="str">
        <f>IFERROR(RIGHT(LEFT(R306,FIND("元",R306)-1),(FIND("元",R306)-1-FIND("派",R306))),0)</f>
        <v>1.00</v>
      </c>
    </row>
    <row r="308" spans="1:20" ht="20" customHeight="1">
      <c r="B308" s="27" t="s">
        <v>118</v>
      </c>
      <c r="C308" s="16" t="s">
        <v>112</v>
      </c>
      <c r="D308" s="16" t="s">
        <v>113</v>
      </c>
      <c r="E308" s="16" t="s">
        <v>288</v>
      </c>
      <c r="F308" s="17" t="s">
        <v>287</v>
      </c>
      <c r="G308" s="16" t="s">
        <v>289</v>
      </c>
      <c r="I308" s="46" t="s">
        <v>118</v>
      </c>
      <c r="J308" s="46" t="s">
        <v>322</v>
      </c>
      <c r="K308" s="41" t="s">
        <v>394</v>
      </c>
      <c r="L308" s="46" t="s">
        <v>393</v>
      </c>
      <c r="M308" s="39"/>
      <c r="N308" s="46" t="s">
        <v>392</v>
      </c>
      <c r="O308" s="45" t="s">
        <v>323</v>
      </c>
      <c r="P308" s="25"/>
      <c r="Q308" s="25"/>
    </row>
    <row r="309" spans="1:20" ht="15">
      <c r="B309" s="28">
        <f t="shared" ref="B309:C345" si="54">IF(I309=0,"",I309)</f>
        <v>1</v>
      </c>
      <c r="C309" s="11" t="str">
        <f t="shared" si="54"/>
        <v>嘉实基金管理有限公司</v>
      </c>
      <c r="D309" s="21">
        <f t="shared" ref="D309:D345" si="55">K309</f>
        <v>18.52</v>
      </c>
      <c r="E309" s="21">
        <f t="shared" ref="E309:E345" si="56">L309/10000</f>
        <v>1.0329999999999999</v>
      </c>
      <c r="F309" s="19">
        <f t="shared" ref="F309:F345" si="57">IFERROR(VLOOKUP(C309,N$309:P$318,2,FALSE)/10000,"")</f>
        <v>1224.6500000000001</v>
      </c>
      <c r="G309" s="21">
        <f t="shared" ref="G309:G345" si="58">IFERROR(F309*$L$306/10000,"")</f>
        <v>2.0659845500000005</v>
      </c>
      <c r="I309" s="993">
        <v>1</v>
      </c>
      <c r="J309" s="42" t="s">
        <v>228</v>
      </c>
      <c r="K309" s="994">
        <v>18.52</v>
      </c>
      <c r="L309" s="995">
        <v>10330</v>
      </c>
      <c r="M309" s="39"/>
      <c r="N309" s="40" t="s">
        <v>228</v>
      </c>
      <c r="O309" s="996">
        <v>12246500</v>
      </c>
      <c r="P309" s="25"/>
      <c r="Q309" s="44"/>
      <c r="R309" s="31"/>
    </row>
    <row r="310" spans="1:20" ht="15">
      <c r="B310" s="28" t="str">
        <f t="shared" si="54"/>
        <v/>
      </c>
      <c r="C310" s="11" t="str">
        <f t="shared" si="54"/>
        <v/>
      </c>
      <c r="D310" s="21">
        <f t="shared" si="55"/>
        <v>17.52</v>
      </c>
      <c r="E310" s="21">
        <f t="shared" si="56"/>
        <v>2.0659999999999998</v>
      </c>
      <c r="F310" s="19" t="str">
        <f t="shared" si="57"/>
        <v/>
      </c>
      <c r="G310" s="21" t="str">
        <f t="shared" si="58"/>
        <v/>
      </c>
      <c r="I310" s="993"/>
      <c r="J310" s="42"/>
      <c r="K310" s="994">
        <v>17.52</v>
      </c>
      <c r="L310" s="995">
        <v>20660</v>
      </c>
      <c r="M310" s="39"/>
      <c r="N310" s="40" t="s">
        <v>142</v>
      </c>
      <c r="O310" s="996">
        <v>5927600</v>
      </c>
      <c r="P310" s="25"/>
      <c r="Q310" s="26"/>
    </row>
    <row r="311" spans="1:20" ht="15">
      <c r="B311" s="28">
        <f t="shared" si="54"/>
        <v>2</v>
      </c>
      <c r="C311" s="11" t="str">
        <f t="shared" si="54"/>
        <v>招商财富资产管理有限公司</v>
      </c>
      <c r="D311" s="21">
        <f t="shared" si="55"/>
        <v>17.66</v>
      </c>
      <c r="E311" s="21">
        <f t="shared" si="56"/>
        <v>1</v>
      </c>
      <c r="F311" s="19">
        <f t="shared" si="57"/>
        <v>592.76</v>
      </c>
      <c r="G311" s="21">
        <f t="shared" si="58"/>
        <v>0.99998612000000009</v>
      </c>
      <c r="I311" s="993">
        <v>2</v>
      </c>
      <c r="J311" s="42" t="s">
        <v>142</v>
      </c>
      <c r="K311" s="994">
        <v>17.66</v>
      </c>
      <c r="L311" s="995">
        <v>10000</v>
      </c>
      <c r="M311" s="39"/>
      <c r="N311" s="40" t="s">
        <v>285</v>
      </c>
      <c r="O311" s="996">
        <v>5927600</v>
      </c>
      <c r="P311" s="25"/>
      <c r="Q311" s="26"/>
    </row>
    <row r="312" spans="1:20" ht="15">
      <c r="B312" s="28" t="str">
        <f t="shared" si="54"/>
        <v/>
      </c>
      <c r="C312" s="11" t="str">
        <f t="shared" si="54"/>
        <v/>
      </c>
      <c r="D312" s="21">
        <f t="shared" si="55"/>
        <v>16.14</v>
      </c>
      <c r="E312" s="21">
        <f t="shared" si="56"/>
        <v>1.54</v>
      </c>
      <c r="F312" s="19" t="str">
        <f t="shared" si="57"/>
        <v/>
      </c>
      <c r="G312" s="21" t="str">
        <f t="shared" si="58"/>
        <v/>
      </c>
      <c r="I312" s="993"/>
      <c r="J312" s="42"/>
      <c r="K312" s="994">
        <v>16.14</v>
      </c>
      <c r="L312" s="995">
        <v>15400</v>
      </c>
      <c r="M312" s="39"/>
      <c r="N312" s="40" t="s">
        <v>391</v>
      </c>
      <c r="O312" s="996">
        <v>5927600</v>
      </c>
      <c r="P312" s="25"/>
      <c r="Q312" s="26"/>
    </row>
    <row r="313" spans="1:20" ht="15">
      <c r="B313" s="28">
        <f t="shared" si="54"/>
        <v>3</v>
      </c>
      <c r="C313" s="11" t="str">
        <f t="shared" si="54"/>
        <v>鹏华资产管理（深圳）有限公司</v>
      </c>
      <c r="D313" s="21">
        <f t="shared" si="55"/>
        <v>17.52</v>
      </c>
      <c r="E313" s="21">
        <f t="shared" si="56"/>
        <v>1</v>
      </c>
      <c r="F313" s="19">
        <f t="shared" si="57"/>
        <v>592.76</v>
      </c>
      <c r="G313" s="21">
        <f t="shared" si="58"/>
        <v>0.99998612000000009</v>
      </c>
      <c r="I313" s="993">
        <v>3</v>
      </c>
      <c r="J313" s="42" t="s">
        <v>285</v>
      </c>
      <c r="K313" s="994">
        <v>17.52</v>
      </c>
      <c r="L313" s="995">
        <v>10000</v>
      </c>
      <c r="M313" s="39"/>
      <c r="N313" s="40" t="s">
        <v>115</v>
      </c>
      <c r="O313" s="997">
        <v>8180200</v>
      </c>
      <c r="P313" s="25"/>
      <c r="Q313" s="26"/>
    </row>
    <row r="314" spans="1:20" ht="15">
      <c r="B314" s="28" t="str">
        <f t="shared" si="54"/>
        <v/>
      </c>
      <c r="C314" s="11" t="str">
        <f t="shared" si="54"/>
        <v/>
      </c>
      <c r="D314" s="21">
        <f t="shared" si="55"/>
        <v>17.010000000000002</v>
      </c>
      <c r="E314" s="21">
        <f t="shared" si="56"/>
        <v>1</v>
      </c>
      <c r="F314" s="19" t="str">
        <f t="shared" si="57"/>
        <v/>
      </c>
      <c r="G314" s="21" t="str">
        <f t="shared" si="58"/>
        <v/>
      </c>
      <c r="I314" s="993"/>
      <c r="J314" s="42"/>
      <c r="K314" s="994">
        <v>17.010000000000002</v>
      </c>
      <c r="L314" s="995">
        <v>10000</v>
      </c>
      <c r="M314" s="39"/>
      <c r="N314" s="40" t="s">
        <v>389</v>
      </c>
      <c r="O314" s="997">
        <v>6520400</v>
      </c>
      <c r="P314" s="25"/>
      <c r="Q314" s="26"/>
    </row>
    <row r="315" spans="1:20" ht="15">
      <c r="B315" s="28" t="str">
        <f t="shared" si="54"/>
        <v/>
      </c>
      <c r="C315" s="11" t="str">
        <f t="shared" si="54"/>
        <v/>
      </c>
      <c r="D315" s="21">
        <f t="shared" si="55"/>
        <v>16.010000000000002</v>
      </c>
      <c r="E315" s="21">
        <f t="shared" si="56"/>
        <v>1</v>
      </c>
      <c r="F315" s="19" t="str">
        <f t="shared" si="57"/>
        <v/>
      </c>
      <c r="G315" s="21" t="str">
        <f t="shared" si="58"/>
        <v/>
      </c>
      <c r="I315" s="993"/>
      <c r="J315" s="42"/>
      <c r="K315" s="994">
        <v>16.010000000000002</v>
      </c>
      <c r="L315" s="995">
        <v>10000</v>
      </c>
      <c r="M315" s="39"/>
      <c r="N315" s="40" t="s">
        <v>131</v>
      </c>
      <c r="O315" s="997">
        <v>5927600</v>
      </c>
      <c r="P315" s="25"/>
      <c r="Q315" s="26"/>
    </row>
    <row r="316" spans="1:20" ht="15">
      <c r="B316" s="28">
        <f t="shared" si="54"/>
        <v>4</v>
      </c>
      <c r="C316" s="11" t="str">
        <f t="shared" si="54"/>
        <v>国联证券股份有限公司</v>
      </c>
      <c r="D316" s="21">
        <f t="shared" si="55"/>
        <v>17.5</v>
      </c>
      <c r="E316" s="21">
        <f t="shared" si="56"/>
        <v>1</v>
      </c>
      <c r="F316" s="19">
        <f t="shared" si="57"/>
        <v>592.76</v>
      </c>
      <c r="G316" s="21">
        <f t="shared" si="58"/>
        <v>0.99998612000000009</v>
      </c>
      <c r="I316" s="995">
        <v>4</v>
      </c>
      <c r="J316" s="40" t="s">
        <v>391</v>
      </c>
      <c r="K316" s="994">
        <v>17.5</v>
      </c>
      <c r="L316" s="995">
        <v>10000</v>
      </c>
      <c r="M316" s="39"/>
      <c r="N316" s="40" t="s">
        <v>13</v>
      </c>
      <c r="O316" s="997">
        <v>7113200</v>
      </c>
      <c r="P316" s="25"/>
      <c r="Q316" s="25"/>
    </row>
    <row r="317" spans="1:20" ht="15">
      <c r="B317" s="28">
        <f t="shared" si="54"/>
        <v>5</v>
      </c>
      <c r="C317" s="11" t="str">
        <f t="shared" si="54"/>
        <v>上海长江财富资产管理有限公司</v>
      </c>
      <c r="D317" s="21">
        <f t="shared" si="55"/>
        <v>17.5</v>
      </c>
      <c r="E317" s="21">
        <f t="shared" si="56"/>
        <v>1</v>
      </c>
      <c r="F317" s="19" t="str">
        <f t="shared" si="57"/>
        <v/>
      </c>
      <c r="G317" s="21" t="str">
        <f t="shared" si="58"/>
        <v/>
      </c>
      <c r="I317" s="995">
        <v>5</v>
      </c>
      <c r="J317" s="40" t="s">
        <v>390</v>
      </c>
      <c r="K317" s="994">
        <v>17.5</v>
      </c>
      <c r="L317" s="995">
        <v>10000</v>
      </c>
      <c r="M317" s="39"/>
      <c r="N317" s="40" t="s">
        <v>124</v>
      </c>
      <c r="O317" s="997">
        <v>3477000</v>
      </c>
      <c r="P317" s="25"/>
      <c r="Q317" s="25"/>
    </row>
    <row r="318" spans="1:20" ht="15">
      <c r="B318" s="28">
        <f t="shared" si="54"/>
        <v>6</v>
      </c>
      <c r="C318" s="11" t="str">
        <f t="shared" si="54"/>
        <v>财通基金管理有限公司</v>
      </c>
      <c r="D318" s="21">
        <f t="shared" si="55"/>
        <v>17.2</v>
      </c>
      <c r="E318" s="21">
        <f t="shared" si="56"/>
        <v>1.38</v>
      </c>
      <c r="F318" s="19">
        <f t="shared" si="57"/>
        <v>818.02</v>
      </c>
      <c r="G318" s="21">
        <f t="shared" si="58"/>
        <v>1.3799997399999999</v>
      </c>
      <c r="I318" s="993">
        <v>6</v>
      </c>
      <c r="J318" s="43" t="s">
        <v>115</v>
      </c>
      <c r="K318" s="994">
        <v>17.2</v>
      </c>
      <c r="L318" s="995">
        <v>13800</v>
      </c>
      <c r="M318" s="39"/>
      <c r="N318" s="39"/>
      <c r="O318" s="25"/>
      <c r="P318" s="25"/>
      <c r="Q318" s="25"/>
    </row>
    <row r="319" spans="1:20" ht="15">
      <c r="B319" s="28" t="str">
        <f t="shared" si="54"/>
        <v/>
      </c>
      <c r="C319" s="11" t="str">
        <f t="shared" si="54"/>
        <v/>
      </c>
      <c r="D319" s="21">
        <f t="shared" si="55"/>
        <v>16.5</v>
      </c>
      <c r="E319" s="21">
        <f t="shared" si="56"/>
        <v>2.9830000000000001</v>
      </c>
      <c r="F319" s="19" t="str">
        <f t="shared" si="57"/>
        <v/>
      </c>
      <c r="G319" s="21" t="str">
        <f t="shared" si="58"/>
        <v/>
      </c>
      <c r="I319" s="993"/>
      <c r="J319" s="43"/>
      <c r="K319" s="994">
        <v>16.5</v>
      </c>
      <c r="L319" s="995">
        <v>29830</v>
      </c>
      <c r="M319" s="39"/>
      <c r="N319" s="39"/>
      <c r="O319" s="25"/>
      <c r="P319" s="25"/>
      <c r="Q319" s="25"/>
    </row>
    <row r="320" spans="1:20" ht="15">
      <c r="B320" s="28" t="str">
        <f t="shared" si="54"/>
        <v/>
      </c>
      <c r="C320" s="11" t="str">
        <f t="shared" si="54"/>
        <v/>
      </c>
      <c r="D320" s="21">
        <f t="shared" si="55"/>
        <v>16</v>
      </c>
      <c r="E320" s="21">
        <f t="shared" si="56"/>
        <v>5.1059999999999999</v>
      </c>
      <c r="F320" s="19" t="str">
        <f t="shared" si="57"/>
        <v/>
      </c>
      <c r="G320" s="21" t="str">
        <f t="shared" si="58"/>
        <v/>
      </c>
      <c r="I320" s="993"/>
      <c r="J320" s="43"/>
      <c r="K320" s="994">
        <v>16</v>
      </c>
      <c r="L320" s="995">
        <v>51060</v>
      </c>
      <c r="M320" s="39"/>
      <c r="N320" s="39"/>
      <c r="O320" s="25"/>
      <c r="P320" s="25"/>
      <c r="Q320" s="25"/>
    </row>
    <row r="321" spans="2:17" ht="15">
      <c r="B321" s="28">
        <f t="shared" si="54"/>
        <v>7</v>
      </c>
      <c r="C321" s="11" t="str">
        <f t="shared" si="54"/>
        <v>安徽国元信托有限责任公司</v>
      </c>
      <c r="D321" s="21">
        <f t="shared" si="55"/>
        <v>17.09</v>
      </c>
      <c r="E321" s="21">
        <f t="shared" si="56"/>
        <v>1.1000000000000001</v>
      </c>
      <c r="F321" s="19">
        <f t="shared" si="57"/>
        <v>652.04</v>
      </c>
      <c r="G321" s="21">
        <f t="shared" si="58"/>
        <v>1.0999914800000001</v>
      </c>
      <c r="I321" s="993">
        <v>7</v>
      </c>
      <c r="J321" s="42" t="s">
        <v>389</v>
      </c>
      <c r="K321" s="994">
        <v>17.09</v>
      </c>
      <c r="L321" s="995">
        <v>11000</v>
      </c>
      <c r="M321" s="39"/>
      <c r="N321" s="39"/>
      <c r="O321" s="25"/>
      <c r="P321" s="25"/>
      <c r="Q321" s="25"/>
    </row>
    <row r="322" spans="2:17" ht="15">
      <c r="B322" s="28" t="str">
        <f t="shared" si="54"/>
        <v/>
      </c>
      <c r="C322" s="11" t="str">
        <f t="shared" si="54"/>
        <v/>
      </c>
      <c r="D322" s="21">
        <f t="shared" si="55"/>
        <v>16.149999999999999</v>
      </c>
      <c r="E322" s="21">
        <f t="shared" si="56"/>
        <v>1.1000000000000001</v>
      </c>
      <c r="F322" s="19" t="str">
        <f t="shared" si="57"/>
        <v/>
      </c>
      <c r="G322" s="21" t="str">
        <f t="shared" si="58"/>
        <v/>
      </c>
      <c r="I322" s="993"/>
      <c r="J322" s="42"/>
      <c r="K322" s="994">
        <v>16.149999999999999</v>
      </c>
      <c r="L322" s="995">
        <v>11000</v>
      </c>
      <c r="M322" s="39"/>
      <c r="N322" s="39"/>
      <c r="O322" s="25"/>
      <c r="P322" s="25"/>
      <c r="Q322" s="25"/>
    </row>
    <row r="323" spans="2:17" ht="15">
      <c r="B323" s="28" t="str">
        <f t="shared" si="54"/>
        <v/>
      </c>
      <c r="C323" s="11" t="str">
        <f t="shared" si="54"/>
        <v/>
      </c>
      <c r="D323" s="21">
        <f t="shared" si="55"/>
        <v>15.67</v>
      </c>
      <c r="E323" s="21">
        <f t="shared" si="56"/>
        <v>1.1000000000000001</v>
      </c>
      <c r="F323" s="19" t="str">
        <f t="shared" si="57"/>
        <v/>
      </c>
      <c r="G323" s="21" t="str">
        <f t="shared" si="58"/>
        <v/>
      </c>
      <c r="I323" s="993"/>
      <c r="J323" s="42"/>
      <c r="K323" s="994">
        <v>15.67</v>
      </c>
      <c r="L323" s="995">
        <v>11000</v>
      </c>
      <c r="M323" s="39"/>
      <c r="N323" s="39"/>
      <c r="O323" s="25"/>
      <c r="P323" s="25"/>
      <c r="Q323" s="25"/>
    </row>
    <row r="324" spans="2:17" ht="15">
      <c r="B324" s="28">
        <f t="shared" si="54"/>
        <v>8</v>
      </c>
      <c r="C324" s="11" t="str">
        <f t="shared" si="54"/>
        <v>兴业全球基金管理有限公司</v>
      </c>
      <c r="D324" s="21">
        <f t="shared" si="55"/>
        <v>17.05</v>
      </c>
      <c r="E324" s="21">
        <f t="shared" si="56"/>
        <v>1</v>
      </c>
      <c r="F324" s="19">
        <f t="shared" si="57"/>
        <v>592.76</v>
      </c>
      <c r="G324" s="21">
        <f t="shared" si="58"/>
        <v>0.99998612000000009</v>
      </c>
      <c r="I324" s="993">
        <v>8</v>
      </c>
      <c r="J324" s="42" t="s">
        <v>131</v>
      </c>
      <c r="K324" s="994">
        <v>17.05</v>
      </c>
      <c r="L324" s="995">
        <v>10000</v>
      </c>
      <c r="M324" s="39"/>
      <c r="N324" s="39"/>
      <c r="O324" s="25"/>
      <c r="P324" s="25"/>
      <c r="Q324" s="25"/>
    </row>
    <row r="325" spans="2:17" ht="15">
      <c r="B325" s="28" t="str">
        <f t="shared" si="54"/>
        <v/>
      </c>
      <c r="C325" s="11" t="str">
        <f t="shared" si="54"/>
        <v/>
      </c>
      <c r="D325" s="21">
        <f t="shared" si="55"/>
        <v>15.78</v>
      </c>
      <c r="E325" s="21">
        <f t="shared" si="56"/>
        <v>2.7949999999999999</v>
      </c>
      <c r="F325" s="19" t="str">
        <f t="shared" si="57"/>
        <v/>
      </c>
      <c r="G325" s="21" t="str">
        <f t="shared" si="58"/>
        <v/>
      </c>
      <c r="I325" s="993"/>
      <c r="J325" s="42"/>
      <c r="K325" s="994">
        <v>15.78</v>
      </c>
      <c r="L325" s="995">
        <v>27950</v>
      </c>
      <c r="M325" s="39"/>
      <c r="N325" s="39"/>
      <c r="O325" s="25"/>
      <c r="P325" s="25"/>
      <c r="Q325" s="25"/>
    </row>
    <row r="326" spans="2:17" ht="15">
      <c r="B326" s="28">
        <f t="shared" si="54"/>
        <v>9</v>
      </c>
      <c r="C326" s="11" t="str">
        <f t="shared" si="54"/>
        <v>中国银河证券股份有限公司</v>
      </c>
      <c r="D326" s="21">
        <f t="shared" si="55"/>
        <v>16.88</v>
      </c>
      <c r="E326" s="21">
        <f t="shared" si="56"/>
        <v>1.2</v>
      </c>
      <c r="F326" s="19">
        <f t="shared" si="57"/>
        <v>711.32</v>
      </c>
      <c r="G326" s="21">
        <f t="shared" si="58"/>
        <v>1.1999968400000001</v>
      </c>
      <c r="I326" s="995">
        <v>9</v>
      </c>
      <c r="J326" s="40" t="s">
        <v>13</v>
      </c>
      <c r="K326" s="994">
        <v>16.88</v>
      </c>
      <c r="L326" s="995">
        <v>12000</v>
      </c>
      <c r="M326" s="39"/>
      <c r="N326" s="39"/>
      <c r="O326" s="25"/>
      <c r="P326" s="25"/>
      <c r="Q326" s="25"/>
    </row>
    <row r="327" spans="2:17" ht="15">
      <c r="B327" s="28">
        <f t="shared" si="54"/>
        <v>10</v>
      </c>
      <c r="C327" s="11" t="str">
        <f t="shared" si="54"/>
        <v>泰康资产管理有限责任公司</v>
      </c>
      <c r="D327" s="21">
        <f t="shared" si="55"/>
        <v>16.87</v>
      </c>
      <c r="E327" s="21">
        <f t="shared" si="56"/>
        <v>2.488</v>
      </c>
      <c r="F327" s="19">
        <f t="shared" si="57"/>
        <v>347.7</v>
      </c>
      <c r="G327" s="21">
        <f t="shared" si="58"/>
        <v>0.58656990000000009</v>
      </c>
      <c r="I327" s="993">
        <v>10</v>
      </c>
      <c r="J327" s="42" t="s">
        <v>124</v>
      </c>
      <c r="K327" s="994">
        <v>16.87</v>
      </c>
      <c r="L327" s="995">
        <v>24880</v>
      </c>
      <c r="M327" s="39"/>
      <c r="N327" s="39"/>
      <c r="O327" s="25"/>
      <c r="P327" s="25"/>
      <c r="Q327" s="25"/>
    </row>
    <row r="328" spans="2:17" ht="15">
      <c r="B328" s="28" t="str">
        <f t="shared" si="54"/>
        <v/>
      </c>
      <c r="C328" s="11" t="str">
        <f t="shared" si="54"/>
        <v/>
      </c>
      <c r="D328" s="21">
        <f t="shared" si="55"/>
        <v>15.93</v>
      </c>
      <c r="E328" s="21">
        <f t="shared" si="56"/>
        <v>3.0979999999999999</v>
      </c>
      <c r="F328" s="19" t="str">
        <f t="shared" si="57"/>
        <v/>
      </c>
      <c r="G328" s="21" t="str">
        <f t="shared" si="58"/>
        <v/>
      </c>
      <c r="I328" s="993"/>
      <c r="J328" s="42"/>
      <c r="K328" s="994">
        <v>15.93</v>
      </c>
      <c r="L328" s="995">
        <v>30980</v>
      </c>
      <c r="M328" s="39"/>
      <c r="N328" s="39"/>
      <c r="O328" s="25"/>
      <c r="P328" s="25"/>
      <c r="Q328" s="25"/>
    </row>
    <row r="329" spans="2:17" ht="15">
      <c r="B329" s="28">
        <f t="shared" si="54"/>
        <v>11</v>
      </c>
      <c r="C329" s="11" t="str">
        <f t="shared" si="54"/>
        <v>中国银河投资管理有限公司</v>
      </c>
      <c r="D329" s="21">
        <f t="shared" si="55"/>
        <v>16.87</v>
      </c>
      <c r="E329" s="21">
        <f t="shared" si="56"/>
        <v>1.04</v>
      </c>
      <c r="F329" s="19" t="str">
        <f t="shared" si="57"/>
        <v/>
      </c>
      <c r="G329" s="21" t="str">
        <f t="shared" si="58"/>
        <v/>
      </c>
      <c r="I329" s="993">
        <v>11</v>
      </c>
      <c r="J329" s="42" t="s">
        <v>149</v>
      </c>
      <c r="K329" s="994">
        <v>16.87</v>
      </c>
      <c r="L329" s="995">
        <v>10400</v>
      </c>
      <c r="M329" s="39"/>
      <c r="N329" s="39"/>
      <c r="O329" s="25"/>
      <c r="P329" s="25"/>
      <c r="Q329" s="25"/>
    </row>
    <row r="330" spans="2:17" ht="15">
      <c r="B330" s="28" t="str">
        <f t="shared" si="54"/>
        <v/>
      </c>
      <c r="C330" s="11" t="str">
        <f t="shared" si="54"/>
        <v/>
      </c>
      <c r="D330" s="21">
        <f t="shared" si="55"/>
        <v>16.100000000000001</v>
      </c>
      <c r="E330" s="21">
        <f t="shared" si="56"/>
        <v>1.1000000000000001</v>
      </c>
      <c r="F330" s="19" t="str">
        <f t="shared" si="57"/>
        <v/>
      </c>
      <c r="G330" s="21" t="str">
        <f t="shared" si="58"/>
        <v/>
      </c>
      <c r="I330" s="993"/>
      <c r="J330" s="42"/>
      <c r="K330" s="994">
        <v>16.100000000000001</v>
      </c>
      <c r="L330" s="995">
        <v>11000</v>
      </c>
      <c r="M330" s="39"/>
      <c r="N330" s="39"/>
      <c r="O330" s="25"/>
      <c r="P330" s="25"/>
      <c r="Q330" s="25"/>
    </row>
    <row r="331" spans="2:17" ht="15">
      <c r="B331" s="28">
        <f t="shared" si="54"/>
        <v>12</v>
      </c>
      <c r="C331" s="11" t="str">
        <f t="shared" si="54"/>
        <v>华宝信托有限责任公司</v>
      </c>
      <c r="D331" s="21">
        <f t="shared" si="55"/>
        <v>16.579999999999998</v>
      </c>
      <c r="E331" s="21">
        <f t="shared" si="56"/>
        <v>1.54</v>
      </c>
      <c r="F331" s="19" t="str">
        <f t="shared" si="57"/>
        <v/>
      </c>
      <c r="G331" s="21" t="str">
        <f t="shared" si="58"/>
        <v/>
      </c>
      <c r="I331" s="993">
        <v>12</v>
      </c>
      <c r="J331" s="43" t="s">
        <v>156</v>
      </c>
      <c r="K331" s="994">
        <v>16.579999999999998</v>
      </c>
      <c r="L331" s="998">
        <v>15400</v>
      </c>
      <c r="M331" s="39"/>
      <c r="N331" s="39"/>
      <c r="O331" s="25"/>
      <c r="P331" s="25"/>
      <c r="Q331" s="25"/>
    </row>
    <row r="332" spans="2:17" ht="15">
      <c r="B332" s="28" t="str">
        <f t="shared" si="54"/>
        <v/>
      </c>
      <c r="C332" s="11" t="str">
        <f t="shared" si="54"/>
        <v/>
      </c>
      <c r="D332" s="21">
        <f t="shared" si="55"/>
        <v>16.16</v>
      </c>
      <c r="E332" s="21">
        <f t="shared" si="56"/>
        <v>2.2799999999999998</v>
      </c>
      <c r="F332" s="19" t="str">
        <f t="shared" si="57"/>
        <v/>
      </c>
      <c r="G332" s="21" t="str">
        <f t="shared" si="58"/>
        <v/>
      </c>
      <c r="I332" s="993"/>
      <c r="J332" s="43"/>
      <c r="K332" s="994">
        <v>16.16</v>
      </c>
      <c r="L332" s="998">
        <v>22800</v>
      </c>
      <c r="M332" s="39"/>
      <c r="N332" s="39"/>
      <c r="O332" s="25"/>
      <c r="P332" s="25"/>
      <c r="Q332" s="25"/>
    </row>
    <row r="333" spans="2:17" ht="15">
      <c r="B333" s="28" t="str">
        <f t="shared" si="54"/>
        <v/>
      </c>
      <c r="C333" s="11" t="str">
        <f t="shared" si="54"/>
        <v/>
      </c>
      <c r="D333" s="21">
        <f t="shared" si="55"/>
        <v>15.68</v>
      </c>
      <c r="E333" s="21">
        <f t="shared" si="56"/>
        <v>2.29</v>
      </c>
      <c r="F333" s="19" t="str">
        <f t="shared" si="57"/>
        <v/>
      </c>
      <c r="G333" s="21" t="str">
        <f t="shared" si="58"/>
        <v/>
      </c>
      <c r="I333" s="993"/>
      <c r="J333" s="43"/>
      <c r="K333" s="994">
        <v>15.68</v>
      </c>
      <c r="L333" s="998">
        <v>22900</v>
      </c>
      <c r="M333" s="39"/>
      <c r="N333" s="39"/>
      <c r="O333" s="25"/>
      <c r="P333" s="25"/>
      <c r="Q333" s="25"/>
    </row>
    <row r="334" spans="2:17" ht="15">
      <c r="B334" s="28">
        <f t="shared" si="54"/>
        <v>13</v>
      </c>
      <c r="C334" s="11" t="str">
        <f t="shared" si="54"/>
        <v>工银瑞信基金管理有限公司</v>
      </c>
      <c r="D334" s="21">
        <f t="shared" si="55"/>
        <v>16.5</v>
      </c>
      <c r="E334" s="21">
        <f t="shared" si="56"/>
        <v>2.097</v>
      </c>
      <c r="F334" s="19" t="str">
        <f t="shared" si="57"/>
        <v/>
      </c>
      <c r="G334" s="21" t="str">
        <f t="shared" si="58"/>
        <v/>
      </c>
      <c r="I334" s="995">
        <v>13</v>
      </c>
      <c r="J334" s="40" t="s">
        <v>145</v>
      </c>
      <c r="K334" s="994">
        <v>16.5</v>
      </c>
      <c r="L334" s="998">
        <v>20970</v>
      </c>
      <c r="M334" s="39"/>
      <c r="N334" s="39"/>
      <c r="O334" s="25"/>
      <c r="P334" s="25"/>
      <c r="Q334" s="25"/>
    </row>
    <row r="335" spans="2:17" ht="15">
      <c r="B335" s="28">
        <f t="shared" si="54"/>
        <v>14</v>
      </c>
      <c r="C335" s="11" t="str">
        <f t="shared" si="54"/>
        <v>申万菱信基金管理有限公司</v>
      </c>
      <c r="D335" s="21">
        <f t="shared" si="55"/>
        <v>16.2</v>
      </c>
      <c r="E335" s="21">
        <f t="shared" si="56"/>
        <v>1</v>
      </c>
      <c r="F335" s="19" t="str">
        <f t="shared" si="57"/>
        <v/>
      </c>
      <c r="G335" s="21" t="str">
        <f t="shared" si="58"/>
        <v/>
      </c>
      <c r="I335" s="993">
        <v>14</v>
      </c>
      <c r="J335" s="42" t="s">
        <v>121</v>
      </c>
      <c r="K335" s="994">
        <v>16.2</v>
      </c>
      <c r="L335" s="998">
        <v>10000</v>
      </c>
      <c r="M335" s="39"/>
      <c r="N335" s="39"/>
      <c r="O335" s="25"/>
      <c r="P335" s="25"/>
      <c r="Q335" s="25"/>
    </row>
    <row r="336" spans="2:17" ht="15">
      <c r="B336" s="28" t="str">
        <f t="shared" si="54"/>
        <v/>
      </c>
      <c r="C336" s="11" t="str">
        <f t="shared" si="54"/>
        <v/>
      </c>
      <c r="D336" s="21">
        <f t="shared" si="55"/>
        <v>16.190000000000001</v>
      </c>
      <c r="E336" s="21">
        <f t="shared" si="56"/>
        <v>1.5</v>
      </c>
      <c r="F336" s="19" t="str">
        <f t="shared" si="57"/>
        <v/>
      </c>
      <c r="G336" s="21" t="str">
        <f t="shared" si="58"/>
        <v/>
      </c>
      <c r="I336" s="993"/>
      <c r="J336" s="42"/>
      <c r="K336" s="994">
        <v>16.190000000000001</v>
      </c>
      <c r="L336" s="998">
        <v>15000</v>
      </c>
      <c r="M336" s="39"/>
      <c r="N336" s="39"/>
      <c r="O336" s="25"/>
      <c r="P336" s="25"/>
      <c r="Q336" s="25"/>
    </row>
    <row r="337" spans="2:17" ht="15">
      <c r="B337" s="28" t="str">
        <f t="shared" si="54"/>
        <v/>
      </c>
      <c r="C337" s="11" t="str">
        <f t="shared" si="54"/>
        <v/>
      </c>
      <c r="D337" s="21">
        <f t="shared" si="55"/>
        <v>15.7</v>
      </c>
      <c r="E337" s="21">
        <f t="shared" si="56"/>
        <v>1.8</v>
      </c>
      <c r="F337" s="19" t="str">
        <f t="shared" si="57"/>
        <v/>
      </c>
      <c r="G337" s="21" t="str">
        <f t="shared" si="58"/>
        <v/>
      </c>
      <c r="I337" s="993"/>
      <c r="J337" s="42"/>
      <c r="K337" s="994">
        <v>15.7</v>
      </c>
      <c r="L337" s="998">
        <v>18000</v>
      </c>
      <c r="M337" s="39"/>
      <c r="N337" s="39"/>
      <c r="O337" s="25"/>
      <c r="P337" s="25"/>
      <c r="Q337" s="25"/>
    </row>
    <row r="338" spans="2:17" ht="15">
      <c r="B338" s="28">
        <f t="shared" si="54"/>
        <v>15</v>
      </c>
      <c r="C338" s="11" t="str">
        <f t="shared" si="54"/>
        <v>中信证券股份有限公司</v>
      </c>
      <c r="D338" s="21">
        <f t="shared" si="55"/>
        <v>16.010000000000002</v>
      </c>
      <c r="E338" s="21">
        <f t="shared" si="56"/>
        <v>1.25</v>
      </c>
      <c r="F338" s="19" t="str">
        <f t="shared" si="57"/>
        <v/>
      </c>
      <c r="G338" s="21" t="str">
        <f t="shared" si="58"/>
        <v/>
      </c>
      <c r="I338" s="995">
        <v>15</v>
      </c>
      <c r="J338" s="40" t="s">
        <v>316</v>
      </c>
      <c r="K338" s="994">
        <v>16.010000000000002</v>
      </c>
      <c r="L338" s="998">
        <v>12500</v>
      </c>
      <c r="M338" s="39"/>
      <c r="N338" s="39"/>
      <c r="O338" s="25"/>
      <c r="P338" s="25"/>
      <c r="Q338" s="25"/>
    </row>
    <row r="339" spans="2:17" ht="15">
      <c r="B339" s="28">
        <f t="shared" si="54"/>
        <v>16</v>
      </c>
      <c r="C339" s="11" t="str">
        <f t="shared" si="54"/>
        <v>海通证券股份有限公司</v>
      </c>
      <c r="D339" s="21">
        <f t="shared" si="55"/>
        <v>16</v>
      </c>
      <c r="E339" s="21">
        <f t="shared" si="56"/>
        <v>1</v>
      </c>
      <c r="F339" s="19" t="str">
        <f t="shared" si="57"/>
        <v/>
      </c>
      <c r="G339" s="21" t="str">
        <f t="shared" si="58"/>
        <v/>
      </c>
      <c r="I339" s="995">
        <v>16</v>
      </c>
      <c r="J339" s="40" t="s">
        <v>8</v>
      </c>
      <c r="K339" s="994">
        <v>16</v>
      </c>
      <c r="L339" s="998">
        <v>10000</v>
      </c>
      <c r="M339" s="39"/>
      <c r="N339" s="39"/>
      <c r="O339" s="25"/>
      <c r="P339" s="25"/>
      <c r="Q339" s="25"/>
    </row>
    <row r="340" spans="2:17" ht="15">
      <c r="B340" s="28">
        <f t="shared" si="54"/>
        <v>17</v>
      </c>
      <c r="C340" s="11" t="str">
        <f t="shared" si="54"/>
        <v>光大保德信基金管理有限公司</v>
      </c>
      <c r="D340" s="21">
        <f t="shared" si="55"/>
        <v>16</v>
      </c>
      <c r="E340" s="21">
        <f t="shared" si="56"/>
        <v>1</v>
      </c>
      <c r="F340" s="19" t="str">
        <f t="shared" si="57"/>
        <v/>
      </c>
      <c r="G340" s="21" t="str">
        <f t="shared" si="58"/>
        <v/>
      </c>
      <c r="I340" s="995">
        <v>17</v>
      </c>
      <c r="J340" s="40" t="s">
        <v>141</v>
      </c>
      <c r="K340" s="994">
        <v>16</v>
      </c>
      <c r="L340" s="998">
        <v>10000</v>
      </c>
      <c r="M340" s="39"/>
      <c r="N340" s="39"/>
      <c r="O340" s="25"/>
      <c r="P340" s="25"/>
      <c r="Q340" s="25"/>
    </row>
    <row r="341" spans="2:17" ht="15">
      <c r="B341" s="28">
        <f t="shared" si="54"/>
        <v>18</v>
      </c>
      <c r="C341" s="11" t="str">
        <f t="shared" si="54"/>
        <v>上海诚鼎扬子投资合伙企业
（有限合伙）</v>
      </c>
      <c r="D341" s="21">
        <f t="shared" si="55"/>
        <v>15.93</v>
      </c>
      <c r="E341" s="21">
        <f t="shared" si="56"/>
        <v>1</v>
      </c>
      <c r="F341" s="19" t="str">
        <f t="shared" si="57"/>
        <v/>
      </c>
      <c r="G341" s="21" t="str">
        <f t="shared" si="58"/>
        <v/>
      </c>
      <c r="I341" s="995">
        <v>18</v>
      </c>
      <c r="J341" s="41" t="s">
        <v>388</v>
      </c>
      <c r="K341" s="999">
        <v>15.93</v>
      </c>
      <c r="L341" s="1000">
        <v>10000</v>
      </c>
      <c r="M341" s="39"/>
      <c r="N341" s="39"/>
      <c r="O341" s="25"/>
      <c r="P341" s="25"/>
      <c r="Q341" s="25"/>
    </row>
    <row r="342" spans="2:17" ht="15">
      <c r="B342" s="28">
        <f t="shared" si="54"/>
        <v>19</v>
      </c>
      <c r="C342" s="11" t="str">
        <f t="shared" si="54"/>
        <v>上海朴易资产管理有限公司</v>
      </c>
      <c r="D342" s="21">
        <f t="shared" si="55"/>
        <v>15.8</v>
      </c>
      <c r="E342" s="21">
        <f t="shared" si="56"/>
        <v>1.0033000000000001</v>
      </c>
      <c r="F342" s="19" t="str">
        <f t="shared" si="57"/>
        <v/>
      </c>
      <c r="G342" s="21" t="str">
        <f t="shared" si="58"/>
        <v/>
      </c>
      <c r="I342" s="995">
        <v>19</v>
      </c>
      <c r="J342" s="40" t="s">
        <v>387</v>
      </c>
      <c r="K342" s="994">
        <v>15.8</v>
      </c>
      <c r="L342" s="998">
        <v>10033</v>
      </c>
      <c r="M342" s="39"/>
      <c r="N342" s="39"/>
      <c r="O342" s="25"/>
      <c r="P342" s="25"/>
      <c r="Q342" s="25"/>
    </row>
    <row r="343" spans="2:17" ht="15">
      <c r="B343" s="28">
        <f t="shared" si="54"/>
        <v>20</v>
      </c>
      <c r="C343" s="11" t="str">
        <f t="shared" si="54"/>
        <v>新华人寿保险股份有限公司</v>
      </c>
      <c r="D343" s="21">
        <f t="shared" si="55"/>
        <v>15.72</v>
      </c>
      <c r="E343" s="21">
        <f t="shared" si="56"/>
        <v>1</v>
      </c>
      <c r="F343" s="19" t="str">
        <f t="shared" si="57"/>
        <v/>
      </c>
      <c r="G343" s="21" t="str">
        <f t="shared" si="58"/>
        <v/>
      </c>
      <c r="I343" s="995">
        <v>20</v>
      </c>
      <c r="J343" s="40" t="s">
        <v>386</v>
      </c>
      <c r="K343" s="994">
        <v>15.72</v>
      </c>
      <c r="L343" s="998">
        <v>10000</v>
      </c>
      <c r="M343" s="39"/>
      <c r="N343" s="39"/>
      <c r="O343" s="25"/>
      <c r="P343" s="25"/>
      <c r="Q343" s="25"/>
    </row>
    <row r="344" spans="2:17" ht="15">
      <c r="B344" s="28">
        <f t="shared" si="54"/>
        <v>21</v>
      </c>
      <c r="C344" s="11" t="str">
        <f t="shared" si="54"/>
        <v>兴证证券资产管理有限公司</v>
      </c>
      <c r="D344" s="21">
        <f t="shared" si="55"/>
        <v>15.71</v>
      </c>
      <c r="E344" s="21">
        <f t="shared" si="56"/>
        <v>1</v>
      </c>
      <c r="F344" s="19" t="str">
        <f t="shared" si="57"/>
        <v/>
      </c>
      <c r="G344" s="21" t="str">
        <f t="shared" si="58"/>
        <v/>
      </c>
      <c r="I344" s="995">
        <v>21</v>
      </c>
      <c r="J344" s="40" t="s">
        <v>150</v>
      </c>
      <c r="K344" s="994">
        <v>15.71</v>
      </c>
      <c r="L344" s="998">
        <v>10000</v>
      </c>
      <c r="M344" s="39"/>
      <c r="N344" s="39"/>
      <c r="O344" s="25"/>
      <c r="P344" s="25"/>
      <c r="Q344" s="25"/>
    </row>
    <row r="345" spans="2:17" ht="15">
      <c r="B345" s="28">
        <f t="shared" si="54"/>
        <v>22</v>
      </c>
      <c r="C345" s="11" t="str">
        <f t="shared" si="54"/>
        <v>西部证券股份有限公司</v>
      </c>
      <c r="D345" s="21">
        <f t="shared" si="55"/>
        <v>15.7</v>
      </c>
      <c r="E345" s="21">
        <f t="shared" si="56"/>
        <v>1</v>
      </c>
      <c r="F345" s="19" t="str">
        <f t="shared" si="57"/>
        <v/>
      </c>
      <c r="G345" s="21" t="str">
        <f t="shared" si="58"/>
        <v/>
      </c>
      <c r="I345" s="995">
        <v>22</v>
      </c>
      <c r="J345" s="40" t="s">
        <v>385</v>
      </c>
      <c r="K345" s="994">
        <v>15.7</v>
      </c>
      <c r="L345" s="998">
        <v>10000</v>
      </c>
      <c r="M345" s="39"/>
      <c r="N345" s="39"/>
      <c r="O345" s="25"/>
      <c r="P345" s="25"/>
      <c r="Q345" s="25"/>
    </row>
    <row r="346" spans="2:17">
      <c r="I346" s="25"/>
      <c r="J346" s="25"/>
      <c r="K346" s="25"/>
      <c r="L346" s="25"/>
      <c r="M346" s="25"/>
      <c r="N346" s="25"/>
      <c r="O346" s="25"/>
      <c r="P346" s="25"/>
      <c r="Q346" s="25"/>
    </row>
    <row r="347" spans="2:17">
      <c r="I347" s="25"/>
      <c r="J347" s="25"/>
      <c r="K347" s="25"/>
      <c r="L347" s="25"/>
      <c r="M347" s="25"/>
      <c r="N347" s="25"/>
      <c r="O347" s="25"/>
      <c r="P347" s="25"/>
      <c r="Q347" s="25"/>
    </row>
  </sheetData>
  <mergeCells count="12">
    <mergeCell ref="C198:G198"/>
    <mergeCell ref="I16:I17"/>
    <mergeCell ref="J16:J17"/>
    <mergeCell ref="I19:I20"/>
    <mergeCell ref="J19:J20"/>
    <mergeCell ref="I23:I24"/>
    <mergeCell ref="J23:J24"/>
    <mergeCell ref="I28:I30"/>
    <mergeCell ref="J28:J30"/>
    <mergeCell ref="I32:I33"/>
    <mergeCell ref="J32:J33"/>
    <mergeCell ref="C84:G84"/>
  </mergeCells>
  <phoneticPr fontId="139" type="noConversion"/>
  <hyperlinks>
    <hyperlink ref="B2" r:id="rId1" xr:uid="{00000000-0004-0000-0200-000000000000}"/>
    <hyperlink ref="B5" r:id="rId2" xr:uid="{00000000-0004-0000-0200-000001000000}"/>
    <hyperlink ref="B1" r:id="rId3" xr:uid="{00000000-0004-0000-0200-000002000000}"/>
    <hyperlink ref="B3" r:id="rId4" xr:uid="{00000000-0004-0000-0200-000003000000}"/>
    <hyperlink ref="B4" r:id="rId5" xr:uid="{00000000-0004-0000-0200-000004000000}"/>
    <hyperlink ref="B6" r:id="rId6" xr:uid="{00000000-0004-0000-0200-000005000000}"/>
    <hyperlink ref="B7" r:id="rId7" xr:uid="{00000000-0004-0000-0200-000006000000}"/>
    <hyperlink ref="B8" r:id="rId8" xr:uid="{00000000-0004-0000-0200-000007000000}"/>
    <hyperlink ref="B9" r:id="rId9" xr:uid="{00000000-0004-0000-0200-000008000000}"/>
    <hyperlink ref="B10" r:id="rId10" xr:uid="{00000000-0004-0000-0200-000009000000}"/>
    <hyperlink ref="B13" r:id="rId11" xr:uid="{00000000-0004-0000-0200-00000A000000}"/>
    <hyperlink ref="B38" r:id="rId12" xr:uid="{00000000-0004-0000-0200-00000B000000}"/>
    <hyperlink ref="B69" r:id="rId13" xr:uid="{00000000-0004-0000-0200-00000C000000}"/>
    <hyperlink ref="B88" r:id="rId14" xr:uid="{00000000-0004-0000-0200-00000D000000}"/>
    <hyperlink ref="B178" r:id="rId15" xr:uid="{00000000-0004-0000-0200-00000E000000}"/>
    <hyperlink ref="B202" r:id="rId16" xr:uid="{00000000-0004-0000-0200-00000F000000}"/>
    <hyperlink ref="B265" r:id="rId17" xr:uid="{00000000-0004-0000-0200-000010000000}"/>
    <hyperlink ref="B294" r:id="rId18" xr:uid="{00000000-0004-0000-0200-000011000000}"/>
    <hyperlink ref="B306" r:id="rId19" xr:uid="{00000000-0004-0000-0200-000012000000}"/>
    <hyperlink ref="B242" r:id="rId20" xr:uid="{00000000-0004-0000-0200-000013000000}"/>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410"/>
  <sheetViews>
    <sheetView topLeftCell="B11" workbookViewId="0">
      <selection activeCell="M13" sqref="M13"/>
    </sheetView>
  </sheetViews>
  <sheetFormatPr defaultColWidth="10.83203125" defaultRowHeight="14"/>
  <cols>
    <col min="1" max="1" width="10.83203125" style="24" hidden="1" customWidth="1"/>
    <col min="2" max="3" width="10.83203125" style="24"/>
    <col min="4" max="4" width="23.83203125" style="24" customWidth="1"/>
    <col min="5" max="9" width="10.83203125" style="24"/>
    <col min="10" max="10" width="11" style="24" bestFit="1" customWidth="1"/>
    <col min="11" max="11" width="10.83203125" style="24"/>
    <col min="12" max="12" width="11" style="24" bestFit="1" customWidth="1"/>
    <col min="13" max="13" width="13.83203125" style="24" bestFit="1" customWidth="1"/>
    <col min="14" max="14" width="13.6640625" style="24" bestFit="1" customWidth="1"/>
    <col min="15" max="15" width="10.83203125" style="24"/>
    <col min="16" max="16" width="11.83203125" style="24" bestFit="1" customWidth="1"/>
    <col min="17" max="16384" width="10.83203125" style="24"/>
  </cols>
  <sheetData>
    <row r="1" spans="1:21">
      <c r="A1" s="24">
        <v>6</v>
      </c>
      <c r="B1" s="979">
        <v>36</v>
      </c>
      <c r="C1" s="9" t="s">
        <v>170</v>
      </c>
      <c r="D1" s="1" t="s">
        <v>37</v>
      </c>
      <c r="E1" s="1" t="s">
        <v>36</v>
      </c>
      <c r="F1" s="3">
        <v>48</v>
      </c>
      <c r="G1" s="3">
        <v>47.999999927799998</v>
      </c>
      <c r="H1" s="2">
        <v>42384</v>
      </c>
      <c r="I1" s="1001" t="s">
        <v>151</v>
      </c>
      <c r="J1" s="11">
        <v>43.17</v>
      </c>
      <c r="K1" s="3">
        <v>26.19</v>
      </c>
      <c r="L1" s="3">
        <f t="shared" ref="L1:L10" si="0">K1/J1</f>
        <v>0.60667129951355103</v>
      </c>
      <c r="M1" s="3">
        <v>28.51</v>
      </c>
      <c r="N1" s="10">
        <f t="shared" ref="N1:N10" si="1">M1/J1</f>
        <v>0.6604123233727125</v>
      </c>
      <c r="O1" s="1002">
        <v>7</v>
      </c>
      <c r="P1" s="2">
        <v>42772</v>
      </c>
      <c r="Q1" s="1003">
        <v>11.06</v>
      </c>
      <c r="R1" s="18">
        <f t="shared" ref="R1:R10" si="2">(Q1*(1+T1/10)+U1/10)/M1</f>
        <v>0.97509645738337425</v>
      </c>
      <c r="S1" s="11" t="s">
        <v>249</v>
      </c>
      <c r="T1" s="22" t="str">
        <f t="shared" ref="T1:T10" si="3">IFERROR(RIGHT(LEFT(S1,FIND("股",S1)-1),(FIND("股",S1)-1-FIND("转",S1))),0)</f>
        <v>15</v>
      </c>
      <c r="U1" s="23" t="str">
        <f t="shared" ref="U1:U10" si="4">IFERROR(RIGHT(LEFT(S1,FIND("元",S1)-1),(FIND("元",S1)-1-FIND("派",S1))),0)</f>
        <v>1.50</v>
      </c>
    </row>
    <row r="2" spans="1:21">
      <c r="A2" s="24">
        <v>6</v>
      </c>
      <c r="B2" s="979">
        <v>41</v>
      </c>
      <c r="C2" s="9" t="s">
        <v>171</v>
      </c>
      <c r="D2" s="1" t="s">
        <v>63</v>
      </c>
      <c r="E2" s="1" t="s">
        <v>62</v>
      </c>
      <c r="F2" s="3">
        <v>25</v>
      </c>
      <c r="G2" s="3">
        <v>20.331926314699999</v>
      </c>
      <c r="H2" s="2">
        <v>42380</v>
      </c>
      <c r="I2" s="1001" t="s">
        <v>151</v>
      </c>
      <c r="J2" s="11">
        <v>11.15</v>
      </c>
      <c r="K2" s="3">
        <v>7.06</v>
      </c>
      <c r="L2" s="3">
        <f t="shared" si="0"/>
        <v>0.63318385650224207</v>
      </c>
      <c r="M2" s="3">
        <v>10.01</v>
      </c>
      <c r="N2" s="10">
        <f t="shared" si="1"/>
        <v>0.89775784753363219</v>
      </c>
      <c r="O2" s="1002">
        <v>7</v>
      </c>
      <c r="P2" s="2">
        <v>42772</v>
      </c>
      <c r="Q2" s="1003">
        <v>7.95</v>
      </c>
      <c r="R2" s="18">
        <f t="shared" si="2"/>
        <v>0.80369630369630374</v>
      </c>
      <c r="S2" s="11" t="s">
        <v>250</v>
      </c>
      <c r="T2" s="22">
        <f t="shared" si="3"/>
        <v>0</v>
      </c>
      <c r="U2" s="23" t="str">
        <f t="shared" si="4"/>
        <v>0.95</v>
      </c>
    </row>
    <row r="3" spans="1:21">
      <c r="A3" s="24">
        <v>6</v>
      </c>
      <c r="B3" s="979">
        <v>48</v>
      </c>
      <c r="C3" s="9" t="s">
        <v>172</v>
      </c>
      <c r="D3" s="1" t="s">
        <v>45</v>
      </c>
      <c r="E3" s="1" t="s">
        <v>44</v>
      </c>
      <c r="F3" s="3">
        <v>10</v>
      </c>
      <c r="G3" s="3">
        <v>9.9999997964999991</v>
      </c>
      <c r="H3" s="2">
        <v>42401</v>
      </c>
      <c r="I3" s="1001" t="s">
        <v>219</v>
      </c>
      <c r="J3" s="11">
        <v>29.2</v>
      </c>
      <c r="K3" s="3">
        <v>19.89</v>
      </c>
      <c r="L3" s="3">
        <f t="shared" si="0"/>
        <v>0.68116438356164388</v>
      </c>
      <c r="M3" s="3">
        <v>22.05</v>
      </c>
      <c r="N3" s="10">
        <f t="shared" si="1"/>
        <v>0.75513698630136994</v>
      </c>
      <c r="O3" s="1002">
        <v>4</v>
      </c>
      <c r="P3" s="2">
        <v>42786</v>
      </c>
      <c r="Q3" s="1003">
        <v>21.25</v>
      </c>
      <c r="R3" s="18">
        <f t="shared" si="2"/>
        <v>0.96643990929705204</v>
      </c>
      <c r="S3" s="11" t="s">
        <v>241</v>
      </c>
      <c r="T3" s="22">
        <f t="shared" si="3"/>
        <v>0</v>
      </c>
      <c r="U3" s="23" t="str">
        <f t="shared" si="4"/>
        <v>0.6</v>
      </c>
    </row>
    <row r="4" spans="1:21">
      <c r="A4" s="24">
        <v>6</v>
      </c>
      <c r="B4" s="979">
        <v>53</v>
      </c>
      <c r="C4" s="11" t="s">
        <v>175</v>
      </c>
      <c r="D4" s="1" t="s">
        <v>33</v>
      </c>
      <c r="E4" s="1" t="s">
        <v>32</v>
      </c>
      <c r="F4" s="3">
        <v>13</v>
      </c>
      <c r="G4" s="3">
        <v>12.999999965400001</v>
      </c>
      <c r="H4" s="2">
        <v>42389</v>
      </c>
      <c r="I4" s="1001" t="s">
        <v>151</v>
      </c>
      <c r="J4" s="11">
        <v>18.18</v>
      </c>
      <c r="K4" s="3">
        <v>13.34</v>
      </c>
      <c r="L4" s="3">
        <f t="shared" si="0"/>
        <v>0.73377337733773373</v>
      </c>
      <c r="M4" s="3">
        <v>13.58</v>
      </c>
      <c r="N4" s="10">
        <f t="shared" si="1"/>
        <v>0.74697469746974698</v>
      </c>
      <c r="O4" s="1002">
        <v>6</v>
      </c>
      <c r="P4" s="2">
        <v>42793</v>
      </c>
      <c r="Q4" s="1003">
        <v>14.6</v>
      </c>
      <c r="R4" s="18">
        <f t="shared" si="2"/>
        <v>1.079160530191458</v>
      </c>
      <c r="S4" s="11" t="s">
        <v>251</v>
      </c>
      <c r="T4" s="22">
        <f t="shared" si="3"/>
        <v>0</v>
      </c>
      <c r="U4" s="23" t="str">
        <f t="shared" si="4"/>
        <v>0.55</v>
      </c>
    </row>
    <row r="5" spans="1:21">
      <c r="A5" s="24">
        <v>6</v>
      </c>
      <c r="B5" s="979">
        <v>55</v>
      </c>
      <c r="C5" s="11" t="s">
        <v>176</v>
      </c>
      <c r="D5" s="1" t="s">
        <v>77</v>
      </c>
      <c r="E5" s="1" t="s">
        <v>76</v>
      </c>
      <c r="F5" s="3">
        <v>8.4526000000000003</v>
      </c>
      <c r="G5" s="3">
        <v>8.4525998760000007</v>
      </c>
      <c r="H5" s="2">
        <v>42395</v>
      </c>
      <c r="I5" s="1001" t="s">
        <v>151</v>
      </c>
      <c r="J5" s="11">
        <v>16.95</v>
      </c>
      <c r="K5" s="3">
        <v>9.98</v>
      </c>
      <c r="L5" s="3">
        <f t="shared" si="0"/>
        <v>0.58879056047197642</v>
      </c>
      <c r="M5" s="3">
        <v>12.6</v>
      </c>
      <c r="N5" s="10">
        <f t="shared" si="1"/>
        <v>0.74336283185840712</v>
      </c>
      <c r="O5" s="1002">
        <v>7</v>
      </c>
      <c r="P5" s="2">
        <v>42795</v>
      </c>
      <c r="Q5" s="1003">
        <v>17.88</v>
      </c>
      <c r="R5" s="18">
        <f t="shared" si="2"/>
        <v>1.4222222222222221</v>
      </c>
      <c r="S5" s="11" t="s">
        <v>222</v>
      </c>
      <c r="T5" s="22">
        <f t="shared" si="3"/>
        <v>0</v>
      </c>
      <c r="U5" s="23" t="str">
        <f t="shared" si="4"/>
        <v>0.4</v>
      </c>
    </row>
    <row r="6" spans="1:21">
      <c r="A6" s="24">
        <v>6</v>
      </c>
      <c r="B6" s="979">
        <v>57</v>
      </c>
      <c r="C6" s="11" t="s">
        <v>177</v>
      </c>
      <c r="D6" s="1" t="s">
        <v>69</v>
      </c>
      <c r="E6" s="1" t="s">
        <v>68</v>
      </c>
      <c r="F6" s="3">
        <v>4</v>
      </c>
      <c r="G6" s="3">
        <v>3.9999997</v>
      </c>
      <c r="H6" s="2">
        <v>42390</v>
      </c>
      <c r="I6" s="1001" t="s">
        <v>151</v>
      </c>
      <c r="J6" s="11">
        <v>40.53</v>
      </c>
      <c r="K6" s="3">
        <v>28.5</v>
      </c>
      <c r="L6" s="3">
        <f t="shared" si="0"/>
        <v>0.70318282753515915</v>
      </c>
      <c r="M6" s="3">
        <v>38</v>
      </c>
      <c r="N6" s="10">
        <f t="shared" si="1"/>
        <v>0.93757710338021216</v>
      </c>
      <c r="O6" s="1002">
        <v>7</v>
      </c>
      <c r="P6" s="2">
        <v>42795</v>
      </c>
      <c r="Q6" s="1003">
        <v>37.1</v>
      </c>
      <c r="R6" s="18">
        <f t="shared" si="2"/>
        <v>0.98289473684210527</v>
      </c>
      <c r="S6" s="11" t="s">
        <v>238</v>
      </c>
      <c r="T6" s="22">
        <f t="shared" si="3"/>
        <v>0</v>
      </c>
      <c r="U6" s="23" t="str">
        <f t="shared" si="4"/>
        <v>2.5</v>
      </c>
    </row>
    <row r="7" spans="1:21">
      <c r="A7" s="24">
        <v>6</v>
      </c>
      <c r="B7" s="979">
        <v>60</v>
      </c>
      <c r="C7" s="11" t="s">
        <v>178</v>
      </c>
      <c r="D7" s="1" t="s">
        <v>35</v>
      </c>
      <c r="E7" s="1" t="s">
        <v>34</v>
      </c>
      <c r="F7" s="3">
        <v>10</v>
      </c>
      <c r="G7" s="3">
        <v>9.9999998765000004</v>
      </c>
      <c r="H7" s="2">
        <v>42419</v>
      </c>
      <c r="I7" s="1001" t="s">
        <v>153</v>
      </c>
      <c r="J7" s="11">
        <v>18.899999999999999</v>
      </c>
      <c r="K7" s="3">
        <v>9.4499999999999993</v>
      </c>
      <c r="L7" s="3">
        <f t="shared" si="0"/>
        <v>0.5</v>
      </c>
      <c r="M7" s="3">
        <v>15.35</v>
      </c>
      <c r="N7" s="10">
        <f t="shared" si="1"/>
        <v>0.81216931216931221</v>
      </c>
      <c r="O7" s="1002">
        <v>4</v>
      </c>
      <c r="P7" s="2">
        <v>42797</v>
      </c>
      <c r="Q7" s="1003">
        <v>8.75</v>
      </c>
      <c r="R7" s="18">
        <f t="shared" si="2"/>
        <v>1.1465798045602607</v>
      </c>
      <c r="S7" s="11" t="s">
        <v>247</v>
      </c>
      <c r="T7" s="22" t="str">
        <f t="shared" si="3"/>
        <v>10</v>
      </c>
      <c r="U7" s="23" t="str">
        <f t="shared" si="4"/>
        <v>1.00</v>
      </c>
    </row>
    <row r="8" spans="1:21">
      <c r="A8" s="24">
        <v>6</v>
      </c>
      <c r="B8" s="979">
        <v>64</v>
      </c>
      <c r="C8" s="11" t="s">
        <v>179</v>
      </c>
      <c r="D8" s="1" t="s">
        <v>27</v>
      </c>
      <c r="E8" s="1" t="s">
        <v>26</v>
      </c>
      <c r="F8" s="3">
        <v>9.7200000000000006</v>
      </c>
      <c r="G8" s="3">
        <v>9.7199998896000004</v>
      </c>
      <c r="H8" s="2">
        <v>42391</v>
      </c>
      <c r="I8" s="1001" t="s">
        <v>151</v>
      </c>
      <c r="J8" s="11">
        <v>58.1</v>
      </c>
      <c r="K8" s="3">
        <v>37.86</v>
      </c>
      <c r="L8" s="3">
        <f t="shared" si="0"/>
        <v>0.6516351118760757</v>
      </c>
      <c r="M8" s="3">
        <v>47.19</v>
      </c>
      <c r="N8" s="10">
        <f t="shared" si="1"/>
        <v>0.81222030981067117</v>
      </c>
      <c r="O8" s="1002">
        <v>7</v>
      </c>
      <c r="P8" s="2">
        <v>42802</v>
      </c>
      <c r="Q8" s="1003">
        <v>39.07</v>
      </c>
      <c r="R8" s="18">
        <f t="shared" si="2"/>
        <v>0.82877728332273792</v>
      </c>
      <c r="S8" s="11" t="s">
        <v>222</v>
      </c>
      <c r="T8" s="22">
        <f t="shared" si="3"/>
        <v>0</v>
      </c>
      <c r="U8" s="23" t="str">
        <f t="shared" si="4"/>
        <v>0.4</v>
      </c>
    </row>
    <row r="9" spans="1:21">
      <c r="A9" s="24">
        <v>6</v>
      </c>
      <c r="B9" s="979">
        <v>66</v>
      </c>
      <c r="C9" s="11" t="s">
        <v>180</v>
      </c>
      <c r="D9" s="1" t="s">
        <v>53</v>
      </c>
      <c r="E9" s="1" t="s">
        <v>52</v>
      </c>
      <c r="F9" s="3">
        <v>18.100000000000001</v>
      </c>
      <c r="G9" s="3">
        <v>18.099995409999998</v>
      </c>
      <c r="H9" s="2">
        <v>42397</v>
      </c>
      <c r="I9" s="1001" t="s">
        <v>151</v>
      </c>
      <c r="J9" s="11">
        <v>9.6999999999999993</v>
      </c>
      <c r="K9" s="3">
        <v>5.98</v>
      </c>
      <c r="L9" s="3">
        <f t="shared" si="0"/>
        <v>0.61649484536082488</v>
      </c>
      <c r="M9" s="3">
        <v>7.27</v>
      </c>
      <c r="N9" s="10">
        <f t="shared" si="1"/>
        <v>0.74948453608247423</v>
      </c>
      <c r="O9" s="1002">
        <v>5</v>
      </c>
      <c r="P9" s="2">
        <v>42808</v>
      </c>
      <c r="Q9" s="1003">
        <v>12.11</v>
      </c>
      <c r="R9" s="18">
        <f t="shared" si="2"/>
        <v>1.6685006877579092</v>
      </c>
      <c r="S9" s="11" t="s">
        <v>221</v>
      </c>
      <c r="T9" s="22">
        <f t="shared" si="3"/>
        <v>0</v>
      </c>
      <c r="U9" s="23" t="str">
        <f t="shared" si="4"/>
        <v>0.20</v>
      </c>
    </row>
    <row r="10" spans="1:21">
      <c r="A10" s="24">
        <v>6</v>
      </c>
      <c r="B10" s="979">
        <v>72</v>
      </c>
      <c r="C10" s="11" t="s">
        <v>181</v>
      </c>
      <c r="D10" s="1" t="s">
        <v>25</v>
      </c>
      <c r="E10" s="1" t="s">
        <v>24</v>
      </c>
      <c r="F10" s="3">
        <v>8.2001729999999995</v>
      </c>
      <c r="G10" s="3">
        <v>8.2001726838</v>
      </c>
      <c r="H10" s="2">
        <v>42425</v>
      </c>
      <c r="I10" s="1001" t="s">
        <v>151</v>
      </c>
      <c r="J10" s="11">
        <v>33.200000000000003</v>
      </c>
      <c r="K10" s="3">
        <v>33.11</v>
      </c>
      <c r="L10" s="3">
        <f t="shared" si="0"/>
        <v>0.99728915662650597</v>
      </c>
      <c r="M10" s="3">
        <v>33.21</v>
      </c>
      <c r="N10" s="10">
        <f t="shared" si="1"/>
        <v>1.000301204819277</v>
      </c>
      <c r="O10" s="1002">
        <v>3</v>
      </c>
      <c r="P10" s="1004">
        <v>42444</v>
      </c>
      <c r="Q10" s="1003">
        <v>28.85</v>
      </c>
      <c r="R10" s="18">
        <f t="shared" si="2"/>
        <v>0.86871424269798259</v>
      </c>
      <c r="S10" s="11" t="s">
        <v>223</v>
      </c>
      <c r="T10" s="22">
        <f t="shared" si="3"/>
        <v>0</v>
      </c>
      <c r="U10" s="23">
        <f t="shared" si="4"/>
        <v>0</v>
      </c>
    </row>
    <row r="12" spans="1:21">
      <c r="A12" s="24">
        <v>1</v>
      </c>
      <c r="B12" s="12" t="s">
        <v>106</v>
      </c>
      <c r="C12" s="12" t="s">
        <v>126</v>
      </c>
      <c r="D12" s="12" t="s">
        <v>107</v>
      </c>
      <c r="E12" s="12" t="s">
        <v>4</v>
      </c>
      <c r="F12" s="13" t="s">
        <v>108</v>
      </c>
      <c r="G12" s="13" t="s">
        <v>109</v>
      </c>
      <c r="H12" s="12" t="s">
        <v>274</v>
      </c>
      <c r="I12" s="12" t="s">
        <v>273</v>
      </c>
      <c r="J12" s="12" t="s">
        <v>116</v>
      </c>
      <c r="K12" s="14" t="s">
        <v>110</v>
      </c>
      <c r="L12" s="14" t="s">
        <v>276</v>
      </c>
      <c r="M12" s="14" t="s">
        <v>117</v>
      </c>
      <c r="N12" s="15" t="s">
        <v>275</v>
      </c>
      <c r="O12" s="12" t="s">
        <v>111</v>
      </c>
      <c r="P12" s="8" t="s">
        <v>12</v>
      </c>
      <c r="Q12" s="8" t="s">
        <v>190</v>
      </c>
      <c r="R12" s="15" t="s">
        <v>129</v>
      </c>
      <c r="S12" s="14" t="s">
        <v>220</v>
      </c>
    </row>
    <row r="13" spans="1:21">
      <c r="A13" s="24">
        <v>6</v>
      </c>
      <c r="B13" s="979">
        <v>11</v>
      </c>
      <c r="C13" s="9" t="s">
        <v>170</v>
      </c>
      <c r="D13" s="1" t="s">
        <v>37</v>
      </c>
      <c r="E13" s="1" t="s">
        <v>36</v>
      </c>
      <c r="F13" s="3">
        <v>48</v>
      </c>
      <c r="G13" s="3">
        <v>47.999999927799998</v>
      </c>
      <c r="H13" s="2">
        <v>42384</v>
      </c>
      <c r="I13" s="1001" t="s">
        <v>151</v>
      </c>
      <c r="J13" s="11">
        <v>43.17</v>
      </c>
      <c r="K13" s="3">
        <v>26.19</v>
      </c>
      <c r="L13" s="3">
        <f>K13/J13</f>
        <v>0.60667129951355103</v>
      </c>
      <c r="M13" s="3">
        <v>28.51</v>
      </c>
      <c r="N13" s="10">
        <f>M13/J13</f>
        <v>0.6604123233727125</v>
      </c>
      <c r="O13" s="1002">
        <v>7</v>
      </c>
      <c r="P13" s="2">
        <v>42772</v>
      </c>
      <c r="Q13" s="1003">
        <v>11.06</v>
      </c>
      <c r="R13" s="18">
        <f>(Q13*(1+T13/10)+U13/10)/M13</f>
        <v>0.97509645738337425</v>
      </c>
      <c r="S13" s="11" t="s">
        <v>249</v>
      </c>
      <c r="T13" s="22" t="str">
        <f>IFERROR(RIGHT(LEFT(S13,FIND("股",S13)-1),(FIND("股",S13)-1-FIND("转",S13))),0)</f>
        <v>15</v>
      </c>
      <c r="U13" s="23" t="str">
        <f>IFERROR(RIGHT(LEFT(S13,FIND("元",S13)-1),(FIND("元",S13)-1-FIND("派",S13))),0)</f>
        <v>1.50</v>
      </c>
    </row>
    <row r="14" spans="1:21">
      <c r="B14" s="125"/>
      <c r="C14" s="129"/>
      <c r="D14" s="128"/>
      <c r="E14" s="128"/>
      <c r="F14" s="127"/>
      <c r="G14" s="127"/>
      <c r="H14" s="126"/>
      <c r="I14" s="125"/>
      <c r="K14" s="130"/>
      <c r="L14" s="130"/>
      <c r="M14" s="130"/>
      <c r="N14" s="5"/>
      <c r="O14" s="120"/>
      <c r="P14" s="124"/>
      <c r="Q14" s="5"/>
      <c r="R14" s="123"/>
      <c r="T14" s="28"/>
      <c r="U14" s="122"/>
    </row>
    <row r="15" spans="1:21">
      <c r="C15" s="27" t="s">
        <v>118</v>
      </c>
      <c r="D15" s="16" t="s">
        <v>112</v>
      </c>
      <c r="E15" s="16" t="s">
        <v>113</v>
      </c>
      <c r="F15" s="16" t="s">
        <v>288</v>
      </c>
      <c r="G15" s="17" t="s">
        <v>287</v>
      </c>
      <c r="H15" s="16" t="s">
        <v>289</v>
      </c>
      <c r="J15" s="1005" t="s">
        <v>298</v>
      </c>
      <c r="K15" s="1005" t="s">
        <v>338</v>
      </c>
      <c r="L15" s="1006" t="s">
        <v>339</v>
      </c>
      <c r="M15" s="1007" t="s">
        <v>308</v>
      </c>
      <c r="N15" s="492"/>
      <c r="O15" s="1008" t="s">
        <v>349</v>
      </c>
      <c r="P15" s="1009" t="s">
        <v>350</v>
      </c>
      <c r="Q15" s="119"/>
    </row>
    <row r="16" spans="1:21">
      <c r="C16" s="24">
        <f t="shared" ref="C16:D31" si="5">IF(J16=0,"",J16)</f>
        <v>1</v>
      </c>
      <c r="D16" s="11" t="str">
        <f t="shared" si="5"/>
        <v>财通基金管理有限公司</v>
      </c>
      <c r="E16" s="21">
        <f t="shared" ref="E16:E34" si="6">L16</f>
        <v>32.74</v>
      </c>
      <c r="F16" s="21">
        <f>M16/10000</f>
        <v>5.33</v>
      </c>
      <c r="G16" s="19">
        <f t="shared" ref="G16:G33" si="7">IFERROR(VLOOKUP(D16,O$15:Q$34,2,FALSE)/10000,"")</f>
        <v>3728.5162999999998</v>
      </c>
      <c r="H16" s="21">
        <f t="shared" ref="H16:H34" si="8">IFERROR(G16*M$13/10000,"")</f>
        <v>10.6299999713</v>
      </c>
      <c r="J16" s="1010">
        <v>1</v>
      </c>
      <c r="K16" s="1011" t="s">
        <v>115</v>
      </c>
      <c r="L16" s="1012">
        <v>32.74</v>
      </c>
      <c r="M16" s="1013">
        <v>53300</v>
      </c>
      <c r="N16" s="492"/>
      <c r="O16" s="1014" t="s">
        <v>115</v>
      </c>
      <c r="P16" s="1015">
        <v>37285163</v>
      </c>
      <c r="Q16" s="131"/>
    </row>
    <row r="17" spans="3:17">
      <c r="C17" s="24" t="str">
        <f t="shared" si="5"/>
        <v/>
      </c>
      <c r="D17" s="11" t="str">
        <f t="shared" si="5"/>
        <v/>
      </c>
      <c r="E17" s="21">
        <f t="shared" si="6"/>
        <v>30.5</v>
      </c>
      <c r="F17" s="21">
        <f t="shared" ref="F17:F34" si="9">M17/10000</f>
        <v>10.63</v>
      </c>
      <c r="G17" s="19" t="str">
        <f t="shared" si="7"/>
        <v/>
      </c>
      <c r="H17" s="21" t="str">
        <f t="shared" si="8"/>
        <v/>
      </c>
      <c r="J17" s="1010"/>
      <c r="K17" s="1011"/>
      <c r="L17" s="1012">
        <v>30.5</v>
      </c>
      <c r="M17" s="1013">
        <v>106300</v>
      </c>
      <c r="N17" s="492"/>
      <c r="O17" s="1014" t="s">
        <v>581</v>
      </c>
      <c r="P17" s="1015">
        <v>33672395</v>
      </c>
      <c r="Q17" s="131"/>
    </row>
    <row r="18" spans="3:17" ht="15" customHeight="1">
      <c r="C18" s="24" t="str">
        <f t="shared" si="5"/>
        <v/>
      </c>
      <c r="D18" s="11" t="str">
        <f t="shared" si="5"/>
        <v/>
      </c>
      <c r="E18" s="21">
        <f t="shared" si="6"/>
        <v>28.5</v>
      </c>
      <c r="F18" s="21">
        <f t="shared" si="9"/>
        <v>12.38</v>
      </c>
      <c r="G18" s="19" t="str">
        <f t="shared" si="7"/>
        <v/>
      </c>
      <c r="H18" s="21" t="str">
        <f t="shared" si="8"/>
        <v/>
      </c>
      <c r="J18" s="1010"/>
      <c r="K18" s="1011"/>
      <c r="L18" s="1012">
        <v>28.5</v>
      </c>
      <c r="M18" s="1013">
        <v>123800</v>
      </c>
      <c r="N18" s="492"/>
      <c r="O18" s="1014" t="s">
        <v>225</v>
      </c>
      <c r="P18" s="1015">
        <v>30480533</v>
      </c>
      <c r="Q18" s="131"/>
    </row>
    <row r="19" spans="3:17">
      <c r="C19" s="24">
        <f t="shared" si="5"/>
        <v>2</v>
      </c>
      <c r="D19" s="11" t="str">
        <f t="shared" si="5"/>
        <v>东海基金管理有限责任公司</v>
      </c>
      <c r="E19" s="21">
        <f t="shared" si="6"/>
        <v>30.1</v>
      </c>
      <c r="F19" s="21">
        <f t="shared" si="9"/>
        <v>4.8</v>
      </c>
      <c r="G19" s="19">
        <f t="shared" si="7"/>
        <v>1683.6197</v>
      </c>
      <c r="H19" s="21">
        <f t="shared" si="8"/>
        <v>4.7999997647000008</v>
      </c>
      <c r="J19" s="1016">
        <v>2</v>
      </c>
      <c r="K19" s="1017" t="s">
        <v>128</v>
      </c>
      <c r="L19" s="1018">
        <v>30.1</v>
      </c>
      <c r="M19" s="1013">
        <v>48000</v>
      </c>
      <c r="N19" s="492"/>
      <c r="O19" s="1014" t="s">
        <v>158</v>
      </c>
      <c r="P19" s="1015">
        <v>17537706</v>
      </c>
    </row>
    <row r="20" spans="3:17">
      <c r="C20" s="24">
        <f t="shared" si="5"/>
        <v>3</v>
      </c>
      <c r="D20" s="11" t="str">
        <f t="shared" si="5"/>
        <v>华夏人寿保险股份有限公司</v>
      </c>
      <c r="E20" s="21">
        <f t="shared" si="6"/>
        <v>28.2</v>
      </c>
      <c r="F20" s="21">
        <f t="shared" si="9"/>
        <v>4.8</v>
      </c>
      <c r="G20" s="19" t="str">
        <f t="shared" si="7"/>
        <v/>
      </c>
      <c r="H20" s="21" t="str">
        <f t="shared" si="8"/>
        <v/>
      </c>
      <c r="J20" s="1016">
        <v>3</v>
      </c>
      <c r="K20" s="1017" t="s">
        <v>119</v>
      </c>
      <c r="L20" s="1018">
        <v>28.2</v>
      </c>
      <c r="M20" s="1013">
        <v>48000</v>
      </c>
      <c r="N20" s="492"/>
      <c r="O20" s="1014" t="s">
        <v>278</v>
      </c>
      <c r="P20" s="1015">
        <v>16836197</v>
      </c>
    </row>
    <row r="21" spans="3:17">
      <c r="C21" s="24">
        <f t="shared" si="5"/>
        <v>4</v>
      </c>
      <c r="D21" s="11" t="str">
        <f t="shared" si="5"/>
        <v>华鑫证券有限责任公司</v>
      </c>
      <c r="E21" s="21">
        <f t="shared" si="6"/>
        <v>28</v>
      </c>
      <c r="F21" s="21">
        <f t="shared" si="9"/>
        <v>4.8</v>
      </c>
      <c r="G21" s="19" t="str">
        <f t="shared" si="7"/>
        <v/>
      </c>
      <c r="H21" s="21" t="str">
        <f t="shared" si="8"/>
        <v/>
      </c>
      <c r="J21" s="1019">
        <v>4</v>
      </c>
      <c r="K21" s="1020" t="s">
        <v>505</v>
      </c>
      <c r="L21" s="1012">
        <v>28</v>
      </c>
      <c r="M21" s="1013">
        <v>48000</v>
      </c>
      <c r="N21" s="492"/>
      <c r="O21" s="1014" t="s">
        <v>128</v>
      </c>
      <c r="P21" s="1015">
        <v>16836197</v>
      </c>
    </row>
    <row r="22" spans="3:17">
      <c r="C22" s="24" t="str">
        <f t="shared" si="5"/>
        <v/>
      </c>
      <c r="D22" s="11" t="str">
        <f t="shared" si="5"/>
        <v/>
      </c>
      <c r="E22" s="21">
        <f t="shared" si="6"/>
        <v>26.2</v>
      </c>
      <c r="F22" s="21">
        <f t="shared" si="9"/>
        <v>4.8</v>
      </c>
      <c r="G22" s="19" t="str">
        <f t="shared" si="7"/>
        <v/>
      </c>
      <c r="H22" s="21" t="str">
        <f t="shared" si="8"/>
        <v/>
      </c>
      <c r="J22" s="1019"/>
      <c r="K22" s="1020"/>
      <c r="L22" s="1012">
        <v>26.2</v>
      </c>
      <c r="M22" s="1013">
        <v>48000</v>
      </c>
      <c r="N22" s="492"/>
      <c r="O22" s="1014" t="s">
        <v>138</v>
      </c>
      <c r="P22" s="1015">
        <v>15713787</v>
      </c>
    </row>
    <row r="23" spans="3:17">
      <c r="C23" s="24">
        <f t="shared" si="5"/>
        <v>5</v>
      </c>
      <c r="D23" s="11" t="str">
        <f t="shared" si="5"/>
        <v>金鹰基金管理有限公司</v>
      </c>
      <c r="E23" s="21">
        <f t="shared" si="6"/>
        <v>35</v>
      </c>
      <c r="F23" s="21">
        <f t="shared" si="9"/>
        <v>4.8</v>
      </c>
      <c r="G23" s="19">
        <f t="shared" si="7"/>
        <v>1683.6197</v>
      </c>
      <c r="H23" s="21">
        <f t="shared" si="8"/>
        <v>4.7999997647000008</v>
      </c>
      <c r="J23" s="1019">
        <v>5</v>
      </c>
      <c r="K23" s="1020" t="s">
        <v>278</v>
      </c>
      <c r="L23" s="1012">
        <v>35</v>
      </c>
      <c r="M23" s="1013">
        <v>48000</v>
      </c>
      <c r="N23" s="492"/>
      <c r="O23" s="492"/>
      <c r="P23" s="492"/>
    </row>
    <row r="24" spans="3:17">
      <c r="C24" s="24" t="str">
        <f t="shared" si="5"/>
        <v/>
      </c>
      <c r="D24" s="11" t="str">
        <f t="shared" si="5"/>
        <v/>
      </c>
      <c r="E24" s="21">
        <f t="shared" si="6"/>
        <v>27.5</v>
      </c>
      <c r="F24" s="21">
        <f t="shared" si="9"/>
        <v>9.6</v>
      </c>
      <c r="G24" s="19" t="str">
        <f t="shared" si="7"/>
        <v/>
      </c>
      <c r="H24" s="21" t="str">
        <f t="shared" si="8"/>
        <v/>
      </c>
      <c r="J24" s="1019"/>
      <c r="K24" s="1020"/>
      <c r="L24" s="1012">
        <v>27.5</v>
      </c>
      <c r="M24" s="1013">
        <v>96000</v>
      </c>
      <c r="N24" s="492"/>
      <c r="O24" s="492"/>
      <c r="P24" s="492"/>
    </row>
    <row r="25" spans="3:17">
      <c r="C25" s="24">
        <f t="shared" si="5"/>
        <v>6</v>
      </c>
      <c r="D25" s="11" t="str">
        <f t="shared" si="5"/>
        <v>申万菱信（上海）资产管理有限公司</v>
      </c>
      <c r="E25" s="21">
        <f t="shared" si="6"/>
        <v>28.51</v>
      </c>
      <c r="F25" s="21">
        <f t="shared" si="9"/>
        <v>5.0999999999999996</v>
      </c>
      <c r="G25" s="19">
        <f t="shared" si="7"/>
        <v>1571.3787</v>
      </c>
      <c r="H25" s="21">
        <f t="shared" si="8"/>
        <v>4.4800006737000002</v>
      </c>
      <c r="J25" s="1019">
        <v>6</v>
      </c>
      <c r="K25" s="1020" t="s">
        <v>138</v>
      </c>
      <c r="L25" s="1012">
        <v>28.51</v>
      </c>
      <c r="M25" s="1013">
        <v>51000</v>
      </c>
      <c r="N25" s="492"/>
      <c r="O25" s="492"/>
      <c r="P25" s="492"/>
    </row>
    <row r="26" spans="3:17">
      <c r="C26" s="24" t="str">
        <f t="shared" si="5"/>
        <v/>
      </c>
      <c r="D26" s="11" t="str">
        <f t="shared" si="5"/>
        <v/>
      </c>
      <c r="E26" s="21">
        <f t="shared" si="6"/>
        <v>26.19</v>
      </c>
      <c r="F26" s="21">
        <f t="shared" si="9"/>
        <v>7.5</v>
      </c>
      <c r="G26" s="19" t="str">
        <f t="shared" si="7"/>
        <v/>
      </c>
      <c r="H26" s="21" t="str">
        <f t="shared" si="8"/>
        <v/>
      </c>
      <c r="J26" s="1019"/>
      <c r="K26" s="1020"/>
      <c r="L26" s="1012">
        <v>26.19</v>
      </c>
      <c r="M26" s="1013">
        <v>75000</v>
      </c>
      <c r="N26" s="492"/>
      <c r="O26" s="492"/>
      <c r="P26" s="492"/>
    </row>
    <row r="27" spans="3:17">
      <c r="C27" s="24">
        <f t="shared" si="5"/>
        <v>7</v>
      </c>
      <c r="D27" s="11" t="str">
        <f t="shared" si="5"/>
        <v>深圳平安大华汇通财富管理有限公司</v>
      </c>
      <c r="E27" s="21">
        <f t="shared" si="6"/>
        <v>32</v>
      </c>
      <c r="F27" s="21">
        <f t="shared" si="9"/>
        <v>5</v>
      </c>
      <c r="G27" s="19">
        <f t="shared" si="7"/>
        <v>1753.7706000000001</v>
      </c>
      <c r="H27" s="21">
        <f t="shared" si="8"/>
        <v>4.9999999806000011</v>
      </c>
      <c r="J27" s="1016">
        <v>7</v>
      </c>
      <c r="K27" s="1017" t="s">
        <v>158</v>
      </c>
      <c r="L27" s="1018">
        <v>32</v>
      </c>
      <c r="M27" s="1013">
        <v>50000</v>
      </c>
      <c r="N27" s="492"/>
      <c r="O27" s="492"/>
      <c r="P27" s="492"/>
    </row>
    <row r="28" spans="3:17">
      <c r="C28" s="24">
        <f t="shared" si="5"/>
        <v>8</v>
      </c>
      <c r="D28" s="11" t="str">
        <f t="shared" si="5"/>
        <v>天安财产保险股份有限公司</v>
      </c>
      <c r="E28" s="21">
        <f t="shared" si="6"/>
        <v>26.5</v>
      </c>
      <c r="F28" s="21">
        <f t="shared" si="9"/>
        <v>4.8</v>
      </c>
      <c r="G28" s="19" t="str">
        <f t="shared" si="7"/>
        <v/>
      </c>
      <c r="H28" s="21" t="str">
        <f t="shared" si="8"/>
        <v/>
      </c>
      <c r="J28" s="1016">
        <v>8</v>
      </c>
      <c r="K28" s="1017" t="s">
        <v>120</v>
      </c>
      <c r="L28" s="1018">
        <v>26.5</v>
      </c>
      <c r="M28" s="1013">
        <v>48000</v>
      </c>
      <c r="N28" s="492"/>
      <c r="O28" s="492"/>
      <c r="P28" s="492"/>
    </row>
    <row r="29" spans="3:17">
      <c r="C29" s="24">
        <f t="shared" si="5"/>
        <v>9</v>
      </c>
      <c r="D29" s="11" t="str">
        <f t="shared" si="5"/>
        <v>兴业全球基金管理有限公司</v>
      </c>
      <c r="E29" s="21">
        <f t="shared" si="6"/>
        <v>28.1</v>
      </c>
      <c r="F29" s="21">
        <f t="shared" si="9"/>
        <v>4.8099999999999996</v>
      </c>
      <c r="G29" s="19" t="str">
        <f t="shared" si="7"/>
        <v/>
      </c>
      <c r="H29" s="21" t="str">
        <f t="shared" si="8"/>
        <v/>
      </c>
      <c r="J29" s="1016">
        <v>9</v>
      </c>
      <c r="K29" s="1017" t="s">
        <v>131</v>
      </c>
      <c r="L29" s="1018">
        <v>28.1</v>
      </c>
      <c r="M29" s="1013">
        <v>48100</v>
      </c>
      <c r="N29" s="492"/>
      <c r="O29" s="492"/>
      <c r="P29" s="492"/>
    </row>
    <row r="30" spans="3:17">
      <c r="C30" s="24">
        <f t="shared" si="5"/>
        <v>10</v>
      </c>
      <c r="D30" s="11" t="str">
        <f t="shared" si="5"/>
        <v>易方达基金管理有限公司</v>
      </c>
      <c r="E30" s="21">
        <f t="shared" si="6"/>
        <v>39.1</v>
      </c>
      <c r="F30" s="21">
        <f t="shared" si="9"/>
        <v>7.13</v>
      </c>
      <c r="G30" s="19">
        <f t="shared" si="7"/>
        <v>3048.0533</v>
      </c>
      <c r="H30" s="21">
        <f t="shared" si="8"/>
        <v>8.6899999583000014</v>
      </c>
      <c r="J30" s="1010">
        <v>10</v>
      </c>
      <c r="K30" s="1011" t="s">
        <v>225</v>
      </c>
      <c r="L30" s="1012">
        <v>39.1</v>
      </c>
      <c r="M30" s="1013">
        <v>71300</v>
      </c>
      <c r="N30" s="492"/>
      <c r="O30" s="492"/>
      <c r="P30" s="492"/>
    </row>
    <row r="31" spans="3:17">
      <c r="C31" s="24" t="str">
        <f t="shared" si="5"/>
        <v/>
      </c>
      <c r="D31" s="11" t="str">
        <f t="shared" si="5"/>
        <v/>
      </c>
      <c r="E31" s="21">
        <f t="shared" si="6"/>
        <v>36.5</v>
      </c>
      <c r="F31" s="21">
        <f t="shared" si="9"/>
        <v>7.33</v>
      </c>
      <c r="G31" s="19" t="str">
        <f t="shared" si="7"/>
        <v/>
      </c>
      <c r="H31" s="21" t="str">
        <f t="shared" si="8"/>
        <v/>
      </c>
      <c r="J31" s="1010"/>
      <c r="K31" s="1011"/>
      <c r="L31" s="1012">
        <v>36.5</v>
      </c>
      <c r="M31" s="1013">
        <v>73300</v>
      </c>
      <c r="N31" s="492"/>
      <c r="O31" s="492"/>
      <c r="P31" s="492"/>
    </row>
    <row r="32" spans="3:17">
      <c r="C32" s="24" t="str">
        <f t="shared" ref="C32:D33" si="10">IF(J32=0,"",J32)</f>
        <v/>
      </c>
      <c r="D32" s="11" t="str">
        <f t="shared" si="10"/>
        <v/>
      </c>
      <c r="E32" s="21">
        <f t="shared" si="6"/>
        <v>34.1</v>
      </c>
      <c r="F32" s="21">
        <f t="shared" si="9"/>
        <v>8.69</v>
      </c>
      <c r="G32" s="19" t="str">
        <f t="shared" si="7"/>
        <v/>
      </c>
      <c r="H32" s="21" t="str">
        <f t="shared" si="8"/>
        <v/>
      </c>
      <c r="J32" s="1010"/>
      <c r="K32" s="1011"/>
      <c r="L32" s="1012">
        <v>34.1</v>
      </c>
      <c r="M32" s="1013">
        <v>86900</v>
      </c>
      <c r="N32" s="492"/>
      <c r="O32" s="492"/>
      <c r="P32" s="492"/>
    </row>
    <row r="33" spans="1:21">
      <c r="C33" s="24">
        <f t="shared" si="10"/>
        <v>11</v>
      </c>
      <c r="D33" s="11" t="str">
        <f t="shared" si="10"/>
        <v>章建平</v>
      </c>
      <c r="E33" s="21">
        <f t="shared" si="6"/>
        <v>35.200000000000003</v>
      </c>
      <c r="F33" s="21">
        <f t="shared" si="9"/>
        <v>4.8</v>
      </c>
      <c r="G33" s="19">
        <f t="shared" si="7"/>
        <v>3367.2395000000001</v>
      </c>
      <c r="H33" s="21">
        <f t="shared" si="8"/>
        <v>9.5999998145000003</v>
      </c>
      <c r="J33" s="1019">
        <v>11</v>
      </c>
      <c r="K33" s="1020" t="s">
        <v>581</v>
      </c>
      <c r="L33" s="1012">
        <v>35.200000000000003</v>
      </c>
      <c r="M33" s="1013">
        <v>48000</v>
      </c>
      <c r="N33" s="492"/>
      <c r="O33" s="492"/>
      <c r="P33" s="492"/>
    </row>
    <row r="34" spans="1:21">
      <c r="C34" s="24" t="str">
        <f>IF(J34=0,"",J34)</f>
        <v/>
      </c>
      <c r="D34" s="11" t="str">
        <f>IF(K34=0,"",K34)</f>
        <v/>
      </c>
      <c r="E34" s="21">
        <f t="shared" si="6"/>
        <v>31.2</v>
      </c>
      <c r="F34" s="21">
        <f t="shared" si="9"/>
        <v>9.6</v>
      </c>
      <c r="G34" s="19" t="str">
        <f>IFERROR(VLOOKUP(D34,O$15:Q$34,2,FALSE)/10000,"")</f>
        <v/>
      </c>
      <c r="H34" s="21" t="str">
        <f t="shared" si="8"/>
        <v/>
      </c>
      <c r="J34" s="1019"/>
      <c r="K34" s="1020"/>
      <c r="L34" s="1012">
        <v>31.2</v>
      </c>
      <c r="M34" s="1013">
        <v>96000</v>
      </c>
      <c r="N34" s="492"/>
      <c r="O34" s="492"/>
      <c r="P34" s="492"/>
    </row>
    <row r="35" spans="1:21">
      <c r="J35" s="28"/>
    </row>
    <row r="36" spans="1:21">
      <c r="A36" s="24">
        <v>2</v>
      </c>
      <c r="B36" s="12" t="s">
        <v>106</v>
      </c>
      <c r="C36" s="12" t="s">
        <v>126</v>
      </c>
      <c r="D36" s="12" t="s">
        <v>107</v>
      </c>
      <c r="E36" s="12" t="s">
        <v>4</v>
      </c>
      <c r="F36" s="13" t="s">
        <v>108</v>
      </c>
      <c r="G36" s="13" t="s">
        <v>109</v>
      </c>
      <c r="H36" s="12" t="s">
        <v>274</v>
      </c>
      <c r="I36" s="12" t="s">
        <v>273</v>
      </c>
      <c r="J36" s="12" t="s">
        <v>116</v>
      </c>
      <c r="K36" s="14" t="s">
        <v>110</v>
      </c>
      <c r="L36" s="14" t="s">
        <v>276</v>
      </c>
      <c r="M36" s="14" t="s">
        <v>117</v>
      </c>
      <c r="N36" s="15" t="s">
        <v>275</v>
      </c>
      <c r="O36" s="12" t="s">
        <v>111</v>
      </c>
      <c r="P36" s="8" t="s">
        <v>12</v>
      </c>
      <c r="Q36" s="8" t="s">
        <v>190</v>
      </c>
      <c r="R36" s="15" t="s">
        <v>129</v>
      </c>
      <c r="S36" s="14" t="s">
        <v>220</v>
      </c>
    </row>
    <row r="37" spans="1:21">
      <c r="A37" s="24">
        <v>6</v>
      </c>
      <c r="B37" s="979">
        <v>12</v>
      </c>
      <c r="C37" s="9" t="s">
        <v>171</v>
      </c>
      <c r="D37" s="1" t="s">
        <v>63</v>
      </c>
      <c r="E37" s="1" t="s">
        <v>62</v>
      </c>
      <c r="F37" s="3">
        <v>25</v>
      </c>
      <c r="G37" s="3">
        <v>20.331926314699999</v>
      </c>
      <c r="H37" s="2">
        <v>42380</v>
      </c>
      <c r="I37" s="1001" t="s">
        <v>151</v>
      </c>
      <c r="J37" s="11">
        <v>11.15</v>
      </c>
      <c r="K37" s="3">
        <v>7.06</v>
      </c>
      <c r="L37" s="3">
        <f>K37/J37</f>
        <v>0.63318385650224207</v>
      </c>
      <c r="M37" s="3">
        <v>10.01</v>
      </c>
      <c r="N37" s="10">
        <f>M37/J37</f>
        <v>0.89775784753363219</v>
      </c>
      <c r="O37" s="1002">
        <v>7</v>
      </c>
      <c r="P37" s="2">
        <v>42772</v>
      </c>
      <c r="Q37" s="1003">
        <v>7.95</v>
      </c>
      <c r="R37" s="18">
        <f>(Q37*(1+T37/10)+U37/10)/M37</f>
        <v>0.80369630369630374</v>
      </c>
      <c r="S37" s="11" t="s">
        <v>250</v>
      </c>
      <c r="T37" s="22">
        <f>IFERROR(RIGHT(LEFT(S37,FIND("股",S37)-1),(FIND("股",S37)-1-FIND("转",S37))),0)</f>
        <v>0</v>
      </c>
      <c r="U37" s="23" t="str">
        <f>IFERROR(RIGHT(LEFT(S37,FIND("元",S37)-1),(FIND("元",S37)-1-FIND("派",S37))),0)</f>
        <v>0.95</v>
      </c>
    </row>
    <row r="38" spans="1:21">
      <c r="B38" s="125"/>
      <c r="C38" s="129"/>
      <c r="D38" s="128"/>
      <c r="E38" s="128"/>
      <c r="F38" s="127"/>
      <c r="G38" s="127"/>
      <c r="H38" s="126"/>
      <c r="I38" s="125"/>
      <c r="K38" s="130"/>
      <c r="L38" s="130"/>
      <c r="M38" s="130"/>
      <c r="N38" s="5"/>
      <c r="O38" s="120"/>
      <c r="P38" s="124"/>
      <c r="Q38" s="5"/>
      <c r="R38" s="123"/>
      <c r="T38" s="28"/>
      <c r="U38" s="122"/>
    </row>
    <row r="39" spans="1:21" ht="16">
      <c r="C39" s="27" t="s">
        <v>118</v>
      </c>
      <c r="D39" s="16" t="s">
        <v>112</v>
      </c>
      <c r="E39" s="16" t="s">
        <v>113</v>
      </c>
      <c r="F39" s="16" t="s">
        <v>288</v>
      </c>
      <c r="G39" s="17" t="s">
        <v>287</v>
      </c>
      <c r="H39" s="16" t="s">
        <v>289</v>
      </c>
      <c r="J39" s="1021" t="s">
        <v>118</v>
      </c>
      <c r="K39" s="1021" t="s">
        <v>347</v>
      </c>
      <c r="L39" s="1022" t="s">
        <v>580</v>
      </c>
      <c r="M39" s="1021" t="s">
        <v>393</v>
      </c>
      <c r="N39" s="1009"/>
      <c r="O39" s="1009"/>
      <c r="P39" s="1023" t="s">
        <v>377</v>
      </c>
      <c r="Q39" s="32"/>
    </row>
    <row r="40" spans="1:21" ht="16" customHeight="1">
      <c r="C40" s="28">
        <f t="shared" ref="C40:D55" si="11">IF(J40=0,"",J40)</f>
        <v>1</v>
      </c>
      <c r="D40" s="11" t="str">
        <f t="shared" si="11"/>
        <v>平安大华基金管理有限公司</v>
      </c>
      <c r="E40" s="21">
        <f t="shared" ref="E40:E64" si="12">L40</f>
        <v>11.11</v>
      </c>
      <c r="F40" s="21">
        <f t="shared" ref="F40:F64" si="13">M40/10000</f>
        <v>2.500861</v>
      </c>
      <c r="G40" s="19">
        <f>IFERROR(VLOOKUP(D40,O$39:Q$63,2,FALSE)/10000,"")</f>
        <v>2498.3625999999999</v>
      </c>
      <c r="H40" s="21">
        <f>IFERROR(G40*M$37/10000,"")</f>
        <v>2.5008609625999996</v>
      </c>
      <c r="J40" s="1024">
        <v>1</v>
      </c>
      <c r="K40" s="1025" t="s">
        <v>146</v>
      </c>
      <c r="L40" s="1026">
        <v>11.11</v>
      </c>
      <c r="M40" s="1027">
        <v>25008.61</v>
      </c>
      <c r="N40" s="1009"/>
      <c r="O40" s="1028" t="s">
        <v>115</v>
      </c>
      <c r="P40" s="1029">
        <v>50544030</v>
      </c>
    </row>
    <row r="41" spans="1:21" ht="16" customHeight="1">
      <c r="C41" s="28">
        <f t="shared" si="11"/>
        <v>2</v>
      </c>
      <c r="D41" s="11" t="str">
        <f t="shared" si="11"/>
        <v>中信建投基金管理有限公司</v>
      </c>
      <c r="E41" s="21">
        <f t="shared" si="12"/>
        <v>10.61</v>
      </c>
      <c r="F41" s="21">
        <f t="shared" si="13"/>
        <v>2.7716080721999998</v>
      </c>
      <c r="G41" s="19">
        <f t="shared" ref="G41:G49" si="14">IFERROR(VLOOKUP(D41,O$39:Q$63,2,FALSE)/10000,"")</f>
        <v>2768.8391999999999</v>
      </c>
      <c r="H41" s="21">
        <f t="shared" ref="H41:H49" si="15">IFERROR(G41*M$37/10000,"")</f>
        <v>2.7716080392000002</v>
      </c>
      <c r="J41" s="1024">
        <v>2</v>
      </c>
      <c r="K41" s="1025" t="s">
        <v>144</v>
      </c>
      <c r="L41" s="1026">
        <v>10.61</v>
      </c>
      <c r="M41" s="1027">
        <v>27716.080721999999</v>
      </c>
      <c r="N41" s="1009"/>
      <c r="O41" s="1025" t="s">
        <v>146</v>
      </c>
      <c r="P41" s="1029">
        <v>24983626</v>
      </c>
    </row>
    <row r="42" spans="1:21" ht="16" customHeight="1">
      <c r="C42" s="28">
        <f t="shared" si="11"/>
        <v>3</v>
      </c>
      <c r="D42" s="11" t="str">
        <f t="shared" si="11"/>
        <v>泰达宏利基金管理有限公司</v>
      </c>
      <c r="E42" s="21">
        <f t="shared" si="12"/>
        <v>10.59</v>
      </c>
      <c r="F42" s="21">
        <f t="shared" si="13"/>
        <v>2.5000000443000001</v>
      </c>
      <c r="G42" s="19">
        <f t="shared" si="14"/>
        <v>2497.5025000000001</v>
      </c>
      <c r="H42" s="21">
        <f t="shared" si="15"/>
        <v>2.5000000025000002</v>
      </c>
      <c r="J42" s="1024">
        <v>3</v>
      </c>
      <c r="K42" s="1025" t="s">
        <v>148</v>
      </c>
      <c r="L42" s="1026">
        <v>10.59</v>
      </c>
      <c r="M42" s="1027">
        <v>25000.000443000001</v>
      </c>
      <c r="N42" s="1009"/>
      <c r="O42" s="1025" t="s">
        <v>579</v>
      </c>
      <c r="P42" s="1029">
        <v>24975025</v>
      </c>
    </row>
    <row r="43" spans="1:21" ht="16" customHeight="1">
      <c r="C43" s="28">
        <f t="shared" si="11"/>
        <v>4</v>
      </c>
      <c r="D43" s="11" t="str">
        <f t="shared" si="11"/>
        <v>天弘基金管理有限公司</v>
      </c>
      <c r="E43" s="21">
        <f t="shared" si="12"/>
        <v>10.5</v>
      </c>
      <c r="F43" s="21">
        <f t="shared" si="13"/>
        <v>2.5000000199999999</v>
      </c>
      <c r="G43" s="19">
        <f t="shared" si="14"/>
        <v>2497.5023999999999</v>
      </c>
      <c r="H43" s="21">
        <f t="shared" si="15"/>
        <v>2.4999999023999999</v>
      </c>
      <c r="J43" s="1024">
        <v>4</v>
      </c>
      <c r="K43" s="1025" t="s">
        <v>279</v>
      </c>
      <c r="L43" s="1026">
        <v>10.5</v>
      </c>
      <c r="M43" s="1027">
        <v>25000.000199999999</v>
      </c>
      <c r="N43" s="1009"/>
      <c r="O43" s="1025" t="s">
        <v>148</v>
      </c>
      <c r="P43" s="1029">
        <v>24975025</v>
      </c>
    </row>
    <row r="44" spans="1:21" ht="16" customHeight="1">
      <c r="C44" s="28">
        <f t="shared" si="11"/>
        <v>5</v>
      </c>
      <c r="D44" s="11" t="str">
        <f t="shared" si="11"/>
        <v>太平洋证券股份有限公司</v>
      </c>
      <c r="E44" s="21">
        <f t="shared" si="12"/>
        <v>10.11</v>
      </c>
      <c r="F44" s="21">
        <f t="shared" si="13"/>
        <v>2.5000000923000001</v>
      </c>
      <c r="G44" s="19">
        <f t="shared" si="14"/>
        <v>2497.5025000000001</v>
      </c>
      <c r="H44" s="21">
        <f t="shared" si="15"/>
        <v>2.5000000025000002</v>
      </c>
      <c r="J44" s="1024">
        <v>5</v>
      </c>
      <c r="K44" s="1025" t="s">
        <v>579</v>
      </c>
      <c r="L44" s="1026">
        <v>10.11</v>
      </c>
      <c r="M44" s="1027">
        <v>25000.000923</v>
      </c>
      <c r="N44" s="1009"/>
      <c r="O44" s="1025" t="s">
        <v>279</v>
      </c>
      <c r="P44" s="1029">
        <v>24975024</v>
      </c>
    </row>
    <row r="45" spans="1:21" ht="16" customHeight="1">
      <c r="C45" s="28">
        <f t="shared" si="11"/>
        <v>6</v>
      </c>
      <c r="D45" s="11" t="str">
        <f t="shared" si="11"/>
        <v>中信证券股份有限公司</v>
      </c>
      <c r="E45" s="21">
        <f t="shared" si="12"/>
        <v>10.02</v>
      </c>
      <c r="F45" s="21">
        <f t="shared" si="13"/>
        <v>2.5000000199999999</v>
      </c>
      <c r="G45" s="19">
        <f t="shared" si="14"/>
        <v>2497.5025000000001</v>
      </c>
      <c r="H45" s="21">
        <f t="shared" si="15"/>
        <v>2.5000000025000002</v>
      </c>
      <c r="J45" s="1030">
        <v>6</v>
      </c>
      <c r="K45" s="1028" t="s">
        <v>316</v>
      </c>
      <c r="L45" s="1026">
        <v>10.02</v>
      </c>
      <c r="M45" s="1027">
        <v>25000.000199999999</v>
      </c>
      <c r="N45" s="1009"/>
      <c r="O45" s="1025" t="s">
        <v>144</v>
      </c>
      <c r="P45" s="1029">
        <v>27688392</v>
      </c>
    </row>
    <row r="46" spans="1:21" ht="16" customHeight="1">
      <c r="C46" s="28" t="str">
        <f t="shared" si="11"/>
        <v/>
      </c>
      <c r="D46" s="11" t="str">
        <f t="shared" si="11"/>
        <v/>
      </c>
      <c r="E46" s="21">
        <f t="shared" si="12"/>
        <v>9.5</v>
      </c>
      <c r="F46" s="21">
        <f t="shared" si="13"/>
        <v>2.9999999700000002</v>
      </c>
      <c r="G46" s="19" t="str">
        <f t="shared" si="14"/>
        <v/>
      </c>
      <c r="H46" s="21" t="str">
        <f t="shared" si="15"/>
        <v/>
      </c>
      <c r="J46" s="1030"/>
      <c r="K46" s="1028"/>
      <c r="L46" s="1026">
        <v>9.5</v>
      </c>
      <c r="M46" s="1027">
        <v>29999.9997</v>
      </c>
      <c r="N46" s="1009"/>
      <c r="O46" s="1028" t="s">
        <v>316</v>
      </c>
      <c r="P46" s="1029">
        <v>24975025</v>
      </c>
    </row>
    <row r="47" spans="1:21" ht="15.5">
      <c r="C47" s="28">
        <f t="shared" si="11"/>
        <v>7</v>
      </c>
      <c r="D47" s="11" t="str">
        <f t="shared" si="11"/>
        <v>财通基金管理有限公司</v>
      </c>
      <c r="E47" s="21">
        <f t="shared" si="12"/>
        <v>10.01</v>
      </c>
      <c r="F47" s="21">
        <f t="shared" si="13"/>
        <v>8.9434999653999991</v>
      </c>
      <c r="G47" s="19">
        <f t="shared" si="14"/>
        <v>5054.4030000000002</v>
      </c>
      <c r="H47" s="21">
        <f t="shared" si="15"/>
        <v>5.0594574030000006</v>
      </c>
      <c r="J47" s="1030">
        <v>7</v>
      </c>
      <c r="K47" s="1028" t="s">
        <v>115</v>
      </c>
      <c r="L47" s="1026">
        <v>10.01</v>
      </c>
      <c r="M47" s="1027">
        <v>89434.999653999999</v>
      </c>
      <c r="N47" s="1009"/>
      <c r="O47" s="1009"/>
      <c r="P47" s="492"/>
    </row>
    <row r="48" spans="1:21" ht="15.5">
      <c r="C48" s="28" t="str">
        <f t="shared" si="11"/>
        <v/>
      </c>
      <c r="D48" s="11" t="str">
        <f t="shared" si="11"/>
        <v/>
      </c>
      <c r="E48" s="21">
        <f t="shared" si="12"/>
        <v>9.5</v>
      </c>
      <c r="F48" s="21">
        <f t="shared" si="13"/>
        <v>11.65049999</v>
      </c>
      <c r="G48" s="19" t="str">
        <f t="shared" si="14"/>
        <v/>
      </c>
      <c r="H48" s="21" t="str">
        <f t="shared" si="15"/>
        <v/>
      </c>
      <c r="J48" s="1030"/>
      <c r="K48" s="1028"/>
      <c r="L48" s="1026">
        <v>9.5</v>
      </c>
      <c r="M48" s="1027">
        <v>116504.9999</v>
      </c>
      <c r="N48" s="1009"/>
      <c r="O48" s="1009"/>
      <c r="P48" s="492"/>
    </row>
    <row r="49" spans="3:16" ht="15.5">
      <c r="C49" s="28" t="str">
        <f t="shared" si="11"/>
        <v/>
      </c>
      <c r="D49" s="11" t="str">
        <f t="shared" si="11"/>
        <v/>
      </c>
      <c r="E49" s="21">
        <f t="shared" si="12"/>
        <v>8.5500000000000007</v>
      </c>
      <c r="F49" s="21">
        <f t="shared" si="13"/>
        <v>13.9654999755</v>
      </c>
      <c r="G49" s="19" t="str">
        <f t="shared" si="14"/>
        <v/>
      </c>
      <c r="H49" s="21" t="str">
        <f t="shared" si="15"/>
        <v/>
      </c>
      <c r="J49" s="1030"/>
      <c r="K49" s="1028"/>
      <c r="L49" s="1026">
        <v>8.5500000000000007</v>
      </c>
      <c r="M49" s="1027">
        <v>139654.999755</v>
      </c>
      <c r="N49" s="1009"/>
      <c r="O49" s="1009"/>
      <c r="P49" s="492"/>
    </row>
    <row r="50" spans="3:16" ht="15.5">
      <c r="C50" s="28">
        <f t="shared" si="11"/>
        <v>8</v>
      </c>
      <c r="D50" s="11" t="str">
        <f t="shared" si="11"/>
        <v>青岛城投金融控股集团有限公司</v>
      </c>
      <c r="E50" s="21">
        <f t="shared" si="12"/>
        <v>9.69</v>
      </c>
      <c r="F50" s="21">
        <f t="shared" si="13"/>
        <v>2.5</v>
      </c>
      <c r="G50" s="19" t="str">
        <f>IFERROR(VLOOKUP(D50,O$39:Q$63,2,FALSE)/10000,"")</f>
        <v/>
      </c>
      <c r="H50" s="21" t="str">
        <f>IFERROR(G50*M$37/10000,"")</f>
        <v/>
      </c>
      <c r="J50" s="1024">
        <v>8</v>
      </c>
      <c r="K50" s="1025" t="s">
        <v>125</v>
      </c>
      <c r="L50" s="1026">
        <v>9.69</v>
      </c>
      <c r="M50" s="1027">
        <v>25000</v>
      </c>
      <c r="N50" s="1009"/>
      <c r="O50" s="1009"/>
      <c r="P50" s="492"/>
    </row>
    <row r="51" spans="3:16" ht="15.5">
      <c r="C51" s="28">
        <f t="shared" si="11"/>
        <v>9</v>
      </c>
      <c r="D51" s="11" t="str">
        <f t="shared" si="11"/>
        <v>上银基金管理有限公司</v>
      </c>
      <c r="E51" s="21">
        <f t="shared" si="12"/>
        <v>9.6</v>
      </c>
      <c r="F51" s="21">
        <f t="shared" si="13"/>
        <v>4.4543999999999997</v>
      </c>
      <c r="G51" s="19" t="str">
        <f t="shared" ref="G51:G62" si="16">IFERROR(VLOOKUP(D51,O$39:Q$63,2,FALSE)/10000,"")</f>
        <v/>
      </c>
      <c r="H51" s="21" t="str">
        <f t="shared" ref="H51:H62" si="17">IFERROR(G51*M$37/10000,"")</f>
        <v/>
      </c>
      <c r="J51" s="1024">
        <v>9</v>
      </c>
      <c r="K51" s="1025" t="s">
        <v>317</v>
      </c>
      <c r="L51" s="1026">
        <v>9.6</v>
      </c>
      <c r="M51" s="1027">
        <v>44544</v>
      </c>
      <c r="N51" s="1009"/>
      <c r="O51" s="1009"/>
      <c r="P51" s="492"/>
    </row>
    <row r="52" spans="3:16" ht="15.5">
      <c r="C52" s="28">
        <f t="shared" si="11"/>
        <v>10</v>
      </c>
      <c r="D52" s="11" t="str">
        <f t="shared" si="11"/>
        <v>新华基金管理股份有限公司</v>
      </c>
      <c r="E52" s="21">
        <f t="shared" si="12"/>
        <v>9.6</v>
      </c>
      <c r="F52" s="21">
        <f t="shared" si="13"/>
        <v>2.500000032</v>
      </c>
      <c r="G52" s="19" t="str">
        <f t="shared" si="16"/>
        <v/>
      </c>
      <c r="H52" s="21" t="str">
        <f t="shared" si="17"/>
        <v/>
      </c>
      <c r="J52" s="1024">
        <v>10</v>
      </c>
      <c r="K52" s="1025" t="s">
        <v>564</v>
      </c>
      <c r="L52" s="1026">
        <v>9.6</v>
      </c>
      <c r="M52" s="1027">
        <v>25000.000319999999</v>
      </c>
      <c r="N52" s="492"/>
      <c r="O52" s="492"/>
      <c r="P52" s="492"/>
    </row>
    <row r="53" spans="3:16" ht="15.5">
      <c r="C53" s="28">
        <f t="shared" si="11"/>
        <v>11</v>
      </c>
      <c r="D53" s="11" t="str">
        <f t="shared" si="11"/>
        <v>创金合信基金管理有限公司</v>
      </c>
      <c r="E53" s="21">
        <f t="shared" si="12"/>
        <v>9.2799999999999994</v>
      </c>
      <c r="F53" s="21">
        <f t="shared" si="13"/>
        <v>2.5000000768000001</v>
      </c>
      <c r="G53" s="19" t="str">
        <f t="shared" si="16"/>
        <v/>
      </c>
      <c r="H53" s="21" t="str">
        <f t="shared" si="17"/>
        <v/>
      </c>
      <c r="J53" s="1030">
        <v>11</v>
      </c>
      <c r="K53" s="1028" t="s">
        <v>134</v>
      </c>
      <c r="L53" s="1026">
        <v>9.2799999999999994</v>
      </c>
      <c r="M53" s="1027">
        <v>25000.000768000002</v>
      </c>
      <c r="N53" s="492"/>
      <c r="O53" s="492"/>
      <c r="P53" s="492"/>
    </row>
    <row r="54" spans="3:16" ht="15.5">
      <c r="C54" s="28" t="str">
        <f t="shared" si="11"/>
        <v/>
      </c>
      <c r="D54" s="11" t="str">
        <f t="shared" si="11"/>
        <v/>
      </c>
      <c r="E54" s="21">
        <f t="shared" si="12"/>
        <v>9.01</v>
      </c>
      <c r="F54" s="21">
        <f t="shared" si="13"/>
        <v>3.5200000402999998</v>
      </c>
      <c r="G54" s="19" t="str">
        <f t="shared" si="16"/>
        <v/>
      </c>
      <c r="H54" s="21" t="str">
        <f t="shared" si="17"/>
        <v/>
      </c>
      <c r="J54" s="1030"/>
      <c r="K54" s="1028"/>
      <c r="L54" s="1026">
        <v>9.01</v>
      </c>
      <c r="M54" s="1027">
        <v>35200.000402999998</v>
      </c>
      <c r="N54" s="492"/>
      <c r="O54" s="492"/>
      <c r="P54" s="492"/>
    </row>
    <row r="55" spans="3:16" ht="15.5">
      <c r="C55" s="28">
        <f t="shared" si="11"/>
        <v>12</v>
      </c>
      <c r="D55" s="11" t="str">
        <f t="shared" si="11"/>
        <v>泰康资产管理有限责任公司</v>
      </c>
      <c r="E55" s="21">
        <f t="shared" si="12"/>
        <v>9.01</v>
      </c>
      <c r="F55" s="21">
        <f t="shared" si="13"/>
        <v>2.5549206500000001</v>
      </c>
      <c r="G55" s="19" t="str">
        <f t="shared" si="16"/>
        <v/>
      </c>
      <c r="H55" s="21" t="str">
        <f t="shared" si="17"/>
        <v/>
      </c>
      <c r="J55" s="1030">
        <v>12</v>
      </c>
      <c r="K55" s="1028" t="s">
        <v>124</v>
      </c>
      <c r="L55" s="1026">
        <v>9.01</v>
      </c>
      <c r="M55" s="1027">
        <v>25549.2065</v>
      </c>
      <c r="N55" s="492"/>
      <c r="O55" s="492"/>
      <c r="P55" s="492"/>
    </row>
    <row r="56" spans="3:16" ht="15.5">
      <c r="C56" s="28" t="str">
        <f t="shared" ref="C56:D64" si="18">IF(J56=0,"",J56)</f>
        <v/>
      </c>
      <c r="D56" s="11" t="str">
        <f t="shared" si="18"/>
        <v/>
      </c>
      <c r="E56" s="21">
        <f t="shared" si="12"/>
        <v>8</v>
      </c>
      <c r="F56" s="21">
        <f t="shared" si="13"/>
        <v>2.6950319999999999</v>
      </c>
      <c r="G56" s="19" t="str">
        <f t="shared" si="16"/>
        <v/>
      </c>
      <c r="H56" s="21" t="str">
        <f t="shared" si="17"/>
        <v/>
      </c>
      <c r="J56" s="1030"/>
      <c r="K56" s="1028"/>
      <c r="L56" s="1026">
        <v>8</v>
      </c>
      <c r="M56" s="1027">
        <v>26950.32</v>
      </c>
      <c r="N56" s="492"/>
      <c r="O56" s="492"/>
      <c r="P56" s="492"/>
    </row>
    <row r="57" spans="3:16" ht="15.5">
      <c r="C57" s="28">
        <f t="shared" si="18"/>
        <v>13</v>
      </c>
      <c r="D57" s="11" t="str">
        <f t="shared" si="18"/>
        <v>申万菱信（上海）资产管理有限
公司</v>
      </c>
      <c r="E57" s="21">
        <f t="shared" si="12"/>
        <v>8.51</v>
      </c>
      <c r="F57" s="21">
        <f t="shared" si="13"/>
        <v>2.8083</v>
      </c>
      <c r="G57" s="19" t="str">
        <f t="shared" si="16"/>
        <v/>
      </c>
      <c r="H57" s="21" t="str">
        <f t="shared" si="17"/>
        <v/>
      </c>
      <c r="J57" s="1030">
        <v>13</v>
      </c>
      <c r="K57" s="1009" t="s">
        <v>578</v>
      </c>
      <c r="L57" s="1026">
        <v>8.51</v>
      </c>
      <c r="M57" s="1027">
        <v>28083</v>
      </c>
      <c r="N57" s="492"/>
      <c r="O57" s="492"/>
      <c r="P57" s="492"/>
    </row>
    <row r="58" spans="3:16" ht="15.5">
      <c r="C58" s="28" t="str">
        <f t="shared" si="18"/>
        <v/>
      </c>
      <c r="D58" s="11" t="str">
        <f t="shared" si="18"/>
        <v/>
      </c>
      <c r="E58" s="21">
        <f t="shared" si="12"/>
        <v>7.28</v>
      </c>
      <c r="F58" s="21">
        <f t="shared" si="13"/>
        <v>5.0960000000000001</v>
      </c>
      <c r="G58" s="19" t="str">
        <f t="shared" si="16"/>
        <v/>
      </c>
      <c r="H58" s="21" t="str">
        <f t="shared" si="17"/>
        <v/>
      </c>
      <c r="J58" s="1030"/>
      <c r="K58" s="1009"/>
      <c r="L58" s="1026">
        <v>7.28</v>
      </c>
      <c r="M58" s="1027">
        <v>50960</v>
      </c>
      <c r="N58" s="492"/>
      <c r="O58" s="492"/>
      <c r="P58" s="492"/>
    </row>
    <row r="59" spans="3:16" ht="15.5">
      <c r="C59" s="28">
        <f t="shared" si="18"/>
        <v>14</v>
      </c>
      <c r="D59" s="11" t="str">
        <f t="shared" si="18"/>
        <v>兴业全球基金管理有限公司</v>
      </c>
      <c r="E59" s="21">
        <f t="shared" si="12"/>
        <v>8.08</v>
      </c>
      <c r="F59" s="21">
        <f t="shared" si="13"/>
        <v>2.555704</v>
      </c>
      <c r="G59" s="19" t="str">
        <f t="shared" si="16"/>
        <v/>
      </c>
      <c r="H59" s="21" t="str">
        <f t="shared" si="17"/>
        <v/>
      </c>
      <c r="J59" s="1024">
        <v>14</v>
      </c>
      <c r="K59" s="1025" t="s">
        <v>131</v>
      </c>
      <c r="L59" s="1026">
        <v>8.08</v>
      </c>
      <c r="M59" s="1027">
        <v>25557.040000000001</v>
      </c>
      <c r="N59" s="492"/>
      <c r="O59" s="492"/>
      <c r="P59" s="492"/>
    </row>
    <row r="60" spans="3:16" ht="15.5">
      <c r="C60" s="28">
        <f t="shared" si="18"/>
        <v>15</v>
      </c>
      <c r="D60" s="11" t="str">
        <f t="shared" si="18"/>
        <v>安徽志道投资有限公司</v>
      </c>
      <c r="E60" s="21">
        <f t="shared" si="12"/>
        <v>8.06</v>
      </c>
      <c r="F60" s="21">
        <f t="shared" si="13"/>
        <v>2.500000022</v>
      </c>
      <c r="G60" s="19" t="str">
        <f t="shared" si="16"/>
        <v/>
      </c>
      <c r="H60" s="21" t="str">
        <f t="shared" si="17"/>
        <v/>
      </c>
      <c r="J60" s="1024">
        <v>15</v>
      </c>
      <c r="K60" s="1025" t="s">
        <v>577</v>
      </c>
      <c r="L60" s="1026">
        <v>8.06</v>
      </c>
      <c r="M60" s="1027">
        <v>25000.000220000002</v>
      </c>
      <c r="N60" s="492"/>
      <c r="O60" s="492"/>
      <c r="P60" s="492"/>
    </row>
    <row r="61" spans="3:16" ht="15.5">
      <c r="C61" s="28">
        <f t="shared" si="18"/>
        <v>16</v>
      </c>
      <c r="D61" s="11" t="str">
        <f t="shared" si="18"/>
        <v>东海基金管理有限责任公司</v>
      </c>
      <c r="E61" s="21">
        <f t="shared" si="12"/>
        <v>8.01</v>
      </c>
      <c r="F61" s="21">
        <f t="shared" si="13"/>
        <v>2.50090623</v>
      </c>
      <c r="G61" s="19" t="str">
        <f t="shared" si="16"/>
        <v/>
      </c>
      <c r="H61" s="21" t="str">
        <f t="shared" si="17"/>
        <v/>
      </c>
      <c r="J61" s="1024">
        <v>16</v>
      </c>
      <c r="K61" s="1025" t="s">
        <v>128</v>
      </c>
      <c r="L61" s="1026">
        <v>8.01</v>
      </c>
      <c r="M61" s="1027">
        <v>25009.062300000001</v>
      </c>
      <c r="N61" s="492"/>
      <c r="O61" s="492"/>
      <c r="P61" s="492"/>
    </row>
    <row r="62" spans="3:16" ht="15.5">
      <c r="C62" s="28">
        <f t="shared" si="18"/>
        <v>17</v>
      </c>
      <c r="D62" s="11" t="str">
        <f t="shared" si="18"/>
        <v>诺安基金管理有限公司</v>
      </c>
      <c r="E62" s="21">
        <f t="shared" si="12"/>
        <v>7.57</v>
      </c>
      <c r="F62" s="21">
        <f t="shared" si="13"/>
        <v>2.8831940756000001</v>
      </c>
      <c r="G62" s="19" t="str">
        <f t="shared" si="16"/>
        <v/>
      </c>
      <c r="H62" s="21" t="str">
        <f t="shared" si="17"/>
        <v/>
      </c>
      <c r="J62" s="1024">
        <v>17</v>
      </c>
      <c r="K62" s="1025" t="s">
        <v>147</v>
      </c>
      <c r="L62" s="1026">
        <v>7.57</v>
      </c>
      <c r="M62" s="1027">
        <v>28831.940756</v>
      </c>
      <c r="N62" s="492"/>
      <c r="O62" s="492"/>
      <c r="P62" s="492"/>
    </row>
    <row r="63" spans="3:16" ht="15.5">
      <c r="C63" s="28">
        <f t="shared" si="18"/>
        <v>18</v>
      </c>
      <c r="D63" s="11" t="str">
        <f t="shared" si="18"/>
        <v>海通证券股份有限公司</v>
      </c>
      <c r="E63" s="21">
        <f t="shared" si="12"/>
        <v>7.5</v>
      </c>
      <c r="F63" s="21">
        <f t="shared" si="13"/>
        <v>2.5049999999999999</v>
      </c>
      <c r="G63" s="19" t="str">
        <f>IFERROR(VLOOKUP(D63,O$39:Q$63,2,FALSE)/10000,"")</f>
        <v/>
      </c>
      <c r="H63" s="21" t="str">
        <f>IFERROR(G63*M$37/10000,"")</f>
        <v/>
      </c>
      <c r="J63" s="1024">
        <v>18</v>
      </c>
      <c r="K63" s="1025" t="s">
        <v>8</v>
      </c>
      <c r="L63" s="1026">
        <v>7.5</v>
      </c>
      <c r="M63" s="1027">
        <v>25050</v>
      </c>
      <c r="N63" s="492"/>
      <c r="O63" s="492"/>
      <c r="P63" s="492"/>
    </row>
    <row r="64" spans="3:16" ht="15.5">
      <c r="C64" s="28">
        <f t="shared" si="18"/>
        <v>19</v>
      </c>
      <c r="D64" s="11" t="str">
        <f t="shared" si="18"/>
        <v>安信证券股份有限公司</v>
      </c>
      <c r="E64" s="21">
        <f t="shared" si="12"/>
        <v>7.06</v>
      </c>
      <c r="F64" s="21">
        <f t="shared" si="13"/>
        <v>2.50000248</v>
      </c>
      <c r="G64" s="19" t="str">
        <f>IFERROR(VLOOKUP(D64,O$39:Q$63,2,FALSE)/10000,"")</f>
        <v/>
      </c>
      <c r="H64" s="21" t="str">
        <f>IFERROR(G64*M$37/10000,"")</f>
        <v/>
      </c>
      <c r="J64" s="1024">
        <v>19</v>
      </c>
      <c r="K64" s="1025" t="s">
        <v>576</v>
      </c>
      <c r="L64" s="1026">
        <v>7.06</v>
      </c>
      <c r="M64" s="1027">
        <v>25000.024799999999</v>
      </c>
      <c r="N64" s="492"/>
      <c r="O64" s="492"/>
      <c r="P64" s="492"/>
    </row>
    <row r="65" spans="1:21">
      <c r="J65" s="111"/>
      <c r="K65" s="108"/>
      <c r="L65" s="110"/>
      <c r="M65" s="109"/>
      <c r="N65" s="108"/>
    </row>
    <row r="66" spans="1:21">
      <c r="A66" s="24">
        <v>3</v>
      </c>
      <c r="B66" s="12" t="s">
        <v>106</v>
      </c>
      <c r="C66" s="12" t="s">
        <v>126</v>
      </c>
      <c r="D66" s="12" t="s">
        <v>107</v>
      </c>
      <c r="E66" s="12" t="s">
        <v>4</v>
      </c>
      <c r="F66" s="13" t="s">
        <v>108</v>
      </c>
      <c r="G66" s="13" t="s">
        <v>109</v>
      </c>
      <c r="H66" s="12" t="s">
        <v>274</v>
      </c>
      <c r="I66" s="12" t="s">
        <v>273</v>
      </c>
      <c r="J66" s="12" t="s">
        <v>116</v>
      </c>
      <c r="K66" s="14" t="s">
        <v>110</v>
      </c>
      <c r="L66" s="14" t="s">
        <v>276</v>
      </c>
      <c r="M66" s="14" t="s">
        <v>117</v>
      </c>
      <c r="N66" s="15" t="s">
        <v>275</v>
      </c>
      <c r="O66" s="12" t="s">
        <v>111</v>
      </c>
      <c r="P66" s="8" t="s">
        <v>12</v>
      </c>
      <c r="Q66" s="8" t="s">
        <v>190</v>
      </c>
      <c r="R66" s="15" t="s">
        <v>129</v>
      </c>
      <c r="S66" s="14" t="s">
        <v>220</v>
      </c>
    </row>
    <row r="67" spans="1:21">
      <c r="A67" s="24">
        <v>6</v>
      </c>
      <c r="B67" s="979">
        <v>13</v>
      </c>
      <c r="C67" s="9" t="s">
        <v>172</v>
      </c>
      <c r="D67" s="1" t="s">
        <v>45</v>
      </c>
      <c r="E67" s="1" t="s">
        <v>44</v>
      </c>
      <c r="F67" s="3">
        <v>10</v>
      </c>
      <c r="G67" s="3">
        <v>9.9999997964999991</v>
      </c>
      <c r="H67" s="2">
        <v>42401</v>
      </c>
      <c r="I67" s="1001" t="s">
        <v>219</v>
      </c>
      <c r="J67" s="11">
        <v>29.2</v>
      </c>
      <c r="K67" s="3">
        <v>19.89</v>
      </c>
      <c r="L67" s="3">
        <f>K67/J67</f>
        <v>0.68116438356164388</v>
      </c>
      <c r="M67" s="3">
        <v>22.05</v>
      </c>
      <c r="N67" s="10">
        <f>M67/J67</f>
        <v>0.75513698630136994</v>
      </c>
      <c r="O67" s="1002">
        <v>4</v>
      </c>
      <c r="P67" s="2">
        <v>42786</v>
      </c>
      <c r="Q67" s="1003">
        <v>21.25</v>
      </c>
      <c r="R67" s="18">
        <f>(Q67*(1+T67/10)+U67/10)/M67</f>
        <v>0.96643990929705204</v>
      </c>
      <c r="S67" s="11" t="s">
        <v>241</v>
      </c>
      <c r="T67" s="22">
        <f>IFERROR(RIGHT(LEFT(S67,FIND("股",S67)-1),(FIND("股",S67)-1-FIND("转",S67))),0)</f>
        <v>0</v>
      </c>
      <c r="U67" s="23" t="str">
        <f>IFERROR(RIGHT(LEFT(S67,FIND("元",S67)-1),(FIND("元",S67)-1-FIND("派",S67))),0)</f>
        <v>0.6</v>
      </c>
    </row>
    <row r="68" spans="1:21">
      <c r="B68" s="125"/>
      <c r="C68" s="129"/>
      <c r="D68" s="128"/>
      <c r="E68" s="128"/>
      <c r="F68" s="127"/>
      <c r="G68" s="127"/>
      <c r="H68" s="126"/>
      <c r="I68" s="125"/>
      <c r="K68" s="130"/>
      <c r="L68" s="130"/>
      <c r="M68" s="130"/>
      <c r="N68" s="5"/>
      <c r="O68" s="120"/>
      <c r="P68" s="124"/>
      <c r="Q68" s="5"/>
      <c r="R68" s="123"/>
      <c r="T68" s="28"/>
      <c r="U68" s="122"/>
    </row>
    <row r="69" spans="1:21">
      <c r="C69" s="27" t="s">
        <v>118</v>
      </c>
      <c r="D69" s="16" t="s">
        <v>112</v>
      </c>
      <c r="E69" s="16" t="s">
        <v>113</v>
      </c>
      <c r="F69" s="16" t="s">
        <v>288</v>
      </c>
      <c r="G69" s="17" t="s">
        <v>287</v>
      </c>
      <c r="H69" s="16" t="s">
        <v>289</v>
      </c>
      <c r="J69" s="1031" t="s">
        <v>118</v>
      </c>
      <c r="K69" s="1031" t="s">
        <v>296</v>
      </c>
      <c r="L69" s="1031" t="s">
        <v>575</v>
      </c>
      <c r="M69" s="1032" t="s">
        <v>574</v>
      </c>
      <c r="N69" s="1033"/>
      <c r="O69" s="1034" t="s">
        <v>573</v>
      </c>
      <c r="P69" s="1034" t="s">
        <v>572</v>
      </c>
      <c r="Q69" s="1034" t="s">
        <v>571</v>
      </c>
    </row>
    <row r="70" spans="1:21">
      <c r="C70" s="28">
        <f>IF(J70=0,"",J70)</f>
        <v>1</v>
      </c>
      <c r="D70" s="11" t="str">
        <f>IF(K70=0,"",K70)</f>
        <v>泰康资产管理有限责任公司</v>
      </c>
      <c r="E70" s="21">
        <f>L70</f>
        <v>25</v>
      </c>
      <c r="F70" s="21">
        <f>M70/10000</f>
        <v>1</v>
      </c>
      <c r="G70" s="19">
        <f>IFERROR(VLOOKUP(D70,O$69:Q$86,2,FALSE)/10000,"")</f>
        <v>453.5147</v>
      </c>
      <c r="H70" s="21">
        <f>IFERROR(G70*M$67/10000,"")</f>
        <v>0.99999991349999995</v>
      </c>
      <c r="J70" s="1035">
        <v>1</v>
      </c>
      <c r="K70" s="1031" t="s">
        <v>124</v>
      </c>
      <c r="L70" s="1036">
        <v>25</v>
      </c>
      <c r="M70" s="1035">
        <v>10000</v>
      </c>
      <c r="N70" s="492"/>
      <c r="O70" s="1037" t="s">
        <v>570</v>
      </c>
      <c r="P70" s="1038">
        <v>4535147</v>
      </c>
      <c r="Q70" s="1039" t="s">
        <v>569</v>
      </c>
    </row>
    <row r="71" spans="1:21">
      <c r="C71" s="28" t="str">
        <f t="shared" ref="C71:D92" si="19">IF(J71=0,"",J71)</f>
        <v/>
      </c>
      <c r="D71" s="11" t="str">
        <f t="shared" si="19"/>
        <v/>
      </c>
      <c r="E71" s="21">
        <f t="shared" ref="E71:E92" si="20">L71</f>
        <v>20.079999999999998</v>
      </c>
      <c r="F71" s="21">
        <f t="shared" ref="F71:F92" si="21">M71/10000</f>
        <v>1.61</v>
      </c>
      <c r="G71" s="19" t="str">
        <f t="shared" ref="G71:G92" si="22">IFERROR(VLOOKUP(D71,O$69:Q$86,2,FALSE)/10000,"")</f>
        <v/>
      </c>
      <c r="H71" s="21" t="str">
        <f t="shared" ref="H71:H92" si="23">IFERROR(G71*M$67/10000,"")</f>
        <v/>
      </c>
      <c r="J71" s="1007"/>
      <c r="K71" s="1007"/>
      <c r="L71" s="1035">
        <v>20.079999999999998</v>
      </c>
      <c r="M71" s="1035">
        <v>16100</v>
      </c>
      <c r="N71" s="492"/>
      <c r="O71" s="1040" t="s">
        <v>568</v>
      </c>
      <c r="P71" s="1041">
        <v>2070294</v>
      </c>
      <c r="Q71" s="1034" t="s">
        <v>566</v>
      </c>
    </row>
    <row r="72" spans="1:21">
      <c r="C72" s="28">
        <f t="shared" si="19"/>
        <v>2</v>
      </c>
      <c r="D72" s="11" t="str">
        <f t="shared" si="19"/>
        <v>博时基金管理有限公司</v>
      </c>
      <c r="E72" s="21">
        <f t="shared" si="20"/>
        <v>22.05</v>
      </c>
      <c r="F72" s="21">
        <f t="shared" si="21"/>
        <v>1.54</v>
      </c>
      <c r="G72" s="19" t="str">
        <f t="shared" si="22"/>
        <v/>
      </c>
      <c r="H72" s="21" t="str">
        <f t="shared" si="23"/>
        <v/>
      </c>
      <c r="J72" s="1036">
        <v>2</v>
      </c>
      <c r="K72" s="1042" t="s">
        <v>173</v>
      </c>
      <c r="L72" s="1043">
        <v>22.05</v>
      </c>
      <c r="M72" s="1036">
        <v>15400</v>
      </c>
      <c r="N72" s="492"/>
      <c r="O72" s="1037" t="s">
        <v>567</v>
      </c>
      <c r="P72" s="1038">
        <v>2070294</v>
      </c>
      <c r="Q72" s="1039" t="s">
        <v>566</v>
      </c>
    </row>
    <row r="73" spans="1:21">
      <c r="C73" s="28">
        <f t="shared" si="19"/>
        <v>3</v>
      </c>
      <c r="D73" s="11" t="str">
        <f t="shared" si="19"/>
        <v>中国银河证券股份有限公司</v>
      </c>
      <c r="E73" s="21">
        <f t="shared" si="20"/>
        <v>25.46</v>
      </c>
      <c r="F73" s="21">
        <f t="shared" si="21"/>
        <v>1.1000000000000001</v>
      </c>
      <c r="G73" s="19">
        <f t="shared" si="22"/>
        <v>207.02940000000001</v>
      </c>
      <c r="H73" s="21">
        <f t="shared" si="23"/>
        <v>0.45649982700000002</v>
      </c>
      <c r="J73" s="1044">
        <v>3</v>
      </c>
      <c r="K73" s="1045" t="s">
        <v>13</v>
      </c>
      <c r="L73" s="1036">
        <v>25.46</v>
      </c>
      <c r="M73" s="1035">
        <v>11000</v>
      </c>
      <c r="N73" s="492"/>
      <c r="O73" s="1037" t="s">
        <v>565</v>
      </c>
      <c r="P73" s="1038">
        <v>22675738</v>
      </c>
      <c r="Q73" s="1046">
        <v>500000022.89999998</v>
      </c>
    </row>
    <row r="74" spans="1:21">
      <c r="C74" s="28" t="str">
        <f t="shared" si="19"/>
        <v/>
      </c>
      <c r="D74" s="11" t="str">
        <f t="shared" si="19"/>
        <v/>
      </c>
      <c r="E74" s="21">
        <f t="shared" si="20"/>
        <v>22.28</v>
      </c>
      <c r="F74" s="21">
        <f t="shared" si="21"/>
        <v>2</v>
      </c>
      <c r="G74" s="19" t="str">
        <f t="shared" si="22"/>
        <v/>
      </c>
      <c r="H74" s="21" t="str">
        <f t="shared" si="23"/>
        <v/>
      </c>
      <c r="J74" s="1045"/>
      <c r="K74" s="1045"/>
      <c r="L74" s="1035">
        <v>22.28</v>
      </c>
      <c r="M74" s="1035">
        <v>20000</v>
      </c>
      <c r="N74" s="492"/>
      <c r="O74" s="492"/>
      <c r="P74" s="492"/>
      <c r="Q74" s="492"/>
    </row>
    <row r="75" spans="1:21">
      <c r="C75" s="28">
        <f t="shared" si="19"/>
        <v>4</v>
      </c>
      <c r="D75" s="11" t="str">
        <f t="shared" si="19"/>
        <v>武汉睿福德投资管理中心（有限合伙）</v>
      </c>
      <c r="E75" s="21">
        <f t="shared" si="20"/>
        <v>25</v>
      </c>
      <c r="F75" s="21">
        <f t="shared" si="21"/>
        <v>2</v>
      </c>
      <c r="G75" s="19">
        <f t="shared" si="22"/>
        <v>207.02940000000001</v>
      </c>
      <c r="H75" s="21">
        <f t="shared" si="23"/>
        <v>0.45649982700000002</v>
      </c>
      <c r="J75" s="1044">
        <v>4</v>
      </c>
      <c r="K75" s="1045" t="s">
        <v>514</v>
      </c>
      <c r="L75" s="1036">
        <v>25</v>
      </c>
      <c r="M75" s="1035">
        <v>20000</v>
      </c>
      <c r="N75" s="492"/>
      <c r="O75" s="492"/>
      <c r="P75" s="492"/>
      <c r="Q75" s="492"/>
    </row>
    <row r="76" spans="1:21">
      <c r="C76" s="28" t="str">
        <f t="shared" si="19"/>
        <v/>
      </c>
      <c r="D76" s="11" t="str">
        <f t="shared" si="19"/>
        <v/>
      </c>
      <c r="E76" s="21">
        <f t="shared" si="20"/>
        <v>22.5</v>
      </c>
      <c r="F76" s="21">
        <f t="shared" si="21"/>
        <v>2</v>
      </c>
      <c r="G76" s="19" t="str">
        <f t="shared" si="22"/>
        <v/>
      </c>
      <c r="H76" s="21" t="str">
        <f t="shared" si="23"/>
        <v/>
      </c>
      <c r="J76" s="1045"/>
      <c r="K76" s="1045"/>
      <c r="L76" s="1036">
        <v>22.5</v>
      </c>
      <c r="M76" s="1035">
        <v>20000</v>
      </c>
      <c r="N76" s="492"/>
      <c r="O76" s="492"/>
      <c r="P76" s="492"/>
      <c r="Q76" s="492"/>
    </row>
    <row r="77" spans="1:21">
      <c r="C77" s="28" t="str">
        <f t="shared" si="19"/>
        <v/>
      </c>
      <c r="D77" s="11" t="str">
        <f t="shared" si="19"/>
        <v/>
      </c>
      <c r="E77" s="21">
        <f t="shared" si="20"/>
        <v>20</v>
      </c>
      <c r="F77" s="21">
        <f t="shared" si="21"/>
        <v>2</v>
      </c>
      <c r="G77" s="19" t="str">
        <f t="shared" si="22"/>
        <v/>
      </c>
      <c r="H77" s="21" t="str">
        <f t="shared" si="23"/>
        <v/>
      </c>
      <c r="J77" s="1045"/>
      <c r="K77" s="1045"/>
      <c r="L77" s="1035">
        <v>20</v>
      </c>
      <c r="M77" s="1035">
        <v>20000</v>
      </c>
      <c r="N77" s="492"/>
      <c r="O77" s="492"/>
      <c r="P77" s="492"/>
      <c r="Q77" s="492"/>
    </row>
    <row r="78" spans="1:21">
      <c r="C78" s="28">
        <f t="shared" si="19"/>
        <v>5</v>
      </c>
      <c r="D78" s="11" t="str">
        <f t="shared" si="19"/>
        <v>第一创业证券股份有限公司</v>
      </c>
      <c r="E78" s="21">
        <f t="shared" si="20"/>
        <v>27.03</v>
      </c>
      <c r="F78" s="21">
        <f t="shared" si="21"/>
        <v>1.01</v>
      </c>
      <c r="G78" s="19" t="str">
        <f t="shared" si="22"/>
        <v/>
      </c>
      <c r="H78" s="21" t="str">
        <f t="shared" si="23"/>
        <v/>
      </c>
      <c r="J78" s="1036">
        <v>5</v>
      </c>
      <c r="K78" s="1042" t="s">
        <v>127</v>
      </c>
      <c r="L78" s="1043">
        <v>27.03</v>
      </c>
      <c r="M78" s="1035">
        <v>10100</v>
      </c>
      <c r="N78" s="492"/>
      <c r="O78" s="492"/>
      <c r="P78" s="492"/>
      <c r="Q78" s="492"/>
    </row>
    <row r="79" spans="1:21">
      <c r="C79" s="28">
        <f t="shared" si="19"/>
        <v>6</v>
      </c>
      <c r="D79" s="11" t="str">
        <f t="shared" si="19"/>
        <v>宁波市星通投资管理有限公司</v>
      </c>
      <c r="E79" s="21">
        <f t="shared" si="20"/>
        <v>21.5</v>
      </c>
      <c r="F79" s="21">
        <f t="shared" si="21"/>
        <v>1</v>
      </c>
      <c r="G79" s="19" t="str">
        <f t="shared" si="22"/>
        <v/>
      </c>
      <c r="H79" s="21" t="str">
        <f t="shared" si="23"/>
        <v/>
      </c>
      <c r="J79" s="1035">
        <v>6</v>
      </c>
      <c r="K79" s="1042" t="s">
        <v>174</v>
      </c>
      <c r="L79" s="1036">
        <v>21.5</v>
      </c>
      <c r="M79" s="1035">
        <v>10000</v>
      </c>
      <c r="N79" s="492"/>
      <c r="O79" s="492"/>
      <c r="P79" s="492"/>
      <c r="Q79" s="492"/>
    </row>
    <row r="80" spans="1:21">
      <c r="C80" s="28">
        <f t="shared" si="19"/>
        <v>7</v>
      </c>
      <c r="D80" s="11" t="str">
        <f t="shared" si="19"/>
        <v>兴业全球基金管理有限公司</v>
      </c>
      <c r="E80" s="21">
        <f t="shared" si="20"/>
        <v>20.2</v>
      </c>
      <c r="F80" s="21">
        <f t="shared" si="21"/>
        <v>2.46</v>
      </c>
      <c r="G80" s="19" t="str">
        <f t="shared" si="22"/>
        <v/>
      </c>
      <c r="H80" s="21" t="str">
        <f t="shared" si="23"/>
        <v/>
      </c>
      <c r="J80" s="1036">
        <v>7</v>
      </c>
      <c r="K80" s="1042" t="s">
        <v>131</v>
      </c>
      <c r="L80" s="1036">
        <v>20.2</v>
      </c>
      <c r="M80" s="1036">
        <v>24600</v>
      </c>
      <c r="N80" s="492"/>
      <c r="O80" s="492"/>
      <c r="P80" s="492"/>
      <c r="Q80" s="492"/>
    </row>
    <row r="81" spans="1:21">
      <c r="C81" s="28">
        <f t="shared" si="19"/>
        <v>8</v>
      </c>
      <c r="D81" s="11" t="str">
        <f t="shared" si="19"/>
        <v>民生通惠资产管理有限公司</v>
      </c>
      <c r="E81" s="21">
        <f t="shared" si="20"/>
        <v>19.920000000000002</v>
      </c>
      <c r="F81" s="21">
        <f t="shared" si="21"/>
        <v>1</v>
      </c>
      <c r="G81" s="19" t="str">
        <f t="shared" si="22"/>
        <v/>
      </c>
      <c r="H81" s="21" t="str">
        <f t="shared" si="23"/>
        <v/>
      </c>
      <c r="J81" s="1035">
        <v>8</v>
      </c>
      <c r="K81" s="1042" t="s">
        <v>351</v>
      </c>
      <c r="L81" s="1043">
        <v>19.920000000000002</v>
      </c>
      <c r="M81" s="1035">
        <v>10000</v>
      </c>
      <c r="N81" s="492"/>
      <c r="O81" s="492"/>
      <c r="P81" s="492"/>
      <c r="Q81" s="492"/>
    </row>
    <row r="82" spans="1:21">
      <c r="C82" s="28">
        <f t="shared" si="19"/>
        <v>9</v>
      </c>
      <c r="D82" s="11" t="str">
        <f t="shared" si="19"/>
        <v>新华基金管理股份有限公司</v>
      </c>
      <c r="E82" s="21">
        <f t="shared" si="20"/>
        <v>22</v>
      </c>
      <c r="F82" s="21">
        <f t="shared" si="21"/>
        <v>1.2</v>
      </c>
      <c r="G82" s="19" t="str">
        <f t="shared" si="22"/>
        <v/>
      </c>
      <c r="H82" s="21" t="str">
        <f t="shared" si="23"/>
        <v/>
      </c>
      <c r="J82" s="1044">
        <v>9</v>
      </c>
      <c r="K82" s="1045" t="s">
        <v>564</v>
      </c>
      <c r="L82" s="1035">
        <v>22</v>
      </c>
      <c r="M82" s="1035">
        <v>12000</v>
      </c>
      <c r="N82" s="492"/>
      <c r="O82" s="492"/>
      <c r="P82" s="492"/>
      <c r="Q82" s="492"/>
    </row>
    <row r="83" spans="1:21">
      <c r="C83" s="28" t="str">
        <f t="shared" si="19"/>
        <v/>
      </c>
      <c r="D83" s="11" t="str">
        <f t="shared" si="19"/>
        <v/>
      </c>
      <c r="E83" s="21">
        <f t="shared" si="20"/>
        <v>20.8</v>
      </c>
      <c r="F83" s="21">
        <f t="shared" si="21"/>
        <v>1.2</v>
      </c>
      <c r="G83" s="19" t="str">
        <f t="shared" si="22"/>
        <v/>
      </c>
      <c r="H83" s="21" t="str">
        <f t="shared" si="23"/>
        <v/>
      </c>
      <c r="J83" s="1045"/>
      <c r="K83" s="1045"/>
      <c r="L83" s="1035">
        <v>20.8</v>
      </c>
      <c r="M83" s="1035">
        <v>12000</v>
      </c>
      <c r="N83" s="492"/>
      <c r="O83" s="492"/>
      <c r="P83" s="492"/>
      <c r="Q83" s="492"/>
    </row>
    <row r="84" spans="1:21">
      <c r="C84" s="28" t="str">
        <f t="shared" si="19"/>
        <v/>
      </c>
      <c r="D84" s="11" t="str">
        <f t="shared" si="19"/>
        <v/>
      </c>
      <c r="E84" s="21">
        <f t="shared" si="20"/>
        <v>19.89</v>
      </c>
      <c r="F84" s="21">
        <f t="shared" si="21"/>
        <v>1.2</v>
      </c>
      <c r="G84" s="19" t="str">
        <f t="shared" si="22"/>
        <v/>
      </c>
      <c r="H84" s="21" t="str">
        <f t="shared" si="23"/>
        <v/>
      </c>
      <c r="J84" s="1045"/>
      <c r="K84" s="1045"/>
      <c r="L84" s="1043">
        <v>19.89</v>
      </c>
      <c r="M84" s="1036">
        <v>12000</v>
      </c>
      <c r="N84" s="492"/>
      <c r="O84" s="492"/>
      <c r="P84" s="492"/>
      <c r="Q84" s="492"/>
    </row>
    <row r="85" spans="1:21">
      <c r="C85" s="28">
        <f t="shared" si="19"/>
        <v>10</v>
      </c>
      <c r="D85" s="11" t="str">
        <f t="shared" si="19"/>
        <v>东海基金管理有限责任公司</v>
      </c>
      <c r="E85" s="21">
        <f t="shared" si="20"/>
        <v>20.51</v>
      </c>
      <c r="F85" s="21">
        <f t="shared" si="21"/>
        <v>1</v>
      </c>
      <c r="G85" s="19" t="str">
        <f t="shared" si="22"/>
        <v/>
      </c>
      <c r="H85" s="21" t="str">
        <f t="shared" si="23"/>
        <v/>
      </c>
      <c r="J85" s="1035">
        <v>10</v>
      </c>
      <c r="K85" s="1042" t="s">
        <v>128</v>
      </c>
      <c r="L85" s="1036">
        <v>20.51</v>
      </c>
      <c r="M85" s="1035">
        <v>10000</v>
      </c>
      <c r="N85" s="492"/>
      <c r="O85" s="492"/>
      <c r="P85" s="492"/>
      <c r="Q85" s="492"/>
    </row>
    <row r="86" spans="1:21">
      <c r="C86" s="28">
        <f t="shared" si="19"/>
        <v>11</v>
      </c>
      <c r="D86" s="11" t="str">
        <f t="shared" si="19"/>
        <v>北京泰生鸿明投资中心（有限合伙）</v>
      </c>
      <c r="E86" s="21">
        <f t="shared" si="20"/>
        <v>23.5</v>
      </c>
      <c r="F86" s="21">
        <f t="shared" si="21"/>
        <v>1</v>
      </c>
      <c r="G86" s="19" t="str">
        <f t="shared" si="22"/>
        <v/>
      </c>
      <c r="H86" s="21" t="str">
        <f t="shared" si="23"/>
        <v/>
      </c>
      <c r="J86" s="1035">
        <v>11</v>
      </c>
      <c r="K86" s="1042" t="s">
        <v>333</v>
      </c>
      <c r="L86" s="1036">
        <v>23.5</v>
      </c>
      <c r="M86" s="1035">
        <v>10000</v>
      </c>
      <c r="N86" s="492"/>
      <c r="O86" s="492"/>
      <c r="P86" s="492"/>
      <c r="Q86" s="492"/>
    </row>
    <row r="87" spans="1:21">
      <c r="C87" s="28">
        <f t="shared" si="19"/>
        <v>12</v>
      </c>
      <c r="D87" s="11" t="str">
        <f t="shared" si="19"/>
        <v>财通基金管理有限公司</v>
      </c>
      <c r="E87" s="21">
        <f t="shared" si="20"/>
        <v>25.5</v>
      </c>
      <c r="F87" s="21">
        <f t="shared" si="21"/>
        <v>1.46</v>
      </c>
      <c r="G87" s="19">
        <f t="shared" si="22"/>
        <v>2267.5738000000001</v>
      </c>
      <c r="H87" s="21">
        <f t="shared" si="23"/>
        <v>5.0000002290000003</v>
      </c>
      <c r="J87" s="1044">
        <v>12</v>
      </c>
      <c r="K87" s="1045" t="s">
        <v>115</v>
      </c>
      <c r="L87" s="1036">
        <v>25.5</v>
      </c>
      <c r="M87" s="1036">
        <v>14600</v>
      </c>
      <c r="N87" s="492"/>
      <c r="O87" s="492"/>
      <c r="P87" s="492"/>
      <c r="Q87" s="492"/>
    </row>
    <row r="88" spans="1:21">
      <c r="C88" s="28" t="str">
        <f t="shared" si="19"/>
        <v/>
      </c>
      <c r="D88" s="11" t="str">
        <f t="shared" si="19"/>
        <v/>
      </c>
      <c r="E88" s="21">
        <f t="shared" si="20"/>
        <v>23.66</v>
      </c>
      <c r="F88" s="21">
        <f t="shared" si="21"/>
        <v>4.3099999999999996</v>
      </c>
      <c r="G88" s="19" t="str">
        <f t="shared" si="22"/>
        <v/>
      </c>
      <c r="H88" s="21" t="str">
        <f t="shared" si="23"/>
        <v/>
      </c>
      <c r="J88" s="1045"/>
      <c r="K88" s="1045"/>
      <c r="L88" s="1036">
        <v>23.66</v>
      </c>
      <c r="M88" s="1036">
        <v>43100</v>
      </c>
      <c r="N88" s="492"/>
      <c r="O88" s="492"/>
      <c r="P88" s="492"/>
      <c r="Q88" s="492"/>
    </row>
    <row r="89" spans="1:21">
      <c r="C89" s="28" t="str">
        <f t="shared" si="19"/>
        <v/>
      </c>
      <c r="D89" s="11" t="str">
        <f t="shared" si="19"/>
        <v/>
      </c>
      <c r="E89" s="21">
        <f t="shared" si="20"/>
        <v>22.05</v>
      </c>
      <c r="F89" s="21">
        <f t="shared" si="21"/>
        <v>6.23</v>
      </c>
      <c r="G89" s="19" t="str">
        <f t="shared" si="22"/>
        <v/>
      </c>
      <c r="H89" s="21" t="str">
        <f t="shared" si="23"/>
        <v/>
      </c>
      <c r="J89" s="1045"/>
      <c r="K89" s="1045"/>
      <c r="L89" s="1047">
        <v>22.05</v>
      </c>
      <c r="M89" s="1035">
        <v>62300</v>
      </c>
      <c r="N89" s="492"/>
      <c r="O89" s="492"/>
      <c r="P89" s="492"/>
      <c r="Q89" s="492"/>
    </row>
    <row r="90" spans="1:21">
      <c r="C90" s="28">
        <f t="shared" si="19"/>
        <v>13</v>
      </c>
      <c r="D90" s="11" t="str">
        <f t="shared" si="19"/>
        <v>诺安基金管理有限公司</v>
      </c>
      <c r="E90" s="21">
        <f t="shared" si="20"/>
        <v>21.76</v>
      </c>
      <c r="F90" s="21">
        <f t="shared" si="21"/>
        <v>1.63</v>
      </c>
      <c r="G90" s="19" t="str">
        <f t="shared" si="22"/>
        <v/>
      </c>
      <c r="H90" s="21" t="str">
        <f t="shared" si="23"/>
        <v/>
      </c>
      <c r="J90" s="1035">
        <v>13</v>
      </c>
      <c r="K90" s="1032" t="s">
        <v>147</v>
      </c>
      <c r="L90" s="1035">
        <v>21.76</v>
      </c>
      <c r="M90" s="1035">
        <v>16300</v>
      </c>
      <c r="N90" s="492"/>
      <c r="O90" s="492"/>
      <c r="P90" s="492"/>
      <c r="Q90" s="492"/>
    </row>
    <row r="91" spans="1:21">
      <c r="C91" s="28">
        <f t="shared" si="19"/>
        <v>14</v>
      </c>
      <c r="D91" s="11" t="str">
        <f t="shared" si="19"/>
        <v>平安大华基金管理有限公司____</v>
      </c>
      <c r="E91" s="21">
        <f t="shared" si="20"/>
        <v>20.5</v>
      </c>
      <c r="F91" s="21">
        <f t="shared" si="21"/>
        <v>4</v>
      </c>
      <c r="G91" s="19" t="str">
        <f t="shared" si="22"/>
        <v/>
      </c>
      <c r="H91" s="21" t="str">
        <f t="shared" si="23"/>
        <v/>
      </c>
      <c r="J91" s="1035">
        <v>14</v>
      </c>
      <c r="K91" s="1032" t="s">
        <v>563</v>
      </c>
      <c r="L91" s="1035">
        <v>20.5</v>
      </c>
      <c r="M91" s="1035">
        <v>40000</v>
      </c>
      <c r="N91" s="492"/>
      <c r="O91" s="492"/>
      <c r="P91" s="492"/>
      <c r="Q91" s="492"/>
    </row>
    <row r="92" spans="1:21">
      <c r="C92" s="28">
        <f t="shared" si="19"/>
        <v>15</v>
      </c>
      <c r="D92" s="11" t="str">
        <f t="shared" si="19"/>
        <v>申万菱信（上海）资产管理有限公司</v>
      </c>
      <c r="E92" s="21">
        <f t="shared" si="20"/>
        <v>21.28</v>
      </c>
      <c r="F92" s="21">
        <f t="shared" si="21"/>
        <v>1.6</v>
      </c>
      <c r="G92" s="19" t="str">
        <f t="shared" si="22"/>
        <v/>
      </c>
      <c r="H92" s="21" t="str">
        <f t="shared" si="23"/>
        <v/>
      </c>
      <c r="J92" s="1036">
        <v>15</v>
      </c>
      <c r="K92" s="1042" t="s">
        <v>138</v>
      </c>
      <c r="L92" s="1035">
        <v>21.28</v>
      </c>
      <c r="M92" s="1035">
        <v>16000</v>
      </c>
      <c r="N92" s="492"/>
      <c r="O92" s="492"/>
      <c r="P92" s="492"/>
      <c r="Q92" s="492"/>
    </row>
    <row r="94" spans="1:21">
      <c r="A94" s="24">
        <v>4</v>
      </c>
      <c r="B94" s="12" t="s">
        <v>106</v>
      </c>
      <c r="C94" s="12" t="s">
        <v>126</v>
      </c>
      <c r="D94" s="12" t="s">
        <v>107</v>
      </c>
      <c r="E94" s="12" t="s">
        <v>4</v>
      </c>
      <c r="F94" s="13" t="s">
        <v>108</v>
      </c>
      <c r="G94" s="13" t="s">
        <v>109</v>
      </c>
      <c r="H94" s="12" t="s">
        <v>274</v>
      </c>
      <c r="I94" s="12" t="s">
        <v>273</v>
      </c>
      <c r="J94" s="12" t="s">
        <v>116</v>
      </c>
      <c r="K94" s="14" t="s">
        <v>110</v>
      </c>
      <c r="L94" s="14" t="s">
        <v>276</v>
      </c>
      <c r="M94" s="14" t="s">
        <v>117</v>
      </c>
      <c r="N94" s="15" t="s">
        <v>275</v>
      </c>
      <c r="O94" s="12" t="s">
        <v>111</v>
      </c>
      <c r="P94" s="8" t="s">
        <v>12</v>
      </c>
      <c r="Q94" s="8" t="s">
        <v>190</v>
      </c>
      <c r="R94" s="15" t="s">
        <v>129</v>
      </c>
      <c r="S94" s="14" t="s">
        <v>220</v>
      </c>
    </row>
    <row r="95" spans="1:21">
      <c r="A95" s="24">
        <v>6</v>
      </c>
      <c r="B95" s="979">
        <v>14</v>
      </c>
      <c r="C95" s="9" t="s">
        <v>175</v>
      </c>
      <c r="D95" s="1" t="s">
        <v>33</v>
      </c>
      <c r="E95" s="1" t="s">
        <v>32</v>
      </c>
      <c r="F95" s="3">
        <v>13</v>
      </c>
      <c r="G95" s="3">
        <v>12.999999965400001</v>
      </c>
      <c r="H95" s="2">
        <v>42389</v>
      </c>
      <c r="I95" s="1001" t="s">
        <v>151</v>
      </c>
      <c r="J95" s="11">
        <v>18.18</v>
      </c>
      <c r="K95" s="3">
        <v>13.34</v>
      </c>
      <c r="L95" s="3">
        <f>K95/J95</f>
        <v>0.73377337733773373</v>
      </c>
      <c r="M95" s="3">
        <v>13.58</v>
      </c>
      <c r="N95" s="10">
        <f>M95/J95</f>
        <v>0.74697469746974698</v>
      </c>
      <c r="O95" s="1002">
        <v>6</v>
      </c>
      <c r="P95" s="2">
        <v>42793</v>
      </c>
      <c r="Q95" s="1003">
        <v>14.6</v>
      </c>
      <c r="R95" s="18">
        <f>(Q95*(1+T95/10)+U95/10)/M95</f>
        <v>1.079160530191458</v>
      </c>
      <c r="S95" s="11" t="s">
        <v>251</v>
      </c>
      <c r="T95" s="22">
        <f>IFERROR(RIGHT(LEFT(S95,FIND("股",S95)-1),(FIND("股",S95)-1-FIND("转",S95))),0)</f>
        <v>0</v>
      </c>
      <c r="U95" s="23" t="str">
        <f>IFERROR(RIGHT(LEFT(S95,FIND("元",S95)-1),(FIND("元",S95)-1-FIND("派",S95))),0)</f>
        <v>0.55</v>
      </c>
    </row>
    <row r="96" spans="1:21">
      <c r="B96" s="125"/>
      <c r="C96" s="129"/>
      <c r="D96" s="128"/>
      <c r="E96" s="128"/>
      <c r="F96" s="127"/>
      <c r="G96" s="127"/>
      <c r="H96" s="126"/>
      <c r="I96" s="125"/>
      <c r="K96" s="130"/>
      <c r="L96" s="130"/>
      <c r="M96" s="130"/>
      <c r="N96" s="5"/>
      <c r="O96" s="120"/>
      <c r="P96" s="124"/>
      <c r="Q96" s="5"/>
      <c r="R96" s="123"/>
      <c r="T96" s="28"/>
      <c r="U96" s="122"/>
    </row>
    <row r="97" spans="3:18" ht="27">
      <c r="C97" s="16" t="s">
        <v>118</v>
      </c>
      <c r="D97" s="16" t="s">
        <v>112</v>
      </c>
      <c r="E97" s="16" t="s">
        <v>113</v>
      </c>
      <c r="F97" s="16" t="s">
        <v>288</v>
      </c>
      <c r="G97" s="17" t="s">
        <v>287</v>
      </c>
      <c r="H97" s="16" t="s">
        <v>289</v>
      </c>
      <c r="J97" s="1005" t="s">
        <v>298</v>
      </c>
      <c r="K97" s="1005" t="s">
        <v>331</v>
      </c>
      <c r="L97" s="1007" t="s">
        <v>341</v>
      </c>
      <c r="M97" s="1007" t="s">
        <v>308</v>
      </c>
      <c r="N97" s="1048" t="s">
        <v>304</v>
      </c>
      <c r="O97" s="1005" t="s">
        <v>331</v>
      </c>
      <c r="P97" s="1006" t="s">
        <v>374</v>
      </c>
      <c r="Q97" s="1033"/>
      <c r="R97" s="492"/>
    </row>
    <row r="98" spans="3:18" ht="15" customHeight="1">
      <c r="C98" s="24">
        <f t="shared" ref="C98:D116" si="24">IF(J98=0,"",J98)</f>
        <v>1</v>
      </c>
      <c r="D98" s="11" t="str">
        <f t="shared" si="24"/>
        <v>陕西蓝海风投资管理有限公司</v>
      </c>
      <c r="E98" s="21">
        <f t="shared" ref="E98:E116" si="25">L98</f>
        <v>15</v>
      </c>
      <c r="F98" s="21">
        <f t="shared" ref="F98:F116" si="26">M98/10000</f>
        <v>1.02</v>
      </c>
      <c r="G98" s="19">
        <f t="shared" ref="G98:G116" si="27">IFERROR(VLOOKUP(D98,O$98:Q$116,2,FALSE)/10000,"")</f>
        <v>751.10450000000003</v>
      </c>
      <c r="H98" s="21">
        <f t="shared" ref="H98:H116" si="28">IFERROR(G98*M$95/10000,"")</f>
        <v>1.019999911</v>
      </c>
      <c r="J98" s="1049">
        <v>1</v>
      </c>
      <c r="K98" s="1050" t="s">
        <v>562</v>
      </c>
      <c r="L98" s="1051">
        <v>15</v>
      </c>
      <c r="M98" s="1052">
        <v>10200</v>
      </c>
      <c r="N98" s="1053">
        <v>101999991.09999999</v>
      </c>
      <c r="O98" s="1054" t="s">
        <v>561</v>
      </c>
      <c r="P98" s="1055">
        <v>7511045</v>
      </c>
      <c r="Q98" s="1055"/>
      <c r="R98" s="1055"/>
    </row>
    <row r="99" spans="3:18" ht="15" customHeight="1">
      <c r="C99" s="24">
        <f t="shared" si="24"/>
        <v>2</v>
      </c>
      <c r="D99" s="11" t="str">
        <f t="shared" si="24"/>
        <v>深圳天风天成资产管理有限公司</v>
      </c>
      <c r="E99" s="21">
        <f t="shared" si="25"/>
        <v>13.36</v>
      </c>
      <c r="F99" s="21">
        <f t="shared" si="26"/>
        <v>1.5</v>
      </c>
      <c r="G99" s="19" t="str">
        <f t="shared" si="27"/>
        <v/>
      </c>
      <c r="H99" s="21" t="str">
        <f t="shared" si="28"/>
        <v/>
      </c>
      <c r="J99" s="1049">
        <v>2</v>
      </c>
      <c r="K99" s="1056" t="s">
        <v>560</v>
      </c>
      <c r="L99" s="1057">
        <v>13.36</v>
      </c>
      <c r="M99" s="1058">
        <v>15000</v>
      </c>
      <c r="N99" s="1059" t="s">
        <v>559</v>
      </c>
      <c r="O99" s="1054" t="s">
        <v>406</v>
      </c>
      <c r="P99" s="1055">
        <v>147277</v>
      </c>
      <c r="Q99" s="1055"/>
      <c r="R99" s="1055"/>
    </row>
    <row r="100" spans="3:18" ht="15" customHeight="1">
      <c r="C100" s="24">
        <f t="shared" si="24"/>
        <v>3</v>
      </c>
      <c r="D100" s="11" t="str">
        <f t="shared" si="24"/>
        <v>朱新明</v>
      </c>
      <c r="E100" s="21">
        <f t="shared" si="25"/>
        <v>13.58</v>
      </c>
      <c r="F100" s="21">
        <f t="shared" si="26"/>
        <v>1.02</v>
      </c>
      <c r="G100" s="19">
        <f t="shared" si="27"/>
        <v>14.7277</v>
      </c>
      <c r="H100" s="21">
        <f t="shared" si="28"/>
        <v>2.0000216600000002E-2</v>
      </c>
      <c r="J100" s="1060">
        <v>3</v>
      </c>
      <c r="K100" s="1061" t="s">
        <v>558</v>
      </c>
      <c r="L100" s="1051">
        <v>13.58</v>
      </c>
      <c r="M100" s="1052">
        <v>10200</v>
      </c>
      <c r="N100" s="1505">
        <v>2000021.66</v>
      </c>
      <c r="O100" s="1054" t="s">
        <v>505</v>
      </c>
      <c r="P100" s="1055">
        <v>8836524</v>
      </c>
      <c r="Q100" s="1055"/>
      <c r="R100" s="1055"/>
    </row>
    <row r="101" spans="3:18" ht="15" customHeight="1">
      <c r="C101" s="24" t="str">
        <f t="shared" si="24"/>
        <v/>
      </c>
      <c r="D101" s="11" t="str">
        <f t="shared" si="24"/>
        <v/>
      </c>
      <c r="E101" s="21">
        <f t="shared" si="25"/>
        <v>13.48</v>
      </c>
      <c r="F101" s="21">
        <f t="shared" si="26"/>
        <v>1.02</v>
      </c>
      <c r="G101" s="19" t="str">
        <f t="shared" si="27"/>
        <v/>
      </c>
      <c r="H101" s="21" t="str">
        <f t="shared" si="28"/>
        <v/>
      </c>
      <c r="J101" s="1060"/>
      <c r="K101" s="1061"/>
      <c r="L101" s="1051">
        <v>13.48</v>
      </c>
      <c r="M101" s="1052">
        <v>10200</v>
      </c>
      <c r="N101" s="1505"/>
      <c r="O101" s="1054" t="s">
        <v>127</v>
      </c>
      <c r="P101" s="1055">
        <v>11782032</v>
      </c>
      <c r="Q101" s="1055"/>
      <c r="R101" s="1055"/>
    </row>
    <row r="102" spans="3:18" ht="15" customHeight="1">
      <c r="C102" s="24" t="str">
        <f t="shared" si="24"/>
        <v/>
      </c>
      <c r="D102" s="11" t="str">
        <f t="shared" si="24"/>
        <v/>
      </c>
      <c r="E102" s="21">
        <f t="shared" si="25"/>
        <v>13.34</v>
      </c>
      <c r="F102" s="21">
        <f t="shared" si="26"/>
        <v>1.02</v>
      </c>
      <c r="G102" s="19" t="str">
        <f t="shared" si="27"/>
        <v/>
      </c>
      <c r="H102" s="21" t="str">
        <f t="shared" si="28"/>
        <v/>
      </c>
      <c r="J102" s="1060"/>
      <c r="K102" s="1061"/>
      <c r="L102" s="1051">
        <v>13.34</v>
      </c>
      <c r="M102" s="1052">
        <v>10200</v>
      </c>
      <c r="N102" s="1505"/>
      <c r="O102" s="1054" t="s">
        <v>115</v>
      </c>
      <c r="P102" s="1055">
        <v>38733431</v>
      </c>
      <c r="Q102" s="1055"/>
      <c r="R102" s="1055"/>
    </row>
    <row r="103" spans="3:18" ht="15" customHeight="1">
      <c r="C103" s="24">
        <f t="shared" si="24"/>
        <v>4</v>
      </c>
      <c r="D103" s="11" t="str">
        <f t="shared" si="24"/>
        <v>华鑫证券有限责任公司</v>
      </c>
      <c r="E103" s="21">
        <f t="shared" si="25"/>
        <v>13.98</v>
      </c>
      <c r="F103" s="21">
        <f t="shared" si="26"/>
        <v>1.2</v>
      </c>
      <c r="G103" s="19">
        <f t="shared" si="27"/>
        <v>883.65239999999994</v>
      </c>
      <c r="H103" s="21">
        <f t="shared" si="28"/>
        <v>1.1999999591999999</v>
      </c>
      <c r="J103" s="1060">
        <v>4</v>
      </c>
      <c r="K103" s="1061" t="s">
        <v>557</v>
      </c>
      <c r="L103" s="1051">
        <v>13.98</v>
      </c>
      <c r="M103" s="1052">
        <v>12000</v>
      </c>
      <c r="N103" s="1506">
        <v>119999995.92</v>
      </c>
      <c r="O103" s="1054" t="s">
        <v>556</v>
      </c>
      <c r="P103" s="1055">
        <v>28718704</v>
      </c>
      <c r="Q103" s="1055"/>
      <c r="R103" s="1055"/>
    </row>
    <row r="104" spans="3:18" ht="15" customHeight="1">
      <c r="C104" s="24" t="str">
        <f t="shared" si="24"/>
        <v/>
      </c>
      <c r="D104" s="11" t="str">
        <f t="shared" si="24"/>
        <v/>
      </c>
      <c r="E104" s="21">
        <f t="shared" si="25"/>
        <v>13.38</v>
      </c>
      <c r="F104" s="21">
        <f t="shared" si="26"/>
        <v>1.2</v>
      </c>
      <c r="G104" s="19" t="str">
        <f t="shared" si="27"/>
        <v/>
      </c>
      <c r="H104" s="21" t="str">
        <f t="shared" si="28"/>
        <v/>
      </c>
      <c r="J104" s="1060"/>
      <c r="K104" s="1061"/>
      <c r="L104" s="1051">
        <v>13.38</v>
      </c>
      <c r="M104" s="1052">
        <v>12000</v>
      </c>
      <c r="N104" s="1506"/>
      <c r="O104" s="1061"/>
      <c r="P104" s="492"/>
      <c r="Q104" s="492"/>
      <c r="R104" s="492"/>
    </row>
    <row r="105" spans="3:18" ht="15" customHeight="1">
      <c r="C105" s="24">
        <f t="shared" si="24"/>
        <v>5</v>
      </c>
      <c r="D105" s="11" t="str">
        <f t="shared" si="24"/>
        <v>第一创业证券股份有限公司</v>
      </c>
      <c r="E105" s="21">
        <f t="shared" si="25"/>
        <v>16.22</v>
      </c>
      <c r="F105" s="21">
        <f t="shared" si="26"/>
        <v>1.1000000000000001</v>
      </c>
      <c r="G105" s="19">
        <f t="shared" si="27"/>
        <v>1178.2031999999999</v>
      </c>
      <c r="H105" s="21">
        <f t="shared" si="28"/>
        <v>1.5999999456</v>
      </c>
      <c r="J105" s="1060">
        <v>5</v>
      </c>
      <c r="K105" s="1061" t="s">
        <v>555</v>
      </c>
      <c r="L105" s="1051">
        <v>16.22</v>
      </c>
      <c r="M105" s="1052">
        <v>11000</v>
      </c>
      <c r="N105" s="1506">
        <v>159999994.56</v>
      </c>
      <c r="O105" s="1061"/>
      <c r="P105" s="492"/>
      <c r="Q105" s="492"/>
      <c r="R105" s="492"/>
    </row>
    <row r="106" spans="3:18" ht="15" customHeight="1">
      <c r="C106" s="24" t="str">
        <f t="shared" si="24"/>
        <v/>
      </c>
      <c r="D106" s="11" t="str">
        <f t="shared" si="24"/>
        <v/>
      </c>
      <c r="E106" s="21">
        <f t="shared" si="25"/>
        <v>15.52</v>
      </c>
      <c r="F106" s="21">
        <f t="shared" si="26"/>
        <v>1.6</v>
      </c>
      <c r="G106" s="19" t="str">
        <f t="shared" si="27"/>
        <v/>
      </c>
      <c r="H106" s="21" t="str">
        <f t="shared" si="28"/>
        <v/>
      </c>
      <c r="J106" s="1060"/>
      <c r="K106" s="1061"/>
      <c r="L106" s="1051">
        <v>15.52</v>
      </c>
      <c r="M106" s="1052">
        <v>16000</v>
      </c>
      <c r="N106" s="1506"/>
      <c r="O106" s="1061"/>
      <c r="P106" s="492"/>
      <c r="Q106" s="492"/>
      <c r="R106" s="492"/>
    </row>
    <row r="107" spans="3:18" ht="15" customHeight="1">
      <c r="C107" s="24" t="str">
        <f t="shared" si="24"/>
        <v/>
      </c>
      <c r="D107" s="11" t="str">
        <f t="shared" si="24"/>
        <v/>
      </c>
      <c r="E107" s="21">
        <f t="shared" si="25"/>
        <v>13.53</v>
      </c>
      <c r="F107" s="21">
        <f t="shared" si="26"/>
        <v>2</v>
      </c>
      <c r="G107" s="19" t="str">
        <f t="shared" si="27"/>
        <v/>
      </c>
      <c r="H107" s="21" t="str">
        <f t="shared" si="28"/>
        <v/>
      </c>
      <c r="J107" s="1060"/>
      <c r="K107" s="1061"/>
      <c r="L107" s="1051">
        <v>13.53</v>
      </c>
      <c r="M107" s="1052">
        <v>20000</v>
      </c>
      <c r="N107" s="1506"/>
      <c r="O107" s="1061"/>
      <c r="P107" s="492"/>
      <c r="Q107" s="492"/>
      <c r="R107" s="492"/>
    </row>
    <row r="108" spans="3:18" ht="15" customHeight="1">
      <c r="C108" s="24">
        <f t="shared" si="24"/>
        <v>6</v>
      </c>
      <c r="D108" s="11" t="str">
        <f t="shared" si="24"/>
        <v>南京瑞达信沨股权投资合伙企业（有限合伙）</v>
      </c>
      <c r="E108" s="21">
        <f t="shared" si="25"/>
        <v>13.55</v>
      </c>
      <c r="F108" s="21">
        <f t="shared" si="26"/>
        <v>1.02</v>
      </c>
      <c r="G108" s="19" t="str">
        <f t="shared" si="27"/>
        <v/>
      </c>
      <c r="H108" s="21" t="str">
        <f t="shared" si="28"/>
        <v/>
      </c>
      <c r="J108" s="1060">
        <v>6</v>
      </c>
      <c r="K108" s="1062" t="s">
        <v>311</v>
      </c>
      <c r="L108" s="1057">
        <v>13.55</v>
      </c>
      <c r="M108" s="1058">
        <v>10200</v>
      </c>
      <c r="N108" s="1507" t="s">
        <v>554</v>
      </c>
      <c r="O108" s="1062"/>
      <c r="P108" s="492"/>
      <c r="Q108" s="492"/>
      <c r="R108" s="492"/>
    </row>
    <row r="109" spans="3:18" ht="15" customHeight="1">
      <c r="C109" s="24" t="str">
        <f t="shared" si="24"/>
        <v/>
      </c>
      <c r="D109" s="11" t="str">
        <f t="shared" si="24"/>
        <v/>
      </c>
      <c r="E109" s="21">
        <f t="shared" si="25"/>
        <v>13.5</v>
      </c>
      <c r="F109" s="21">
        <f t="shared" si="26"/>
        <v>1.02</v>
      </c>
      <c r="G109" s="19" t="str">
        <f t="shared" si="27"/>
        <v/>
      </c>
      <c r="H109" s="21" t="str">
        <f t="shared" si="28"/>
        <v/>
      </c>
      <c r="J109" s="1060"/>
      <c r="K109" s="1062"/>
      <c r="L109" s="1057">
        <v>13.5</v>
      </c>
      <c r="M109" s="1058">
        <v>10200</v>
      </c>
      <c r="N109" s="1507"/>
      <c r="O109" s="1062"/>
      <c r="P109" s="492"/>
      <c r="Q109" s="492"/>
      <c r="R109" s="492"/>
    </row>
    <row r="110" spans="3:18" ht="15" customHeight="1">
      <c r="C110" s="24" t="str">
        <f t="shared" si="24"/>
        <v/>
      </c>
      <c r="D110" s="11" t="str">
        <f t="shared" si="24"/>
        <v/>
      </c>
      <c r="E110" s="21">
        <f t="shared" si="25"/>
        <v>13.34</v>
      </c>
      <c r="F110" s="21">
        <f t="shared" si="26"/>
        <v>1.02</v>
      </c>
      <c r="G110" s="19" t="str">
        <f t="shared" si="27"/>
        <v/>
      </c>
      <c r="H110" s="21" t="str">
        <f t="shared" si="28"/>
        <v/>
      </c>
      <c r="J110" s="1060"/>
      <c r="K110" s="1062"/>
      <c r="L110" s="1057">
        <v>13.34</v>
      </c>
      <c r="M110" s="1058">
        <v>10200</v>
      </c>
      <c r="N110" s="1507"/>
      <c r="O110" s="1062"/>
      <c r="P110" s="492"/>
      <c r="Q110" s="492"/>
      <c r="R110" s="492"/>
    </row>
    <row r="111" spans="3:18" ht="15" customHeight="1">
      <c r="C111" s="24">
        <f t="shared" si="24"/>
        <v>7</v>
      </c>
      <c r="D111" s="11" t="str">
        <f t="shared" si="24"/>
        <v>财通基金管理有限公司</v>
      </c>
      <c r="E111" s="21">
        <f t="shared" si="25"/>
        <v>14.78</v>
      </c>
      <c r="F111" s="21">
        <f t="shared" si="26"/>
        <v>1.2</v>
      </c>
      <c r="G111" s="19">
        <f t="shared" si="27"/>
        <v>3873.3431</v>
      </c>
      <c r="H111" s="21">
        <f t="shared" si="28"/>
        <v>5.2599999298000002</v>
      </c>
      <c r="J111" s="1060">
        <v>7</v>
      </c>
      <c r="K111" s="1061" t="s">
        <v>436</v>
      </c>
      <c r="L111" s="1051">
        <v>14.78</v>
      </c>
      <c r="M111" s="1052">
        <v>12000</v>
      </c>
      <c r="N111" s="1506">
        <v>525999992.98000002</v>
      </c>
      <c r="O111" s="1061"/>
      <c r="P111" s="492"/>
      <c r="Q111" s="492"/>
      <c r="R111" s="492"/>
    </row>
    <row r="112" spans="3:18" ht="15" customHeight="1">
      <c r="C112" s="24" t="str">
        <f t="shared" si="24"/>
        <v/>
      </c>
      <c r="D112" s="11" t="str">
        <f t="shared" si="24"/>
        <v/>
      </c>
      <c r="E112" s="21">
        <f t="shared" si="25"/>
        <v>14.07</v>
      </c>
      <c r="F112" s="21">
        <f t="shared" si="26"/>
        <v>5.26</v>
      </c>
      <c r="G112" s="19" t="str">
        <f t="shared" si="27"/>
        <v/>
      </c>
      <c r="H112" s="21" t="str">
        <f t="shared" si="28"/>
        <v/>
      </c>
      <c r="J112" s="1060"/>
      <c r="K112" s="1061"/>
      <c r="L112" s="1051">
        <v>14.07</v>
      </c>
      <c r="M112" s="1052">
        <v>52600</v>
      </c>
      <c r="N112" s="1506"/>
      <c r="O112" s="1061"/>
      <c r="P112" s="492"/>
      <c r="Q112" s="492"/>
      <c r="R112" s="492"/>
    </row>
    <row r="113" spans="1:21" ht="15" customHeight="1">
      <c r="C113" s="24" t="str">
        <f t="shared" si="24"/>
        <v/>
      </c>
      <c r="D113" s="11" t="str">
        <f t="shared" si="24"/>
        <v/>
      </c>
      <c r="E113" s="21">
        <f t="shared" si="25"/>
        <v>13.47</v>
      </c>
      <c r="F113" s="21">
        <f t="shared" si="26"/>
        <v>5.81</v>
      </c>
      <c r="G113" s="19" t="str">
        <f t="shared" si="27"/>
        <v/>
      </c>
      <c r="H113" s="21" t="str">
        <f t="shared" si="28"/>
        <v/>
      </c>
      <c r="J113" s="1060"/>
      <c r="K113" s="1061"/>
      <c r="L113" s="1051">
        <v>13.47</v>
      </c>
      <c r="M113" s="1052">
        <v>58100</v>
      </c>
      <c r="N113" s="1506"/>
      <c r="O113" s="1061"/>
      <c r="P113" s="492"/>
      <c r="Q113" s="492"/>
      <c r="R113" s="492"/>
    </row>
    <row r="114" spans="1:21" ht="15" customHeight="1">
      <c r="C114" s="24">
        <f t="shared" si="24"/>
        <v>8</v>
      </c>
      <c r="D114" s="11" t="str">
        <f t="shared" si="24"/>
        <v>兴业全球基金管理有限公司</v>
      </c>
      <c r="E114" s="21">
        <f t="shared" si="25"/>
        <v>13.42</v>
      </c>
      <c r="F114" s="21">
        <f t="shared" si="26"/>
        <v>1.06</v>
      </c>
      <c r="G114" s="19" t="str">
        <f t="shared" si="27"/>
        <v/>
      </c>
      <c r="H114" s="21" t="str">
        <f t="shared" si="28"/>
        <v/>
      </c>
      <c r="J114" s="1049">
        <v>8</v>
      </c>
      <c r="K114" s="1056" t="s">
        <v>131</v>
      </c>
      <c r="L114" s="1057">
        <v>13.42</v>
      </c>
      <c r="M114" s="1058">
        <v>10600</v>
      </c>
      <c r="N114" s="1063" t="s">
        <v>554</v>
      </c>
      <c r="O114" s="1056"/>
      <c r="P114" s="492"/>
      <c r="Q114" s="492"/>
      <c r="R114" s="492"/>
    </row>
    <row r="115" spans="1:21" ht="15" customHeight="1">
      <c r="C115" s="24">
        <f t="shared" si="24"/>
        <v>9</v>
      </c>
      <c r="D115" s="11" t="str">
        <f t="shared" si="24"/>
        <v>申万菱信（上海）资产管理有限公司</v>
      </c>
      <c r="E115" s="21">
        <f t="shared" si="25"/>
        <v>13.51</v>
      </c>
      <c r="F115" s="21">
        <f t="shared" si="26"/>
        <v>1.6</v>
      </c>
      <c r="G115" s="19" t="str">
        <f t="shared" si="27"/>
        <v/>
      </c>
      <c r="H115" s="21" t="str">
        <f t="shared" si="28"/>
        <v/>
      </c>
      <c r="J115" s="1049">
        <v>9</v>
      </c>
      <c r="K115" s="1056" t="s">
        <v>138</v>
      </c>
      <c r="L115" s="1057">
        <v>13.51</v>
      </c>
      <c r="M115" s="1058">
        <v>16000</v>
      </c>
      <c r="N115" s="1063" t="s">
        <v>554</v>
      </c>
      <c r="O115" s="1056"/>
      <c r="P115" s="492"/>
      <c r="Q115" s="492"/>
      <c r="R115" s="492"/>
    </row>
    <row r="116" spans="1:21" ht="15" customHeight="1">
      <c r="C116" s="24">
        <f t="shared" si="24"/>
        <v>10</v>
      </c>
      <c r="D116" s="11" t="str">
        <f t="shared" si="24"/>
        <v>诺安基金管理有限公司</v>
      </c>
      <c r="E116" s="21">
        <f t="shared" si="25"/>
        <v>13.5</v>
      </c>
      <c r="F116" s="21">
        <f t="shared" si="26"/>
        <v>1.02</v>
      </c>
      <c r="G116" s="19" t="str">
        <f t="shared" si="27"/>
        <v/>
      </c>
      <c r="H116" s="21" t="str">
        <f t="shared" si="28"/>
        <v/>
      </c>
      <c r="J116" s="1049">
        <v>10</v>
      </c>
      <c r="K116" s="1056" t="s">
        <v>147</v>
      </c>
      <c r="L116" s="1057">
        <v>13.5</v>
      </c>
      <c r="M116" s="1058">
        <v>10200</v>
      </c>
      <c r="N116" s="1063" t="s">
        <v>554</v>
      </c>
      <c r="O116" s="1056"/>
      <c r="P116" s="492"/>
      <c r="Q116" s="492"/>
      <c r="R116" s="492"/>
    </row>
    <row r="117" spans="1:21" ht="15" customHeight="1">
      <c r="D117" s="1508" t="s">
        <v>3610</v>
      </c>
      <c r="E117" s="1508"/>
      <c r="F117" s="1508"/>
      <c r="G117" s="1508"/>
      <c r="H117" s="1508"/>
      <c r="J117" s="1049"/>
      <c r="K117" s="1056"/>
      <c r="L117" s="1057"/>
      <c r="M117" s="1058"/>
      <c r="N117" s="1063"/>
      <c r="O117" s="1056"/>
      <c r="P117" s="492"/>
      <c r="Q117" s="492"/>
      <c r="R117" s="492"/>
    </row>
    <row r="118" spans="1:21" ht="15" customHeight="1">
      <c r="D118" s="979" t="str">
        <f>O103</f>
        <v>厦门国贸控股有限公司</v>
      </c>
      <c r="E118" s="21"/>
      <c r="F118" s="21">
        <f>H118</f>
        <v>3.9000000031999997</v>
      </c>
      <c r="G118" s="19">
        <f t="shared" ref="G118" si="29">IFERROR(VLOOKUP(D118,O$98:Q$116,2,FALSE)/10000,"")</f>
        <v>2871.8703999999998</v>
      </c>
      <c r="H118" s="21">
        <f t="shared" ref="H118" si="30">IFERROR(G118*M$95/10000,"")</f>
        <v>3.9000000031999997</v>
      </c>
      <c r="J118" s="1049"/>
      <c r="K118" s="1056"/>
      <c r="L118" s="1057"/>
      <c r="M118" s="1058"/>
      <c r="N118" s="1063"/>
      <c r="O118" s="1056"/>
      <c r="P118" s="492"/>
      <c r="Q118" s="492"/>
      <c r="R118" s="492"/>
    </row>
    <row r="120" spans="1:21">
      <c r="A120" s="24">
        <v>5</v>
      </c>
      <c r="B120" s="12" t="s">
        <v>106</v>
      </c>
      <c r="C120" s="12" t="s">
        <v>126</v>
      </c>
      <c r="D120" s="12" t="s">
        <v>107</v>
      </c>
      <c r="E120" s="12" t="s">
        <v>4</v>
      </c>
      <c r="F120" s="13" t="s">
        <v>108</v>
      </c>
      <c r="G120" s="13" t="s">
        <v>109</v>
      </c>
      <c r="H120" s="12" t="s">
        <v>274</v>
      </c>
      <c r="I120" s="12" t="s">
        <v>273</v>
      </c>
      <c r="J120" s="12" t="s">
        <v>116</v>
      </c>
      <c r="K120" s="14" t="s">
        <v>110</v>
      </c>
      <c r="L120" s="14" t="s">
        <v>276</v>
      </c>
      <c r="M120" s="14" t="s">
        <v>117</v>
      </c>
      <c r="N120" s="15" t="s">
        <v>275</v>
      </c>
      <c r="O120" s="12" t="s">
        <v>111</v>
      </c>
      <c r="P120" s="8" t="s">
        <v>12</v>
      </c>
      <c r="Q120" s="8" t="s">
        <v>190</v>
      </c>
      <c r="R120" s="15" t="s">
        <v>129</v>
      </c>
      <c r="S120" s="14" t="s">
        <v>220</v>
      </c>
    </row>
    <row r="121" spans="1:21">
      <c r="A121" s="24">
        <v>6</v>
      </c>
      <c r="B121" s="979">
        <v>15</v>
      </c>
      <c r="C121" s="11" t="s">
        <v>176</v>
      </c>
      <c r="D121" s="1" t="s">
        <v>77</v>
      </c>
      <c r="E121" s="1" t="s">
        <v>76</v>
      </c>
      <c r="F121" s="3">
        <v>8.4526000000000003</v>
      </c>
      <c r="G121" s="3">
        <v>8.4525998760000007</v>
      </c>
      <c r="H121" s="2">
        <v>42395</v>
      </c>
      <c r="I121" s="1001" t="s">
        <v>151</v>
      </c>
      <c r="J121" s="11">
        <v>16.95</v>
      </c>
      <c r="K121" s="3">
        <v>9.98</v>
      </c>
      <c r="L121" s="3">
        <f>K121/J121</f>
        <v>0.58879056047197642</v>
      </c>
      <c r="M121" s="3">
        <v>12.6</v>
      </c>
      <c r="N121" s="10">
        <f>M121/J121</f>
        <v>0.74336283185840712</v>
      </c>
      <c r="O121" s="1002">
        <v>7</v>
      </c>
      <c r="P121" s="2">
        <v>42795</v>
      </c>
      <c r="Q121" s="1003">
        <v>17.88</v>
      </c>
      <c r="R121" s="18">
        <f>(Q121*(1+T121/10)+U121/10)/M121</f>
        <v>1.4222222222222221</v>
      </c>
      <c r="S121" s="11" t="s">
        <v>222</v>
      </c>
      <c r="T121" s="22">
        <f>IFERROR(RIGHT(LEFT(S121,FIND("股",S121)-1),(FIND("股",S121)-1-FIND("转",S121))),0)</f>
        <v>0</v>
      </c>
      <c r="U121" s="23" t="str">
        <f>IFERROR(RIGHT(LEFT(S121,FIND("元",S121)-1),(FIND("元",S121)-1-FIND("派",S121))),0)</f>
        <v>0.4</v>
      </c>
    </row>
    <row r="122" spans="1:21">
      <c r="B122" s="125"/>
      <c r="C122" s="129"/>
      <c r="D122" s="128"/>
      <c r="E122" s="128"/>
      <c r="F122" s="127"/>
      <c r="G122" s="127"/>
      <c r="H122" s="126"/>
      <c r="I122" s="125"/>
      <c r="K122" s="130"/>
      <c r="L122" s="130"/>
      <c r="M122" s="130"/>
      <c r="N122" s="5"/>
      <c r="O122" s="120"/>
      <c r="P122" s="124"/>
      <c r="Q122" s="5"/>
      <c r="R122" s="123"/>
      <c r="T122" s="28"/>
      <c r="U122" s="122"/>
    </row>
    <row r="123" spans="1:21" ht="14.5">
      <c r="C123" s="27" t="s">
        <v>118</v>
      </c>
      <c r="D123" s="16" t="s">
        <v>112</v>
      </c>
      <c r="E123" s="16" t="s">
        <v>113</v>
      </c>
      <c r="F123" s="16" t="s">
        <v>288</v>
      </c>
      <c r="G123" s="17" t="s">
        <v>287</v>
      </c>
      <c r="H123" s="16" t="s">
        <v>289</v>
      </c>
      <c r="J123" s="1005" t="s">
        <v>298</v>
      </c>
      <c r="K123" s="1005" t="s">
        <v>345</v>
      </c>
      <c r="L123" s="1007" t="s">
        <v>341</v>
      </c>
      <c r="M123" s="1007" t="s">
        <v>308</v>
      </c>
      <c r="N123" s="1009"/>
      <c r="O123" s="1064" t="s">
        <v>553</v>
      </c>
      <c r="P123" s="1006" t="s">
        <v>374</v>
      </c>
      <c r="Q123" s="1033"/>
    </row>
    <row r="124" spans="1:21">
      <c r="C124" s="28">
        <f>IF(J124=0,"",J124)</f>
        <v>1</v>
      </c>
      <c r="D124" s="11" t="str">
        <f>IF(K124=0,"",K124)</f>
        <v>华泰柏瑞基金管理有限公司</v>
      </c>
      <c r="E124" s="21">
        <f>L124</f>
        <v>10.4</v>
      </c>
      <c r="F124" s="21">
        <f>M124/10000</f>
        <v>0.85</v>
      </c>
      <c r="G124" s="19" t="str">
        <f>IFERROR(VLOOKUP(D124,O$124:Q$161,2,FALSE)/10000,"")</f>
        <v/>
      </c>
      <c r="H124" s="21" t="str">
        <f>IFERROR(G124*M$121/10000,"")</f>
        <v/>
      </c>
      <c r="J124" s="1065">
        <v>1</v>
      </c>
      <c r="K124" s="1066" t="s">
        <v>122</v>
      </c>
      <c r="L124" s="1067">
        <v>10.4</v>
      </c>
      <c r="M124" s="1068">
        <v>8500</v>
      </c>
      <c r="N124" s="492"/>
      <c r="O124" s="1069" t="s">
        <v>115</v>
      </c>
      <c r="P124" s="1068">
        <v>20238095</v>
      </c>
      <c r="Q124" s="492"/>
    </row>
    <row r="125" spans="1:21">
      <c r="C125" s="28" t="str">
        <f t="shared" ref="C125:D156" si="31">IF(J125=0,"",J125)</f>
        <v/>
      </c>
      <c r="D125" s="11" t="str">
        <f t="shared" si="31"/>
        <v/>
      </c>
      <c r="E125" s="21">
        <f t="shared" ref="E125:E156" si="32">L125</f>
        <v>10.199999999999999</v>
      </c>
      <c r="F125" s="21">
        <f t="shared" ref="F125:F156" si="33">M125/10000</f>
        <v>0.95</v>
      </c>
      <c r="G125" s="19" t="str">
        <f t="shared" ref="G125:G156" si="34">IFERROR(VLOOKUP(D125,O$124:Q$161,2,FALSE)/10000,"")</f>
        <v/>
      </c>
      <c r="H125" s="21" t="str">
        <f t="shared" ref="H125:H156" si="35">IFERROR(G125*M$121/10000,"")</f>
        <v/>
      </c>
      <c r="J125" s="1065"/>
      <c r="K125" s="1066"/>
      <c r="L125" s="1067">
        <v>10.199999999999999</v>
      </c>
      <c r="M125" s="1068">
        <v>9500</v>
      </c>
      <c r="N125" s="492"/>
      <c r="O125" s="1069" t="s">
        <v>505</v>
      </c>
      <c r="P125" s="1068">
        <v>11904761</v>
      </c>
      <c r="Q125" s="492"/>
    </row>
    <row r="126" spans="1:21">
      <c r="C126" s="28" t="str">
        <f t="shared" si="31"/>
        <v/>
      </c>
      <c r="D126" s="11" t="str">
        <f t="shared" si="31"/>
        <v/>
      </c>
      <c r="E126" s="21">
        <f t="shared" si="32"/>
        <v>10</v>
      </c>
      <c r="F126" s="21">
        <f t="shared" si="33"/>
        <v>1.1000000000000001</v>
      </c>
      <c r="G126" s="19" t="str">
        <f t="shared" si="34"/>
        <v/>
      </c>
      <c r="H126" s="21" t="str">
        <f t="shared" si="35"/>
        <v/>
      </c>
      <c r="J126" s="1065"/>
      <c r="K126" s="1066"/>
      <c r="L126" s="1067">
        <v>10</v>
      </c>
      <c r="M126" s="1068">
        <v>11000</v>
      </c>
      <c r="N126" s="492"/>
      <c r="O126" s="1069" t="s">
        <v>127</v>
      </c>
      <c r="P126" s="1068">
        <v>8730158</v>
      </c>
      <c r="Q126" s="492"/>
    </row>
    <row r="127" spans="1:21">
      <c r="C127" s="28">
        <f t="shared" si="31"/>
        <v>2</v>
      </c>
      <c r="D127" s="11" t="str">
        <f t="shared" si="31"/>
        <v>第一创业证券股份有限公司</v>
      </c>
      <c r="E127" s="21">
        <f t="shared" si="32"/>
        <v>15.1</v>
      </c>
      <c r="F127" s="21">
        <f t="shared" si="33"/>
        <v>0.86</v>
      </c>
      <c r="G127" s="19">
        <f t="shared" si="34"/>
        <v>873.01580000000001</v>
      </c>
      <c r="H127" s="21">
        <f t="shared" si="35"/>
        <v>1.099999908</v>
      </c>
      <c r="J127" s="1070">
        <v>2</v>
      </c>
      <c r="K127" s="1071" t="s">
        <v>127</v>
      </c>
      <c r="L127" s="1067">
        <v>15.1</v>
      </c>
      <c r="M127" s="1068">
        <v>8600</v>
      </c>
      <c r="N127" s="492"/>
      <c r="O127" s="1069" t="s">
        <v>136</v>
      </c>
      <c r="P127" s="1068">
        <v>7777777</v>
      </c>
      <c r="Q127" s="492"/>
    </row>
    <row r="128" spans="1:21">
      <c r="C128" s="28" t="str">
        <f t="shared" si="31"/>
        <v/>
      </c>
      <c r="D128" s="11" t="str">
        <f t="shared" si="31"/>
        <v/>
      </c>
      <c r="E128" s="21">
        <f t="shared" si="32"/>
        <v>12.6</v>
      </c>
      <c r="F128" s="21">
        <f t="shared" si="33"/>
        <v>1.1000000000000001</v>
      </c>
      <c r="G128" s="19" t="str">
        <f t="shared" si="34"/>
        <v/>
      </c>
      <c r="H128" s="21" t="str">
        <f t="shared" si="35"/>
        <v/>
      </c>
      <c r="J128" s="1070"/>
      <c r="K128" s="1071"/>
      <c r="L128" s="1067">
        <v>12.6</v>
      </c>
      <c r="M128" s="1068">
        <v>11000</v>
      </c>
      <c r="N128" s="492"/>
      <c r="O128" s="1069" t="s">
        <v>522</v>
      </c>
      <c r="P128" s="1068">
        <v>6746031</v>
      </c>
      <c r="Q128" s="492"/>
    </row>
    <row r="129" spans="3:17">
      <c r="C129" s="28">
        <f t="shared" si="31"/>
        <v>3</v>
      </c>
      <c r="D129" s="11" t="str">
        <f t="shared" si="31"/>
        <v>兴业全球基金管理有限公司</v>
      </c>
      <c r="E129" s="21">
        <f t="shared" si="32"/>
        <v>12.6</v>
      </c>
      <c r="F129" s="21">
        <f t="shared" si="33"/>
        <v>1.54</v>
      </c>
      <c r="G129" s="19">
        <f t="shared" si="34"/>
        <v>494.12729999999999</v>
      </c>
      <c r="H129" s="21">
        <f t="shared" si="35"/>
        <v>0.622600398</v>
      </c>
      <c r="J129" s="1070">
        <v>3</v>
      </c>
      <c r="K129" s="1071" t="s">
        <v>131</v>
      </c>
      <c r="L129" s="1067">
        <v>12.6</v>
      </c>
      <c r="M129" s="1068">
        <v>15400</v>
      </c>
      <c r="N129" s="492"/>
      <c r="O129" s="1069" t="s">
        <v>142</v>
      </c>
      <c r="P129" s="1068">
        <v>6746031</v>
      </c>
      <c r="Q129" s="492"/>
    </row>
    <row r="130" spans="3:17">
      <c r="C130" s="28" t="str">
        <f t="shared" si="31"/>
        <v/>
      </c>
      <c r="D130" s="11" t="str">
        <f t="shared" si="31"/>
        <v/>
      </c>
      <c r="E130" s="21">
        <f t="shared" si="32"/>
        <v>10.199999999999999</v>
      </c>
      <c r="F130" s="21">
        <f t="shared" si="33"/>
        <v>2.44</v>
      </c>
      <c r="G130" s="19" t="str">
        <f t="shared" si="34"/>
        <v/>
      </c>
      <c r="H130" s="21" t="str">
        <f t="shared" si="35"/>
        <v/>
      </c>
      <c r="J130" s="1070"/>
      <c r="K130" s="1071"/>
      <c r="L130" s="1067">
        <v>10.199999999999999</v>
      </c>
      <c r="M130" s="1068">
        <v>24400</v>
      </c>
      <c r="N130" s="492"/>
      <c r="O130" s="1069" t="s">
        <v>131</v>
      </c>
      <c r="P130" s="1068">
        <v>4941273</v>
      </c>
      <c r="Q130" s="492"/>
    </row>
    <row r="131" spans="3:17">
      <c r="C131" s="28">
        <f t="shared" si="31"/>
        <v>4</v>
      </c>
      <c r="D131" s="11" t="str">
        <f t="shared" si="31"/>
        <v>洪涛</v>
      </c>
      <c r="E131" s="21">
        <f t="shared" si="32"/>
        <v>10.3</v>
      </c>
      <c r="F131" s="21">
        <f t="shared" si="33"/>
        <v>0.85</v>
      </c>
      <c r="G131" s="19" t="str">
        <f t="shared" si="34"/>
        <v/>
      </c>
      <c r="H131" s="21" t="str">
        <f t="shared" si="35"/>
        <v/>
      </c>
      <c r="J131" s="1072">
        <v>4</v>
      </c>
      <c r="K131" s="1073" t="s">
        <v>357</v>
      </c>
      <c r="L131" s="1067">
        <v>10.3</v>
      </c>
      <c r="M131" s="1068">
        <v>8500</v>
      </c>
      <c r="N131" s="492"/>
      <c r="O131" s="492"/>
      <c r="P131" s="492"/>
      <c r="Q131" s="492"/>
    </row>
    <row r="132" spans="3:17">
      <c r="C132" s="28">
        <f t="shared" si="31"/>
        <v>5</v>
      </c>
      <c r="D132" s="11" t="str">
        <f t="shared" si="31"/>
        <v>恒泰证券股份有限公司</v>
      </c>
      <c r="E132" s="21">
        <f t="shared" si="32"/>
        <v>10.8</v>
      </c>
      <c r="F132" s="21">
        <f t="shared" si="33"/>
        <v>0.85</v>
      </c>
      <c r="G132" s="19" t="str">
        <f t="shared" si="34"/>
        <v/>
      </c>
      <c r="H132" s="21" t="str">
        <f t="shared" si="35"/>
        <v/>
      </c>
      <c r="J132" s="1072">
        <v>5</v>
      </c>
      <c r="K132" s="1073" t="s">
        <v>280</v>
      </c>
      <c r="L132" s="1067">
        <v>10.8</v>
      </c>
      <c r="M132" s="1068">
        <v>8500</v>
      </c>
      <c r="N132" s="492"/>
      <c r="O132" s="492"/>
      <c r="P132" s="492"/>
      <c r="Q132" s="492"/>
    </row>
    <row r="133" spans="3:17">
      <c r="C133" s="28">
        <f t="shared" si="31"/>
        <v>6</v>
      </c>
      <c r="D133" s="11" t="str">
        <f t="shared" si="31"/>
        <v>申万宏源证券有限公司</v>
      </c>
      <c r="E133" s="21">
        <f t="shared" si="32"/>
        <v>10.7</v>
      </c>
      <c r="F133" s="21">
        <f t="shared" si="33"/>
        <v>0.85</v>
      </c>
      <c r="G133" s="19" t="str">
        <f t="shared" si="34"/>
        <v/>
      </c>
      <c r="H133" s="21" t="str">
        <f t="shared" si="35"/>
        <v/>
      </c>
      <c r="J133" s="1072">
        <v>6</v>
      </c>
      <c r="K133" s="1073" t="s">
        <v>552</v>
      </c>
      <c r="L133" s="1067">
        <v>10.7</v>
      </c>
      <c r="M133" s="1068">
        <v>8500</v>
      </c>
      <c r="N133" s="492"/>
      <c r="O133" s="492"/>
      <c r="P133" s="492"/>
      <c r="Q133" s="492"/>
    </row>
    <row r="134" spans="3:17">
      <c r="C134" s="28">
        <f t="shared" si="31"/>
        <v>7</v>
      </c>
      <c r="D134" s="11" t="str">
        <f t="shared" si="31"/>
        <v>华福证券有限责任公司</v>
      </c>
      <c r="E134" s="21">
        <f t="shared" si="32"/>
        <v>13.1</v>
      </c>
      <c r="F134" s="21">
        <f t="shared" si="33"/>
        <v>0.85</v>
      </c>
      <c r="G134" s="19">
        <f t="shared" si="34"/>
        <v>674.60310000000004</v>
      </c>
      <c r="H134" s="21">
        <f t="shared" si="35"/>
        <v>0.84999990599999997</v>
      </c>
      <c r="J134" s="1072">
        <v>7</v>
      </c>
      <c r="K134" s="1073" t="s">
        <v>522</v>
      </c>
      <c r="L134" s="1067">
        <v>13.1</v>
      </c>
      <c r="M134" s="1068">
        <v>8500</v>
      </c>
      <c r="N134" s="492"/>
      <c r="O134" s="492"/>
      <c r="P134" s="492"/>
      <c r="Q134" s="492"/>
    </row>
    <row r="135" spans="3:17">
      <c r="C135" s="28">
        <f t="shared" si="31"/>
        <v>8</v>
      </c>
      <c r="D135" s="11" t="str">
        <f t="shared" si="31"/>
        <v>上海同安投资管理有限公司</v>
      </c>
      <c r="E135" s="21">
        <f t="shared" si="32"/>
        <v>12.1</v>
      </c>
      <c r="F135" s="21">
        <f t="shared" si="33"/>
        <v>0.85</v>
      </c>
      <c r="G135" s="19" t="str">
        <f t="shared" si="34"/>
        <v/>
      </c>
      <c r="H135" s="21" t="str">
        <f t="shared" si="35"/>
        <v/>
      </c>
      <c r="J135" s="1072">
        <v>8</v>
      </c>
      <c r="K135" s="1073" t="s">
        <v>551</v>
      </c>
      <c r="L135" s="1067">
        <v>12.1</v>
      </c>
      <c r="M135" s="1068">
        <v>8500</v>
      </c>
      <c r="N135" s="492"/>
      <c r="O135" s="492"/>
      <c r="P135" s="492"/>
      <c r="Q135" s="492"/>
    </row>
    <row r="136" spans="3:17">
      <c r="C136" s="28">
        <f t="shared" si="31"/>
        <v>9</v>
      </c>
      <c r="D136" s="11" t="str">
        <f t="shared" si="31"/>
        <v>易方达基金管理有限公司</v>
      </c>
      <c r="E136" s="21">
        <f t="shared" si="32"/>
        <v>10</v>
      </c>
      <c r="F136" s="21">
        <f t="shared" si="33"/>
        <v>1.42</v>
      </c>
      <c r="G136" s="19" t="str">
        <f t="shared" si="34"/>
        <v/>
      </c>
      <c r="H136" s="21" t="str">
        <f t="shared" si="35"/>
        <v/>
      </c>
      <c r="J136" s="1072">
        <v>9</v>
      </c>
      <c r="K136" s="1073" t="s">
        <v>225</v>
      </c>
      <c r="L136" s="1067">
        <v>10</v>
      </c>
      <c r="M136" s="1068">
        <v>14200</v>
      </c>
      <c r="N136" s="492"/>
      <c r="O136" s="492"/>
      <c r="P136" s="492"/>
      <c r="Q136" s="492"/>
    </row>
    <row r="137" spans="3:17">
      <c r="C137" s="28">
        <f t="shared" si="31"/>
        <v>10</v>
      </c>
      <c r="D137" s="11" t="str">
        <f t="shared" si="31"/>
        <v>兴证证券资产管理有限公司</v>
      </c>
      <c r="E137" s="21">
        <f t="shared" si="32"/>
        <v>10</v>
      </c>
      <c r="F137" s="21">
        <f t="shared" si="33"/>
        <v>0.85</v>
      </c>
      <c r="G137" s="19" t="str">
        <f t="shared" si="34"/>
        <v/>
      </c>
      <c r="H137" s="21" t="str">
        <f t="shared" si="35"/>
        <v/>
      </c>
      <c r="J137" s="1072">
        <v>10</v>
      </c>
      <c r="K137" s="1073" t="s">
        <v>150</v>
      </c>
      <c r="L137" s="1067">
        <v>10</v>
      </c>
      <c r="M137" s="1068">
        <v>8500</v>
      </c>
      <c r="N137" s="492"/>
      <c r="O137" s="492"/>
      <c r="P137" s="492"/>
      <c r="Q137" s="492"/>
    </row>
    <row r="138" spans="3:17">
      <c r="C138" s="28">
        <f t="shared" si="31"/>
        <v>11</v>
      </c>
      <c r="D138" s="11" t="str">
        <f t="shared" si="31"/>
        <v>东海基金管理有限责任公司</v>
      </c>
      <c r="E138" s="21">
        <f t="shared" si="32"/>
        <v>12.1</v>
      </c>
      <c r="F138" s="21">
        <f t="shared" si="33"/>
        <v>0.85</v>
      </c>
      <c r="G138" s="19" t="str">
        <f t="shared" si="34"/>
        <v/>
      </c>
      <c r="H138" s="21" t="str">
        <f t="shared" si="35"/>
        <v/>
      </c>
      <c r="J138" s="1065">
        <v>11</v>
      </c>
      <c r="K138" s="1066" t="s">
        <v>128</v>
      </c>
      <c r="L138" s="1067">
        <v>12.1</v>
      </c>
      <c r="M138" s="1068">
        <v>8500</v>
      </c>
      <c r="N138" s="492"/>
      <c r="O138" s="492"/>
      <c r="P138" s="492"/>
      <c r="Q138" s="492"/>
    </row>
    <row r="139" spans="3:17">
      <c r="C139" s="28" t="str">
        <f t="shared" si="31"/>
        <v/>
      </c>
      <c r="D139" s="11" t="str">
        <f t="shared" si="31"/>
        <v/>
      </c>
      <c r="E139" s="21">
        <f t="shared" si="32"/>
        <v>11.1</v>
      </c>
      <c r="F139" s="21">
        <f t="shared" si="33"/>
        <v>1.7</v>
      </c>
      <c r="G139" s="19" t="str">
        <f t="shared" si="34"/>
        <v/>
      </c>
      <c r="H139" s="21" t="str">
        <f t="shared" si="35"/>
        <v/>
      </c>
      <c r="J139" s="1065"/>
      <c r="K139" s="1066"/>
      <c r="L139" s="1067">
        <v>11.1</v>
      </c>
      <c r="M139" s="1068">
        <v>17000</v>
      </c>
      <c r="N139" s="492"/>
      <c r="O139" s="492"/>
      <c r="P139" s="492"/>
      <c r="Q139" s="492"/>
    </row>
    <row r="140" spans="3:17" ht="14" customHeight="1">
      <c r="C140" s="28" t="str">
        <f t="shared" si="31"/>
        <v/>
      </c>
      <c r="D140" s="11" t="str">
        <f t="shared" si="31"/>
        <v/>
      </c>
      <c r="E140" s="21">
        <f t="shared" si="32"/>
        <v>10.1</v>
      </c>
      <c r="F140" s="21">
        <f t="shared" si="33"/>
        <v>2.4500000000000002</v>
      </c>
      <c r="G140" s="19" t="str">
        <f t="shared" si="34"/>
        <v/>
      </c>
      <c r="H140" s="21" t="str">
        <f t="shared" si="35"/>
        <v/>
      </c>
      <c r="J140" s="1065"/>
      <c r="K140" s="1066"/>
      <c r="L140" s="1067">
        <v>10.1</v>
      </c>
      <c r="M140" s="1068">
        <v>24500</v>
      </c>
      <c r="N140" s="492"/>
      <c r="O140" s="492"/>
      <c r="P140" s="492"/>
      <c r="Q140" s="492"/>
    </row>
    <row r="141" spans="3:17">
      <c r="C141" s="28">
        <f t="shared" si="31"/>
        <v>12</v>
      </c>
      <c r="D141" s="11" t="str">
        <f t="shared" si="31"/>
        <v>华鑫证券有限责任公司</v>
      </c>
      <c r="E141" s="21">
        <f t="shared" si="32"/>
        <v>13.5</v>
      </c>
      <c r="F141" s="21">
        <f t="shared" si="33"/>
        <v>1.5</v>
      </c>
      <c r="G141" s="19">
        <f t="shared" si="34"/>
        <v>1190.4761000000001</v>
      </c>
      <c r="H141" s="21">
        <f t="shared" si="35"/>
        <v>1.4999998860000001</v>
      </c>
      <c r="J141" s="1072">
        <v>12</v>
      </c>
      <c r="K141" s="1073" t="s">
        <v>505</v>
      </c>
      <c r="L141" s="1067">
        <v>13.5</v>
      </c>
      <c r="M141" s="1068">
        <v>15000</v>
      </c>
      <c r="N141" s="492"/>
      <c r="O141" s="492"/>
      <c r="P141" s="492"/>
      <c r="Q141" s="492"/>
    </row>
    <row r="142" spans="3:17">
      <c r="C142" s="28">
        <f t="shared" si="31"/>
        <v>13</v>
      </c>
      <c r="D142" s="11" t="str">
        <f t="shared" si="31"/>
        <v>华安基金管理有限公司</v>
      </c>
      <c r="E142" s="21">
        <f t="shared" si="32"/>
        <v>13.1</v>
      </c>
      <c r="F142" s="21">
        <f t="shared" si="33"/>
        <v>0.85</v>
      </c>
      <c r="G142" s="19">
        <f t="shared" si="34"/>
        <v>777.77769999999998</v>
      </c>
      <c r="H142" s="21">
        <f t="shared" si="35"/>
        <v>0.97999990199999998</v>
      </c>
      <c r="J142" s="1065">
        <v>13</v>
      </c>
      <c r="K142" s="1066" t="s">
        <v>136</v>
      </c>
      <c r="L142" s="1067">
        <v>13.1</v>
      </c>
      <c r="M142" s="1068">
        <v>8500</v>
      </c>
      <c r="N142" s="492"/>
      <c r="O142" s="492"/>
      <c r="P142" s="492"/>
      <c r="Q142" s="492"/>
    </row>
    <row r="143" spans="3:17">
      <c r="C143" s="28" t="str">
        <f t="shared" si="31"/>
        <v/>
      </c>
      <c r="D143" s="11" t="str">
        <f t="shared" si="31"/>
        <v/>
      </c>
      <c r="E143" s="21">
        <f t="shared" si="32"/>
        <v>13</v>
      </c>
      <c r="F143" s="21">
        <f t="shared" si="33"/>
        <v>0.98</v>
      </c>
      <c r="G143" s="19" t="str">
        <f t="shared" si="34"/>
        <v/>
      </c>
      <c r="H143" s="21" t="str">
        <f t="shared" si="35"/>
        <v/>
      </c>
      <c r="J143" s="1065"/>
      <c r="K143" s="1066"/>
      <c r="L143" s="1067">
        <v>13</v>
      </c>
      <c r="M143" s="1068">
        <v>9800</v>
      </c>
      <c r="N143" s="492"/>
      <c r="O143" s="492"/>
      <c r="P143" s="492"/>
      <c r="Q143" s="492"/>
    </row>
    <row r="144" spans="3:17">
      <c r="C144" s="28" t="str">
        <f t="shared" si="31"/>
        <v/>
      </c>
      <c r="D144" s="11" t="str">
        <f t="shared" si="31"/>
        <v/>
      </c>
      <c r="E144" s="21">
        <f t="shared" si="32"/>
        <v>10.1</v>
      </c>
      <c r="F144" s="21">
        <f t="shared" si="33"/>
        <v>1.05</v>
      </c>
      <c r="G144" s="19" t="str">
        <f t="shared" si="34"/>
        <v/>
      </c>
      <c r="H144" s="21" t="str">
        <f t="shared" si="35"/>
        <v/>
      </c>
      <c r="J144" s="1065"/>
      <c r="K144" s="1066"/>
      <c r="L144" s="1067">
        <v>10.1</v>
      </c>
      <c r="M144" s="1068">
        <v>10500</v>
      </c>
      <c r="N144" s="492"/>
      <c r="O144" s="492"/>
      <c r="P144" s="492"/>
      <c r="Q144" s="492"/>
    </row>
    <row r="145" spans="1:21">
      <c r="C145" s="28">
        <f t="shared" si="31"/>
        <v>14</v>
      </c>
      <c r="D145" s="11" t="str">
        <f t="shared" si="31"/>
        <v>财通基金管理有限公司</v>
      </c>
      <c r="E145" s="21">
        <f t="shared" si="32"/>
        <v>15.3</v>
      </c>
      <c r="F145" s="21">
        <f t="shared" si="33"/>
        <v>0.9</v>
      </c>
      <c r="G145" s="19">
        <f t="shared" si="34"/>
        <v>2023.8095000000001</v>
      </c>
      <c r="H145" s="21">
        <f t="shared" si="35"/>
        <v>2.54999997</v>
      </c>
      <c r="J145" s="1070">
        <v>14</v>
      </c>
      <c r="K145" s="1071" t="s">
        <v>115</v>
      </c>
      <c r="L145" s="1067">
        <v>15.3</v>
      </c>
      <c r="M145" s="1068">
        <v>9000</v>
      </c>
      <c r="N145" s="492"/>
      <c r="O145" s="492"/>
      <c r="P145" s="492"/>
      <c r="Q145" s="492"/>
    </row>
    <row r="146" spans="1:21">
      <c r="C146" s="28" t="str">
        <f t="shared" si="31"/>
        <v/>
      </c>
      <c r="D146" s="11" t="str">
        <f t="shared" si="31"/>
        <v/>
      </c>
      <c r="E146" s="21">
        <f t="shared" si="32"/>
        <v>14.5</v>
      </c>
      <c r="F146" s="21">
        <f t="shared" si="33"/>
        <v>2.5499999999999998</v>
      </c>
      <c r="G146" s="19" t="str">
        <f t="shared" si="34"/>
        <v/>
      </c>
      <c r="H146" s="21" t="str">
        <f t="shared" si="35"/>
        <v/>
      </c>
      <c r="J146" s="1070"/>
      <c r="K146" s="1071"/>
      <c r="L146" s="1067">
        <v>14.5</v>
      </c>
      <c r="M146" s="1068">
        <v>25500</v>
      </c>
      <c r="N146" s="492"/>
      <c r="O146" s="492"/>
      <c r="P146" s="492"/>
      <c r="Q146" s="492"/>
    </row>
    <row r="147" spans="1:21">
      <c r="C147" s="28">
        <f t="shared" si="31"/>
        <v>15</v>
      </c>
      <c r="D147" s="11" t="str">
        <f t="shared" si="31"/>
        <v>创金合信基金管理有限公司</v>
      </c>
      <c r="E147" s="21">
        <f t="shared" si="32"/>
        <v>11.6</v>
      </c>
      <c r="F147" s="21">
        <f t="shared" si="33"/>
        <v>0.86</v>
      </c>
      <c r="G147" s="19" t="str">
        <f t="shared" si="34"/>
        <v/>
      </c>
      <c r="H147" s="21" t="str">
        <f t="shared" si="35"/>
        <v/>
      </c>
      <c r="J147" s="1072">
        <v>15</v>
      </c>
      <c r="K147" s="1073" t="s">
        <v>134</v>
      </c>
      <c r="L147" s="1067">
        <v>11.6</v>
      </c>
      <c r="M147" s="1068">
        <v>8600</v>
      </c>
      <c r="N147" s="492"/>
      <c r="O147" s="492"/>
      <c r="P147" s="492"/>
      <c r="Q147" s="492"/>
    </row>
    <row r="148" spans="1:21">
      <c r="C148" s="28">
        <f t="shared" si="31"/>
        <v>16</v>
      </c>
      <c r="D148" s="11" t="str">
        <f t="shared" si="31"/>
        <v>申万菱信基金管理有限公司</v>
      </c>
      <c r="E148" s="21">
        <f t="shared" si="32"/>
        <v>10</v>
      </c>
      <c r="F148" s="21">
        <f t="shared" si="33"/>
        <v>0.85</v>
      </c>
      <c r="G148" s="19" t="str">
        <f t="shared" si="34"/>
        <v/>
      </c>
      <c r="H148" s="21" t="str">
        <f t="shared" si="35"/>
        <v/>
      </c>
      <c r="J148" s="1072">
        <v>16</v>
      </c>
      <c r="K148" s="1073" t="s">
        <v>121</v>
      </c>
      <c r="L148" s="1067">
        <v>10</v>
      </c>
      <c r="M148" s="1068">
        <v>8500</v>
      </c>
      <c r="N148" s="492"/>
      <c r="O148" s="492"/>
      <c r="P148" s="492"/>
      <c r="Q148" s="492"/>
    </row>
    <row r="149" spans="1:21">
      <c r="C149" s="28">
        <f t="shared" si="31"/>
        <v>17</v>
      </c>
      <c r="D149" s="11" t="str">
        <f t="shared" si="31"/>
        <v>民生通惠资产管理有限公司</v>
      </c>
      <c r="E149" s="21">
        <f t="shared" si="32"/>
        <v>11.7</v>
      </c>
      <c r="F149" s="21">
        <f t="shared" si="33"/>
        <v>1.1000000000000001</v>
      </c>
      <c r="G149" s="19" t="str">
        <f t="shared" si="34"/>
        <v/>
      </c>
      <c r="H149" s="21" t="str">
        <f t="shared" si="35"/>
        <v/>
      </c>
      <c r="J149" s="1070">
        <v>17</v>
      </c>
      <c r="K149" s="1071" t="s">
        <v>351</v>
      </c>
      <c r="L149" s="1074">
        <v>11.7</v>
      </c>
      <c r="M149" s="1068">
        <v>11000</v>
      </c>
      <c r="N149" s="492"/>
      <c r="O149" s="492"/>
      <c r="P149" s="492"/>
      <c r="Q149" s="492"/>
    </row>
    <row r="150" spans="1:21">
      <c r="C150" s="28" t="str">
        <f t="shared" si="31"/>
        <v/>
      </c>
      <c r="D150" s="11" t="str">
        <f t="shared" si="31"/>
        <v/>
      </c>
      <c r="E150" s="21">
        <f t="shared" si="32"/>
        <v>10.8</v>
      </c>
      <c r="F150" s="21">
        <f t="shared" si="33"/>
        <v>1.2</v>
      </c>
      <c r="G150" s="19" t="str">
        <f t="shared" si="34"/>
        <v/>
      </c>
      <c r="H150" s="21" t="str">
        <f t="shared" si="35"/>
        <v/>
      </c>
      <c r="J150" s="1070"/>
      <c r="K150" s="1071"/>
      <c r="L150" s="1067">
        <v>10.8</v>
      </c>
      <c r="M150" s="1068">
        <v>12000</v>
      </c>
      <c r="N150" s="492"/>
      <c r="O150" s="492"/>
      <c r="P150" s="492"/>
      <c r="Q150" s="492"/>
    </row>
    <row r="151" spans="1:21">
      <c r="C151" s="28">
        <f t="shared" si="31"/>
        <v>18</v>
      </c>
      <c r="D151" s="11" t="str">
        <f t="shared" si="31"/>
        <v>诺安基金管理有限公司</v>
      </c>
      <c r="E151" s="21">
        <f t="shared" si="32"/>
        <v>10.1</v>
      </c>
      <c r="F151" s="21">
        <f t="shared" si="33"/>
        <v>1.69</v>
      </c>
      <c r="G151" s="19" t="str">
        <f t="shared" si="34"/>
        <v/>
      </c>
      <c r="H151" s="21" t="str">
        <f t="shared" si="35"/>
        <v/>
      </c>
      <c r="J151" s="1072">
        <v>18</v>
      </c>
      <c r="K151" s="1073" t="s">
        <v>147</v>
      </c>
      <c r="L151" s="1067">
        <v>10.1</v>
      </c>
      <c r="M151" s="1068">
        <v>16900</v>
      </c>
      <c r="N151" s="492"/>
      <c r="O151" s="492"/>
      <c r="P151" s="492"/>
      <c r="Q151" s="492"/>
    </row>
    <row r="152" spans="1:21">
      <c r="C152" s="28">
        <f t="shared" si="31"/>
        <v>19</v>
      </c>
      <c r="D152" s="11" t="str">
        <f t="shared" si="31"/>
        <v>申万菱信（上海）资产管理有限公司</v>
      </c>
      <c r="E152" s="21">
        <f t="shared" si="32"/>
        <v>12.3</v>
      </c>
      <c r="F152" s="21">
        <f t="shared" si="33"/>
        <v>1.6</v>
      </c>
      <c r="G152" s="19" t="str">
        <f t="shared" si="34"/>
        <v/>
      </c>
      <c r="H152" s="21" t="str">
        <f t="shared" si="35"/>
        <v/>
      </c>
      <c r="J152" s="1072">
        <v>19</v>
      </c>
      <c r="K152" s="1073" t="s">
        <v>138</v>
      </c>
      <c r="L152" s="1067">
        <v>12.3</v>
      </c>
      <c r="M152" s="1068">
        <v>16000</v>
      </c>
      <c r="N152" s="492"/>
      <c r="O152" s="492"/>
      <c r="P152" s="492"/>
      <c r="Q152" s="492"/>
    </row>
    <row r="153" spans="1:21">
      <c r="C153" s="28">
        <f t="shared" si="31"/>
        <v>20</v>
      </c>
      <c r="D153" s="11" t="str">
        <f t="shared" si="31"/>
        <v>深圳尚诚壹品资产管理有限公司</v>
      </c>
      <c r="E153" s="21">
        <f t="shared" si="32"/>
        <v>12.6</v>
      </c>
      <c r="F153" s="21">
        <f t="shared" si="33"/>
        <v>0.85</v>
      </c>
      <c r="G153" s="19" t="str">
        <f t="shared" si="34"/>
        <v/>
      </c>
      <c r="H153" s="21" t="str">
        <f t="shared" si="35"/>
        <v/>
      </c>
      <c r="J153" s="1072">
        <v>20</v>
      </c>
      <c r="K153" s="1073" t="s">
        <v>527</v>
      </c>
      <c r="L153" s="1067">
        <v>12.6</v>
      </c>
      <c r="M153" s="1068">
        <v>8500</v>
      </c>
      <c r="N153" s="492"/>
      <c r="O153" s="492"/>
      <c r="P153" s="492"/>
      <c r="Q153" s="492"/>
    </row>
    <row r="154" spans="1:21">
      <c r="C154" s="28">
        <f t="shared" si="31"/>
        <v>21</v>
      </c>
      <c r="D154" s="11" t="str">
        <f t="shared" si="31"/>
        <v>招商财富资产管理有限公司</v>
      </c>
      <c r="E154" s="21">
        <f t="shared" si="32"/>
        <v>13</v>
      </c>
      <c r="F154" s="21">
        <f t="shared" si="33"/>
        <v>0.85</v>
      </c>
      <c r="G154" s="19">
        <f t="shared" si="34"/>
        <v>674.60310000000004</v>
      </c>
      <c r="H154" s="21">
        <f t="shared" si="35"/>
        <v>0.84999990599999997</v>
      </c>
      <c r="J154" s="1070">
        <v>21</v>
      </c>
      <c r="K154" s="1071" t="s">
        <v>142</v>
      </c>
      <c r="L154" s="1067">
        <v>13</v>
      </c>
      <c r="M154" s="1068">
        <v>8500</v>
      </c>
      <c r="N154" s="492"/>
      <c r="O154" s="492"/>
      <c r="P154" s="492"/>
      <c r="Q154" s="492"/>
    </row>
    <row r="155" spans="1:21">
      <c r="C155" s="28" t="str">
        <f t="shared" si="31"/>
        <v/>
      </c>
      <c r="D155" s="11" t="str">
        <f t="shared" si="31"/>
        <v/>
      </c>
      <c r="E155" s="21">
        <f t="shared" si="32"/>
        <v>11.2</v>
      </c>
      <c r="F155" s="21">
        <f t="shared" si="33"/>
        <v>1.39</v>
      </c>
      <c r="G155" s="19" t="str">
        <f t="shared" si="34"/>
        <v/>
      </c>
      <c r="H155" s="21" t="str">
        <f t="shared" si="35"/>
        <v/>
      </c>
      <c r="J155" s="1070"/>
      <c r="K155" s="1071"/>
      <c r="L155" s="1067">
        <v>11.2</v>
      </c>
      <c r="M155" s="1068">
        <v>13900</v>
      </c>
      <c r="N155" s="492"/>
      <c r="O155" s="492"/>
      <c r="P155" s="492"/>
      <c r="Q155" s="492"/>
    </row>
    <row r="156" spans="1:21">
      <c r="C156" s="28">
        <f t="shared" si="31"/>
        <v>22</v>
      </c>
      <c r="D156" s="11" t="str">
        <f t="shared" si="31"/>
        <v>刘晖</v>
      </c>
      <c r="E156" s="21">
        <f t="shared" si="32"/>
        <v>12.2</v>
      </c>
      <c r="F156" s="21">
        <f t="shared" si="33"/>
        <v>0.86</v>
      </c>
      <c r="G156" s="19" t="str">
        <f t="shared" si="34"/>
        <v/>
      </c>
      <c r="H156" s="21" t="str">
        <f t="shared" si="35"/>
        <v/>
      </c>
      <c r="J156" s="1072">
        <v>22</v>
      </c>
      <c r="K156" s="1073" t="s">
        <v>157</v>
      </c>
      <c r="L156" s="1067">
        <v>12.2</v>
      </c>
      <c r="M156" s="1068">
        <v>8600</v>
      </c>
      <c r="N156" s="492"/>
      <c r="O156" s="492"/>
      <c r="P156" s="492"/>
      <c r="Q156" s="492"/>
    </row>
    <row r="157" spans="1:21">
      <c r="J157" s="33"/>
      <c r="K157" s="34"/>
      <c r="L157" s="35"/>
      <c r="M157" s="36"/>
    </row>
    <row r="158" spans="1:21">
      <c r="A158" s="24">
        <v>6</v>
      </c>
      <c r="B158" s="12" t="s">
        <v>106</v>
      </c>
      <c r="C158" s="12" t="s">
        <v>126</v>
      </c>
      <c r="D158" s="12" t="s">
        <v>107</v>
      </c>
      <c r="E158" s="12" t="s">
        <v>4</v>
      </c>
      <c r="F158" s="13" t="s">
        <v>108</v>
      </c>
      <c r="G158" s="13" t="s">
        <v>109</v>
      </c>
      <c r="H158" s="12" t="s">
        <v>274</v>
      </c>
      <c r="I158" s="12" t="s">
        <v>273</v>
      </c>
      <c r="J158" s="12" t="s">
        <v>116</v>
      </c>
      <c r="K158" s="14" t="s">
        <v>110</v>
      </c>
      <c r="L158" s="14" t="s">
        <v>276</v>
      </c>
      <c r="M158" s="14" t="s">
        <v>117</v>
      </c>
      <c r="N158" s="15" t="s">
        <v>275</v>
      </c>
      <c r="O158" s="29" t="s">
        <v>111</v>
      </c>
      <c r="P158" s="30" t="s">
        <v>12</v>
      </c>
      <c r="Q158" s="8" t="s">
        <v>190</v>
      </c>
      <c r="R158" s="15" t="s">
        <v>129</v>
      </c>
      <c r="S158" s="14" t="s">
        <v>220</v>
      </c>
    </row>
    <row r="159" spans="1:21">
      <c r="A159" s="24">
        <v>6</v>
      </c>
      <c r="B159" s="979">
        <v>16</v>
      </c>
      <c r="C159" s="11" t="s">
        <v>177</v>
      </c>
      <c r="D159" s="1" t="s">
        <v>69</v>
      </c>
      <c r="E159" s="1" t="s">
        <v>68</v>
      </c>
      <c r="F159" s="3">
        <v>4</v>
      </c>
      <c r="G159" s="3">
        <v>3.9999997</v>
      </c>
      <c r="H159" s="2">
        <v>42390</v>
      </c>
      <c r="I159" s="1001" t="s">
        <v>151</v>
      </c>
      <c r="J159" s="11">
        <v>40.53</v>
      </c>
      <c r="K159" s="3">
        <v>28.5</v>
      </c>
      <c r="L159" s="3">
        <f>K159/J159</f>
        <v>0.70318282753515915</v>
      </c>
      <c r="M159" s="3">
        <v>38</v>
      </c>
      <c r="N159" s="10">
        <f>M159/J159</f>
        <v>0.93757710338021216</v>
      </c>
      <c r="O159" s="1002">
        <v>7</v>
      </c>
      <c r="P159" s="2">
        <v>42795</v>
      </c>
      <c r="Q159" s="1003">
        <v>37.1</v>
      </c>
      <c r="R159" s="18">
        <f>(Q159*(1+T159/10)+U159/10)/M159</f>
        <v>0.98289473684210527</v>
      </c>
      <c r="S159" s="11" t="s">
        <v>238</v>
      </c>
      <c r="T159" s="22">
        <f>IFERROR(RIGHT(LEFT(S159,FIND("股",S159)-1),(FIND("股",S159)-1-FIND("转",S159))),0)</f>
        <v>0</v>
      </c>
      <c r="U159" s="23" t="str">
        <f>IFERROR(RIGHT(LEFT(S159,FIND("元",S159)-1),(FIND("元",S159)-1-FIND("派",S159))),0)</f>
        <v>2.5</v>
      </c>
    </row>
    <row r="160" spans="1:21">
      <c r="B160" s="125"/>
      <c r="C160" s="129"/>
      <c r="D160" s="128"/>
      <c r="E160" s="128"/>
      <c r="F160" s="127"/>
      <c r="G160" s="127"/>
      <c r="H160" s="126"/>
      <c r="I160" s="125"/>
      <c r="K160" s="130"/>
      <c r="L160" s="130"/>
      <c r="M160" s="130"/>
      <c r="N160" s="5"/>
      <c r="O160" s="120"/>
      <c r="P160" s="124"/>
      <c r="Q160" s="5"/>
      <c r="R160" s="123"/>
      <c r="T160" s="28"/>
      <c r="U160" s="122"/>
    </row>
    <row r="161" spans="3:17" ht="14.5">
      <c r="C161" s="27" t="s">
        <v>118</v>
      </c>
      <c r="D161" s="16" t="s">
        <v>112</v>
      </c>
      <c r="E161" s="16" t="s">
        <v>113</v>
      </c>
      <c r="F161" s="16" t="s">
        <v>288</v>
      </c>
      <c r="G161" s="17" t="s">
        <v>287</v>
      </c>
      <c r="H161" s="16" t="s">
        <v>289</v>
      </c>
      <c r="J161" s="1075" t="s">
        <v>290</v>
      </c>
      <c r="K161" s="1075" t="s">
        <v>550</v>
      </c>
      <c r="L161" s="1006" t="s">
        <v>549</v>
      </c>
      <c r="M161" s="1007" t="s">
        <v>292</v>
      </c>
      <c r="N161" s="1007" t="s">
        <v>548</v>
      </c>
      <c r="O161" s="1076" t="s">
        <v>325</v>
      </c>
      <c r="P161" s="1077" t="s">
        <v>326</v>
      </c>
      <c r="Q161" s="1033"/>
    </row>
    <row r="162" spans="3:17">
      <c r="C162" s="28">
        <f>IF(J162=0,"",J162)</f>
        <v>1</v>
      </c>
      <c r="D162" s="11" t="str">
        <f>IF(K162=0,"",K162)</f>
        <v>信达证券股份有限公司</v>
      </c>
      <c r="E162" s="21">
        <f>L162</f>
        <v>31.77</v>
      </c>
      <c r="F162" s="21">
        <f>M162/10000</f>
        <v>0.5</v>
      </c>
      <c r="G162" s="19" t="str">
        <f>IFERROR(VLOOKUP(D162,O$162:R$248,2,FALSE)/10000,"")</f>
        <v/>
      </c>
      <c r="H162" s="21" t="str">
        <f>IFERROR(G162*M$159/10000,"")</f>
        <v/>
      </c>
      <c r="J162" s="1078">
        <v>1</v>
      </c>
      <c r="K162" s="1066" t="s">
        <v>155</v>
      </c>
      <c r="L162" s="1079">
        <v>31.77</v>
      </c>
      <c r="M162" s="1080">
        <v>5000</v>
      </c>
      <c r="N162" s="1066" t="s">
        <v>378</v>
      </c>
      <c r="O162" s="1069" t="s">
        <v>279</v>
      </c>
      <c r="P162" s="1081">
        <v>2105263</v>
      </c>
      <c r="Q162" s="492"/>
    </row>
    <row r="163" spans="3:17">
      <c r="C163" s="28" t="str">
        <f t="shared" ref="C163:D198" si="36">IF(J163=0,"",J163)</f>
        <v/>
      </c>
      <c r="D163" s="11" t="str">
        <f t="shared" si="36"/>
        <v/>
      </c>
      <c r="E163" s="21">
        <f t="shared" ref="E163:E226" si="37">L163</f>
        <v>29.95</v>
      </c>
      <c r="F163" s="21">
        <f t="shared" ref="F163:F226" si="38">M163/10000</f>
        <v>0.7</v>
      </c>
      <c r="G163" s="19" t="str">
        <f t="shared" ref="G163:G226" si="39">IFERROR(VLOOKUP(D163,O$162:R$248,2,FALSE)/10000,"")</f>
        <v/>
      </c>
      <c r="H163" s="21" t="str">
        <f t="shared" ref="H163:H226" si="40">IFERROR(G163*M$159/10000,"")</f>
        <v/>
      </c>
      <c r="J163" s="1078"/>
      <c r="K163" s="1066"/>
      <c r="L163" s="1079">
        <v>29.95</v>
      </c>
      <c r="M163" s="1080">
        <v>7000</v>
      </c>
      <c r="N163" s="1066"/>
      <c r="O163" s="1069" t="s">
        <v>154</v>
      </c>
      <c r="P163" s="1081">
        <v>1578947</v>
      </c>
      <c r="Q163" s="492"/>
    </row>
    <row r="164" spans="3:17">
      <c r="C164" s="28" t="str">
        <f t="shared" si="36"/>
        <v/>
      </c>
      <c r="D164" s="11" t="str">
        <f t="shared" si="36"/>
        <v/>
      </c>
      <c r="E164" s="21">
        <f t="shared" si="37"/>
        <v>28.88</v>
      </c>
      <c r="F164" s="21">
        <f t="shared" si="38"/>
        <v>0.9</v>
      </c>
      <c r="G164" s="19" t="str">
        <f>IFERROR(VLOOKUP(D164,O$162:R$248,2,FALSE)/10000,"")</f>
        <v/>
      </c>
      <c r="H164" s="21" t="str">
        <f>IFERROR(G164*M$159/10000,"")</f>
        <v/>
      </c>
      <c r="J164" s="1078"/>
      <c r="K164" s="1066"/>
      <c r="L164" s="1079">
        <v>28.88</v>
      </c>
      <c r="M164" s="1080">
        <v>9000</v>
      </c>
      <c r="N164" s="1066"/>
      <c r="O164" s="1069" t="s">
        <v>547</v>
      </c>
      <c r="P164" s="1081">
        <v>1052631</v>
      </c>
      <c r="Q164" s="492"/>
    </row>
    <row r="165" spans="3:17">
      <c r="C165" s="28">
        <f t="shared" si="36"/>
        <v>2</v>
      </c>
      <c r="D165" s="11" t="str">
        <f t="shared" si="36"/>
        <v>西部证券股份有限公司</v>
      </c>
      <c r="E165" s="21">
        <f t="shared" si="37"/>
        <v>30</v>
      </c>
      <c r="F165" s="21">
        <f t="shared" si="38"/>
        <v>0.4</v>
      </c>
      <c r="G165" s="19" t="str">
        <f t="shared" si="39"/>
        <v/>
      </c>
      <c r="H165" s="21" t="str">
        <f t="shared" si="40"/>
        <v/>
      </c>
      <c r="J165" s="1082">
        <v>2</v>
      </c>
      <c r="K165" s="1073" t="s">
        <v>385</v>
      </c>
      <c r="L165" s="1079">
        <v>30</v>
      </c>
      <c r="M165" s="1080">
        <v>4000</v>
      </c>
      <c r="N165" s="1083" t="s">
        <v>378</v>
      </c>
      <c r="O165" s="1069" t="s">
        <v>140</v>
      </c>
      <c r="P165" s="1081">
        <v>1052631</v>
      </c>
      <c r="Q165" s="492"/>
    </row>
    <row r="166" spans="3:17">
      <c r="C166" s="28">
        <f t="shared" si="36"/>
        <v>3</v>
      </c>
      <c r="D166" s="11" t="str">
        <f t="shared" si="36"/>
        <v>广东温氏投资有限公司</v>
      </c>
      <c r="E166" s="21">
        <f t="shared" si="37"/>
        <v>38.5</v>
      </c>
      <c r="F166" s="21">
        <f t="shared" si="38"/>
        <v>0.4</v>
      </c>
      <c r="G166" s="19">
        <f t="shared" si="39"/>
        <v>105.26309999999999</v>
      </c>
      <c r="H166" s="21">
        <f t="shared" si="40"/>
        <v>0.39999977999999997</v>
      </c>
      <c r="J166" s="1084">
        <v>3</v>
      </c>
      <c r="K166" s="1071" t="s">
        <v>140</v>
      </c>
      <c r="L166" s="1079">
        <v>38.5</v>
      </c>
      <c r="M166" s="1080">
        <v>4000</v>
      </c>
      <c r="N166" s="1071" t="s">
        <v>378</v>
      </c>
      <c r="O166" s="1069" t="s">
        <v>125</v>
      </c>
      <c r="P166" s="1081">
        <v>1052631</v>
      </c>
      <c r="Q166" s="492"/>
    </row>
    <row r="167" spans="3:17">
      <c r="C167" s="28" t="str">
        <f t="shared" si="36"/>
        <v/>
      </c>
      <c r="D167" s="11" t="str">
        <f t="shared" si="36"/>
        <v/>
      </c>
      <c r="E167" s="21">
        <f t="shared" si="37"/>
        <v>36.5</v>
      </c>
      <c r="F167" s="21">
        <f t="shared" si="38"/>
        <v>0.8</v>
      </c>
      <c r="G167" s="19" t="str">
        <f t="shared" si="39"/>
        <v/>
      </c>
      <c r="H167" s="21" t="str">
        <f t="shared" si="40"/>
        <v/>
      </c>
      <c r="J167" s="1084"/>
      <c r="K167" s="1071"/>
      <c r="L167" s="1079">
        <v>36.5</v>
      </c>
      <c r="M167" s="1080">
        <v>8000</v>
      </c>
      <c r="N167" s="1071"/>
      <c r="O167" s="1069" t="s">
        <v>539</v>
      </c>
      <c r="P167" s="1081">
        <v>2210526</v>
      </c>
      <c r="Q167" s="492"/>
    </row>
    <row r="168" spans="3:17">
      <c r="C168" s="28">
        <f t="shared" si="36"/>
        <v>4</v>
      </c>
      <c r="D168" s="11" t="str">
        <f t="shared" si="36"/>
        <v>江苏苏豪投资集团有限公司</v>
      </c>
      <c r="E168" s="21">
        <f t="shared" si="37"/>
        <v>39.08</v>
      </c>
      <c r="F168" s="21">
        <f t="shared" si="38"/>
        <v>0.4</v>
      </c>
      <c r="G168" s="19">
        <f t="shared" si="39"/>
        <v>105.26309999999999</v>
      </c>
      <c r="H168" s="21">
        <f t="shared" si="40"/>
        <v>0.39999977999999997</v>
      </c>
      <c r="J168" s="1078">
        <v>4</v>
      </c>
      <c r="K168" s="1066" t="s">
        <v>547</v>
      </c>
      <c r="L168" s="1079">
        <v>39.08</v>
      </c>
      <c r="M168" s="1080">
        <v>4000</v>
      </c>
      <c r="N168" s="1066" t="s">
        <v>378</v>
      </c>
      <c r="O168" s="1069" t="s">
        <v>329</v>
      </c>
      <c r="P168" s="1081">
        <v>1473686</v>
      </c>
      <c r="Q168" s="492"/>
    </row>
    <row r="169" spans="3:17">
      <c r="C169" s="28" t="str">
        <f t="shared" si="36"/>
        <v/>
      </c>
      <c r="D169" s="11" t="str">
        <f t="shared" si="36"/>
        <v/>
      </c>
      <c r="E169" s="21">
        <f t="shared" si="37"/>
        <v>34.979999999999997</v>
      </c>
      <c r="F169" s="21">
        <f t="shared" si="38"/>
        <v>0.4</v>
      </c>
      <c r="G169" s="19" t="str">
        <f t="shared" si="39"/>
        <v/>
      </c>
      <c r="H169" s="21" t="str">
        <f t="shared" si="40"/>
        <v/>
      </c>
      <c r="J169" s="1078"/>
      <c r="K169" s="1066"/>
      <c r="L169" s="1079">
        <v>34.979999999999997</v>
      </c>
      <c r="M169" s="1080">
        <v>4000</v>
      </c>
      <c r="N169" s="1066"/>
      <c r="O169" s="1007"/>
      <c r="P169" s="492"/>
      <c r="Q169" s="492"/>
    </row>
    <row r="170" spans="3:17">
      <c r="C170" s="28" t="str">
        <f t="shared" si="36"/>
        <v/>
      </c>
      <c r="D170" s="11" t="str">
        <f t="shared" si="36"/>
        <v/>
      </c>
      <c r="E170" s="21">
        <f t="shared" si="37"/>
        <v>33</v>
      </c>
      <c r="F170" s="21">
        <f t="shared" si="38"/>
        <v>0.4</v>
      </c>
      <c r="G170" s="19" t="str">
        <f t="shared" si="39"/>
        <v/>
      </c>
      <c r="H170" s="21" t="str">
        <f t="shared" si="40"/>
        <v/>
      </c>
      <c r="J170" s="1078"/>
      <c r="K170" s="1066"/>
      <c r="L170" s="1079">
        <v>33</v>
      </c>
      <c r="M170" s="1080">
        <v>4000</v>
      </c>
      <c r="N170" s="1066"/>
      <c r="O170" s="1007"/>
      <c r="P170" s="492"/>
      <c r="Q170" s="492"/>
    </row>
    <row r="171" spans="3:17">
      <c r="C171" s="28">
        <f t="shared" si="36"/>
        <v>5</v>
      </c>
      <c r="D171" s="11" t="str">
        <f t="shared" si="36"/>
        <v>泰康资产管理有限责任公司</v>
      </c>
      <c r="E171" s="21">
        <f t="shared" si="37"/>
        <v>35</v>
      </c>
      <c r="F171" s="21">
        <f t="shared" si="38"/>
        <v>0.66</v>
      </c>
      <c r="G171" s="19" t="str">
        <f t="shared" si="39"/>
        <v/>
      </c>
      <c r="H171" s="21" t="str">
        <f t="shared" si="40"/>
        <v/>
      </c>
      <c r="J171" s="1084">
        <v>5</v>
      </c>
      <c r="K171" s="1071" t="s">
        <v>124</v>
      </c>
      <c r="L171" s="1079">
        <v>35</v>
      </c>
      <c r="M171" s="1080">
        <v>6600</v>
      </c>
      <c r="N171" s="1071" t="s">
        <v>378</v>
      </c>
      <c r="O171" s="1007"/>
      <c r="P171" s="492"/>
      <c r="Q171" s="492"/>
    </row>
    <row r="172" spans="3:17">
      <c r="C172" s="28" t="str">
        <f t="shared" si="36"/>
        <v/>
      </c>
      <c r="D172" s="11" t="str">
        <f t="shared" si="36"/>
        <v/>
      </c>
      <c r="E172" s="21">
        <f t="shared" si="37"/>
        <v>32</v>
      </c>
      <c r="F172" s="21">
        <f t="shared" si="38"/>
        <v>1</v>
      </c>
      <c r="G172" s="19" t="str">
        <f t="shared" si="39"/>
        <v/>
      </c>
      <c r="H172" s="21" t="str">
        <f t="shared" si="40"/>
        <v/>
      </c>
      <c r="J172" s="1084"/>
      <c r="K172" s="1071"/>
      <c r="L172" s="1079">
        <v>32</v>
      </c>
      <c r="M172" s="1080">
        <v>10000</v>
      </c>
      <c r="N172" s="1071"/>
      <c r="O172" s="1007"/>
      <c r="P172" s="492"/>
      <c r="Q172" s="492"/>
    </row>
    <row r="173" spans="3:17">
      <c r="C173" s="28">
        <f t="shared" si="36"/>
        <v>6</v>
      </c>
      <c r="D173" s="11" t="str">
        <f t="shared" si="36"/>
        <v>浙江浙商证券资产管理有限公司</v>
      </c>
      <c r="E173" s="21">
        <f t="shared" si="37"/>
        <v>39.299999999999997</v>
      </c>
      <c r="F173" s="21">
        <f t="shared" si="38"/>
        <v>0.6</v>
      </c>
      <c r="G173" s="19">
        <f t="shared" si="39"/>
        <v>157.8947</v>
      </c>
      <c r="H173" s="21">
        <f t="shared" si="40"/>
        <v>0.59999985999999994</v>
      </c>
      <c r="J173" s="1084">
        <v>6</v>
      </c>
      <c r="K173" s="1071" t="s">
        <v>154</v>
      </c>
      <c r="L173" s="1079">
        <v>39.299999999999997</v>
      </c>
      <c r="M173" s="1080">
        <v>6000</v>
      </c>
      <c r="N173" s="1071" t="s">
        <v>378</v>
      </c>
      <c r="O173" s="1007"/>
      <c r="P173" s="492"/>
      <c r="Q173" s="492"/>
    </row>
    <row r="174" spans="3:17">
      <c r="C174" s="28" t="str">
        <f t="shared" si="36"/>
        <v/>
      </c>
      <c r="D174" s="11" t="str">
        <f t="shared" si="36"/>
        <v/>
      </c>
      <c r="E174" s="21">
        <f t="shared" si="37"/>
        <v>36.6</v>
      </c>
      <c r="F174" s="21">
        <f t="shared" si="38"/>
        <v>1</v>
      </c>
      <c r="G174" s="19" t="str">
        <f t="shared" si="39"/>
        <v/>
      </c>
      <c r="H174" s="21" t="str">
        <f t="shared" si="40"/>
        <v/>
      </c>
      <c r="J174" s="1084"/>
      <c r="K174" s="1071"/>
      <c r="L174" s="1079">
        <v>36.6</v>
      </c>
      <c r="M174" s="1080">
        <v>10000</v>
      </c>
      <c r="N174" s="1071"/>
      <c r="O174" s="1007"/>
      <c r="P174" s="492"/>
      <c r="Q174" s="492"/>
    </row>
    <row r="175" spans="3:17">
      <c r="C175" s="28">
        <f t="shared" si="36"/>
        <v>7</v>
      </c>
      <c r="D175" s="11" t="str">
        <f t="shared" si="36"/>
        <v>建信基金管理有限责任公司</v>
      </c>
      <c r="E175" s="21">
        <f t="shared" si="37"/>
        <v>34</v>
      </c>
      <c r="F175" s="21">
        <f t="shared" si="38"/>
        <v>0.4</v>
      </c>
      <c r="G175" s="19" t="str">
        <f t="shared" si="39"/>
        <v/>
      </c>
      <c r="H175" s="21" t="str">
        <f t="shared" si="40"/>
        <v/>
      </c>
      <c r="J175" s="1084">
        <v>7</v>
      </c>
      <c r="K175" s="1071" t="s">
        <v>130</v>
      </c>
      <c r="L175" s="1079">
        <v>34</v>
      </c>
      <c r="M175" s="1080">
        <v>4000</v>
      </c>
      <c r="N175" s="1071" t="s">
        <v>380</v>
      </c>
      <c r="O175" s="1007"/>
      <c r="P175" s="492"/>
      <c r="Q175" s="492"/>
    </row>
    <row r="176" spans="3:17">
      <c r="C176" s="28" t="str">
        <f t="shared" si="36"/>
        <v/>
      </c>
      <c r="D176" s="11" t="str">
        <f t="shared" si="36"/>
        <v/>
      </c>
      <c r="E176" s="21">
        <f t="shared" si="37"/>
        <v>31</v>
      </c>
      <c r="F176" s="21">
        <f t="shared" si="38"/>
        <v>1</v>
      </c>
      <c r="G176" s="19" t="str">
        <f t="shared" si="39"/>
        <v/>
      </c>
      <c r="H176" s="21" t="str">
        <f t="shared" si="40"/>
        <v/>
      </c>
      <c r="J176" s="1084"/>
      <c r="K176" s="1071"/>
      <c r="L176" s="1079">
        <v>31</v>
      </c>
      <c r="M176" s="1080">
        <v>10000</v>
      </c>
      <c r="N176" s="1071"/>
      <c r="O176" s="1007"/>
      <c r="P176" s="492"/>
      <c r="Q176" s="492"/>
    </row>
    <row r="177" spans="3:17">
      <c r="C177" s="28">
        <f t="shared" si="36"/>
        <v>8</v>
      </c>
      <c r="D177" s="11" t="str">
        <f t="shared" si="36"/>
        <v>第一创业证券股份有限公司</v>
      </c>
      <c r="E177" s="21">
        <f t="shared" si="37"/>
        <v>35.659999999999997</v>
      </c>
      <c r="F177" s="21">
        <f t="shared" si="38"/>
        <v>0.41</v>
      </c>
      <c r="G177" s="19" t="str">
        <f t="shared" si="39"/>
        <v/>
      </c>
      <c r="H177" s="21" t="str">
        <f t="shared" si="40"/>
        <v/>
      </c>
      <c r="J177" s="1084">
        <v>8</v>
      </c>
      <c r="K177" s="1071" t="s">
        <v>127</v>
      </c>
      <c r="L177" s="1079">
        <v>35.659999999999997</v>
      </c>
      <c r="M177" s="1080">
        <v>4100</v>
      </c>
      <c r="N177" s="1071" t="s">
        <v>378</v>
      </c>
      <c r="O177" s="1007"/>
      <c r="P177" s="492"/>
      <c r="Q177" s="492"/>
    </row>
    <row r="178" spans="3:17">
      <c r="C178" s="28" t="str">
        <f t="shared" si="36"/>
        <v/>
      </c>
      <c r="D178" s="11" t="str">
        <f t="shared" si="36"/>
        <v/>
      </c>
      <c r="E178" s="21">
        <f t="shared" si="37"/>
        <v>34.22</v>
      </c>
      <c r="F178" s="21">
        <f t="shared" si="38"/>
        <v>0.8</v>
      </c>
      <c r="G178" s="19" t="str">
        <f t="shared" si="39"/>
        <v/>
      </c>
      <c r="H178" s="21" t="str">
        <f t="shared" si="40"/>
        <v/>
      </c>
      <c r="J178" s="1084"/>
      <c r="K178" s="1071"/>
      <c r="L178" s="1079">
        <v>34.22</v>
      </c>
      <c r="M178" s="1080">
        <v>8000</v>
      </c>
      <c r="N178" s="1071"/>
      <c r="O178" s="1007"/>
      <c r="P178" s="492"/>
      <c r="Q178" s="492"/>
    </row>
    <row r="179" spans="3:17">
      <c r="C179" s="28">
        <f t="shared" si="36"/>
        <v>9</v>
      </c>
      <c r="D179" s="11" t="str">
        <f t="shared" si="36"/>
        <v>中信证券股份有限公司</v>
      </c>
      <c r="E179" s="21">
        <f t="shared" si="37"/>
        <v>28.51</v>
      </c>
      <c r="F179" s="21">
        <f t="shared" si="38"/>
        <v>0.4</v>
      </c>
      <c r="G179" s="19" t="str">
        <f t="shared" si="39"/>
        <v/>
      </c>
      <c r="H179" s="21" t="str">
        <f t="shared" si="40"/>
        <v/>
      </c>
      <c r="J179" s="1082">
        <v>9</v>
      </c>
      <c r="K179" s="1073" t="s">
        <v>316</v>
      </c>
      <c r="L179" s="1079">
        <v>28.51</v>
      </c>
      <c r="M179" s="1080">
        <v>4000</v>
      </c>
      <c r="N179" s="1083" t="s">
        <v>378</v>
      </c>
      <c r="O179" s="1007"/>
      <c r="P179" s="492"/>
      <c r="Q179" s="492"/>
    </row>
    <row r="180" spans="3:17">
      <c r="C180" s="28">
        <f t="shared" si="36"/>
        <v>10</v>
      </c>
      <c r="D180" s="11" t="str">
        <f t="shared" si="36"/>
        <v>青岛城投金融控股集团有限公司</v>
      </c>
      <c r="E180" s="21">
        <f t="shared" si="37"/>
        <v>38.49</v>
      </c>
      <c r="F180" s="21">
        <f t="shared" si="38"/>
        <v>0.4</v>
      </c>
      <c r="G180" s="19">
        <f t="shared" si="39"/>
        <v>105.26309999999999</v>
      </c>
      <c r="H180" s="21">
        <f t="shared" si="40"/>
        <v>0.39999977999999997</v>
      </c>
      <c r="J180" s="1078">
        <v>10</v>
      </c>
      <c r="K180" s="1066" t="s">
        <v>125</v>
      </c>
      <c r="L180" s="1079">
        <v>38.49</v>
      </c>
      <c r="M180" s="1080">
        <v>4000</v>
      </c>
      <c r="N180" s="1066" t="s">
        <v>378</v>
      </c>
      <c r="O180" s="1007"/>
      <c r="P180" s="492"/>
      <c r="Q180" s="492"/>
    </row>
    <row r="181" spans="3:17">
      <c r="C181" s="28" t="str">
        <f t="shared" si="36"/>
        <v/>
      </c>
      <c r="D181" s="11" t="str">
        <f t="shared" si="36"/>
        <v/>
      </c>
      <c r="E181" s="21">
        <f t="shared" si="37"/>
        <v>36.47</v>
      </c>
      <c r="F181" s="21">
        <f t="shared" si="38"/>
        <v>0.6</v>
      </c>
      <c r="G181" s="19" t="str">
        <f t="shared" si="39"/>
        <v/>
      </c>
      <c r="H181" s="21" t="str">
        <f t="shared" si="40"/>
        <v/>
      </c>
      <c r="J181" s="1078"/>
      <c r="K181" s="1066"/>
      <c r="L181" s="1079">
        <v>36.47</v>
      </c>
      <c r="M181" s="1080">
        <v>6000</v>
      </c>
      <c r="N181" s="1066"/>
      <c r="O181" s="1007"/>
      <c r="P181" s="492"/>
      <c r="Q181" s="492"/>
    </row>
    <row r="182" spans="3:17">
      <c r="C182" s="28" t="str">
        <f t="shared" si="36"/>
        <v/>
      </c>
      <c r="D182" s="11" t="str">
        <f t="shared" si="36"/>
        <v/>
      </c>
      <c r="E182" s="21">
        <f t="shared" si="37"/>
        <v>34.44</v>
      </c>
      <c r="F182" s="21">
        <f t="shared" si="38"/>
        <v>1</v>
      </c>
      <c r="G182" s="19" t="str">
        <f t="shared" si="39"/>
        <v/>
      </c>
      <c r="H182" s="21" t="str">
        <f t="shared" si="40"/>
        <v/>
      </c>
      <c r="J182" s="1078"/>
      <c r="K182" s="1066"/>
      <c r="L182" s="1079">
        <v>34.44</v>
      </c>
      <c r="M182" s="1080">
        <v>10000</v>
      </c>
      <c r="N182" s="1066"/>
      <c r="O182" s="1007"/>
      <c r="P182" s="492"/>
      <c r="Q182" s="492"/>
    </row>
    <row r="183" spans="3:17">
      <c r="C183" s="28">
        <f t="shared" si="36"/>
        <v>11</v>
      </c>
      <c r="D183" s="11" t="str">
        <f t="shared" si="36"/>
        <v>工银瑞信基金管理有限公司</v>
      </c>
      <c r="E183" s="21">
        <f t="shared" si="37"/>
        <v>36.380000000000003</v>
      </c>
      <c r="F183" s="21">
        <f t="shared" si="38"/>
        <v>0.4</v>
      </c>
      <c r="G183" s="19" t="str">
        <f t="shared" si="39"/>
        <v/>
      </c>
      <c r="H183" s="21" t="str">
        <f t="shared" si="40"/>
        <v/>
      </c>
      <c r="J183" s="1082">
        <v>11</v>
      </c>
      <c r="K183" s="1073" t="s">
        <v>145</v>
      </c>
      <c r="L183" s="1079">
        <v>36.380000000000003</v>
      </c>
      <c r="M183" s="1080">
        <v>4000</v>
      </c>
      <c r="N183" s="1073" t="s">
        <v>380</v>
      </c>
      <c r="O183" s="1007"/>
      <c r="P183" s="492"/>
      <c r="Q183" s="492"/>
    </row>
    <row r="184" spans="3:17">
      <c r="C184" s="28">
        <f t="shared" si="36"/>
        <v>12</v>
      </c>
      <c r="D184" s="11" t="str">
        <f t="shared" si="36"/>
        <v>民生通惠资产管理有限公司</v>
      </c>
      <c r="E184" s="21">
        <f t="shared" si="37"/>
        <v>30.75</v>
      </c>
      <c r="F184" s="21">
        <f t="shared" si="38"/>
        <v>0.5</v>
      </c>
      <c r="G184" s="19" t="str">
        <f t="shared" si="39"/>
        <v/>
      </c>
      <c r="H184" s="21" t="str">
        <f t="shared" si="40"/>
        <v/>
      </c>
      <c r="J184" s="1078">
        <v>12</v>
      </c>
      <c r="K184" s="1066" t="s">
        <v>351</v>
      </c>
      <c r="L184" s="1079">
        <v>30.75</v>
      </c>
      <c r="M184" s="1080">
        <v>5000</v>
      </c>
      <c r="N184" s="1066" t="s">
        <v>378</v>
      </c>
      <c r="O184" s="1007"/>
      <c r="P184" s="492"/>
      <c r="Q184" s="492"/>
    </row>
    <row r="185" spans="3:17">
      <c r="C185" s="28" t="str">
        <f t="shared" si="36"/>
        <v/>
      </c>
      <c r="D185" s="11" t="str">
        <f t="shared" si="36"/>
        <v/>
      </c>
      <c r="E185" s="21">
        <f t="shared" si="37"/>
        <v>29.01</v>
      </c>
      <c r="F185" s="21">
        <f t="shared" si="38"/>
        <v>0.6</v>
      </c>
      <c r="G185" s="19" t="str">
        <f t="shared" si="39"/>
        <v/>
      </c>
      <c r="H185" s="21" t="str">
        <f t="shared" si="40"/>
        <v/>
      </c>
      <c r="J185" s="1078"/>
      <c r="K185" s="1066"/>
      <c r="L185" s="1079">
        <v>29.01</v>
      </c>
      <c r="M185" s="1080">
        <v>6000</v>
      </c>
      <c r="N185" s="1066"/>
      <c r="O185" s="1007"/>
      <c r="P185" s="492"/>
      <c r="Q185" s="492"/>
    </row>
    <row r="186" spans="3:17">
      <c r="C186" s="28" t="str">
        <f t="shared" si="36"/>
        <v/>
      </c>
      <c r="D186" s="11" t="str">
        <f t="shared" si="36"/>
        <v/>
      </c>
      <c r="E186" s="21">
        <f t="shared" si="37"/>
        <v>28.51</v>
      </c>
      <c r="F186" s="21">
        <f t="shared" si="38"/>
        <v>0.8</v>
      </c>
      <c r="G186" s="19" t="str">
        <f t="shared" si="39"/>
        <v/>
      </c>
      <c r="H186" s="21" t="str">
        <f t="shared" si="40"/>
        <v/>
      </c>
      <c r="J186" s="1078"/>
      <c r="K186" s="1066"/>
      <c r="L186" s="1079">
        <v>28.51</v>
      </c>
      <c r="M186" s="1080">
        <v>8000</v>
      </c>
      <c r="N186" s="1066"/>
      <c r="O186" s="1007"/>
      <c r="P186" s="492"/>
      <c r="Q186" s="492"/>
    </row>
    <row r="187" spans="3:17">
      <c r="C187" s="28">
        <f t="shared" si="36"/>
        <v>13</v>
      </c>
      <c r="D187" s="11" t="str">
        <f t="shared" si="36"/>
        <v>熊华</v>
      </c>
      <c r="E187" s="21">
        <f t="shared" si="37"/>
        <v>31.7</v>
      </c>
      <c r="F187" s="21">
        <f t="shared" si="38"/>
        <v>0.4</v>
      </c>
      <c r="G187" s="19" t="str">
        <f t="shared" si="39"/>
        <v/>
      </c>
      <c r="H187" s="21" t="str">
        <f t="shared" si="40"/>
        <v/>
      </c>
      <c r="J187" s="1078">
        <v>13</v>
      </c>
      <c r="K187" s="1066" t="s">
        <v>546</v>
      </c>
      <c r="L187" s="1079">
        <v>31.7</v>
      </c>
      <c r="M187" s="1080">
        <v>4000</v>
      </c>
      <c r="N187" s="1066" t="s">
        <v>378</v>
      </c>
      <c r="O187" s="1007"/>
      <c r="P187" s="492"/>
      <c r="Q187" s="492"/>
    </row>
    <row r="188" spans="3:17">
      <c r="C188" s="28" t="str">
        <f t="shared" si="36"/>
        <v/>
      </c>
      <c r="D188" s="11" t="str">
        <f t="shared" si="36"/>
        <v/>
      </c>
      <c r="E188" s="21">
        <f t="shared" si="37"/>
        <v>30.6</v>
      </c>
      <c r="F188" s="21">
        <f t="shared" si="38"/>
        <v>0.4</v>
      </c>
      <c r="G188" s="19" t="str">
        <f t="shared" si="39"/>
        <v/>
      </c>
      <c r="H188" s="21" t="str">
        <f t="shared" si="40"/>
        <v/>
      </c>
      <c r="J188" s="1078"/>
      <c r="K188" s="1066"/>
      <c r="L188" s="1079">
        <v>30.6</v>
      </c>
      <c r="M188" s="1080">
        <v>4000</v>
      </c>
      <c r="N188" s="1066"/>
      <c r="O188" s="1007"/>
      <c r="P188" s="492"/>
      <c r="Q188" s="492"/>
    </row>
    <row r="189" spans="3:17">
      <c r="C189" s="28" t="str">
        <f t="shared" si="36"/>
        <v/>
      </c>
      <c r="D189" s="11" t="str">
        <f t="shared" si="36"/>
        <v/>
      </c>
      <c r="E189" s="21">
        <f t="shared" si="37"/>
        <v>28.8</v>
      </c>
      <c r="F189" s="21">
        <f t="shared" si="38"/>
        <v>0.4</v>
      </c>
      <c r="G189" s="19" t="str">
        <f t="shared" si="39"/>
        <v/>
      </c>
      <c r="H189" s="21" t="str">
        <f t="shared" si="40"/>
        <v/>
      </c>
      <c r="J189" s="1078"/>
      <c r="K189" s="1066"/>
      <c r="L189" s="1079">
        <v>28.8</v>
      </c>
      <c r="M189" s="1080">
        <v>4000</v>
      </c>
      <c r="N189" s="1066"/>
      <c r="O189" s="1007"/>
      <c r="P189" s="492"/>
      <c r="Q189" s="492"/>
    </row>
    <row r="190" spans="3:17">
      <c r="C190" s="28">
        <f t="shared" si="36"/>
        <v>14</v>
      </c>
      <c r="D190" s="11" t="str">
        <f t="shared" si="36"/>
        <v>华鑫证券有限责任公司</v>
      </c>
      <c r="E190" s="21">
        <f t="shared" si="37"/>
        <v>31.61</v>
      </c>
      <c r="F190" s="21">
        <f t="shared" si="38"/>
        <v>0.42</v>
      </c>
      <c r="G190" s="19" t="str">
        <f t="shared" si="39"/>
        <v/>
      </c>
      <c r="H190" s="21" t="str">
        <f t="shared" si="40"/>
        <v/>
      </c>
      <c r="J190" s="1084">
        <v>14</v>
      </c>
      <c r="K190" s="1071" t="s">
        <v>505</v>
      </c>
      <c r="L190" s="1079">
        <v>31.61</v>
      </c>
      <c r="M190" s="1080">
        <v>4200</v>
      </c>
      <c r="N190" s="1071" t="s">
        <v>378</v>
      </c>
      <c r="O190" s="1007"/>
      <c r="P190" s="492"/>
      <c r="Q190" s="492"/>
    </row>
    <row r="191" spans="3:17">
      <c r="C191" s="28" t="str">
        <f t="shared" si="36"/>
        <v/>
      </c>
      <c r="D191" s="11" t="str">
        <f t="shared" si="36"/>
        <v/>
      </c>
      <c r="E191" s="21">
        <f t="shared" si="37"/>
        <v>28.81</v>
      </c>
      <c r="F191" s="21">
        <f t="shared" si="38"/>
        <v>0.9</v>
      </c>
      <c r="G191" s="19" t="str">
        <f t="shared" si="39"/>
        <v/>
      </c>
      <c r="H191" s="21" t="str">
        <f t="shared" si="40"/>
        <v/>
      </c>
      <c r="J191" s="1084"/>
      <c r="K191" s="1071"/>
      <c r="L191" s="1079">
        <v>28.81</v>
      </c>
      <c r="M191" s="1080">
        <v>9000</v>
      </c>
      <c r="N191" s="1071"/>
      <c r="O191" s="1007"/>
      <c r="P191" s="492"/>
      <c r="Q191" s="492"/>
    </row>
    <row r="192" spans="3:17">
      <c r="C192" s="28">
        <f t="shared" si="36"/>
        <v>15</v>
      </c>
      <c r="D192" s="11" t="str">
        <f t="shared" si="36"/>
        <v>广发基金管理有限公司</v>
      </c>
      <c r="E192" s="21">
        <f t="shared" si="37"/>
        <v>35.03</v>
      </c>
      <c r="F192" s="21">
        <f t="shared" si="38"/>
        <v>0.51</v>
      </c>
      <c r="G192" s="19" t="str">
        <f t="shared" si="39"/>
        <v/>
      </c>
      <c r="H192" s="21" t="str">
        <f t="shared" si="40"/>
        <v/>
      </c>
      <c r="J192" s="1078">
        <v>15</v>
      </c>
      <c r="K192" s="1066" t="s">
        <v>363</v>
      </c>
      <c r="L192" s="1079">
        <v>35.03</v>
      </c>
      <c r="M192" s="1080">
        <v>5100</v>
      </c>
      <c r="N192" s="1066" t="s">
        <v>380</v>
      </c>
      <c r="O192" s="1007"/>
      <c r="P192" s="492"/>
      <c r="Q192" s="492"/>
    </row>
    <row r="193" spans="3:17">
      <c r="C193" s="28" t="str">
        <f t="shared" si="36"/>
        <v/>
      </c>
      <c r="D193" s="11" t="str">
        <f t="shared" si="36"/>
        <v/>
      </c>
      <c r="E193" s="21">
        <f t="shared" si="37"/>
        <v>35.020000000000003</v>
      </c>
      <c r="F193" s="21">
        <f t="shared" si="38"/>
        <v>0.51</v>
      </c>
      <c r="G193" s="19" t="str">
        <f t="shared" si="39"/>
        <v/>
      </c>
      <c r="H193" s="21" t="str">
        <f t="shared" si="40"/>
        <v/>
      </c>
      <c r="J193" s="1078"/>
      <c r="K193" s="1066"/>
      <c r="L193" s="1079">
        <v>35.020000000000003</v>
      </c>
      <c r="M193" s="1080">
        <v>5100</v>
      </c>
      <c r="N193" s="1066"/>
      <c r="O193" s="1007"/>
      <c r="P193" s="492"/>
      <c r="Q193" s="492"/>
    </row>
    <row r="194" spans="3:17">
      <c r="C194" s="28" t="str">
        <f t="shared" si="36"/>
        <v/>
      </c>
      <c r="D194" s="11" t="str">
        <f t="shared" si="36"/>
        <v/>
      </c>
      <c r="E194" s="21">
        <f t="shared" si="37"/>
        <v>33.020000000000003</v>
      </c>
      <c r="F194" s="21">
        <f t="shared" si="38"/>
        <v>0.99</v>
      </c>
      <c r="G194" s="19" t="str">
        <f t="shared" si="39"/>
        <v/>
      </c>
      <c r="H194" s="21" t="str">
        <f t="shared" si="40"/>
        <v/>
      </c>
      <c r="J194" s="1078"/>
      <c r="K194" s="1066"/>
      <c r="L194" s="1079">
        <v>33.020000000000003</v>
      </c>
      <c r="M194" s="1080">
        <v>9900</v>
      </c>
      <c r="N194" s="1066"/>
      <c r="O194" s="1007"/>
      <c r="P194" s="492"/>
      <c r="Q194" s="492"/>
    </row>
    <row r="195" spans="3:17">
      <c r="C195" s="28">
        <f t="shared" si="36"/>
        <v>16</v>
      </c>
      <c r="D195" s="11" t="str">
        <f t="shared" si="36"/>
        <v>牛贲资产管理（上海）有限公司</v>
      </c>
      <c r="E195" s="21">
        <f t="shared" si="37"/>
        <v>36.47</v>
      </c>
      <c r="F195" s="21">
        <f t="shared" si="38"/>
        <v>0.8</v>
      </c>
      <c r="G195" s="19" t="str">
        <f t="shared" si="39"/>
        <v/>
      </c>
      <c r="H195" s="21" t="str">
        <f t="shared" si="40"/>
        <v/>
      </c>
      <c r="J195" s="1082">
        <v>16</v>
      </c>
      <c r="K195" s="1073" t="s">
        <v>545</v>
      </c>
      <c r="L195" s="1079">
        <v>36.47</v>
      </c>
      <c r="M195" s="1080">
        <v>8000</v>
      </c>
      <c r="N195" s="1073" t="s">
        <v>378</v>
      </c>
      <c r="O195" s="1007"/>
      <c r="P195" s="492"/>
      <c r="Q195" s="492"/>
    </row>
    <row r="196" spans="3:17">
      <c r="C196" s="28">
        <f t="shared" si="36"/>
        <v>17</v>
      </c>
      <c r="D196" s="11" t="str">
        <f t="shared" si="36"/>
        <v>西藏自治区投资有限公司</v>
      </c>
      <c r="E196" s="21">
        <f t="shared" si="37"/>
        <v>40</v>
      </c>
      <c r="F196" s="21">
        <f t="shared" si="38"/>
        <v>0.4</v>
      </c>
      <c r="G196" s="19">
        <f t="shared" si="39"/>
        <v>147.36859999999999</v>
      </c>
      <c r="H196" s="21">
        <f t="shared" si="40"/>
        <v>0.56000067999999992</v>
      </c>
      <c r="J196" s="1078">
        <v>17</v>
      </c>
      <c r="K196" s="1066" t="s">
        <v>329</v>
      </c>
      <c r="L196" s="1079">
        <v>40</v>
      </c>
      <c r="M196" s="1080">
        <v>4000</v>
      </c>
      <c r="N196" s="1066" t="s">
        <v>378</v>
      </c>
      <c r="O196" s="1007"/>
      <c r="P196" s="492"/>
      <c r="Q196" s="492"/>
    </row>
    <row r="197" spans="3:17">
      <c r="C197" s="28" t="str">
        <f t="shared" si="36"/>
        <v/>
      </c>
      <c r="D197" s="11" t="str">
        <f t="shared" si="36"/>
        <v/>
      </c>
      <c r="E197" s="21">
        <f t="shared" si="37"/>
        <v>38</v>
      </c>
      <c r="F197" s="21">
        <f t="shared" si="38"/>
        <v>0.8</v>
      </c>
      <c r="G197" s="19" t="str">
        <f t="shared" si="39"/>
        <v/>
      </c>
      <c r="H197" s="21" t="str">
        <f t="shared" si="40"/>
        <v/>
      </c>
      <c r="J197" s="1078"/>
      <c r="K197" s="1066"/>
      <c r="L197" s="1079">
        <v>38</v>
      </c>
      <c r="M197" s="1080">
        <v>8000</v>
      </c>
      <c r="N197" s="1066"/>
      <c r="O197" s="1007"/>
      <c r="P197" s="492"/>
      <c r="Q197" s="492"/>
    </row>
    <row r="198" spans="3:17">
      <c r="C198" s="28" t="str">
        <f t="shared" si="36"/>
        <v/>
      </c>
      <c r="D198" s="11" t="str">
        <f t="shared" si="36"/>
        <v/>
      </c>
      <c r="E198" s="21">
        <f t="shared" si="37"/>
        <v>36</v>
      </c>
      <c r="F198" s="21">
        <f t="shared" si="38"/>
        <v>1</v>
      </c>
      <c r="G198" s="19" t="str">
        <f t="shared" si="39"/>
        <v/>
      </c>
      <c r="H198" s="21" t="str">
        <f t="shared" si="40"/>
        <v/>
      </c>
      <c r="J198" s="1078"/>
      <c r="K198" s="1066"/>
      <c r="L198" s="1079">
        <v>36</v>
      </c>
      <c r="M198" s="1080">
        <v>10000</v>
      </c>
      <c r="N198" s="1066"/>
      <c r="O198" s="1007"/>
      <c r="P198" s="492"/>
      <c r="Q198" s="492"/>
    </row>
    <row r="199" spans="3:17">
      <c r="C199" s="28">
        <f t="shared" ref="C199:D248" si="41">IF(J199=0,"",J199)</f>
        <v>18</v>
      </c>
      <c r="D199" s="11" t="str">
        <f t="shared" si="41"/>
        <v>海通证券股份有限公司</v>
      </c>
      <c r="E199" s="21">
        <f t="shared" si="37"/>
        <v>30</v>
      </c>
      <c r="F199" s="21">
        <f t="shared" si="38"/>
        <v>0.4</v>
      </c>
      <c r="G199" s="19" t="str">
        <f t="shared" si="39"/>
        <v/>
      </c>
      <c r="H199" s="21" t="str">
        <f t="shared" si="40"/>
        <v/>
      </c>
      <c r="J199" s="1082">
        <v>18</v>
      </c>
      <c r="K199" s="1073" t="s">
        <v>8</v>
      </c>
      <c r="L199" s="1079">
        <v>30</v>
      </c>
      <c r="M199" s="1080">
        <v>4000</v>
      </c>
      <c r="N199" s="1073" t="s">
        <v>378</v>
      </c>
      <c r="O199" s="1007"/>
      <c r="P199" s="492"/>
      <c r="Q199" s="492"/>
    </row>
    <row r="200" spans="3:17">
      <c r="C200" s="28">
        <f t="shared" si="41"/>
        <v>19</v>
      </c>
      <c r="D200" s="11" t="str">
        <f t="shared" si="41"/>
        <v>国机资本控股有限公司</v>
      </c>
      <c r="E200" s="21">
        <f t="shared" si="37"/>
        <v>30</v>
      </c>
      <c r="F200" s="21">
        <f t="shared" si="38"/>
        <v>0.4</v>
      </c>
      <c r="G200" s="19" t="str">
        <f t="shared" si="39"/>
        <v/>
      </c>
      <c r="H200" s="21" t="str">
        <f t="shared" si="40"/>
        <v/>
      </c>
      <c r="J200" s="1078">
        <v>19</v>
      </c>
      <c r="K200" s="1066" t="s">
        <v>544</v>
      </c>
      <c r="L200" s="1079">
        <v>30</v>
      </c>
      <c r="M200" s="1080">
        <v>4000</v>
      </c>
      <c r="N200" s="1066" t="s">
        <v>378</v>
      </c>
      <c r="O200" s="1007"/>
      <c r="P200" s="492"/>
      <c r="Q200" s="492"/>
    </row>
    <row r="201" spans="3:17">
      <c r="C201" s="28" t="str">
        <f t="shared" si="41"/>
        <v/>
      </c>
      <c r="D201" s="11" t="str">
        <f t="shared" si="41"/>
        <v/>
      </c>
      <c r="E201" s="21">
        <f t="shared" si="37"/>
        <v>29</v>
      </c>
      <c r="F201" s="21">
        <f t="shared" si="38"/>
        <v>0.41</v>
      </c>
      <c r="G201" s="19" t="str">
        <f t="shared" si="39"/>
        <v/>
      </c>
      <c r="H201" s="21" t="str">
        <f t="shared" si="40"/>
        <v/>
      </c>
      <c r="J201" s="1078"/>
      <c r="K201" s="1066"/>
      <c r="L201" s="1079">
        <v>29</v>
      </c>
      <c r="M201" s="1080">
        <v>4100</v>
      </c>
      <c r="N201" s="1066"/>
      <c r="O201" s="1007"/>
      <c r="P201" s="492"/>
      <c r="Q201" s="492"/>
    </row>
    <row r="202" spans="3:17">
      <c r="C202" s="28" t="str">
        <f t="shared" si="41"/>
        <v/>
      </c>
      <c r="D202" s="11" t="str">
        <f t="shared" si="41"/>
        <v/>
      </c>
      <c r="E202" s="21">
        <f t="shared" si="37"/>
        <v>28.62</v>
      </c>
      <c r="F202" s="21">
        <f t="shared" si="38"/>
        <v>0.42</v>
      </c>
      <c r="G202" s="19" t="str">
        <f t="shared" si="39"/>
        <v/>
      </c>
      <c r="H202" s="21" t="str">
        <f t="shared" si="40"/>
        <v/>
      </c>
      <c r="J202" s="1078"/>
      <c r="K202" s="1066"/>
      <c r="L202" s="1079">
        <v>28.62</v>
      </c>
      <c r="M202" s="1080">
        <v>4200</v>
      </c>
      <c r="N202" s="1066"/>
      <c r="O202" s="1007"/>
      <c r="P202" s="492"/>
      <c r="Q202" s="492"/>
    </row>
    <row r="203" spans="3:17">
      <c r="C203" s="28">
        <f t="shared" si="41"/>
        <v>20</v>
      </c>
      <c r="D203" s="11" t="str">
        <f t="shared" si="41"/>
        <v>长信基金管理有限责任公司</v>
      </c>
      <c r="E203" s="21">
        <f t="shared" si="37"/>
        <v>36</v>
      </c>
      <c r="F203" s="21">
        <f t="shared" si="38"/>
        <v>0.8</v>
      </c>
      <c r="G203" s="19" t="str">
        <f t="shared" si="39"/>
        <v/>
      </c>
      <c r="H203" s="21" t="str">
        <f t="shared" si="40"/>
        <v/>
      </c>
      <c r="J203" s="1078">
        <v>20</v>
      </c>
      <c r="K203" s="1066" t="s">
        <v>361</v>
      </c>
      <c r="L203" s="1079">
        <v>36</v>
      </c>
      <c r="M203" s="1080">
        <v>8000</v>
      </c>
      <c r="N203" s="1066" t="s">
        <v>380</v>
      </c>
      <c r="O203" s="1007"/>
      <c r="P203" s="492"/>
      <c r="Q203" s="492"/>
    </row>
    <row r="204" spans="3:17">
      <c r="C204" s="28" t="str">
        <f t="shared" si="41"/>
        <v/>
      </c>
      <c r="D204" s="11" t="str">
        <f t="shared" si="41"/>
        <v/>
      </c>
      <c r="E204" s="21">
        <f t="shared" si="37"/>
        <v>32</v>
      </c>
      <c r="F204" s="21">
        <f t="shared" si="38"/>
        <v>0.8</v>
      </c>
      <c r="G204" s="19" t="str">
        <f t="shared" si="39"/>
        <v/>
      </c>
      <c r="H204" s="21" t="str">
        <f t="shared" si="40"/>
        <v/>
      </c>
      <c r="J204" s="1078"/>
      <c r="K204" s="1066"/>
      <c r="L204" s="1079">
        <v>32</v>
      </c>
      <c r="M204" s="1080">
        <v>8000</v>
      </c>
      <c r="N204" s="1066"/>
      <c r="O204" s="1007"/>
      <c r="P204" s="492"/>
      <c r="Q204" s="492"/>
    </row>
    <row r="205" spans="3:17">
      <c r="C205" s="28" t="str">
        <f t="shared" si="41"/>
        <v/>
      </c>
      <c r="D205" s="11" t="str">
        <f t="shared" si="41"/>
        <v/>
      </c>
      <c r="E205" s="21">
        <f t="shared" si="37"/>
        <v>28.5</v>
      </c>
      <c r="F205" s="21">
        <f t="shared" si="38"/>
        <v>0.8</v>
      </c>
      <c r="G205" s="19" t="str">
        <f t="shared" si="39"/>
        <v/>
      </c>
      <c r="H205" s="21" t="str">
        <f t="shared" si="40"/>
        <v/>
      </c>
      <c r="J205" s="1078"/>
      <c r="K205" s="1066"/>
      <c r="L205" s="1079">
        <v>28.5</v>
      </c>
      <c r="M205" s="1080">
        <v>8000</v>
      </c>
      <c r="N205" s="1066"/>
      <c r="O205" s="1007"/>
      <c r="P205" s="492"/>
      <c r="Q205" s="492"/>
    </row>
    <row r="206" spans="3:17">
      <c r="C206" s="28">
        <f t="shared" si="41"/>
        <v>21</v>
      </c>
      <c r="D206" s="11" t="str">
        <f t="shared" si="41"/>
        <v>上海博道投资管理有限公司</v>
      </c>
      <c r="E206" s="21">
        <f t="shared" si="37"/>
        <v>32.01</v>
      </c>
      <c r="F206" s="21">
        <f t="shared" si="38"/>
        <v>0.4</v>
      </c>
      <c r="G206" s="19" t="str">
        <f t="shared" si="39"/>
        <v/>
      </c>
      <c r="H206" s="21" t="str">
        <f t="shared" si="40"/>
        <v/>
      </c>
      <c r="J206" s="1082">
        <v>21</v>
      </c>
      <c r="K206" s="1073" t="s">
        <v>382</v>
      </c>
      <c r="L206" s="1079">
        <v>32.01</v>
      </c>
      <c r="M206" s="1080">
        <v>4000</v>
      </c>
      <c r="N206" s="1073" t="s">
        <v>378</v>
      </c>
      <c r="O206" s="1007"/>
      <c r="P206" s="492"/>
      <c r="Q206" s="492"/>
    </row>
    <row r="207" spans="3:17">
      <c r="C207" s="28">
        <f t="shared" si="41"/>
        <v>22</v>
      </c>
      <c r="D207" s="11" t="str">
        <f t="shared" si="41"/>
        <v>广发证券股份有限公司</v>
      </c>
      <c r="E207" s="21">
        <f t="shared" si="37"/>
        <v>36.06</v>
      </c>
      <c r="F207" s="21">
        <f t="shared" si="38"/>
        <v>0.4</v>
      </c>
      <c r="G207" s="19" t="str">
        <f t="shared" si="39"/>
        <v/>
      </c>
      <c r="H207" s="21" t="str">
        <f t="shared" si="40"/>
        <v/>
      </c>
      <c r="J207" s="1082">
        <v>22</v>
      </c>
      <c r="K207" s="1073" t="s">
        <v>543</v>
      </c>
      <c r="L207" s="1079">
        <v>36.06</v>
      </c>
      <c r="M207" s="1080">
        <v>4000</v>
      </c>
      <c r="N207" s="1073" t="s">
        <v>378</v>
      </c>
      <c r="O207" s="1007"/>
      <c r="P207" s="492"/>
      <c r="Q207" s="492"/>
    </row>
    <row r="208" spans="3:17">
      <c r="C208" s="28">
        <f t="shared" si="41"/>
        <v>23</v>
      </c>
      <c r="D208" s="11" t="str">
        <f t="shared" si="41"/>
        <v>国机财务有限责任公司</v>
      </c>
      <c r="E208" s="21">
        <f t="shared" si="37"/>
        <v>36.5</v>
      </c>
      <c r="F208" s="21">
        <f t="shared" si="38"/>
        <v>0.4</v>
      </c>
      <c r="G208" s="19" t="str">
        <f t="shared" si="39"/>
        <v/>
      </c>
      <c r="H208" s="21" t="str">
        <f t="shared" si="40"/>
        <v/>
      </c>
      <c r="J208" s="1082">
        <v>23</v>
      </c>
      <c r="K208" s="1073" t="s">
        <v>542</v>
      </c>
      <c r="L208" s="1079">
        <v>36.5</v>
      </c>
      <c r="M208" s="1080">
        <v>4000</v>
      </c>
      <c r="N208" s="1073" t="s">
        <v>378</v>
      </c>
      <c r="O208" s="1007"/>
      <c r="P208" s="492"/>
      <c r="Q208" s="492"/>
    </row>
    <row r="209" spans="3:17">
      <c r="C209" s="28">
        <f t="shared" si="41"/>
        <v>24</v>
      </c>
      <c r="D209" s="11" t="str">
        <f t="shared" si="41"/>
        <v>兴业全球基金管理有限公司</v>
      </c>
      <c r="E209" s="21">
        <f t="shared" si="37"/>
        <v>32.1</v>
      </c>
      <c r="F209" s="21">
        <f t="shared" si="38"/>
        <v>0.4</v>
      </c>
      <c r="G209" s="19" t="str">
        <f t="shared" si="39"/>
        <v/>
      </c>
      <c r="H209" s="21" t="str">
        <f t="shared" si="40"/>
        <v/>
      </c>
      <c r="J209" s="1084">
        <v>24</v>
      </c>
      <c r="K209" s="1071" t="s">
        <v>131</v>
      </c>
      <c r="L209" s="1079">
        <v>32.1</v>
      </c>
      <c r="M209" s="1080">
        <v>4000</v>
      </c>
      <c r="N209" s="1071" t="s">
        <v>380</v>
      </c>
      <c r="O209" s="1007"/>
      <c r="P209" s="492"/>
      <c r="Q209" s="492"/>
    </row>
    <row r="210" spans="3:17">
      <c r="C210" s="28" t="str">
        <f t="shared" si="41"/>
        <v/>
      </c>
      <c r="D210" s="11" t="str">
        <f t="shared" si="41"/>
        <v/>
      </c>
      <c r="E210" s="21">
        <f t="shared" si="37"/>
        <v>29.1</v>
      </c>
      <c r="F210" s="21">
        <f t="shared" si="38"/>
        <v>1</v>
      </c>
      <c r="G210" s="19" t="str">
        <f t="shared" si="39"/>
        <v/>
      </c>
      <c r="H210" s="21" t="str">
        <f t="shared" si="40"/>
        <v/>
      </c>
      <c r="J210" s="1084"/>
      <c r="K210" s="1071"/>
      <c r="L210" s="1079">
        <v>29.1</v>
      </c>
      <c r="M210" s="1080">
        <v>10000</v>
      </c>
      <c r="N210" s="1071"/>
      <c r="O210" s="1007"/>
      <c r="P210" s="492"/>
      <c r="Q210" s="492"/>
    </row>
    <row r="211" spans="3:17">
      <c r="C211" s="28">
        <f t="shared" si="41"/>
        <v>25</v>
      </c>
      <c r="D211" s="11" t="str">
        <f t="shared" si="41"/>
        <v>深圳市振辉利科技有限公司</v>
      </c>
      <c r="E211" s="21">
        <f t="shared" si="37"/>
        <v>34.200000000000003</v>
      </c>
      <c r="F211" s="21">
        <f t="shared" si="38"/>
        <v>0.8</v>
      </c>
      <c r="G211" s="19" t="str">
        <f t="shared" si="39"/>
        <v/>
      </c>
      <c r="H211" s="21" t="str">
        <f t="shared" si="40"/>
        <v/>
      </c>
      <c r="J211" s="1078">
        <v>25</v>
      </c>
      <c r="K211" s="1066" t="s">
        <v>541</v>
      </c>
      <c r="L211" s="1079">
        <v>34.200000000000003</v>
      </c>
      <c r="M211" s="1080">
        <v>8000</v>
      </c>
      <c r="N211" s="1066" t="s">
        <v>378</v>
      </c>
      <c r="O211" s="1007"/>
      <c r="P211" s="492"/>
      <c r="Q211" s="492"/>
    </row>
    <row r="212" spans="3:17">
      <c r="C212" s="28" t="str">
        <f t="shared" si="41"/>
        <v/>
      </c>
      <c r="D212" s="11" t="str">
        <f t="shared" si="41"/>
        <v/>
      </c>
      <c r="E212" s="21">
        <f t="shared" si="37"/>
        <v>32</v>
      </c>
      <c r="F212" s="21">
        <f t="shared" si="38"/>
        <v>0.8</v>
      </c>
      <c r="G212" s="19" t="str">
        <f t="shared" si="39"/>
        <v/>
      </c>
      <c r="H212" s="21" t="str">
        <f t="shared" si="40"/>
        <v/>
      </c>
      <c r="J212" s="1078"/>
      <c r="K212" s="1066"/>
      <c r="L212" s="1079">
        <v>32</v>
      </c>
      <c r="M212" s="1080">
        <v>8000</v>
      </c>
      <c r="N212" s="1066"/>
      <c r="O212" s="1007"/>
      <c r="P212" s="492"/>
      <c r="Q212" s="492"/>
    </row>
    <row r="213" spans="3:17">
      <c r="C213" s="28" t="str">
        <f t="shared" si="41"/>
        <v/>
      </c>
      <c r="D213" s="11" t="str">
        <f t="shared" si="41"/>
        <v/>
      </c>
      <c r="E213" s="21">
        <f t="shared" si="37"/>
        <v>28.5</v>
      </c>
      <c r="F213" s="21">
        <f t="shared" si="38"/>
        <v>0.8</v>
      </c>
      <c r="G213" s="19" t="str">
        <f t="shared" si="39"/>
        <v/>
      </c>
      <c r="H213" s="21" t="str">
        <f t="shared" si="40"/>
        <v/>
      </c>
      <c r="J213" s="1078"/>
      <c r="K213" s="1066"/>
      <c r="L213" s="1079">
        <v>28.5</v>
      </c>
      <c r="M213" s="1080">
        <v>8000</v>
      </c>
      <c r="N213" s="1066"/>
      <c r="O213" s="1007"/>
      <c r="P213" s="492"/>
      <c r="Q213" s="492"/>
    </row>
    <row r="214" spans="3:17">
      <c r="C214" s="28">
        <f t="shared" si="41"/>
        <v>26</v>
      </c>
      <c r="D214" s="11" t="str">
        <f t="shared" si="41"/>
        <v>四川鼎祥股权投资基金有限公司</v>
      </c>
      <c r="E214" s="21">
        <f t="shared" si="37"/>
        <v>28.5</v>
      </c>
      <c r="F214" s="21">
        <f t="shared" si="38"/>
        <v>0.4</v>
      </c>
      <c r="G214" s="19" t="str">
        <f t="shared" si="39"/>
        <v/>
      </c>
      <c r="H214" s="21" t="str">
        <f t="shared" si="40"/>
        <v/>
      </c>
      <c r="J214" s="1082">
        <v>26</v>
      </c>
      <c r="K214" s="1073" t="s">
        <v>540</v>
      </c>
      <c r="L214" s="1079">
        <v>28.5</v>
      </c>
      <c r="M214" s="1080">
        <v>4000</v>
      </c>
      <c r="N214" s="1073" t="s">
        <v>378</v>
      </c>
      <c r="O214" s="1007"/>
      <c r="P214" s="492"/>
      <c r="Q214" s="492"/>
    </row>
    <row r="215" spans="3:17">
      <c r="C215" s="28">
        <f t="shared" si="41"/>
        <v>27</v>
      </c>
      <c r="D215" s="11" t="str">
        <f t="shared" si="41"/>
        <v>北京长电创新投资管理有限公司</v>
      </c>
      <c r="E215" s="21">
        <f t="shared" si="37"/>
        <v>38.369999999999997</v>
      </c>
      <c r="F215" s="21">
        <f t="shared" si="38"/>
        <v>0.84</v>
      </c>
      <c r="G215" s="19">
        <f t="shared" si="39"/>
        <v>221.05260000000001</v>
      </c>
      <c r="H215" s="21">
        <f t="shared" si="40"/>
        <v>0.83999988000000014</v>
      </c>
      <c r="J215" s="1084">
        <v>27</v>
      </c>
      <c r="K215" s="1071" t="s">
        <v>539</v>
      </c>
      <c r="L215" s="1079">
        <v>38.369999999999997</v>
      </c>
      <c r="M215" s="1080">
        <v>8400</v>
      </c>
      <c r="N215" s="1071" t="s">
        <v>378</v>
      </c>
      <c r="O215" s="1007"/>
      <c r="P215" s="492"/>
      <c r="Q215" s="492"/>
    </row>
    <row r="216" spans="3:17">
      <c r="C216" s="28" t="str">
        <f t="shared" si="41"/>
        <v/>
      </c>
      <c r="D216" s="11" t="str">
        <f t="shared" si="41"/>
        <v/>
      </c>
      <c r="E216" s="21">
        <f t="shared" si="37"/>
        <v>36.68</v>
      </c>
      <c r="F216" s="21">
        <f t="shared" si="38"/>
        <v>0.84</v>
      </c>
      <c r="G216" s="19" t="str">
        <f t="shared" si="39"/>
        <v/>
      </c>
      <c r="H216" s="21" t="str">
        <f t="shared" si="40"/>
        <v/>
      </c>
      <c r="J216" s="1084"/>
      <c r="K216" s="1071"/>
      <c r="L216" s="1079">
        <v>36.68</v>
      </c>
      <c r="M216" s="1080">
        <v>8400</v>
      </c>
      <c r="N216" s="1071"/>
      <c r="O216" s="1007"/>
      <c r="P216" s="492"/>
      <c r="Q216" s="492"/>
    </row>
    <row r="217" spans="3:17">
      <c r="C217" s="28">
        <f t="shared" si="41"/>
        <v>28</v>
      </c>
      <c r="D217" s="11" t="str">
        <f t="shared" si="41"/>
        <v>东海基金管理有限责任公司</v>
      </c>
      <c r="E217" s="21">
        <f t="shared" si="37"/>
        <v>30.1</v>
      </c>
      <c r="F217" s="21">
        <f t="shared" si="38"/>
        <v>1</v>
      </c>
      <c r="G217" s="19" t="str">
        <f t="shared" si="39"/>
        <v/>
      </c>
      <c r="H217" s="21" t="str">
        <f t="shared" si="40"/>
        <v/>
      </c>
      <c r="J217" s="1082">
        <v>28</v>
      </c>
      <c r="K217" s="1073" t="s">
        <v>128</v>
      </c>
      <c r="L217" s="1079">
        <v>30.1</v>
      </c>
      <c r="M217" s="1080">
        <v>10000</v>
      </c>
      <c r="N217" s="1073" t="s">
        <v>380</v>
      </c>
      <c r="O217" s="1007"/>
      <c r="P217" s="492"/>
      <c r="Q217" s="492"/>
    </row>
    <row r="218" spans="3:17">
      <c r="C218" s="28">
        <f t="shared" si="41"/>
        <v>29</v>
      </c>
      <c r="D218" s="11" t="str">
        <f t="shared" si="41"/>
        <v>汇添富基金管理股份有限公司</v>
      </c>
      <c r="E218" s="21">
        <f t="shared" si="37"/>
        <v>36.200000000000003</v>
      </c>
      <c r="F218" s="21">
        <f t="shared" si="38"/>
        <v>1</v>
      </c>
      <c r="G218" s="19" t="str">
        <f t="shared" si="39"/>
        <v/>
      </c>
      <c r="H218" s="21" t="str">
        <f t="shared" si="40"/>
        <v/>
      </c>
      <c r="J218" s="1082">
        <v>29</v>
      </c>
      <c r="K218" s="1073" t="s">
        <v>139</v>
      </c>
      <c r="L218" s="1079">
        <v>36.200000000000003</v>
      </c>
      <c r="M218" s="1080">
        <v>10000</v>
      </c>
      <c r="N218" s="1073" t="s">
        <v>380</v>
      </c>
      <c r="O218" s="1007"/>
      <c r="P218" s="492"/>
      <c r="Q218" s="492"/>
    </row>
    <row r="219" spans="3:17">
      <c r="C219" s="28">
        <f t="shared" si="41"/>
        <v>30</v>
      </c>
      <c r="D219" s="11" t="str">
        <f t="shared" si="41"/>
        <v>财通基金管理有限公司</v>
      </c>
      <c r="E219" s="21">
        <f t="shared" si="37"/>
        <v>36</v>
      </c>
      <c r="F219" s="21">
        <f t="shared" si="38"/>
        <v>1</v>
      </c>
      <c r="G219" s="19" t="str">
        <f t="shared" si="39"/>
        <v/>
      </c>
      <c r="H219" s="21" t="str">
        <f t="shared" si="40"/>
        <v/>
      </c>
      <c r="J219" s="1082">
        <v>30</v>
      </c>
      <c r="K219" s="1073" t="s">
        <v>115</v>
      </c>
      <c r="L219" s="1079">
        <v>36</v>
      </c>
      <c r="M219" s="1080">
        <v>10000</v>
      </c>
      <c r="N219" s="1073" t="s">
        <v>380</v>
      </c>
      <c r="O219" s="1007"/>
      <c r="P219" s="492"/>
      <c r="Q219" s="492"/>
    </row>
    <row r="220" spans="3:17">
      <c r="C220" s="28">
        <f t="shared" si="41"/>
        <v>31</v>
      </c>
      <c r="D220" s="11" t="str">
        <f t="shared" si="41"/>
        <v>刘晖</v>
      </c>
      <c r="E220" s="21">
        <f t="shared" si="37"/>
        <v>30.17</v>
      </c>
      <c r="F220" s="21">
        <f t="shared" si="38"/>
        <v>0.4</v>
      </c>
      <c r="G220" s="19" t="str">
        <f t="shared" si="39"/>
        <v/>
      </c>
      <c r="H220" s="21" t="str">
        <f t="shared" si="40"/>
        <v/>
      </c>
      <c r="J220" s="1082">
        <v>31</v>
      </c>
      <c r="K220" s="1073" t="s">
        <v>157</v>
      </c>
      <c r="L220" s="1079">
        <v>30.17</v>
      </c>
      <c r="M220" s="1080">
        <v>4000</v>
      </c>
      <c r="N220" s="1073" t="s">
        <v>378</v>
      </c>
      <c r="O220" s="1007"/>
      <c r="P220" s="492"/>
      <c r="Q220" s="492"/>
    </row>
    <row r="221" spans="3:17">
      <c r="C221" s="28">
        <f t="shared" si="41"/>
        <v>32</v>
      </c>
      <c r="D221" s="11" t="str">
        <f t="shared" si="41"/>
        <v>平安资产管理有限责任公司</v>
      </c>
      <c r="E221" s="21">
        <f t="shared" si="37"/>
        <v>35.270000000000003</v>
      </c>
      <c r="F221" s="21">
        <f t="shared" si="38"/>
        <v>0.4</v>
      </c>
      <c r="G221" s="19" t="str">
        <f t="shared" si="39"/>
        <v/>
      </c>
      <c r="H221" s="21" t="str">
        <f t="shared" si="40"/>
        <v/>
      </c>
      <c r="J221" s="1084">
        <v>32</v>
      </c>
      <c r="K221" s="1071" t="s">
        <v>328</v>
      </c>
      <c r="L221" s="1079">
        <v>35.270000000000003</v>
      </c>
      <c r="M221" s="1080">
        <v>4000</v>
      </c>
      <c r="N221" s="1071" t="s">
        <v>378</v>
      </c>
      <c r="O221" s="1007"/>
      <c r="P221" s="492"/>
      <c r="Q221" s="492"/>
    </row>
    <row r="222" spans="3:17">
      <c r="C222" s="28" t="str">
        <f t="shared" si="41"/>
        <v/>
      </c>
      <c r="D222" s="11" t="str">
        <f t="shared" si="41"/>
        <v/>
      </c>
      <c r="E222" s="21">
        <f t="shared" si="37"/>
        <v>33.57</v>
      </c>
      <c r="F222" s="21">
        <f t="shared" si="38"/>
        <v>0.6</v>
      </c>
      <c r="G222" s="19" t="str">
        <f t="shared" si="39"/>
        <v/>
      </c>
      <c r="H222" s="21" t="str">
        <f t="shared" si="40"/>
        <v/>
      </c>
      <c r="J222" s="1084"/>
      <c r="K222" s="1071"/>
      <c r="L222" s="1079">
        <v>33.57</v>
      </c>
      <c r="M222" s="1080">
        <v>6000</v>
      </c>
      <c r="N222" s="1071"/>
      <c r="O222" s="1007"/>
      <c r="P222" s="492"/>
      <c r="Q222" s="492"/>
    </row>
    <row r="223" spans="3:17">
      <c r="C223" s="28">
        <f t="shared" si="41"/>
        <v>33</v>
      </c>
      <c r="D223" s="11" t="str">
        <f t="shared" si="41"/>
        <v>南京瑞达信沨股权投资合伙企业（有限合伙）</v>
      </c>
      <c r="E223" s="21">
        <f t="shared" si="37"/>
        <v>30.88</v>
      </c>
      <c r="F223" s="21">
        <f t="shared" si="38"/>
        <v>0.4</v>
      </c>
      <c r="G223" s="19" t="str">
        <f t="shared" si="39"/>
        <v/>
      </c>
      <c r="H223" s="21" t="str">
        <f t="shared" si="40"/>
        <v/>
      </c>
      <c r="J223" s="1078">
        <v>33</v>
      </c>
      <c r="K223" s="1071" t="s">
        <v>311</v>
      </c>
      <c r="L223" s="1079">
        <v>30.88</v>
      </c>
      <c r="M223" s="1080">
        <v>4000</v>
      </c>
      <c r="N223" s="1066" t="s">
        <v>378</v>
      </c>
      <c r="O223" s="1007"/>
      <c r="P223" s="492"/>
      <c r="Q223" s="492"/>
    </row>
    <row r="224" spans="3:17">
      <c r="C224" s="28" t="str">
        <f t="shared" si="41"/>
        <v/>
      </c>
      <c r="D224" s="11" t="str">
        <f t="shared" si="41"/>
        <v/>
      </c>
      <c r="E224" s="21">
        <f t="shared" si="37"/>
        <v>30.5</v>
      </c>
      <c r="F224" s="21">
        <f t="shared" si="38"/>
        <v>0.4</v>
      </c>
      <c r="G224" s="19" t="str">
        <f t="shared" si="39"/>
        <v/>
      </c>
      <c r="H224" s="21" t="str">
        <f t="shared" si="40"/>
        <v/>
      </c>
      <c r="J224" s="1078"/>
      <c r="K224" s="1071"/>
      <c r="L224" s="1079">
        <v>30.5</v>
      </c>
      <c r="M224" s="1080">
        <v>4000</v>
      </c>
      <c r="N224" s="1066"/>
      <c r="O224" s="1007"/>
      <c r="P224" s="492"/>
      <c r="Q224" s="492"/>
    </row>
    <row r="225" spans="3:17">
      <c r="C225" s="28" t="str">
        <f t="shared" si="41"/>
        <v/>
      </c>
      <c r="D225" s="11" t="str">
        <f t="shared" si="41"/>
        <v/>
      </c>
      <c r="E225" s="21">
        <f t="shared" si="37"/>
        <v>30</v>
      </c>
      <c r="F225" s="21">
        <f t="shared" si="38"/>
        <v>0.4</v>
      </c>
      <c r="G225" s="19" t="str">
        <f t="shared" si="39"/>
        <v/>
      </c>
      <c r="H225" s="21" t="str">
        <f t="shared" si="40"/>
        <v/>
      </c>
      <c r="J225" s="1078"/>
      <c r="K225" s="1071"/>
      <c r="L225" s="1079">
        <v>30</v>
      </c>
      <c r="M225" s="1080">
        <v>4000</v>
      </c>
      <c r="N225" s="1066"/>
      <c r="O225" s="1007"/>
      <c r="P225" s="492"/>
      <c r="Q225" s="492"/>
    </row>
    <row r="226" spans="3:17">
      <c r="C226" s="28">
        <f t="shared" si="41"/>
        <v>34</v>
      </c>
      <c r="D226" s="11" t="str">
        <f t="shared" si="41"/>
        <v>易方达基金管理有限公司</v>
      </c>
      <c r="E226" s="21">
        <f t="shared" si="37"/>
        <v>30.01</v>
      </c>
      <c r="F226" s="21">
        <f t="shared" si="38"/>
        <v>1</v>
      </c>
      <c r="G226" s="19" t="str">
        <f t="shared" si="39"/>
        <v/>
      </c>
      <c r="H226" s="21" t="str">
        <f t="shared" si="40"/>
        <v/>
      </c>
      <c r="J226" s="1084">
        <v>34</v>
      </c>
      <c r="K226" s="1071" t="s">
        <v>225</v>
      </c>
      <c r="L226" s="1079">
        <v>30.01</v>
      </c>
      <c r="M226" s="1080">
        <v>10000</v>
      </c>
      <c r="N226" s="1071" t="s">
        <v>380</v>
      </c>
      <c r="O226" s="1007"/>
      <c r="P226" s="492"/>
      <c r="Q226" s="492"/>
    </row>
    <row r="227" spans="3:17">
      <c r="C227" s="28" t="str">
        <f t="shared" si="41"/>
        <v/>
      </c>
      <c r="D227" s="11" t="str">
        <f t="shared" si="41"/>
        <v/>
      </c>
      <c r="E227" s="21">
        <f t="shared" ref="E227:E248" si="42">L227</f>
        <v>29.1</v>
      </c>
      <c r="F227" s="21">
        <f t="shared" ref="F227:F248" si="43">M227/10000</f>
        <v>1</v>
      </c>
      <c r="G227" s="19" t="str">
        <f t="shared" ref="G227:G248" si="44">IFERROR(VLOOKUP(D227,O$162:R$248,2,FALSE)/10000,"")</f>
        <v/>
      </c>
      <c r="H227" s="21" t="str">
        <f t="shared" ref="H227:H248" si="45">IFERROR(G227*M$159/10000,"")</f>
        <v/>
      </c>
      <c r="J227" s="1084"/>
      <c r="K227" s="1071"/>
      <c r="L227" s="1079">
        <v>29.1</v>
      </c>
      <c r="M227" s="1080">
        <v>10000</v>
      </c>
      <c r="N227" s="1071"/>
      <c r="O227" s="1007"/>
      <c r="P227" s="492"/>
      <c r="Q227" s="492"/>
    </row>
    <row r="228" spans="3:17">
      <c r="C228" s="28">
        <f t="shared" si="41"/>
        <v>35</v>
      </c>
      <c r="D228" s="11" t="str">
        <f t="shared" si="41"/>
        <v>泰达宏利基金管理有限公司</v>
      </c>
      <c r="E228" s="21">
        <f t="shared" si="42"/>
        <v>35</v>
      </c>
      <c r="F228" s="21">
        <f t="shared" si="43"/>
        <v>0.46</v>
      </c>
      <c r="G228" s="19" t="str">
        <f t="shared" si="44"/>
        <v/>
      </c>
      <c r="H228" s="21" t="str">
        <f t="shared" si="45"/>
        <v/>
      </c>
      <c r="J228" s="1084">
        <v>35</v>
      </c>
      <c r="K228" s="1071" t="s">
        <v>148</v>
      </c>
      <c r="L228" s="1079">
        <v>35</v>
      </c>
      <c r="M228" s="1080">
        <v>4600</v>
      </c>
      <c r="N228" s="1071" t="s">
        <v>380</v>
      </c>
      <c r="O228" s="1007"/>
      <c r="P228" s="492"/>
      <c r="Q228" s="492"/>
    </row>
    <row r="229" spans="3:17">
      <c r="C229" s="28" t="str">
        <f t="shared" si="41"/>
        <v/>
      </c>
      <c r="D229" s="11" t="str">
        <f t="shared" si="41"/>
        <v/>
      </c>
      <c r="E229" s="21">
        <f t="shared" si="42"/>
        <v>34.1</v>
      </c>
      <c r="F229" s="21">
        <f t="shared" si="43"/>
        <v>0.51</v>
      </c>
      <c r="G229" s="19" t="str">
        <f t="shared" si="44"/>
        <v/>
      </c>
      <c r="H229" s="21" t="str">
        <f t="shared" si="45"/>
        <v/>
      </c>
      <c r="J229" s="1084"/>
      <c r="K229" s="1071"/>
      <c r="L229" s="1079">
        <v>34.1</v>
      </c>
      <c r="M229" s="1080">
        <v>5100</v>
      </c>
      <c r="N229" s="1071"/>
      <c r="O229" s="1007"/>
      <c r="P229" s="492"/>
      <c r="Q229" s="492"/>
    </row>
    <row r="230" spans="3:17">
      <c r="C230" s="28">
        <f t="shared" si="41"/>
        <v>36</v>
      </c>
      <c r="D230" s="11" t="str">
        <f t="shared" si="41"/>
        <v>创金合信基金管理有限公司</v>
      </c>
      <c r="E230" s="21">
        <f t="shared" si="42"/>
        <v>38</v>
      </c>
      <c r="F230" s="21">
        <f t="shared" si="43"/>
        <v>0.4</v>
      </c>
      <c r="G230" s="19" t="str">
        <f t="shared" si="44"/>
        <v/>
      </c>
      <c r="H230" s="21" t="str">
        <f t="shared" si="45"/>
        <v/>
      </c>
      <c r="J230" s="1078">
        <v>36</v>
      </c>
      <c r="K230" s="1066" t="s">
        <v>134</v>
      </c>
      <c r="L230" s="1079">
        <v>38</v>
      </c>
      <c r="M230" s="1080">
        <v>4000</v>
      </c>
      <c r="N230" s="1066" t="s">
        <v>380</v>
      </c>
      <c r="O230" s="1007"/>
      <c r="P230" s="492"/>
      <c r="Q230" s="492"/>
    </row>
    <row r="231" spans="3:17">
      <c r="C231" s="28" t="str">
        <f t="shared" si="41"/>
        <v/>
      </c>
      <c r="D231" s="11" t="str">
        <f t="shared" si="41"/>
        <v/>
      </c>
      <c r="E231" s="21">
        <f t="shared" si="42"/>
        <v>34.1</v>
      </c>
      <c r="F231" s="21">
        <f t="shared" si="43"/>
        <v>0.85</v>
      </c>
      <c r="G231" s="19" t="str">
        <f t="shared" si="44"/>
        <v/>
      </c>
      <c r="H231" s="21" t="str">
        <f t="shared" si="45"/>
        <v/>
      </c>
      <c r="J231" s="1078"/>
      <c r="K231" s="1066"/>
      <c r="L231" s="1079">
        <v>34.1</v>
      </c>
      <c r="M231" s="1080">
        <v>8500</v>
      </c>
      <c r="N231" s="1066"/>
      <c r="O231" s="1007"/>
      <c r="P231" s="492"/>
      <c r="Q231" s="492"/>
    </row>
    <row r="232" spans="3:17">
      <c r="C232" s="28" t="str">
        <f t="shared" si="41"/>
        <v/>
      </c>
      <c r="D232" s="11" t="str">
        <f t="shared" si="41"/>
        <v/>
      </c>
      <c r="E232" s="21">
        <f t="shared" si="42"/>
        <v>29.5</v>
      </c>
      <c r="F232" s="21">
        <f t="shared" si="43"/>
        <v>1</v>
      </c>
      <c r="G232" s="19" t="str">
        <f t="shared" si="44"/>
        <v/>
      </c>
      <c r="H232" s="21" t="str">
        <f t="shared" si="45"/>
        <v/>
      </c>
      <c r="J232" s="1078"/>
      <c r="K232" s="1066"/>
      <c r="L232" s="1079">
        <v>29.5</v>
      </c>
      <c r="M232" s="1080">
        <v>10000</v>
      </c>
      <c r="N232" s="1066"/>
      <c r="O232" s="1007"/>
      <c r="P232" s="492"/>
      <c r="Q232" s="492"/>
    </row>
    <row r="233" spans="3:17">
      <c r="C233" s="28">
        <f t="shared" si="41"/>
        <v>37</v>
      </c>
      <c r="D233" s="11" t="str">
        <f t="shared" si="41"/>
        <v>平安大华基金管理有限公司</v>
      </c>
      <c r="E233" s="21">
        <f t="shared" si="42"/>
        <v>36.46</v>
      </c>
      <c r="F233" s="21">
        <f t="shared" si="43"/>
        <v>0.4</v>
      </c>
      <c r="G233" s="19" t="str">
        <f t="shared" si="44"/>
        <v/>
      </c>
      <c r="H233" s="21" t="str">
        <f t="shared" si="45"/>
        <v/>
      </c>
      <c r="J233" s="1082">
        <v>37</v>
      </c>
      <c r="K233" s="1073" t="s">
        <v>146</v>
      </c>
      <c r="L233" s="1079">
        <v>36.46</v>
      </c>
      <c r="M233" s="1080">
        <v>4000</v>
      </c>
      <c r="N233" s="1073" t="s">
        <v>380</v>
      </c>
      <c r="O233" s="1007"/>
      <c r="P233" s="492"/>
      <c r="Q233" s="492"/>
    </row>
    <row r="234" spans="3:17">
      <c r="C234" s="28">
        <f t="shared" si="41"/>
        <v>38</v>
      </c>
      <c r="D234" s="11" t="str">
        <f t="shared" si="41"/>
        <v>上海长江财富资产管理有限公司</v>
      </c>
      <c r="E234" s="21">
        <f t="shared" si="42"/>
        <v>36</v>
      </c>
      <c r="F234" s="21">
        <f t="shared" si="43"/>
        <v>0.4</v>
      </c>
      <c r="G234" s="19" t="str">
        <f t="shared" si="44"/>
        <v/>
      </c>
      <c r="H234" s="21" t="str">
        <f t="shared" si="45"/>
        <v/>
      </c>
      <c r="J234" s="1078">
        <v>38</v>
      </c>
      <c r="K234" s="1066" t="s">
        <v>390</v>
      </c>
      <c r="L234" s="1079">
        <v>36</v>
      </c>
      <c r="M234" s="1080">
        <v>4000</v>
      </c>
      <c r="N234" s="1066" t="s">
        <v>378</v>
      </c>
      <c r="O234" s="1007"/>
      <c r="P234" s="492"/>
      <c r="Q234" s="492"/>
    </row>
    <row r="235" spans="3:17">
      <c r="C235" s="28" t="str">
        <f t="shared" si="41"/>
        <v/>
      </c>
      <c r="D235" s="11" t="str">
        <f t="shared" si="41"/>
        <v/>
      </c>
      <c r="E235" s="21">
        <f t="shared" si="42"/>
        <v>32</v>
      </c>
      <c r="F235" s="21">
        <f t="shared" si="43"/>
        <v>0.4</v>
      </c>
      <c r="G235" s="19" t="str">
        <f t="shared" si="44"/>
        <v/>
      </c>
      <c r="H235" s="21" t="str">
        <f t="shared" si="45"/>
        <v/>
      </c>
      <c r="J235" s="1078"/>
      <c r="K235" s="1066"/>
      <c r="L235" s="1079">
        <v>32</v>
      </c>
      <c r="M235" s="1080">
        <v>4000</v>
      </c>
      <c r="N235" s="1066"/>
      <c r="O235" s="1007"/>
      <c r="P235" s="492"/>
      <c r="Q235" s="492"/>
    </row>
    <row r="236" spans="3:17">
      <c r="C236" s="28" t="str">
        <f t="shared" si="41"/>
        <v/>
      </c>
      <c r="D236" s="11" t="str">
        <f t="shared" si="41"/>
        <v/>
      </c>
      <c r="E236" s="21">
        <f t="shared" si="42"/>
        <v>28.5</v>
      </c>
      <c r="F236" s="21">
        <f t="shared" si="43"/>
        <v>0.4</v>
      </c>
      <c r="G236" s="19" t="str">
        <f t="shared" si="44"/>
        <v/>
      </c>
      <c r="H236" s="21" t="str">
        <f t="shared" si="45"/>
        <v/>
      </c>
      <c r="J236" s="1078"/>
      <c r="K236" s="1066"/>
      <c r="L236" s="1079">
        <v>28.5</v>
      </c>
      <c r="M236" s="1080">
        <v>4000</v>
      </c>
      <c r="N236" s="1066"/>
      <c r="O236" s="1007"/>
      <c r="P236" s="492"/>
      <c r="Q236" s="492"/>
    </row>
    <row r="237" spans="3:17">
      <c r="C237" s="28">
        <f t="shared" si="41"/>
        <v>39</v>
      </c>
      <c r="D237" s="11" t="str">
        <f t="shared" si="41"/>
        <v>兴证证券资产管理有限公司</v>
      </c>
      <c r="E237" s="21">
        <f t="shared" si="42"/>
        <v>34</v>
      </c>
      <c r="F237" s="21">
        <f t="shared" si="43"/>
        <v>0.99</v>
      </c>
      <c r="G237" s="19" t="str">
        <f t="shared" si="44"/>
        <v/>
      </c>
      <c r="H237" s="21" t="str">
        <f t="shared" si="45"/>
        <v/>
      </c>
      <c r="J237" s="1082">
        <v>39</v>
      </c>
      <c r="K237" s="1073" t="s">
        <v>150</v>
      </c>
      <c r="L237" s="1079">
        <v>34</v>
      </c>
      <c r="M237" s="1080">
        <v>9900</v>
      </c>
      <c r="N237" s="1073" t="s">
        <v>378</v>
      </c>
      <c r="O237" s="1007"/>
      <c r="P237" s="492"/>
      <c r="Q237" s="492"/>
    </row>
    <row r="238" spans="3:17">
      <c r="C238" s="28">
        <f t="shared" si="41"/>
        <v>40</v>
      </c>
      <c r="D238" s="11" t="str">
        <f t="shared" si="41"/>
        <v>华安基金管理有限公司</v>
      </c>
      <c r="E238" s="21">
        <f t="shared" si="42"/>
        <v>36.659999999999997</v>
      </c>
      <c r="F238" s="21">
        <f t="shared" si="43"/>
        <v>0.6</v>
      </c>
      <c r="G238" s="19" t="str">
        <f t="shared" si="44"/>
        <v/>
      </c>
      <c r="H238" s="21" t="str">
        <f t="shared" si="45"/>
        <v/>
      </c>
      <c r="J238" s="1078">
        <v>40</v>
      </c>
      <c r="K238" s="1066" t="s">
        <v>136</v>
      </c>
      <c r="L238" s="1079">
        <v>36.659999999999997</v>
      </c>
      <c r="M238" s="1080">
        <v>6000</v>
      </c>
      <c r="N238" s="1066" t="s">
        <v>380</v>
      </c>
      <c r="O238" s="1007"/>
      <c r="P238" s="492"/>
      <c r="Q238" s="492"/>
    </row>
    <row r="239" spans="3:17">
      <c r="C239" s="28" t="str">
        <f t="shared" si="41"/>
        <v/>
      </c>
      <c r="D239" s="11" t="str">
        <f t="shared" si="41"/>
        <v/>
      </c>
      <c r="E239" s="21">
        <f t="shared" si="42"/>
        <v>36.5</v>
      </c>
      <c r="F239" s="21">
        <f t="shared" si="43"/>
        <v>0.7</v>
      </c>
      <c r="G239" s="19" t="str">
        <f t="shared" si="44"/>
        <v/>
      </c>
      <c r="H239" s="21" t="str">
        <f t="shared" si="45"/>
        <v/>
      </c>
      <c r="J239" s="1078"/>
      <c r="K239" s="1066"/>
      <c r="L239" s="1079">
        <v>36.5</v>
      </c>
      <c r="M239" s="1080">
        <v>7000</v>
      </c>
      <c r="N239" s="1066"/>
      <c r="O239" s="1007"/>
      <c r="P239" s="492"/>
      <c r="Q239" s="492"/>
    </row>
    <row r="240" spans="3:17">
      <c r="C240" s="28" t="str">
        <f t="shared" si="41"/>
        <v/>
      </c>
      <c r="D240" s="11" t="str">
        <f t="shared" si="41"/>
        <v/>
      </c>
      <c r="E240" s="21">
        <f t="shared" si="42"/>
        <v>34.450000000000003</v>
      </c>
      <c r="F240" s="21">
        <f t="shared" si="43"/>
        <v>1</v>
      </c>
      <c r="G240" s="19" t="str">
        <f t="shared" si="44"/>
        <v/>
      </c>
      <c r="H240" s="21" t="str">
        <f t="shared" si="45"/>
        <v/>
      </c>
      <c r="J240" s="1078"/>
      <c r="K240" s="1066"/>
      <c r="L240" s="1079">
        <v>34.450000000000003</v>
      </c>
      <c r="M240" s="1080">
        <v>10000</v>
      </c>
      <c r="N240" s="1066"/>
      <c r="O240" s="1007"/>
      <c r="P240" s="492"/>
      <c r="Q240" s="492"/>
    </row>
    <row r="241" spans="1:21">
      <c r="C241" s="28">
        <f t="shared" si="41"/>
        <v>41</v>
      </c>
      <c r="D241" s="11" t="str">
        <f t="shared" si="41"/>
        <v>申万菱信基金管理有限公司</v>
      </c>
      <c r="E241" s="21">
        <f t="shared" si="42"/>
        <v>30.01</v>
      </c>
      <c r="F241" s="21">
        <f t="shared" si="43"/>
        <v>0.4</v>
      </c>
      <c r="G241" s="19" t="str">
        <f t="shared" si="44"/>
        <v/>
      </c>
      <c r="H241" s="21" t="str">
        <f t="shared" si="45"/>
        <v/>
      </c>
      <c r="J241" s="1082">
        <v>41</v>
      </c>
      <c r="K241" s="1073" t="s">
        <v>121</v>
      </c>
      <c r="L241" s="1079">
        <v>30.01</v>
      </c>
      <c r="M241" s="1080">
        <v>4000</v>
      </c>
      <c r="N241" s="1073" t="s">
        <v>380</v>
      </c>
      <c r="O241" s="1007"/>
      <c r="P241" s="492"/>
      <c r="Q241" s="492"/>
    </row>
    <row r="242" spans="1:21">
      <c r="C242" s="28">
        <f t="shared" si="41"/>
        <v>42</v>
      </c>
      <c r="D242" s="11" t="str">
        <f t="shared" si="41"/>
        <v>广发证券资产管理（广东）有限公司</v>
      </c>
      <c r="E242" s="21">
        <f t="shared" si="42"/>
        <v>35.33</v>
      </c>
      <c r="F242" s="21">
        <f t="shared" si="43"/>
        <v>0.4</v>
      </c>
      <c r="G242" s="19" t="str">
        <f t="shared" si="44"/>
        <v/>
      </c>
      <c r="H242" s="21" t="str">
        <f t="shared" si="45"/>
        <v/>
      </c>
      <c r="J242" s="1082">
        <v>42</v>
      </c>
      <c r="K242" s="1073" t="s">
        <v>230</v>
      </c>
      <c r="L242" s="1079">
        <v>35.33</v>
      </c>
      <c r="M242" s="1080">
        <v>4000</v>
      </c>
      <c r="N242" s="1073" t="s">
        <v>378</v>
      </c>
      <c r="O242" s="1007"/>
      <c r="P242" s="492"/>
      <c r="Q242" s="492"/>
    </row>
    <row r="243" spans="1:21">
      <c r="C243" s="28">
        <f t="shared" si="41"/>
        <v>43</v>
      </c>
      <c r="D243" s="11" t="str">
        <f t="shared" si="41"/>
        <v>东源（天津）股权投资基金管理股份
有限公司</v>
      </c>
      <c r="E243" s="21">
        <f t="shared" si="42"/>
        <v>28.51</v>
      </c>
      <c r="F243" s="21">
        <f t="shared" si="43"/>
        <v>0.4</v>
      </c>
      <c r="G243" s="19" t="str">
        <f t="shared" si="44"/>
        <v/>
      </c>
      <c r="H243" s="21" t="str">
        <f t="shared" si="45"/>
        <v/>
      </c>
      <c r="J243" s="1082">
        <v>43</v>
      </c>
      <c r="K243" s="1006" t="s">
        <v>538</v>
      </c>
      <c r="L243" s="1079">
        <v>28.51</v>
      </c>
      <c r="M243" s="1080">
        <v>4000</v>
      </c>
      <c r="N243" s="1073" t="s">
        <v>378</v>
      </c>
      <c r="O243" s="1007"/>
      <c r="P243" s="492"/>
      <c r="Q243" s="492"/>
    </row>
    <row r="244" spans="1:21">
      <c r="C244" s="28">
        <f t="shared" si="41"/>
        <v>44</v>
      </c>
      <c r="D244" s="11" t="str">
        <f t="shared" si="41"/>
        <v>天弘基金管理有限公司</v>
      </c>
      <c r="E244" s="21">
        <f t="shared" si="42"/>
        <v>40.549999999999997</v>
      </c>
      <c r="F244" s="21">
        <f t="shared" si="43"/>
        <v>0.8</v>
      </c>
      <c r="G244" s="19">
        <f t="shared" si="44"/>
        <v>210.52629999999999</v>
      </c>
      <c r="H244" s="21">
        <f t="shared" si="45"/>
        <v>0.79999993999999996</v>
      </c>
      <c r="J244" s="1084">
        <v>44</v>
      </c>
      <c r="K244" s="1071" t="s">
        <v>279</v>
      </c>
      <c r="L244" s="1079">
        <v>40.549999999999997</v>
      </c>
      <c r="M244" s="1080">
        <v>8000</v>
      </c>
      <c r="N244" s="1071" t="s">
        <v>380</v>
      </c>
      <c r="O244" s="1007"/>
      <c r="P244" s="492"/>
      <c r="Q244" s="492"/>
    </row>
    <row r="245" spans="1:21">
      <c r="C245" s="28" t="str">
        <f t="shared" si="41"/>
        <v/>
      </c>
      <c r="D245" s="11" t="str">
        <f t="shared" si="41"/>
        <v/>
      </c>
      <c r="E245" s="21">
        <f t="shared" si="42"/>
        <v>35</v>
      </c>
      <c r="F245" s="21">
        <f t="shared" si="43"/>
        <v>0.8</v>
      </c>
      <c r="G245" s="19" t="str">
        <f t="shared" si="44"/>
        <v/>
      </c>
      <c r="H245" s="21" t="str">
        <f t="shared" si="45"/>
        <v/>
      </c>
      <c r="J245" s="1084"/>
      <c r="K245" s="1071"/>
      <c r="L245" s="1079">
        <v>35</v>
      </c>
      <c r="M245" s="1080">
        <v>8000</v>
      </c>
      <c r="N245" s="1071"/>
      <c r="O245" s="1007"/>
      <c r="P245" s="492"/>
      <c r="Q245" s="492"/>
    </row>
    <row r="246" spans="1:21">
      <c r="C246" s="28">
        <f t="shared" si="41"/>
        <v>45</v>
      </c>
      <c r="D246" s="11" t="str">
        <f t="shared" si="41"/>
        <v>诺安基金管理有限公司</v>
      </c>
      <c r="E246" s="21">
        <f t="shared" si="42"/>
        <v>32.28</v>
      </c>
      <c r="F246" s="21">
        <f t="shared" si="43"/>
        <v>0.43</v>
      </c>
      <c r="G246" s="19" t="str">
        <f t="shared" si="44"/>
        <v/>
      </c>
      <c r="H246" s="21" t="str">
        <f t="shared" si="45"/>
        <v/>
      </c>
      <c r="J246" s="1084">
        <v>45</v>
      </c>
      <c r="K246" s="1071" t="s">
        <v>147</v>
      </c>
      <c r="L246" s="1079">
        <v>32.28</v>
      </c>
      <c r="M246" s="1080">
        <v>4300</v>
      </c>
      <c r="N246" s="1071" t="s">
        <v>380</v>
      </c>
      <c r="O246" s="1007"/>
      <c r="P246" s="492"/>
      <c r="Q246" s="492"/>
    </row>
    <row r="247" spans="1:21">
      <c r="C247" s="28" t="str">
        <f t="shared" si="41"/>
        <v/>
      </c>
      <c r="D247" s="11" t="str">
        <f t="shared" si="41"/>
        <v/>
      </c>
      <c r="E247" s="21">
        <f t="shared" si="42"/>
        <v>30.79</v>
      </c>
      <c r="F247" s="21">
        <f t="shared" si="43"/>
        <v>1</v>
      </c>
      <c r="G247" s="19" t="str">
        <f t="shared" si="44"/>
        <v/>
      </c>
      <c r="H247" s="21" t="str">
        <f t="shared" si="45"/>
        <v/>
      </c>
      <c r="J247" s="1084"/>
      <c r="K247" s="1071"/>
      <c r="L247" s="1079">
        <v>30.79</v>
      </c>
      <c r="M247" s="1080">
        <v>10000</v>
      </c>
      <c r="N247" s="1071"/>
      <c r="O247" s="1007"/>
      <c r="P247" s="492"/>
      <c r="Q247" s="492"/>
    </row>
    <row r="248" spans="1:21">
      <c r="C248" s="28">
        <f t="shared" si="41"/>
        <v>46</v>
      </c>
      <c r="D248" s="11" t="str">
        <f t="shared" si="41"/>
        <v>申万菱信（上海）资产管理有限公司</v>
      </c>
      <c r="E248" s="21">
        <f t="shared" si="42"/>
        <v>32.28</v>
      </c>
      <c r="F248" s="21">
        <f t="shared" si="43"/>
        <v>0.51</v>
      </c>
      <c r="G248" s="19" t="str">
        <f t="shared" si="44"/>
        <v/>
      </c>
      <c r="H248" s="21" t="str">
        <f t="shared" si="45"/>
        <v/>
      </c>
      <c r="J248" s="1082">
        <v>46</v>
      </c>
      <c r="K248" s="1073" t="s">
        <v>138</v>
      </c>
      <c r="L248" s="1079">
        <v>32.28</v>
      </c>
      <c r="M248" s="1080">
        <v>5100</v>
      </c>
      <c r="N248" s="1073" t="s">
        <v>378</v>
      </c>
      <c r="O248" s="1007"/>
      <c r="P248" s="492"/>
      <c r="Q248" s="492"/>
    </row>
    <row r="249" spans="1:21">
      <c r="O249" s="119"/>
    </row>
    <row r="250" spans="1:21">
      <c r="A250" s="24">
        <v>7</v>
      </c>
      <c r="B250" s="12" t="s">
        <v>106</v>
      </c>
      <c r="C250" s="12" t="s">
        <v>126</v>
      </c>
      <c r="D250" s="12" t="s">
        <v>107</v>
      </c>
      <c r="E250" s="12" t="s">
        <v>4</v>
      </c>
      <c r="F250" s="13" t="s">
        <v>108</v>
      </c>
      <c r="G250" s="13" t="s">
        <v>109</v>
      </c>
      <c r="H250" s="12" t="s">
        <v>274</v>
      </c>
      <c r="I250" s="12" t="s">
        <v>273</v>
      </c>
      <c r="J250" s="12" t="s">
        <v>116</v>
      </c>
      <c r="K250" s="14" t="s">
        <v>110</v>
      </c>
      <c r="L250" s="14" t="s">
        <v>276</v>
      </c>
      <c r="M250" s="14" t="s">
        <v>117</v>
      </c>
      <c r="N250" s="15" t="s">
        <v>275</v>
      </c>
      <c r="O250" s="12" t="s">
        <v>111</v>
      </c>
      <c r="P250" s="8" t="s">
        <v>12</v>
      </c>
      <c r="Q250" s="8" t="s">
        <v>190</v>
      </c>
      <c r="R250" s="15" t="s">
        <v>129</v>
      </c>
      <c r="S250" s="14" t="s">
        <v>220</v>
      </c>
    </row>
    <row r="251" spans="1:21">
      <c r="A251" s="24">
        <v>6</v>
      </c>
      <c r="B251" s="979">
        <v>17</v>
      </c>
      <c r="C251" s="11" t="s">
        <v>178</v>
      </c>
      <c r="D251" s="1" t="s">
        <v>35</v>
      </c>
      <c r="E251" s="1" t="s">
        <v>34</v>
      </c>
      <c r="F251" s="3">
        <v>10</v>
      </c>
      <c r="G251" s="3">
        <v>9.9999998765000004</v>
      </c>
      <c r="H251" s="2">
        <v>42419</v>
      </c>
      <c r="I251" s="1001" t="s">
        <v>153</v>
      </c>
      <c r="J251" s="11">
        <v>18.899999999999999</v>
      </c>
      <c r="K251" s="3">
        <v>9.4499999999999993</v>
      </c>
      <c r="L251" s="3">
        <f>K251/J251</f>
        <v>0.5</v>
      </c>
      <c r="M251" s="3">
        <v>15.35</v>
      </c>
      <c r="N251" s="10">
        <f>M251/J251</f>
        <v>0.81216931216931221</v>
      </c>
      <c r="O251" s="1002">
        <v>4</v>
      </c>
      <c r="P251" s="2">
        <v>42797</v>
      </c>
      <c r="Q251" s="1003">
        <v>8.75</v>
      </c>
      <c r="R251" s="18">
        <f>(Q251*(1+T251/10)+U251/10)/M251</f>
        <v>1.1465798045602607</v>
      </c>
      <c r="S251" s="11" t="s">
        <v>247</v>
      </c>
      <c r="T251" s="22" t="str">
        <f>IFERROR(RIGHT(LEFT(S251,FIND("股",S251)-1),(FIND("股",S251)-1-FIND("转",S251))),0)</f>
        <v>10</v>
      </c>
      <c r="U251" s="23" t="str">
        <f>IFERROR(RIGHT(LEFT(S251,FIND("元",S251)-1),(FIND("元",S251)-1-FIND("派",S251))),0)</f>
        <v>1.00</v>
      </c>
    </row>
    <row r="252" spans="1:21">
      <c r="B252" s="125"/>
      <c r="C252" s="129"/>
      <c r="D252" s="128"/>
      <c r="E252" s="128"/>
      <c r="F252" s="127"/>
      <c r="G252" s="127"/>
      <c r="H252" s="126"/>
      <c r="I252" s="125"/>
      <c r="O252" s="119"/>
      <c r="P252" s="124"/>
      <c r="Q252" s="5"/>
      <c r="R252" s="123"/>
      <c r="T252" s="28"/>
      <c r="U252" s="122"/>
    </row>
    <row r="253" spans="1:21">
      <c r="C253" s="27" t="s">
        <v>118</v>
      </c>
      <c r="D253" s="16" t="s">
        <v>112</v>
      </c>
      <c r="E253" s="16" t="s">
        <v>113</v>
      </c>
      <c r="F253" s="16" t="s">
        <v>288</v>
      </c>
      <c r="G253" s="17" t="s">
        <v>287</v>
      </c>
      <c r="H253" s="16" t="s">
        <v>289</v>
      </c>
      <c r="J253" s="1005" t="s">
        <v>298</v>
      </c>
      <c r="K253" s="1005" t="s">
        <v>535</v>
      </c>
      <c r="L253" s="1007" t="s">
        <v>341</v>
      </c>
      <c r="M253" s="1007" t="s">
        <v>537</v>
      </c>
      <c r="N253" s="1007" t="s">
        <v>536</v>
      </c>
      <c r="O253" s="1085" t="s">
        <v>535</v>
      </c>
      <c r="P253" s="1007" t="s">
        <v>534</v>
      </c>
      <c r="Q253" s="1007"/>
    </row>
    <row r="254" spans="1:21">
      <c r="C254" s="28">
        <f>IF(J254=0,"",J254)</f>
        <v>1</v>
      </c>
      <c r="D254" s="11" t="str">
        <f>IF(K254=0,"",K254)</f>
        <v>深圳市前海进化论资产管理有限公司</v>
      </c>
      <c r="E254" s="21">
        <f>L254</f>
        <v>10.130000000000001</v>
      </c>
      <c r="F254" s="21">
        <f>N254/10000</f>
        <v>1.1143000000000001</v>
      </c>
      <c r="G254" s="19" t="str">
        <f>IFERROR(VLOOKUP(D254,O$253:Q$320,2,FALSE)/1,"")</f>
        <v/>
      </c>
      <c r="H254" s="21" t="str">
        <f>IFERROR(G254*M$251/10000,"")</f>
        <v/>
      </c>
      <c r="J254" s="1086">
        <v>1</v>
      </c>
      <c r="K254" s="1087" t="s">
        <v>533</v>
      </c>
      <c r="L254" s="1088">
        <v>10.130000000000001</v>
      </c>
      <c r="M254" s="1089">
        <v>1100</v>
      </c>
      <c r="N254" s="1007">
        <f>M254*L254</f>
        <v>11143</v>
      </c>
      <c r="O254" s="1090" t="s">
        <v>528</v>
      </c>
      <c r="P254" s="1091">
        <v>1100</v>
      </c>
      <c r="Q254" s="1007"/>
    </row>
    <row r="255" spans="1:21">
      <c r="C255" s="28" t="str">
        <f t="shared" ref="C255:D306" si="46">IF(J255=0,"",J255)</f>
        <v/>
      </c>
      <c r="D255" s="11" t="str">
        <f t="shared" si="46"/>
        <v/>
      </c>
      <c r="E255" s="21">
        <f t="shared" ref="E255:E318" si="47">L255</f>
        <v>9.51</v>
      </c>
      <c r="F255" s="21">
        <f t="shared" ref="F255:F305" si="48">N255/10000</f>
        <v>1.0461</v>
      </c>
      <c r="G255" s="19" t="str">
        <f t="shared" ref="G255:G318" si="49">IFERROR(VLOOKUP(D255,O$253:Q$320,2,FALSE)/1,"")</f>
        <v/>
      </c>
      <c r="H255" s="21" t="str">
        <f t="shared" ref="H255:H305" si="50">IFERROR(G255*M$251/10000,"")</f>
        <v/>
      </c>
      <c r="J255" s="1086"/>
      <c r="K255" s="1087"/>
      <c r="L255" s="1088">
        <v>9.51</v>
      </c>
      <c r="M255" s="1089">
        <v>1100</v>
      </c>
      <c r="N255" s="1007">
        <f t="shared" ref="N255:N318" si="51">M255*L255</f>
        <v>10461</v>
      </c>
      <c r="O255" s="1090" t="s">
        <v>127</v>
      </c>
      <c r="P255" s="1091">
        <v>1100</v>
      </c>
      <c r="Q255" s="1007"/>
    </row>
    <row r="256" spans="1:21">
      <c r="C256" s="28" t="str">
        <f t="shared" si="46"/>
        <v/>
      </c>
      <c r="D256" s="11" t="str">
        <f t="shared" si="46"/>
        <v/>
      </c>
      <c r="E256" s="21">
        <f t="shared" si="47"/>
        <v>9.4499999999999993</v>
      </c>
      <c r="F256" s="21">
        <f t="shared" si="48"/>
        <v>1.0395000000000001</v>
      </c>
      <c r="G256" s="19" t="str">
        <f t="shared" si="49"/>
        <v/>
      </c>
      <c r="H256" s="21" t="str">
        <f t="shared" si="50"/>
        <v/>
      </c>
      <c r="J256" s="1086"/>
      <c r="K256" s="1087"/>
      <c r="L256" s="1088">
        <v>9.4499999999999993</v>
      </c>
      <c r="M256" s="1089">
        <v>1100</v>
      </c>
      <c r="N256" s="1007">
        <f t="shared" si="51"/>
        <v>10395</v>
      </c>
      <c r="O256" s="1090" t="s">
        <v>278</v>
      </c>
      <c r="P256" s="1091">
        <v>1700</v>
      </c>
      <c r="Q256" s="1007"/>
    </row>
    <row r="257" spans="3:17">
      <c r="C257" s="28">
        <f t="shared" si="46"/>
        <v>2</v>
      </c>
      <c r="D257" s="11" t="str">
        <f t="shared" si="46"/>
        <v>泰康资产管理有限责任公司</v>
      </c>
      <c r="E257" s="21">
        <f t="shared" si="47"/>
        <v>15</v>
      </c>
      <c r="F257" s="21">
        <f t="shared" si="48"/>
        <v>1.65</v>
      </c>
      <c r="G257" s="19" t="str">
        <f t="shared" si="49"/>
        <v/>
      </c>
      <c r="H257" s="21" t="str">
        <f t="shared" si="50"/>
        <v/>
      </c>
      <c r="J257" s="1086">
        <v>2</v>
      </c>
      <c r="K257" s="1087" t="s">
        <v>124</v>
      </c>
      <c r="L257" s="1088">
        <v>15</v>
      </c>
      <c r="M257" s="1089">
        <v>1100</v>
      </c>
      <c r="N257" s="1007">
        <f t="shared" si="51"/>
        <v>16500</v>
      </c>
      <c r="O257" s="1090" t="s">
        <v>115</v>
      </c>
      <c r="P257" s="1092">
        <v>2614.6579000000002</v>
      </c>
      <c r="Q257" s="1007"/>
    </row>
    <row r="258" spans="3:17">
      <c r="C258" s="28" t="str">
        <f t="shared" si="46"/>
        <v/>
      </c>
      <c r="D258" s="11" t="str">
        <f t="shared" si="46"/>
        <v/>
      </c>
      <c r="E258" s="21">
        <f t="shared" si="47"/>
        <v>14</v>
      </c>
      <c r="F258" s="21">
        <f t="shared" si="48"/>
        <v>2.2400000000000002</v>
      </c>
      <c r="G258" s="19" t="str">
        <f t="shared" si="49"/>
        <v/>
      </c>
      <c r="H258" s="21" t="str">
        <f t="shared" si="50"/>
        <v/>
      </c>
      <c r="J258" s="1086"/>
      <c r="K258" s="1087"/>
      <c r="L258" s="1088">
        <v>14</v>
      </c>
      <c r="M258" s="1089">
        <v>1600</v>
      </c>
      <c r="N258" s="1007">
        <f t="shared" si="51"/>
        <v>22400</v>
      </c>
      <c r="O258" s="1007"/>
      <c r="P258" s="1007"/>
      <c r="Q258" s="1007"/>
    </row>
    <row r="259" spans="3:17">
      <c r="C259" s="28" t="str">
        <f t="shared" si="46"/>
        <v/>
      </c>
      <c r="D259" s="11" t="str">
        <f t="shared" si="46"/>
        <v/>
      </c>
      <c r="E259" s="21">
        <f t="shared" si="47"/>
        <v>10</v>
      </c>
      <c r="F259" s="21">
        <f t="shared" si="48"/>
        <v>2.8</v>
      </c>
      <c r="G259" s="19" t="str">
        <f t="shared" si="49"/>
        <v/>
      </c>
      <c r="H259" s="21" t="str">
        <f t="shared" si="50"/>
        <v/>
      </c>
      <c r="J259" s="1086"/>
      <c r="K259" s="1087"/>
      <c r="L259" s="1088">
        <v>10</v>
      </c>
      <c r="M259" s="1089">
        <v>2800</v>
      </c>
      <c r="N259" s="1007">
        <f t="shared" si="51"/>
        <v>28000</v>
      </c>
      <c r="O259" s="1007"/>
      <c r="P259" s="1007"/>
      <c r="Q259" s="1007"/>
    </row>
    <row r="260" spans="3:17">
      <c r="C260" s="28">
        <f t="shared" si="46"/>
        <v>3</v>
      </c>
      <c r="D260" s="11" t="str">
        <f t="shared" si="46"/>
        <v>第一创业证券股份有限公司</v>
      </c>
      <c r="E260" s="21">
        <f t="shared" si="47"/>
        <v>16.72</v>
      </c>
      <c r="F260" s="21">
        <f t="shared" si="48"/>
        <v>1.8391999999999999</v>
      </c>
      <c r="G260" s="19">
        <f t="shared" si="49"/>
        <v>1100</v>
      </c>
      <c r="H260" s="21">
        <f t="shared" si="50"/>
        <v>1.6884999999999999</v>
      </c>
      <c r="J260" s="1093">
        <v>3</v>
      </c>
      <c r="K260" s="1090" t="s">
        <v>127</v>
      </c>
      <c r="L260" s="1088">
        <v>16.72</v>
      </c>
      <c r="M260" s="1089">
        <v>1100</v>
      </c>
      <c r="N260" s="1007">
        <f t="shared" si="51"/>
        <v>18392</v>
      </c>
      <c r="O260" s="1007"/>
      <c r="P260" s="1007"/>
      <c r="Q260" s="1007"/>
    </row>
    <row r="261" spans="3:17">
      <c r="C261" s="28">
        <f t="shared" si="46"/>
        <v>4</v>
      </c>
      <c r="D261" s="11" t="str">
        <f t="shared" si="46"/>
        <v>张家港市云雾实业有限公司</v>
      </c>
      <c r="E261" s="21">
        <f t="shared" si="47"/>
        <v>15.3</v>
      </c>
      <c r="F261" s="21">
        <f t="shared" si="48"/>
        <v>1.6830000000000001</v>
      </c>
      <c r="G261" s="19" t="str">
        <f t="shared" si="49"/>
        <v/>
      </c>
      <c r="H261" s="21" t="str">
        <f t="shared" si="50"/>
        <v/>
      </c>
      <c r="J261" s="1093">
        <v>4</v>
      </c>
      <c r="K261" s="1090" t="s">
        <v>532</v>
      </c>
      <c r="L261" s="1088">
        <v>15.3</v>
      </c>
      <c r="M261" s="1089">
        <v>1100</v>
      </c>
      <c r="N261" s="1007">
        <f t="shared" si="51"/>
        <v>16830</v>
      </c>
      <c r="O261" s="1007"/>
      <c r="P261" s="1007"/>
      <c r="Q261" s="1007"/>
    </row>
    <row r="262" spans="3:17">
      <c r="C262" s="28">
        <f t="shared" si="46"/>
        <v>5</v>
      </c>
      <c r="D262" s="11" t="str">
        <f t="shared" si="46"/>
        <v>钱菊芳</v>
      </c>
      <c r="E262" s="21">
        <f t="shared" si="47"/>
        <v>12.5</v>
      </c>
      <c r="F262" s="21">
        <f t="shared" si="48"/>
        <v>1.375</v>
      </c>
      <c r="G262" s="19" t="str">
        <f t="shared" si="49"/>
        <v/>
      </c>
      <c r="H262" s="21" t="str">
        <f t="shared" si="50"/>
        <v/>
      </c>
      <c r="J262" s="1086">
        <v>5</v>
      </c>
      <c r="K262" s="1087" t="s">
        <v>531</v>
      </c>
      <c r="L262" s="1088">
        <v>12.5</v>
      </c>
      <c r="M262" s="1089">
        <v>1100</v>
      </c>
      <c r="N262" s="1007">
        <f t="shared" si="51"/>
        <v>13750</v>
      </c>
      <c r="O262" s="1007"/>
      <c r="P262" s="1007"/>
      <c r="Q262" s="1007"/>
    </row>
    <row r="263" spans="3:17">
      <c r="C263" s="28" t="str">
        <f t="shared" si="46"/>
        <v/>
      </c>
      <c r="D263" s="11" t="str">
        <f t="shared" si="46"/>
        <v/>
      </c>
      <c r="E263" s="21">
        <f t="shared" si="47"/>
        <v>12.1</v>
      </c>
      <c r="F263" s="21">
        <f t="shared" si="48"/>
        <v>1.331</v>
      </c>
      <c r="G263" s="19" t="str">
        <f t="shared" si="49"/>
        <v/>
      </c>
      <c r="H263" s="21" t="str">
        <f t="shared" si="50"/>
        <v/>
      </c>
      <c r="J263" s="1086"/>
      <c r="K263" s="1087"/>
      <c r="L263" s="1088">
        <v>12.1</v>
      </c>
      <c r="M263" s="1089">
        <v>1100</v>
      </c>
      <c r="N263" s="1007">
        <f t="shared" si="51"/>
        <v>13310</v>
      </c>
      <c r="O263" s="1007"/>
      <c r="P263" s="1007"/>
      <c r="Q263" s="1007"/>
    </row>
    <row r="264" spans="3:17">
      <c r="C264" s="28" t="str">
        <f t="shared" si="46"/>
        <v/>
      </c>
      <c r="D264" s="11" t="str">
        <f t="shared" si="46"/>
        <v/>
      </c>
      <c r="E264" s="21">
        <f t="shared" si="47"/>
        <v>11.8</v>
      </c>
      <c r="F264" s="21">
        <f t="shared" si="48"/>
        <v>1.298</v>
      </c>
      <c r="G264" s="19" t="str">
        <f t="shared" si="49"/>
        <v/>
      </c>
      <c r="H264" s="21" t="str">
        <f t="shared" si="50"/>
        <v/>
      </c>
      <c r="J264" s="1086"/>
      <c r="K264" s="1087"/>
      <c r="L264" s="1088">
        <v>11.8</v>
      </c>
      <c r="M264" s="1089">
        <v>1100</v>
      </c>
      <c r="N264" s="1007">
        <f t="shared" si="51"/>
        <v>12980</v>
      </c>
      <c r="O264" s="1007"/>
      <c r="P264" s="1007"/>
      <c r="Q264" s="1007"/>
    </row>
    <row r="265" spans="3:17">
      <c r="C265" s="28">
        <f t="shared" si="46"/>
        <v>6</v>
      </c>
      <c r="D265" s="11" t="str">
        <f t="shared" si="46"/>
        <v>民生通惠资产管理有限公司</v>
      </c>
      <c r="E265" s="21">
        <f t="shared" si="47"/>
        <v>14.02</v>
      </c>
      <c r="F265" s="21">
        <f t="shared" si="48"/>
        <v>1.5422</v>
      </c>
      <c r="G265" s="19" t="str">
        <f t="shared" si="49"/>
        <v/>
      </c>
      <c r="H265" s="21" t="str">
        <f t="shared" si="50"/>
        <v/>
      </c>
      <c r="J265" s="1093">
        <v>6</v>
      </c>
      <c r="K265" s="1090" t="s">
        <v>351</v>
      </c>
      <c r="L265" s="1088">
        <v>14.02</v>
      </c>
      <c r="M265" s="1089">
        <v>1100</v>
      </c>
      <c r="N265" s="1007">
        <f t="shared" si="51"/>
        <v>15422</v>
      </c>
      <c r="O265" s="1007"/>
      <c r="P265" s="1007"/>
      <c r="Q265" s="1007"/>
    </row>
    <row r="266" spans="3:17">
      <c r="C266" s="28">
        <f t="shared" si="46"/>
        <v>7</v>
      </c>
      <c r="D266" s="11" t="str">
        <f t="shared" si="46"/>
        <v>曾毅刚</v>
      </c>
      <c r="E266" s="21">
        <f t="shared" si="47"/>
        <v>11.1</v>
      </c>
      <c r="F266" s="21">
        <f t="shared" si="48"/>
        <v>1.2210000000000001</v>
      </c>
      <c r="G266" s="19" t="str">
        <f t="shared" si="49"/>
        <v/>
      </c>
      <c r="H266" s="21" t="str">
        <f t="shared" si="50"/>
        <v/>
      </c>
      <c r="J266" s="1086">
        <v>7</v>
      </c>
      <c r="K266" s="1087" t="s">
        <v>530</v>
      </c>
      <c r="L266" s="1088">
        <v>11.1</v>
      </c>
      <c r="M266" s="1089">
        <v>1100</v>
      </c>
      <c r="N266" s="1007">
        <f t="shared" si="51"/>
        <v>12210</v>
      </c>
      <c r="O266" s="1007"/>
      <c r="P266" s="1007"/>
      <c r="Q266" s="1007"/>
    </row>
    <row r="267" spans="3:17">
      <c r="C267" s="28" t="str">
        <f t="shared" si="46"/>
        <v/>
      </c>
      <c r="D267" s="11" t="str">
        <f t="shared" si="46"/>
        <v/>
      </c>
      <c r="E267" s="21">
        <f t="shared" si="47"/>
        <v>10.8</v>
      </c>
      <c r="F267" s="21">
        <f t="shared" si="48"/>
        <v>1.1879999999999999</v>
      </c>
      <c r="G267" s="19" t="str">
        <f t="shared" si="49"/>
        <v/>
      </c>
      <c r="H267" s="21" t="str">
        <f t="shared" si="50"/>
        <v/>
      </c>
      <c r="J267" s="1086"/>
      <c r="K267" s="1087"/>
      <c r="L267" s="1088">
        <v>10.8</v>
      </c>
      <c r="M267" s="1089">
        <v>1100</v>
      </c>
      <c r="N267" s="1007">
        <f t="shared" si="51"/>
        <v>11880</v>
      </c>
      <c r="O267" s="1007"/>
      <c r="P267" s="1007"/>
      <c r="Q267" s="1007"/>
    </row>
    <row r="268" spans="3:17">
      <c r="C268" s="28" t="str">
        <f t="shared" si="46"/>
        <v/>
      </c>
      <c r="D268" s="11" t="str">
        <f t="shared" si="46"/>
        <v/>
      </c>
      <c r="E268" s="21">
        <f t="shared" si="47"/>
        <v>10.6</v>
      </c>
      <c r="F268" s="21">
        <f t="shared" si="48"/>
        <v>1.1659999999999999</v>
      </c>
      <c r="G268" s="19" t="str">
        <f t="shared" si="49"/>
        <v/>
      </c>
      <c r="H268" s="21" t="str">
        <f t="shared" si="50"/>
        <v/>
      </c>
      <c r="J268" s="1086"/>
      <c r="K268" s="1087"/>
      <c r="L268" s="1088">
        <v>10.6</v>
      </c>
      <c r="M268" s="1089">
        <v>1100</v>
      </c>
      <c r="N268" s="1007">
        <f t="shared" si="51"/>
        <v>11660</v>
      </c>
      <c r="O268" s="1007"/>
      <c r="P268" s="1007"/>
      <c r="Q268" s="1007"/>
    </row>
    <row r="269" spans="3:17">
      <c r="C269" s="28">
        <f t="shared" si="46"/>
        <v>8</v>
      </c>
      <c r="D269" s="11" t="str">
        <f t="shared" si="46"/>
        <v>东海证券股份有限公司</v>
      </c>
      <c r="E269" s="21">
        <f t="shared" si="47"/>
        <v>9.83</v>
      </c>
      <c r="F269" s="21">
        <f t="shared" si="48"/>
        <v>1.0812999999999999</v>
      </c>
      <c r="G269" s="19" t="str">
        <f t="shared" si="49"/>
        <v/>
      </c>
      <c r="H269" s="21" t="str">
        <f t="shared" si="50"/>
        <v/>
      </c>
      <c r="J269" s="1093">
        <v>8</v>
      </c>
      <c r="K269" s="1090" t="s">
        <v>6</v>
      </c>
      <c r="L269" s="1088">
        <v>9.83</v>
      </c>
      <c r="M269" s="1089">
        <v>1100</v>
      </c>
      <c r="N269" s="1007">
        <f t="shared" si="51"/>
        <v>10813</v>
      </c>
      <c r="O269" s="1007"/>
      <c r="P269" s="1007"/>
      <c r="Q269" s="1007"/>
    </row>
    <row r="270" spans="3:17">
      <c r="C270" s="28">
        <f t="shared" si="46"/>
        <v>9</v>
      </c>
      <c r="D270" s="11" t="str">
        <f t="shared" si="46"/>
        <v>张怀斌</v>
      </c>
      <c r="E270" s="21">
        <f t="shared" si="47"/>
        <v>13.15</v>
      </c>
      <c r="F270" s="21">
        <f t="shared" si="48"/>
        <v>1.4464999999999999</v>
      </c>
      <c r="G270" s="19" t="str">
        <f t="shared" si="49"/>
        <v/>
      </c>
      <c r="H270" s="21" t="str">
        <f t="shared" si="50"/>
        <v/>
      </c>
      <c r="J270" s="1093">
        <v>9</v>
      </c>
      <c r="K270" s="1090" t="s">
        <v>281</v>
      </c>
      <c r="L270" s="1088">
        <v>13.15</v>
      </c>
      <c r="M270" s="1089">
        <v>1100</v>
      </c>
      <c r="N270" s="1007">
        <f t="shared" si="51"/>
        <v>14465</v>
      </c>
      <c r="O270" s="1007"/>
      <c r="P270" s="1007"/>
      <c r="Q270" s="1007"/>
    </row>
    <row r="271" spans="3:17">
      <c r="C271" s="28">
        <f t="shared" si="46"/>
        <v>10</v>
      </c>
      <c r="D271" s="11" t="str">
        <f t="shared" si="46"/>
        <v>长城证券股份有限公司</v>
      </c>
      <c r="E271" s="21">
        <f t="shared" si="47"/>
        <v>14.72</v>
      </c>
      <c r="F271" s="21">
        <f t="shared" si="48"/>
        <v>1.6192</v>
      </c>
      <c r="G271" s="19" t="str">
        <f t="shared" si="49"/>
        <v/>
      </c>
      <c r="H271" s="21" t="str">
        <f t="shared" si="50"/>
        <v/>
      </c>
      <c r="J271" s="1093">
        <v>10</v>
      </c>
      <c r="K271" s="1090" t="s">
        <v>529</v>
      </c>
      <c r="L271" s="1088">
        <v>14.72</v>
      </c>
      <c r="M271" s="1089">
        <v>1100</v>
      </c>
      <c r="N271" s="1007">
        <f t="shared" si="51"/>
        <v>16192</v>
      </c>
      <c r="O271" s="1007"/>
      <c r="P271" s="1007"/>
      <c r="Q271" s="119"/>
    </row>
    <row r="272" spans="3:17">
      <c r="C272" s="28">
        <f t="shared" si="46"/>
        <v>11</v>
      </c>
      <c r="D272" s="11" t="str">
        <f t="shared" si="46"/>
        <v>张家港市金城融创投资管理有限公司</v>
      </c>
      <c r="E272" s="21">
        <f t="shared" si="47"/>
        <v>17.2</v>
      </c>
      <c r="F272" s="21">
        <f t="shared" si="48"/>
        <v>1.8919999999999999</v>
      </c>
      <c r="G272" s="19">
        <f t="shared" si="49"/>
        <v>1100</v>
      </c>
      <c r="H272" s="21">
        <f t="shared" si="50"/>
        <v>1.6884999999999999</v>
      </c>
      <c r="J272" s="1093">
        <v>11</v>
      </c>
      <c r="K272" s="1090" t="s">
        <v>528</v>
      </c>
      <c r="L272" s="1088">
        <v>17.2</v>
      </c>
      <c r="M272" s="1089">
        <v>1100</v>
      </c>
      <c r="N272" s="1007">
        <f t="shared" si="51"/>
        <v>18920</v>
      </c>
      <c r="O272" s="1007"/>
      <c r="P272" s="1007"/>
      <c r="Q272" s="119"/>
    </row>
    <row r="273" spans="3:17">
      <c r="C273" s="28">
        <f t="shared" si="46"/>
        <v>12</v>
      </c>
      <c r="D273" s="11" t="str">
        <f t="shared" si="46"/>
        <v>博时基金管理有限公司</v>
      </c>
      <c r="E273" s="21">
        <f t="shared" si="47"/>
        <v>13.8</v>
      </c>
      <c r="F273" s="21">
        <f t="shared" si="48"/>
        <v>1.9319999999999999</v>
      </c>
      <c r="G273" s="19" t="str">
        <f t="shared" si="49"/>
        <v/>
      </c>
      <c r="H273" s="21" t="str">
        <f t="shared" si="50"/>
        <v/>
      </c>
      <c r="J273" s="1094">
        <v>12</v>
      </c>
      <c r="K273" s="1054" t="s">
        <v>173</v>
      </c>
      <c r="L273" s="1088">
        <v>13.8</v>
      </c>
      <c r="M273" s="1089">
        <v>1400</v>
      </c>
      <c r="N273" s="1007">
        <f t="shared" si="51"/>
        <v>19320</v>
      </c>
      <c r="O273" s="1007"/>
      <c r="P273" s="1007"/>
      <c r="Q273" s="119"/>
    </row>
    <row r="274" spans="3:17">
      <c r="C274" s="28" t="str">
        <f t="shared" si="46"/>
        <v/>
      </c>
      <c r="D274" s="11" t="str">
        <f t="shared" si="46"/>
        <v/>
      </c>
      <c r="E274" s="21">
        <f t="shared" si="47"/>
        <v>11.8</v>
      </c>
      <c r="F274" s="21">
        <f t="shared" si="48"/>
        <v>1.8879999999999999</v>
      </c>
      <c r="G274" s="19" t="str">
        <f t="shared" si="49"/>
        <v/>
      </c>
      <c r="H274" s="21" t="str">
        <f t="shared" si="50"/>
        <v/>
      </c>
      <c r="J274" s="1094"/>
      <c r="K274" s="1054"/>
      <c r="L274" s="1088">
        <v>11.8</v>
      </c>
      <c r="M274" s="1089">
        <v>1600</v>
      </c>
      <c r="N274" s="1007">
        <f t="shared" si="51"/>
        <v>18880</v>
      </c>
      <c r="O274" s="1007"/>
      <c r="P274" s="1007"/>
      <c r="Q274" s="119"/>
    </row>
    <row r="275" spans="3:17">
      <c r="C275" s="28">
        <f t="shared" si="46"/>
        <v>13</v>
      </c>
      <c r="D275" s="11" t="str">
        <f t="shared" si="46"/>
        <v>深圳尚诚壹品资产管理有限公司</v>
      </c>
      <c r="E275" s="21">
        <f t="shared" si="47"/>
        <v>9.58</v>
      </c>
      <c r="F275" s="21">
        <f t="shared" si="48"/>
        <v>1.0538000000000001</v>
      </c>
      <c r="G275" s="19" t="str">
        <f t="shared" si="49"/>
        <v/>
      </c>
      <c r="H275" s="21" t="str">
        <f t="shared" si="50"/>
        <v/>
      </c>
      <c r="J275" s="1093">
        <v>13</v>
      </c>
      <c r="K275" s="1090" t="s">
        <v>527</v>
      </c>
      <c r="L275" s="1088">
        <v>9.58</v>
      </c>
      <c r="M275" s="1089">
        <v>1100</v>
      </c>
      <c r="N275" s="1007">
        <f t="shared" si="51"/>
        <v>10538</v>
      </c>
      <c r="O275" s="1007"/>
      <c r="P275" s="1007"/>
      <c r="Q275" s="119"/>
    </row>
    <row r="276" spans="3:17">
      <c r="C276" s="28">
        <f t="shared" si="46"/>
        <v>14</v>
      </c>
      <c r="D276" s="11" t="str">
        <f t="shared" si="46"/>
        <v>周雪钦</v>
      </c>
      <c r="E276" s="21">
        <f t="shared" si="47"/>
        <v>12</v>
      </c>
      <c r="F276" s="21">
        <f t="shared" si="48"/>
        <v>1.32</v>
      </c>
      <c r="G276" s="19" t="str">
        <f t="shared" si="49"/>
        <v/>
      </c>
      <c r="H276" s="21" t="str">
        <f t="shared" si="50"/>
        <v/>
      </c>
      <c r="J276" s="1093">
        <v>14</v>
      </c>
      <c r="K276" s="1090" t="s">
        <v>114</v>
      </c>
      <c r="L276" s="1088">
        <v>12</v>
      </c>
      <c r="M276" s="1089">
        <v>1100</v>
      </c>
      <c r="N276" s="1007">
        <f t="shared" si="51"/>
        <v>13200</v>
      </c>
      <c r="O276" s="1007"/>
      <c r="P276" s="1007"/>
      <c r="Q276" s="119"/>
    </row>
    <row r="277" spans="3:17">
      <c r="C277" s="28">
        <f t="shared" si="46"/>
        <v>15</v>
      </c>
      <c r="D277" s="11" t="str">
        <f t="shared" si="46"/>
        <v>宝盈基金管理有限公司</v>
      </c>
      <c r="E277" s="21">
        <f t="shared" si="47"/>
        <v>12.58</v>
      </c>
      <c r="F277" s="21">
        <f t="shared" si="48"/>
        <v>3.2707999999999999</v>
      </c>
      <c r="G277" s="19" t="str">
        <f t="shared" si="49"/>
        <v/>
      </c>
      <c r="H277" s="21" t="str">
        <f t="shared" si="50"/>
        <v/>
      </c>
      <c r="J277" s="1093">
        <v>15</v>
      </c>
      <c r="K277" s="1090" t="s">
        <v>332</v>
      </c>
      <c r="L277" s="1088">
        <v>12.58</v>
      </c>
      <c r="M277" s="1089">
        <v>2600</v>
      </c>
      <c r="N277" s="1007">
        <f t="shared" si="51"/>
        <v>32708</v>
      </c>
      <c r="O277" s="1007"/>
      <c r="P277" s="1007"/>
      <c r="Q277" s="119"/>
    </row>
    <row r="278" spans="3:17">
      <c r="C278" s="28">
        <f t="shared" si="46"/>
        <v>16</v>
      </c>
      <c r="D278" s="11" t="str">
        <f t="shared" si="46"/>
        <v>华鑫证券有限责任公司</v>
      </c>
      <c r="E278" s="21">
        <f t="shared" si="47"/>
        <v>14.25</v>
      </c>
      <c r="F278" s="21">
        <f t="shared" si="48"/>
        <v>1.5674999999999999</v>
      </c>
      <c r="G278" s="19" t="str">
        <f t="shared" si="49"/>
        <v/>
      </c>
      <c r="H278" s="21" t="str">
        <f t="shared" si="50"/>
        <v/>
      </c>
      <c r="J278" s="1094">
        <v>16</v>
      </c>
      <c r="K278" s="1054" t="s">
        <v>505</v>
      </c>
      <c r="L278" s="1088">
        <v>14.25</v>
      </c>
      <c r="M278" s="1089">
        <v>1100</v>
      </c>
      <c r="N278" s="1007">
        <f t="shared" si="51"/>
        <v>15675</v>
      </c>
      <c r="O278" s="1007"/>
      <c r="P278" s="1007"/>
      <c r="Q278" s="119"/>
    </row>
    <row r="279" spans="3:17">
      <c r="C279" s="28" t="str">
        <f t="shared" si="46"/>
        <v/>
      </c>
      <c r="D279" s="11" t="str">
        <f t="shared" si="46"/>
        <v/>
      </c>
      <c r="E279" s="21">
        <f t="shared" si="47"/>
        <v>10</v>
      </c>
      <c r="F279" s="21">
        <f t="shared" si="48"/>
        <v>1.5</v>
      </c>
      <c r="G279" s="19" t="str">
        <f t="shared" si="49"/>
        <v/>
      </c>
      <c r="H279" s="21" t="str">
        <f t="shared" si="50"/>
        <v/>
      </c>
      <c r="J279" s="1094"/>
      <c r="K279" s="1054"/>
      <c r="L279" s="1088">
        <v>10</v>
      </c>
      <c r="M279" s="1089">
        <v>1500</v>
      </c>
      <c r="N279" s="1007">
        <f t="shared" si="51"/>
        <v>15000</v>
      </c>
      <c r="O279" s="1007"/>
      <c r="P279" s="1007"/>
      <c r="Q279" s="119"/>
    </row>
    <row r="280" spans="3:17">
      <c r="C280" s="28">
        <f t="shared" si="46"/>
        <v>17</v>
      </c>
      <c r="D280" s="11" t="str">
        <f t="shared" si="46"/>
        <v>东海基金管理有限公司</v>
      </c>
      <c r="E280" s="21">
        <f t="shared" si="47"/>
        <v>14.01</v>
      </c>
      <c r="F280" s="21">
        <f t="shared" si="48"/>
        <v>1.5410999999999999</v>
      </c>
      <c r="G280" s="19" t="str">
        <f t="shared" si="49"/>
        <v/>
      </c>
      <c r="H280" s="21" t="str">
        <f t="shared" si="50"/>
        <v/>
      </c>
      <c r="J280" s="1086">
        <v>17</v>
      </c>
      <c r="K280" s="1087" t="s">
        <v>526</v>
      </c>
      <c r="L280" s="1088">
        <v>14.01</v>
      </c>
      <c r="M280" s="1089">
        <v>1100</v>
      </c>
      <c r="N280" s="1007">
        <f t="shared" si="51"/>
        <v>15411</v>
      </c>
      <c r="O280" s="1007"/>
      <c r="P280" s="1007"/>
      <c r="Q280" s="119"/>
    </row>
    <row r="281" spans="3:17">
      <c r="C281" s="28" t="str">
        <f t="shared" si="46"/>
        <v/>
      </c>
      <c r="D281" s="11" t="str">
        <f t="shared" si="46"/>
        <v/>
      </c>
      <c r="E281" s="21">
        <f t="shared" si="47"/>
        <v>13.01</v>
      </c>
      <c r="F281" s="21">
        <f t="shared" si="48"/>
        <v>2.2117</v>
      </c>
      <c r="G281" s="19" t="str">
        <f t="shared" si="49"/>
        <v/>
      </c>
      <c r="H281" s="21" t="str">
        <f t="shared" si="50"/>
        <v/>
      </c>
      <c r="J281" s="1086"/>
      <c r="K281" s="1087"/>
      <c r="L281" s="1088">
        <v>13.01</v>
      </c>
      <c r="M281" s="1089">
        <v>1700</v>
      </c>
      <c r="N281" s="1007">
        <f t="shared" si="51"/>
        <v>22117</v>
      </c>
      <c r="O281" s="1007"/>
      <c r="P281" s="1007"/>
      <c r="Q281" s="119"/>
    </row>
    <row r="282" spans="3:17">
      <c r="C282" s="28" t="str">
        <f t="shared" si="46"/>
        <v/>
      </c>
      <c r="D282" s="11" t="str">
        <f t="shared" si="46"/>
        <v/>
      </c>
      <c r="E282" s="21">
        <f t="shared" si="47"/>
        <v>12.51</v>
      </c>
      <c r="F282" s="21">
        <f t="shared" si="48"/>
        <v>2.7522000000000002</v>
      </c>
      <c r="G282" s="19" t="str">
        <f t="shared" si="49"/>
        <v/>
      </c>
      <c r="H282" s="21" t="str">
        <f t="shared" si="50"/>
        <v/>
      </c>
      <c r="J282" s="1086"/>
      <c r="K282" s="1087"/>
      <c r="L282" s="1088">
        <v>12.51</v>
      </c>
      <c r="M282" s="1089">
        <v>2200</v>
      </c>
      <c r="N282" s="1007">
        <f t="shared" si="51"/>
        <v>27522</v>
      </c>
      <c r="O282" s="1007"/>
      <c r="P282" s="1007"/>
      <c r="Q282" s="119"/>
    </row>
    <row r="283" spans="3:17">
      <c r="C283" s="28">
        <f t="shared" si="46"/>
        <v>18</v>
      </c>
      <c r="D283" s="11" t="str">
        <f t="shared" si="46"/>
        <v>郑磊鑫</v>
      </c>
      <c r="E283" s="21">
        <f t="shared" si="47"/>
        <v>12.88</v>
      </c>
      <c r="F283" s="21">
        <f t="shared" si="48"/>
        <v>1.4168000000000001</v>
      </c>
      <c r="G283" s="19" t="str">
        <f t="shared" si="49"/>
        <v/>
      </c>
      <c r="H283" s="21" t="str">
        <f t="shared" si="50"/>
        <v/>
      </c>
      <c r="J283" s="1086">
        <v>18</v>
      </c>
      <c r="K283" s="1087" t="s">
        <v>525</v>
      </c>
      <c r="L283" s="1088">
        <v>12.88</v>
      </c>
      <c r="M283" s="1089">
        <v>1100</v>
      </c>
      <c r="N283" s="1007">
        <f t="shared" si="51"/>
        <v>14168</v>
      </c>
      <c r="O283" s="1007"/>
      <c r="P283" s="1007"/>
      <c r="Q283" s="119"/>
    </row>
    <row r="284" spans="3:17">
      <c r="C284" s="28" t="str">
        <f t="shared" si="46"/>
        <v/>
      </c>
      <c r="D284" s="11" t="str">
        <f t="shared" si="46"/>
        <v/>
      </c>
      <c r="E284" s="21">
        <f t="shared" si="47"/>
        <v>12.58</v>
      </c>
      <c r="F284" s="21">
        <f t="shared" si="48"/>
        <v>1.3837999999999999</v>
      </c>
      <c r="G284" s="19" t="str">
        <f t="shared" si="49"/>
        <v/>
      </c>
      <c r="H284" s="21" t="str">
        <f t="shared" si="50"/>
        <v/>
      </c>
      <c r="J284" s="1086"/>
      <c r="K284" s="1087"/>
      <c r="L284" s="1088">
        <v>12.58</v>
      </c>
      <c r="M284" s="1089">
        <v>1100</v>
      </c>
      <c r="N284" s="1007">
        <f t="shared" si="51"/>
        <v>13838</v>
      </c>
      <c r="O284" s="1007"/>
      <c r="P284" s="1007"/>
      <c r="Q284" s="119"/>
    </row>
    <row r="285" spans="3:17">
      <c r="C285" s="28" t="str">
        <f t="shared" si="46"/>
        <v/>
      </c>
      <c r="D285" s="11" t="str">
        <f t="shared" si="46"/>
        <v/>
      </c>
      <c r="E285" s="21">
        <f t="shared" si="47"/>
        <v>12.02</v>
      </c>
      <c r="F285" s="21">
        <f t="shared" si="48"/>
        <v>1.3222</v>
      </c>
      <c r="G285" s="19" t="str">
        <f t="shared" si="49"/>
        <v/>
      </c>
      <c r="H285" s="21" t="str">
        <f t="shared" si="50"/>
        <v/>
      </c>
      <c r="J285" s="1086"/>
      <c r="K285" s="1087"/>
      <c r="L285" s="1088">
        <v>12.02</v>
      </c>
      <c r="M285" s="1089">
        <v>1100</v>
      </c>
      <c r="N285" s="1007">
        <f t="shared" si="51"/>
        <v>13222</v>
      </c>
      <c r="O285" s="1007"/>
      <c r="P285" s="1007"/>
      <c r="Q285" s="119"/>
    </row>
    <row r="286" spans="3:17">
      <c r="C286" s="28">
        <f t="shared" si="46"/>
        <v>19</v>
      </c>
      <c r="D286" s="11" t="str">
        <f t="shared" si="46"/>
        <v>南京瑞达信沨股权投资合伙企业（有限合伙）</v>
      </c>
      <c r="E286" s="21">
        <f t="shared" si="47"/>
        <v>11.59</v>
      </c>
      <c r="F286" s="21">
        <f t="shared" si="48"/>
        <v>1.2748999999999999</v>
      </c>
      <c r="G286" s="19" t="str">
        <f t="shared" si="49"/>
        <v/>
      </c>
      <c r="H286" s="21" t="str">
        <f t="shared" si="50"/>
        <v/>
      </c>
      <c r="J286" s="1086">
        <v>19</v>
      </c>
      <c r="K286" s="1087" t="s">
        <v>311</v>
      </c>
      <c r="L286" s="1088">
        <v>11.59</v>
      </c>
      <c r="M286" s="1089">
        <v>1100</v>
      </c>
      <c r="N286" s="1007">
        <f t="shared" si="51"/>
        <v>12749</v>
      </c>
      <c r="O286" s="1007"/>
      <c r="P286" s="1007"/>
      <c r="Q286" s="119"/>
    </row>
    <row r="287" spans="3:17">
      <c r="C287" s="28" t="str">
        <f t="shared" si="46"/>
        <v/>
      </c>
      <c r="D287" s="11" t="str">
        <f t="shared" si="46"/>
        <v/>
      </c>
      <c r="E287" s="21">
        <f t="shared" si="47"/>
        <v>11.55</v>
      </c>
      <c r="F287" s="21">
        <f t="shared" si="48"/>
        <v>1.2705</v>
      </c>
      <c r="G287" s="19" t="str">
        <f t="shared" si="49"/>
        <v/>
      </c>
      <c r="H287" s="21" t="str">
        <f t="shared" si="50"/>
        <v/>
      </c>
      <c r="J287" s="1086"/>
      <c r="K287" s="1087"/>
      <c r="L287" s="1088">
        <v>11.55</v>
      </c>
      <c r="M287" s="1089">
        <v>1100</v>
      </c>
      <c r="N287" s="1007">
        <f t="shared" si="51"/>
        <v>12705</v>
      </c>
      <c r="O287" s="1007"/>
      <c r="P287" s="1007"/>
      <c r="Q287" s="119"/>
    </row>
    <row r="288" spans="3:17">
      <c r="C288" s="28" t="str">
        <f t="shared" si="46"/>
        <v/>
      </c>
      <c r="D288" s="11" t="str">
        <f t="shared" si="46"/>
        <v/>
      </c>
      <c r="E288" s="21">
        <f t="shared" si="47"/>
        <v>11.5</v>
      </c>
      <c r="F288" s="21">
        <f t="shared" si="48"/>
        <v>1.2649999999999999</v>
      </c>
      <c r="G288" s="19" t="str">
        <f t="shared" si="49"/>
        <v/>
      </c>
      <c r="H288" s="21" t="str">
        <f t="shared" si="50"/>
        <v/>
      </c>
      <c r="J288" s="1086"/>
      <c r="K288" s="1087"/>
      <c r="L288" s="1088">
        <v>11.5</v>
      </c>
      <c r="M288" s="1089">
        <v>1100</v>
      </c>
      <c r="N288" s="1007">
        <f t="shared" si="51"/>
        <v>12650</v>
      </c>
      <c r="O288" s="1007"/>
      <c r="P288" s="1007"/>
      <c r="Q288" s="119"/>
    </row>
    <row r="289" spans="3:17">
      <c r="C289" s="28">
        <f t="shared" si="46"/>
        <v>20</v>
      </c>
      <c r="D289" s="11" t="str">
        <f t="shared" si="46"/>
        <v>兴证证券资产管理有限公司</v>
      </c>
      <c r="E289" s="21">
        <f t="shared" si="47"/>
        <v>13.5</v>
      </c>
      <c r="F289" s="21">
        <f t="shared" si="48"/>
        <v>1.4850000000000001</v>
      </c>
      <c r="G289" s="19" t="str">
        <f t="shared" si="49"/>
        <v/>
      </c>
      <c r="H289" s="21" t="str">
        <f t="shared" si="50"/>
        <v/>
      </c>
      <c r="J289" s="1086">
        <v>20</v>
      </c>
      <c r="K289" s="1087" t="s">
        <v>150</v>
      </c>
      <c r="L289" s="1088">
        <v>13.5</v>
      </c>
      <c r="M289" s="1089">
        <v>1100</v>
      </c>
      <c r="N289" s="1007">
        <f t="shared" si="51"/>
        <v>14850</v>
      </c>
      <c r="O289" s="1007"/>
      <c r="P289" s="1007"/>
      <c r="Q289" s="119"/>
    </row>
    <row r="290" spans="3:17">
      <c r="C290" s="28" t="str">
        <f t="shared" si="46"/>
        <v/>
      </c>
      <c r="D290" s="11" t="str">
        <f t="shared" si="46"/>
        <v/>
      </c>
      <c r="E290" s="21">
        <f t="shared" si="47"/>
        <v>12.25</v>
      </c>
      <c r="F290" s="21">
        <f t="shared" si="48"/>
        <v>1.7150000000000001</v>
      </c>
      <c r="G290" s="19" t="str">
        <f t="shared" si="49"/>
        <v/>
      </c>
      <c r="H290" s="21" t="str">
        <f t="shared" si="50"/>
        <v/>
      </c>
      <c r="J290" s="1086"/>
      <c r="K290" s="1087"/>
      <c r="L290" s="1088">
        <v>12.25</v>
      </c>
      <c r="M290" s="1089">
        <v>1400</v>
      </c>
      <c r="N290" s="1007">
        <f t="shared" si="51"/>
        <v>17150</v>
      </c>
      <c r="O290" s="1007"/>
      <c r="P290" s="1007"/>
      <c r="Q290" s="119"/>
    </row>
    <row r="291" spans="3:17">
      <c r="C291" s="28" t="str">
        <f t="shared" si="46"/>
        <v/>
      </c>
      <c r="D291" s="11" t="str">
        <f t="shared" si="46"/>
        <v/>
      </c>
      <c r="E291" s="21">
        <f t="shared" si="47"/>
        <v>10.4</v>
      </c>
      <c r="F291" s="21">
        <f t="shared" si="48"/>
        <v>1.976</v>
      </c>
      <c r="G291" s="19" t="str">
        <f t="shared" si="49"/>
        <v/>
      </c>
      <c r="H291" s="21" t="str">
        <f t="shared" si="50"/>
        <v/>
      </c>
      <c r="J291" s="1086"/>
      <c r="K291" s="1087"/>
      <c r="L291" s="1088">
        <v>10.4</v>
      </c>
      <c r="M291" s="1089">
        <v>1900</v>
      </c>
      <c r="N291" s="1007">
        <f t="shared" si="51"/>
        <v>19760</v>
      </c>
      <c r="O291" s="1007"/>
      <c r="P291" s="1007"/>
      <c r="Q291" s="119"/>
    </row>
    <row r="292" spans="3:17">
      <c r="C292" s="28">
        <f t="shared" si="46"/>
        <v>21</v>
      </c>
      <c r="D292" s="11" t="str">
        <f t="shared" si="46"/>
        <v>西藏康盛投资管理有限公司</v>
      </c>
      <c r="E292" s="21">
        <f t="shared" si="47"/>
        <v>12.08</v>
      </c>
      <c r="F292" s="21">
        <f t="shared" si="48"/>
        <v>1.4496</v>
      </c>
      <c r="G292" s="19" t="str">
        <f t="shared" si="49"/>
        <v/>
      </c>
      <c r="H292" s="21" t="str">
        <f t="shared" si="50"/>
        <v/>
      </c>
      <c r="J292" s="1093">
        <v>21</v>
      </c>
      <c r="K292" s="1090" t="s">
        <v>379</v>
      </c>
      <c r="L292" s="1088">
        <v>12.08</v>
      </c>
      <c r="M292" s="1089">
        <v>1200</v>
      </c>
      <c r="N292" s="1007">
        <f t="shared" si="51"/>
        <v>14496</v>
      </c>
      <c r="O292" s="1007"/>
      <c r="P292" s="1007"/>
      <c r="Q292" s="119"/>
    </row>
    <row r="293" spans="3:17">
      <c r="C293" s="28">
        <f t="shared" si="46"/>
        <v>22</v>
      </c>
      <c r="D293" s="11" t="str">
        <f t="shared" si="46"/>
        <v>诺安基金管理有限公司</v>
      </c>
      <c r="E293" s="21">
        <f t="shared" si="47"/>
        <v>14.3</v>
      </c>
      <c r="F293" s="21">
        <f t="shared" si="48"/>
        <v>1.573</v>
      </c>
      <c r="G293" s="19" t="str">
        <f t="shared" si="49"/>
        <v/>
      </c>
      <c r="H293" s="21" t="str">
        <f t="shared" si="50"/>
        <v/>
      </c>
      <c r="J293" s="1094">
        <v>22</v>
      </c>
      <c r="K293" s="1087" t="s">
        <v>147</v>
      </c>
      <c r="L293" s="1088">
        <v>14.3</v>
      </c>
      <c r="M293" s="1089">
        <v>1100</v>
      </c>
      <c r="N293" s="1007">
        <f t="shared" si="51"/>
        <v>15730</v>
      </c>
      <c r="O293" s="1007"/>
      <c r="P293" s="1007"/>
      <c r="Q293" s="119"/>
    </row>
    <row r="294" spans="3:17">
      <c r="C294" s="28" t="str">
        <f t="shared" si="46"/>
        <v/>
      </c>
      <c r="D294" s="11" t="str">
        <f t="shared" si="46"/>
        <v/>
      </c>
      <c r="E294" s="21">
        <f t="shared" si="47"/>
        <v>13.77</v>
      </c>
      <c r="F294" s="21">
        <f t="shared" si="48"/>
        <v>3.1671</v>
      </c>
      <c r="G294" s="19" t="str">
        <f t="shared" si="49"/>
        <v/>
      </c>
      <c r="H294" s="21" t="str">
        <f t="shared" si="50"/>
        <v/>
      </c>
      <c r="J294" s="1094"/>
      <c r="K294" s="1087"/>
      <c r="L294" s="1088">
        <v>13.77</v>
      </c>
      <c r="M294" s="1089">
        <v>2300</v>
      </c>
      <c r="N294" s="1007">
        <f t="shared" si="51"/>
        <v>31671</v>
      </c>
      <c r="O294" s="1007"/>
      <c r="P294" s="1007"/>
      <c r="Q294" s="119"/>
    </row>
    <row r="295" spans="3:17">
      <c r="C295" s="28">
        <f t="shared" si="46"/>
        <v>23</v>
      </c>
      <c r="D295" s="11" t="str">
        <f t="shared" si="46"/>
        <v>财通基金管理有限公司</v>
      </c>
      <c r="E295" s="21">
        <f t="shared" si="47"/>
        <v>15.35</v>
      </c>
      <c r="F295" s="21">
        <f t="shared" si="48"/>
        <v>6.14</v>
      </c>
      <c r="G295" s="19">
        <f t="shared" si="49"/>
        <v>2614.6579000000002</v>
      </c>
      <c r="H295" s="21">
        <f t="shared" si="50"/>
        <v>4.0134998765000001</v>
      </c>
      <c r="J295" s="1093">
        <v>23</v>
      </c>
      <c r="K295" s="1090" t="s">
        <v>115</v>
      </c>
      <c r="L295" s="1088">
        <v>15.35</v>
      </c>
      <c r="M295" s="1089">
        <v>4000</v>
      </c>
      <c r="N295" s="1007">
        <f t="shared" si="51"/>
        <v>61400</v>
      </c>
      <c r="O295" s="1007"/>
      <c r="P295" s="1007"/>
      <c r="Q295" s="119"/>
    </row>
    <row r="296" spans="3:17">
      <c r="C296" s="28">
        <f t="shared" si="46"/>
        <v>24</v>
      </c>
      <c r="D296" s="11" t="str">
        <f t="shared" si="46"/>
        <v>华夏人寿保险股份有限公司</v>
      </c>
      <c r="E296" s="21">
        <f t="shared" si="47"/>
        <v>13.56</v>
      </c>
      <c r="F296" s="21">
        <f t="shared" si="48"/>
        <v>1.4916</v>
      </c>
      <c r="G296" s="19" t="str">
        <f t="shared" si="49"/>
        <v/>
      </c>
      <c r="H296" s="21" t="str">
        <f t="shared" si="50"/>
        <v/>
      </c>
      <c r="J296" s="1093">
        <v>24</v>
      </c>
      <c r="K296" s="1090" t="s">
        <v>119</v>
      </c>
      <c r="L296" s="1088">
        <v>13.56</v>
      </c>
      <c r="M296" s="1089">
        <v>1100</v>
      </c>
      <c r="N296" s="1007">
        <f t="shared" si="51"/>
        <v>14916</v>
      </c>
      <c r="O296" s="1007"/>
      <c r="P296" s="1007"/>
      <c r="Q296" s="119"/>
    </row>
    <row r="297" spans="3:17">
      <c r="C297" s="28">
        <f t="shared" si="46"/>
        <v>25</v>
      </c>
      <c r="D297" s="11" t="str">
        <f t="shared" si="46"/>
        <v>创金和信基金管理有限公司</v>
      </c>
      <c r="E297" s="21">
        <f t="shared" si="47"/>
        <v>12</v>
      </c>
      <c r="F297" s="21">
        <f t="shared" si="48"/>
        <v>1.32</v>
      </c>
      <c r="G297" s="19" t="str">
        <f t="shared" si="49"/>
        <v/>
      </c>
      <c r="H297" s="21" t="str">
        <f t="shared" si="50"/>
        <v/>
      </c>
      <c r="J297" s="1093">
        <v>25</v>
      </c>
      <c r="K297" s="1090" t="s">
        <v>524</v>
      </c>
      <c r="L297" s="1088">
        <v>12</v>
      </c>
      <c r="M297" s="1089">
        <v>1100</v>
      </c>
      <c r="N297" s="1007">
        <f t="shared" si="51"/>
        <v>13200</v>
      </c>
      <c r="O297" s="1007"/>
      <c r="P297" s="1007"/>
      <c r="Q297" s="119"/>
    </row>
    <row r="298" spans="3:17">
      <c r="C298" s="28">
        <f t="shared" si="46"/>
        <v>26</v>
      </c>
      <c r="D298" s="11" t="str">
        <f t="shared" si="46"/>
        <v>兴业全球基金管理有限公司</v>
      </c>
      <c r="E298" s="21">
        <f t="shared" si="47"/>
        <v>11.55</v>
      </c>
      <c r="F298" s="21">
        <f t="shared" si="48"/>
        <v>2.0790000000000002</v>
      </c>
      <c r="G298" s="19" t="str">
        <f t="shared" si="49"/>
        <v/>
      </c>
      <c r="H298" s="21" t="str">
        <f t="shared" si="50"/>
        <v/>
      </c>
      <c r="J298" s="1094">
        <v>26</v>
      </c>
      <c r="K298" s="1054" t="s">
        <v>131</v>
      </c>
      <c r="L298" s="1088">
        <v>11.55</v>
      </c>
      <c r="M298" s="1089">
        <v>1800</v>
      </c>
      <c r="N298" s="1007">
        <f t="shared" si="51"/>
        <v>20790</v>
      </c>
      <c r="O298" s="1007"/>
      <c r="P298" s="1007"/>
      <c r="Q298" s="119"/>
    </row>
    <row r="299" spans="3:17">
      <c r="C299" s="28" t="str">
        <f t="shared" si="46"/>
        <v/>
      </c>
      <c r="D299" s="11" t="str">
        <f t="shared" si="46"/>
        <v/>
      </c>
      <c r="E299" s="21">
        <f t="shared" si="47"/>
        <v>10.050000000000001</v>
      </c>
      <c r="F299" s="21">
        <f t="shared" si="48"/>
        <v>2.5125000000000002</v>
      </c>
      <c r="G299" s="19" t="str">
        <f t="shared" si="49"/>
        <v/>
      </c>
      <c r="H299" s="21" t="str">
        <f t="shared" si="50"/>
        <v/>
      </c>
      <c r="J299" s="1094"/>
      <c r="K299" s="1054"/>
      <c r="L299" s="1088">
        <v>10.050000000000001</v>
      </c>
      <c r="M299" s="1089">
        <v>2500</v>
      </c>
      <c r="N299" s="1007">
        <f t="shared" si="51"/>
        <v>25125</v>
      </c>
      <c r="O299" s="1007"/>
      <c r="P299" s="1007"/>
      <c r="Q299" s="119"/>
    </row>
    <row r="300" spans="3:17">
      <c r="C300" s="28">
        <f t="shared" si="46"/>
        <v>27</v>
      </c>
      <c r="D300" s="11" t="str">
        <f t="shared" si="46"/>
        <v>德盈润泰实业有限公司</v>
      </c>
      <c r="E300" s="21">
        <f t="shared" si="47"/>
        <v>12</v>
      </c>
      <c r="F300" s="21">
        <f t="shared" si="48"/>
        <v>1.32</v>
      </c>
      <c r="G300" s="19" t="str">
        <f t="shared" si="49"/>
        <v/>
      </c>
      <c r="H300" s="21" t="str">
        <f t="shared" si="50"/>
        <v/>
      </c>
      <c r="J300" s="1086">
        <v>27</v>
      </c>
      <c r="K300" s="1054" t="s">
        <v>523</v>
      </c>
      <c r="L300" s="1088">
        <v>12</v>
      </c>
      <c r="M300" s="1089">
        <v>1100</v>
      </c>
      <c r="N300" s="1007">
        <f t="shared" si="51"/>
        <v>13200</v>
      </c>
      <c r="O300" s="1007"/>
      <c r="P300" s="1007"/>
      <c r="Q300" s="119"/>
    </row>
    <row r="301" spans="3:17">
      <c r="C301" s="28" t="str">
        <f t="shared" si="46"/>
        <v/>
      </c>
      <c r="D301" s="11" t="str">
        <f t="shared" si="46"/>
        <v/>
      </c>
      <c r="E301" s="21">
        <f t="shared" si="47"/>
        <v>11.95</v>
      </c>
      <c r="F301" s="21">
        <f t="shared" si="48"/>
        <v>1.3145</v>
      </c>
      <c r="G301" s="19" t="str">
        <f t="shared" si="49"/>
        <v/>
      </c>
      <c r="H301" s="21" t="str">
        <f t="shared" si="50"/>
        <v/>
      </c>
      <c r="J301" s="1086"/>
      <c r="K301" s="1054"/>
      <c r="L301" s="1088">
        <v>11.95</v>
      </c>
      <c r="M301" s="1089">
        <v>1100</v>
      </c>
      <c r="N301" s="1007">
        <f t="shared" si="51"/>
        <v>13145</v>
      </c>
      <c r="O301" s="1007"/>
      <c r="P301" s="1007"/>
      <c r="Q301" s="119"/>
    </row>
    <row r="302" spans="3:17">
      <c r="C302" s="28" t="str">
        <f t="shared" si="46"/>
        <v/>
      </c>
      <c r="D302" s="11" t="str">
        <f t="shared" si="46"/>
        <v/>
      </c>
      <c r="E302" s="21">
        <f t="shared" si="47"/>
        <v>11.9</v>
      </c>
      <c r="F302" s="21">
        <f t="shared" si="48"/>
        <v>1.3089999999999999</v>
      </c>
      <c r="G302" s="19" t="str">
        <f t="shared" si="49"/>
        <v/>
      </c>
      <c r="H302" s="21" t="str">
        <f t="shared" si="50"/>
        <v/>
      </c>
      <c r="J302" s="1086"/>
      <c r="K302" s="1054"/>
      <c r="L302" s="1088">
        <v>11.9</v>
      </c>
      <c r="M302" s="1089">
        <v>1100</v>
      </c>
      <c r="N302" s="1007">
        <f t="shared" si="51"/>
        <v>13090</v>
      </c>
      <c r="O302" s="1007"/>
      <c r="P302" s="1007"/>
      <c r="Q302" s="119"/>
    </row>
    <row r="303" spans="3:17">
      <c r="C303" s="28">
        <f t="shared" si="46"/>
        <v>28</v>
      </c>
      <c r="D303" s="11" t="str">
        <f t="shared" si="46"/>
        <v>华福证券有限责任公司</v>
      </c>
      <c r="E303" s="21">
        <f t="shared" si="47"/>
        <v>14.63</v>
      </c>
      <c r="F303" s="21">
        <f t="shared" si="48"/>
        <v>1.6093</v>
      </c>
      <c r="G303" s="19" t="str">
        <f t="shared" si="49"/>
        <v/>
      </c>
      <c r="H303" s="21" t="str">
        <f t="shared" si="50"/>
        <v/>
      </c>
      <c r="J303" s="1093">
        <v>28</v>
      </c>
      <c r="K303" s="1090" t="s">
        <v>522</v>
      </c>
      <c r="L303" s="1088">
        <v>14.63</v>
      </c>
      <c r="M303" s="1089">
        <v>1100</v>
      </c>
      <c r="N303" s="1007">
        <f t="shared" si="51"/>
        <v>16093</v>
      </c>
      <c r="O303" s="1007"/>
      <c r="P303" s="1007"/>
      <c r="Q303" s="119"/>
    </row>
    <row r="304" spans="3:17">
      <c r="C304" s="28">
        <f t="shared" si="46"/>
        <v>29</v>
      </c>
      <c r="D304" s="11" t="str">
        <f t="shared" si="46"/>
        <v>熊贤忠</v>
      </c>
      <c r="E304" s="21">
        <f t="shared" si="47"/>
        <v>11</v>
      </c>
      <c r="F304" s="21">
        <f t="shared" si="48"/>
        <v>1.21</v>
      </c>
      <c r="G304" s="19" t="str">
        <f t="shared" si="49"/>
        <v/>
      </c>
      <c r="H304" s="21" t="str">
        <f t="shared" si="50"/>
        <v/>
      </c>
      <c r="J304" s="1086">
        <v>29</v>
      </c>
      <c r="K304" s="1087" t="s">
        <v>521</v>
      </c>
      <c r="L304" s="1088">
        <v>11</v>
      </c>
      <c r="M304" s="1089">
        <v>1100</v>
      </c>
      <c r="N304" s="1007">
        <f t="shared" si="51"/>
        <v>12100</v>
      </c>
      <c r="O304" s="1007"/>
      <c r="P304" s="1007"/>
      <c r="Q304" s="119"/>
    </row>
    <row r="305" spans="3:17">
      <c r="C305" s="28" t="str">
        <f t="shared" si="46"/>
        <v/>
      </c>
      <c r="D305" s="11" t="str">
        <f t="shared" si="46"/>
        <v/>
      </c>
      <c r="E305" s="21">
        <f t="shared" si="47"/>
        <v>10.5</v>
      </c>
      <c r="F305" s="21">
        <f t="shared" si="48"/>
        <v>1.155</v>
      </c>
      <c r="G305" s="19" t="str">
        <f t="shared" si="49"/>
        <v/>
      </c>
      <c r="H305" s="21" t="str">
        <f t="shared" si="50"/>
        <v/>
      </c>
      <c r="J305" s="1086"/>
      <c r="K305" s="1087"/>
      <c r="L305" s="1088">
        <v>10.5</v>
      </c>
      <c r="M305" s="1089">
        <v>1100</v>
      </c>
      <c r="N305" s="1007">
        <f t="shared" si="51"/>
        <v>11550</v>
      </c>
      <c r="O305" s="1007"/>
      <c r="P305" s="1007"/>
      <c r="Q305" s="119"/>
    </row>
    <row r="306" spans="3:17">
      <c r="C306" s="28" t="str">
        <f t="shared" si="46"/>
        <v/>
      </c>
      <c r="D306" s="11" t="str">
        <f t="shared" si="46"/>
        <v/>
      </c>
      <c r="E306" s="21">
        <f t="shared" si="47"/>
        <v>10</v>
      </c>
      <c r="F306" s="21">
        <f>N306/10000</f>
        <v>1.1000000000000001</v>
      </c>
      <c r="G306" s="19" t="str">
        <f t="shared" si="49"/>
        <v/>
      </c>
      <c r="H306" s="21" t="str">
        <f>IFERROR(G306*M$251/10000,"")</f>
        <v/>
      </c>
      <c r="J306" s="1086"/>
      <c r="K306" s="1087"/>
      <c r="L306" s="1088">
        <v>10</v>
      </c>
      <c r="M306" s="1089">
        <v>1100</v>
      </c>
      <c r="N306" s="1007">
        <f t="shared" si="51"/>
        <v>11000</v>
      </c>
      <c r="O306" s="1007"/>
      <c r="P306" s="1007"/>
      <c r="Q306" s="119"/>
    </row>
    <row r="307" spans="3:17">
      <c r="C307" s="28">
        <f t="shared" ref="C307:D320" si="52">IF(J307=0,"",J307)</f>
        <v>30</v>
      </c>
      <c r="D307" s="11" t="str">
        <f t="shared" si="52"/>
        <v>申万菱信（上海）资产管理有限公司</v>
      </c>
      <c r="E307" s="21">
        <f t="shared" si="47"/>
        <v>14.28</v>
      </c>
      <c r="F307" s="21">
        <f t="shared" ref="F307:F320" si="53">N307/10000</f>
        <v>1.5708</v>
      </c>
      <c r="G307" s="19" t="str">
        <f t="shared" si="49"/>
        <v/>
      </c>
      <c r="H307" s="21" t="str">
        <f t="shared" ref="H307:H320" si="54">IFERROR(G307*M$251/10000,"")</f>
        <v/>
      </c>
      <c r="J307" s="1093">
        <v>30</v>
      </c>
      <c r="K307" s="1090" t="s">
        <v>138</v>
      </c>
      <c r="L307" s="1088">
        <v>14.28</v>
      </c>
      <c r="M307" s="1089">
        <v>1100</v>
      </c>
      <c r="N307" s="1007">
        <f t="shared" si="51"/>
        <v>15708</v>
      </c>
      <c r="O307" s="1007"/>
      <c r="P307" s="1007"/>
      <c r="Q307" s="119"/>
    </row>
    <row r="308" spans="3:17">
      <c r="C308" s="28">
        <f t="shared" si="52"/>
        <v>31</v>
      </c>
      <c r="D308" s="11" t="str">
        <f t="shared" si="52"/>
        <v>华安基金管理有限公司</v>
      </c>
      <c r="E308" s="21">
        <f t="shared" si="47"/>
        <v>12.51</v>
      </c>
      <c r="F308" s="21">
        <f t="shared" si="53"/>
        <v>1.3761000000000001</v>
      </c>
      <c r="G308" s="19" t="str">
        <f t="shared" si="49"/>
        <v/>
      </c>
      <c r="H308" s="21" t="str">
        <f t="shared" si="54"/>
        <v/>
      </c>
      <c r="J308" s="1094">
        <v>31</v>
      </c>
      <c r="K308" s="1054" t="s">
        <v>136</v>
      </c>
      <c r="L308" s="1088">
        <v>12.51</v>
      </c>
      <c r="M308" s="1089">
        <v>1100</v>
      </c>
      <c r="N308" s="1007">
        <f t="shared" si="51"/>
        <v>13761</v>
      </c>
      <c r="O308" s="1007"/>
      <c r="P308" s="1007"/>
      <c r="Q308" s="119"/>
    </row>
    <row r="309" spans="3:17">
      <c r="C309" s="28" t="str">
        <f t="shared" si="52"/>
        <v/>
      </c>
      <c r="D309" s="11" t="str">
        <f t="shared" si="52"/>
        <v/>
      </c>
      <c r="E309" s="21">
        <f t="shared" si="47"/>
        <v>12.32</v>
      </c>
      <c r="F309" s="21">
        <f t="shared" si="53"/>
        <v>1.7248000000000001</v>
      </c>
      <c r="G309" s="19" t="str">
        <f t="shared" si="49"/>
        <v/>
      </c>
      <c r="H309" s="21" t="str">
        <f t="shared" si="54"/>
        <v/>
      </c>
      <c r="J309" s="1094"/>
      <c r="K309" s="1054"/>
      <c r="L309" s="1088">
        <v>12.32</v>
      </c>
      <c r="M309" s="1089">
        <v>1400</v>
      </c>
      <c r="N309" s="1007">
        <f t="shared" si="51"/>
        <v>17248</v>
      </c>
      <c r="O309" s="1007"/>
      <c r="P309" s="1007"/>
      <c r="Q309" s="119"/>
    </row>
    <row r="310" spans="3:17">
      <c r="C310" s="28">
        <f t="shared" si="52"/>
        <v>32</v>
      </c>
      <c r="D310" s="11" t="str">
        <f t="shared" si="52"/>
        <v>金鹰基金管理有限公司</v>
      </c>
      <c r="E310" s="21">
        <f t="shared" si="47"/>
        <v>16.510000000000002</v>
      </c>
      <c r="F310" s="21">
        <f t="shared" si="53"/>
        <v>1.8161</v>
      </c>
      <c r="G310" s="19">
        <f t="shared" si="49"/>
        <v>1700</v>
      </c>
      <c r="H310" s="21">
        <f t="shared" si="54"/>
        <v>2.6095000000000002</v>
      </c>
      <c r="J310" s="1086">
        <v>32</v>
      </c>
      <c r="K310" s="1087" t="s">
        <v>278</v>
      </c>
      <c r="L310" s="1088">
        <v>16.510000000000002</v>
      </c>
      <c r="M310" s="1089">
        <v>1100</v>
      </c>
      <c r="N310" s="1007">
        <f t="shared" si="51"/>
        <v>18161</v>
      </c>
      <c r="O310" s="1007"/>
      <c r="P310" s="1007"/>
      <c r="Q310" s="119"/>
    </row>
    <row r="311" spans="3:17">
      <c r="C311" s="28" t="str">
        <f t="shared" si="52"/>
        <v/>
      </c>
      <c r="D311" s="11" t="str">
        <f t="shared" si="52"/>
        <v/>
      </c>
      <c r="E311" s="21">
        <f t="shared" si="47"/>
        <v>16</v>
      </c>
      <c r="F311" s="21">
        <f t="shared" si="53"/>
        <v>2.72</v>
      </c>
      <c r="G311" s="19" t="str">
        <f t="shared" si="49"/>
        <v/>
      </c>
      <c r="H311" s="21" t="str">
        <f t="shared" si="54"/>
        <v/>
      </c>
      <c r="J311" s="1086"/>
      <c r="K311" s="1087"/>
      <c r="L311" s="1088">
        <v>16</v>
      </c>
      <c r="M311" s="1089">
        <v>1700</v>
      </c>
      <c r="N311" s="1007">
        <f t="shared" si="51"/>
        <v>27200</v>
      </c>
      <c r="O311" s="1007"/>
      <c r="P311" s="1007"/>
      <c r="Q311" s="119"/>
    </row>
    <row r="312" spans="3:17">
      <c r="C312" s="28" t="str">
        <f t="shared" si="52"/>
        <v/>
      </c>
      <c r="D312" s="11" t="str">
        <f t="shared" si="52"/>
        <v/>
      </c>
      <c r="E312" s="21">
        <f t="shared" si="47"/>
        <v>11.5</v>
      </c>
      <c r="F312" s="21">
        <f t="shared" si="53"/>
        <v>2.76</v>
      </c>
      <c r="G312" s="19" t="str">
        <f t="shared" si="49"/>
        <v/>
      </c>
      <c r="H312" s="21" t="str">
        <f t="shared" si="54"/>
        <v/>
      </c>
      <c r="J312" s="1086"/>
      <c r="K312" s="1087"/>
      <c r="L312" s="1088">
        <v>11.5</v>
      </c>
      <c r="M312" s="1089">
        <v>2400</v>
      </c>
      <c r="N312" s="1007">
        <f t="shared" si="51"/>
        <v>27600</v>
      </c>
      <c r="O312" s="1007"/>
      <c r="P312" s="1007"/>
      <c r="Q312" s="119"/>
    </row>
    <row r="313" spans="3:17">
      <c r="C313" s="28">
        <f t="shared" si="52"/>
        <v>33</v>
      </c>
      <c r="D313" s="11" t="str">
        <f t="shared" si="52"/>
        <v>申万菱信基金管理有限公司</v>
      </c>
      <c r="E313" s="21">
        <f t="shared" si="47"/>
        <v>15.01</v>
      </c>
      <c r="F313" s="21">
        <f t="shared" si="53"/>
        <v>1.6511</v>
      </c>
      <c r="G313" s="19" t="str">
        <f t="shared" si="49"/>
        <v/>
      </c>
      <c r="H313" s="21" t="str">
        <f t="shared" si="54"/>
        <v/>
      </c>
      <c r="J313" s="1086">
        <v>33</v>
      </c>
      <c r="K313" s="1054" t="s">
        <v>121</v>
      </c>
      <c r="L313" s="1088">
        <v>15.01</v>
      </c>
      <c r="M313" s="1089">
        <v>1100</v>
      </c>
      <c r="N313" s="1007">
        <f t="shared" si="51"/>
        <v>16511</v>
      </c>
      <c r="O313" s="1007"/>
      <c r="P313" s="1007"/>
      <c r="Q313" s="119"/>
    </row>
    <row r="314" spans="3:17">
      <c r="C314" s="28" t="str">
        <f t="shared" si="52"/>
        <v/>
      </c>
      <c r="D314" s="11" t="str">
        <f t="shared" si="52"/>
        <v/>
      </c>
      <c r="E314" s="21">
        <f t="shared" si="47"/>
        <v>14.81</v>
      </c>
      <c r="F314" s="21">
        <f t="shared" si="53"/>
        <v>2.9620000000000002</v>
      </c>
      <c r="G314" s="19" t="str">
        <f t="shared" si="49"/>
        <v/>
      </c>
      <c r="H314" s="21" t="str">
        <f t="shared" si="54"/>
        <v/>
      </c>
      <c r="J314" s="1086"/>
      <c r="K314" s="1054"/>
      <c r="L314" s="1088">
        <v>14.81</v>
      </c>
      <c r="M314" s="1089">
        <v>2000</v>
      </c>
      <c r="N314" s="1007">
        <f t="shared" si="51"/>
        <v>29620</v>
      </c>
      <c r="O314" s="1007"/>
      <c r="P314" s="1007"/>
      <c r="Q314" s="119"/>
    </row>
    <row r="315" spans="3:17">
      <c r="C315" s="28" t="str">
        <f t="shared" si="52"/>
        <v/>
      </c>
      <c r="D315" s="11" t="str">
        <f t="shared" si="52"/>
        <v/>
      </c>
      <c r="E315" s="21">
        <f t="shared" si="47"/>
        <v>12.13</v>
      </c>
      <c r="F315" s="21">
        <f t="shared" si="53"/>
        <v>3.5177</v>
      </c>
      <c r="G315" s="19" t="str">
        <f t="shared" si="49"/>
        <v/>
      </c>
      <c r="H315" s="21" t="str">
        <f t="shared" si="54"/>
        <v/>
      </c>
      <c r="J315" s="1086"/>
      <c r="K315" s="1054"/>
      <c r="L315" s="1088">
        <v>12.13</v>
      </c>
      <c r="M315" s="1089">
        <v>2900</v>
      </c>
      <c r="N315" s="1007">
        <f t="shared" si="51"/>
        <v>35177</v>
      </c>
      <c r="O315" s="1007"/>
      <c r="P315" s="1007"/>
      <c r="Q315" s="119"/>
    </row>
    <row r="316" spans="3:17">
      <c r="C316" s="28">
        <f t="shared" si="52"/>
        <v>34</v>
      </c>
      <c r="D316" s="11" t="str">
        <f t="shared" si="52"/>
        <v>赖宗阳</v>
      </c>
      <c r="E316" s="21">
        <f t="shared" si="47"/>
        <v>11.89</v>
      </c>
      <c r="F316" s="21">
        <f t="shared" si="53"/>
        <v>1.4268000000000001</v>
      </c>
      <c r="G316" s="19" t="str">
        <f t="shared" si="49"/>
        <v/>
      </c>
      <c r="H316" s="21" t="str">
        <f t="shared" si="54"/>
        <v/>
      </c>
      <c r="J316" s="1093">
        <v>34</v>
      </c>
      <c r="K316" s="1090" t="s">
        <v>137</v>
      </c>
      <c r="L316" s="1088">
        <v>11.89</v>
      </c>
      <c r="M316" s="1089">
        <v>1200</v>
      </c>
      <c r="N316" s="1007">
        <f t="shared" si="51"/>
        <v>14268</v>
      </c>
      <c r="O316" s="1007"/>
      <c r="P316" s="1007"/>
      <c r="Q316" s="119"/>
    </row>
    <row r="317" spans="3:17">
      <c r="C317" s="28">
        <f t="shared" si="52"/>
        <v>35</v>
      </c>
      <c r="D317" s="11" t="str">
        <f t="shared" si="52"/>
        <v>霍尔果斯金海狮股权投资管理合伙企业（有限合伙）</v>
      </c>
      <c r="E317" s="21">
        <f t="shared" si="47"/>
        <v>13</v>
      </c>
      <c r="F317" s="21">
        <f t="shared" si="53"/>
        <v>1.43</v>
      </c>
      <c r="G317" s="19" t="str">
        <f t="shared" si="49"/>
        <v/>
      </c>
      <c r="H317" s="21" t="str">
        <f t="shared" si="54"/>
        <v/>
      </c>
      <c r="J317" s="1086">
        <v>35</v>
      </c>
      <c r="K317" s="1054" t="s">
        <v>520</v>
      </c>
      <c r="L317" s="1088">
        <v>13</v>
      </c>
      <c r="M317" s="1089">
        <v>1100</v>
      </c>
      <c r="N317" s="1007">
        <f t="shared" si="51"/>
        <v>14300</v>
      </c>
      <c r="O317" s="1007"/>
      <c r="P317" s="1007"/>
      <c r="Q317" s="119"/>
    </row>
    <row r="318" spans="3:17">
      <c r="C318" s="28" t="str">
        <f t="shared" si="52"/>
        <v/>
      </c>
      <c r="D318" s="11" t="str">
        <f t="shared" si="52"/>
        <v/>
      </c>
      <c r="E318" s="21">
        <f t="shared" si="47"/>
        <v>12.98</v>
      </c>
      <c r="F318" s="21">
        <f t="shared" si="53"/>
        <v>1.4278</v>
      </c>
      <c r="G318" s="19" t="str">
        <f t="shared" si="49"/>
        <v/>
      </c>
      <c r="H318" s="21" t="str">
        <f t="shared" si="54"/>
        <v/>
      </c>
      <c r="J318" s="1086"/>
      <c r="K318" s="1054"/>
      <c r="L318" s="1088">
        <v>12.98</v>
      </c>
      <c r="M318" s="1089">
        <v>1100</v>
      </c>
      <c r="N318" s="1007">
        <f t="shared" si="51"/>
        <v>14278</v>
      </c>
      <c r="O318" s="1007"/>
      <c r="P318" s="1007"/>
      <c r="Q318" s="119"/>
    </row>
    <row r="319" spans="3:17">
      <c r="C319" s="28" t="str">
        <f t="shared" si="52"/>
        <v/>
      </c>
      <c r="D319" s="11" t="str">
        <f t="shared" si="52"/>
        <v/>
      </c>
      <c r="E319" s="21">
        <f t="shared" ref="E319:E320" si="55">L319</f>
        <v>12.95</v>
      </c>
      <c r="F319" s="21">
        <f t="shared" si="53"/>
        <v>1.4245000000000001</v>
      </c>
      <c r="G319" s="19" t="str">
        <f>IFERROR(VLOOKUP(D319,O$253:Q$320,2,FALSE)/1,"")</f>
        <v/>
      </c>
      <c r="H319" s="21" t="str">
        <f t="shared" si="54"/>
        <v/>
      </c>
      <c r="J319" s="1086"/>
      <c r="K319" s="1054"/>
      <c r="L319" s="1088">
        <v>12.95</v>
      </c>
      <c r="M319" s="1089">
        <v>1100</v>
      </c>
      <c r="N319" s="1007">
        <f>M319*L319</f>
        <v>14245</v>
      </c>
      <c r="O319" s="1007"/>
      <c r="P319" s="1007"/>
      <c r="Q319" s="119"/>
    </row>
    <row r="320" spans="3:17">
      <c r="C320" s="28">
        <f t="shared" si="52"/>
        <v>36</v>
      </c>
      <c r="D320" s="11" t="str">
        <f t="shared" si="52"/>
        <v>中融(北京)资产管理有限公司</v>
      </c>
      <c r="E320" s="21">
        <f t="shared" si="55"/>
        <v>10.81</v>
      </c>
      <c r="F320" s="21">
        <f t="shared" si="53"/>
        <v>1.1891</v>
      </c>
      <c r="G320" s="19" t="str">
        <f>IFERROR(VLOOKUP(D320,O$253:Q$320,2,FALSE)/1,"")</f>
        <v/>
      </c>
      <c r="H320" s="21" t="str">
        <f t="shared" si="54"/>
        <v/>
      </c>
      <c r="J320" s="1093">
        <v>36</v>
      </c>
      <c r="K320" s="1007" t="s">
        <v>519</v>
      </c>
      <c r="L320" s="1088">
        <v>10.81</v>
      </c>
      <c r="M320" s="1089">
        <v>1100</v>
      </c>
      <c r="N320" s="1007">
        <f>M320*L320</f>
        <v>11891</v>
      </c>
      <c r="O320" s="1007"/>
      <c r="P320" s="1007"/>
      <c r="Q320" s="119"/>
    </row>
    <row r="322" spans="1:21">
      <c r="A322" s="24">
        <v>8</v>
      </c>
      <c r="B322" s="12" t="s">
        <v>106</v>
      </c>
      <c r="C322" s="12" t="s">
        <v>126</v>
      </c>
      <c r="D322" s="12" t="s">
        <v>107</v>
      </c>
      <c r="E322" s="12" t="s">
        <v>4</v>
      </c>
      <c r="F322" s="13" t="s">
        <v>108</v>
      </c>
      <c r="G322" s="13" t="s">
        <v>109</v>
      </c>
      <c r="H322" s="12" t="s">
        <v>274</v>
      </c>
      <c r="I322" s="12" t="s">
        <v>273</v>
      </c>
      <c r="J322" s="12" t="s">
        <v>116</v>
      </c>
      <c r="K322" s="14" t="s">
        <v>110</v>
      </c>
      <c r="L322" s="14" t="s">
        <v>276</v>
      </c>
      <c r="M322" s="14" t="s">
        <v>117</v>
      </c>
      <c r="N322" s="15" t="s">
        <v>275</v>
      </c>
      <c r="O322" s="12" t="s">
        <v>111</v>
      </c>
      <c r="P322" s="8" t="s">
        <v>12</v>
      </c>
      <c r="Q322" s="8" t="s">
        <v>190</v>
      </c>
      <c r="R322" s="15" t="s">
        <v>129</v>
      </c>
      <c r="S322" s="14" t="s">
        <v>220</v>
      </c>
    </row>
    <row r="323" spans="1:21">
      <c r="A323" s="24">
        <v>6</v>
      </c>
      <c r="B323" s="979">
        <v>18</v>
      </c>
      <c r="C323" s="11" t="s">
        <v>179</v>
      </c>
      <c r="D323" s="1" t="s">
        <v>27</v>
      </c>
      <c r="E323" s="1" t="s">
        <v>26</v>
      </c>
      <c r="F323" s="3">
        <v>9.7200000000000006</v>
      </c>
      <c r="G323" s="3">
        <v>9.7199998896000004</v>
      </c>
      <c r="H323" s="2">
        <v>42391</v>
      </c>
      <c r="I323" s="1001" t="s">
        <v>151</v>
      </c>
      <c r="J323" s="11">
        <v>58.1</v>
      </c>
      <c r="K323" s="3">
        <v>37.86</v>
      </c>
      <c r="L323" s="3">
        <f>K323/J323</f>
        <v>0.6516351118760757</v>
      </c>
      <c r="M323" s="3">
        <v>47.19</v>
      </c>
      <c r="N323" s="10">
        <f>M323/J323</f>
        <v>0.81222030981067117</v>
      </c>
      <c r="O323" s="1002">
        <v>7</v>
      </c>
      <c r="P323" s="2">
        <v>42802</v>
      </c>
      <c r="Q323" s="1003">
        <v>39.07</v>
      </c>
      <c r="R323" s="18">
        <f>(Q323*(1+T323/10)+U323/10)/M323</f>
        <v>0.82877728332273792</v>
      </c>
      <c r="S323" s="11" t="s">
        <v>222</v>
      </c>
      <c r="T323" s="22">
        <f>IFERROR(RIGHT(LEFT(S323,FIND("股",S323)-1),(FIND("股",S323)-1-FIND("转",S323))),0)</f>
        <v>0</v>
      </c>
      <c r="U323" s="23" t="str">
        <f>IFERROR(RIGHT(LEFT(S323,FIND("元",S323)-1),(FIND("元",S323)-1-FIND("派",S323))),0)</f>
        <v>0.4</v>
      </c>
    </row>
    <row r="325" spans="1:21">
      <c r="C325" s="27" t="s">
        <v>118</v>
      </c>
      <c r="D325" s="16" t="s">
        <v>112</v>
      </c>
      <c r="E325" s="16" t="s">
        <v>113</v>
      </c>
      <c r="F325" s="16" t="s">
        <v>288</v>
      </c>
      <c r="G325" s="17" t="s">
        <v>287</v>
      </c>
      <c r="H325" s="16" t="s">
        <v>289</v>
      </c>
      <c r="J325" s="1005" t="s">
        <v>298</v>
      </c>
      <c r="K325" s="1005" t="s">
        <v>331</v>
      </c>
      <c r="L325" s="1007" t="s">
        <v>307</v>
      </c>
      <c r="M325" s="1007" t="s">
        <v>308</v>
      </c>
      <c r="N325" s="1045"/>
      <c r="O325" s="1095" t="s">
        <v>376</v>
      </c>
      <c r="P325" s="1096" t="s">
        <v>518</v>
      </c>
      <c r="Q325" s="121"/>
    </row>
    <row r="326" spans="1:21">
      <c r="C326" s="28">
        <v>0</v>
      </c>
      <c r="D326" s="11" t="str">
        <f>IF(K326=0,"",K326)</f>
        <v>朱烨东</v>
      </c>
      <c r="E326" s="21" t="str">
        <f>L326</f>
        <v>-</v>
      </c>
      <c r="F326" s="21" t="s">
        <v>294</v>
      </c>
      <c r="G326" s="19">
        <f t="shared" ref="G326:G371" si="56">IFERROR(VLOOKUP(D326,O$326:Q$371,2,FALSE)/10000,"")</f>
        <v>105.9547</v>
      </c>
      <c r="H326" s="21">
        <f t="shared" ref="H326:H371" si="57">IFERROR(G326*$M$323/10000,"")</f>
        <v>0.50000022929999999</v>
      </c>
      <c r="J326" s="1016">
        <v>0</v>
      </c>
      <c r="K326" s="1090" t="s">
        <v>516</v>
      </c>
      <c r="L326" s="1097" t="s">
        <v>517</v>
      </c>
      <c r="M326" s="1097" t="s">
        <v>517</v>
      </c>
      <c r="N326" s="492"/>
      <c r="O326" s="1090" t="s">
        <v>516</v>
      </c>
      <c r="P326" s="1098">
        <v>1059547</v>
      </c>
    </row>
    <row r="327" spans="1:21">
      <c r="C327" s="28">
        <f>IF(J327=0,"",J327)</f>
        <v>1</v>
      </c>
      <c r="D327" s="11" t="str">
        <f>IF(K327=0,"",K327)</f>
        <v>华泰柏瑞基金管理有限公司</v>
      </c>
      <c r="E327" s="21">
        <f>L327</f>
        <v>38.06</v>
      </c>
      <c r="F327" s="21">
        <f>M327/10000</f>
        <v>1.1075459999999999</v>
      </c>
      <c r="G327" s="19" t="str">
        <f t="shared" si="56"/>
        <v/>
      </c>
      <c r="H327" s="21" t="str">
        <f t="shared" si="57"/>
        <v/>
      </c>
      <c r="J327" s="1099">
        <v>1</v>
      </c>
      <c r="K327" s="1100" t="s">
        <v>122</v>
      </c>
      <c r="L327" s="1101">
        <v>38.06</v>
      </c>
      <c r="M327" s="1101">
        <v>11075.46</v>
      </c>
      <c r="N327" s="492"/>
      <c r="O327" s="1090" t="s">
        <v>225</v>
      </c>
      <c r="P327" s="1098">
        <v>4180080</v>
      </c>
    </row>
    <row r="328" spans="1:21">
      <c r="C328" s="28" t="str">
        <f t="shared" ref="C328:D343" si="58">IF(J328=0,"",J328)</f>
        <v/>
      </c>
      <c r="D328" s="11" t="str">
        <f t="shared" si="58"/>
        <v/>
      </c>
      <c r="E328" s="21">
        <f t="shared" ref="E328:E371" si="59">L328</f>
        <v>37.96</v>
      </c>
      <c r="F328" s="21">
        <f t="shared" ref="F328:F371" si="60">M328/10000</f>
        <v>1.49942</v>
      </c>
      <c r="G328" s="19" t="str">
        <f t="shared" si="56"/>
        <v/>
      </c>
      <c r="H328" s="21" t="str">
        <f t="shared" si="57"/>
        <v/>
      </c>
      <c r="J328" s="1099"/>
      <c r="K328" s="1100"/>
      <c r="L328" s="1101">
        <v>37.96</v>
      </c>
      <c r="M328" s="1101">
        <v>14994.2</v>
      </c>
      <c r="N328" s="492"/>
      <c r="O328" s="1090" t="s">
        <v>121</v>
      </c>
      <c r="P328" s="1098">
        <v>2959016</v>
      </c>
    </row>
    <row r="329" spans="1:21">
      <c r="C329" s="28" t="str">
        <f t="shared" si="58"/>
        <v/>
      </c>
      <c r="D329" s="11" t="str">
        <f t="shared" si="58"/>
        <v/>
      </c>
      <c r="E329" s="21">
        <f t="shared" si="59"/>
        <v>37.86</v>
      </c>
      <c r="F329" s="21">
        <f t="shared" si="60"/>
        <v>1.9990080000000001</v>
      </c>
      <c r="G329" s="19" t="str">
        <f t="shared" si="56"/>
        <v/>
      </c>
      <c r="H329" s="21" t="str">
        <f t="shared" si="57"/>
        <v/>
      </c>
      <c r="J329" s="1099"/>
      <c r="K329" s="1100"/>
      <c r="L329" s="1101">
        <v>37.86</v>
      </c>
      <c r="M329" s="1101">
        <v>19990.080000000002</v>
      </c>
      <c r="N329" s="492"/>
      <c r="O329" s="1090" t="s">
        <v>125</v>
      </c>
      <c r="P329" s="1098">
        <v>4668319</v>
      </c>
    </row>
    <row r="330" spans="1:21">
      <c r="C330" s="28">
        <f t="shared" si="58"/>
        <v>2</v>
      </c>
      <c r="D330" s="11" t="str">
        <f t="shared" si="58"/>
        <v>泰康资产管理有限责任公司</v>
      </c>
      <c r="E330" s="21">
        <f t="shared" si="59"/>
        <v>45</v>
      </c>
      <c r="F330" s="21">
        <f t="shared" si="60"/>
        <v>1.1025</v>
      </c>
      <c r="G330" s="19" t="str">
        <f t="shared" si="56"/>
        <v/>
      </c>
      <c r="H330" s="21" t="str">
        <f t="shared" si="57"/>
        <v/>
      </c>
      <c r="J330" s="1102">
        <v>2</v>
      </c>
      <c r="K330" s="1071" t="s">
        <v>124</v>
      </c>
      <c r="L330" s="1101">
        <v>45</v>
      </c>
      <c r="M330" s="1101">
        <v>11025</v>
      </c>
      <c r="N330" s="492"/>
      <c r="O330" s="1090" t="s">
        <v>506</v>
      </c>
      <c r="P330" s="1098">
        <v>2754007</v>
      </c>
    </row>
    <row r="331" spans="1:21">
      <c r="C331" s="28" t="str">
        <f t="shared" si="58"/>
        <v/>
      </c>
      <c r="D331" s="11" t="str">
        <f t="shared" si="58"/>
        <v/>
      </c>
      <c r="E331" s="21">
        <f t="shared" si="59"/>
        <v>37.880000000000003</v>
      </c>
      <c r="F331" s="21">
        <f t="shared" si="60"/>
        <v>1.4470160000000001</v>
      </c>
      <c r="G331" s="19" t="str">
        <f t="shared" si="56"/>
        <v/>
      </c>
      <c r="H331" s="21" t="str">
        <f t="shared" si="57"/>
        <v/>
      </c>
      <c r="J331" s="1102"/>
      <c r="K331" s="1071"/>
      <c r="L331" s="1101">
        <v>37.880000000000003</v>
      </c>
      <c r="M331" s="1101">
        <v>14470.16</v>
      </c>
      <c r="N331" s="492"/>
      <c r="O331" s="1090" t="s">
        <v>510</v>
      </c>
      <c r="P331" s="1098">
        <v>2340991</v>
      </c>
    </row>
    <row r="332" spans="1:21">
      <c r="C332" s="28">
        <f t="shared" si="58"/>
        <v>3</v>
      </c>
      <c r="D332" s="11" t="str">
        <f t="shared" si="58"/>
        <v>北京中商荣盛贸易有限公司</v>
      </c>
      <c r="E332" s="21">
        <f t="shared" si="59"/>
        <v>45</v>
      </c>
      <c r="F332" s="21">
        <f t="shared" si="60"/>
        <v>1.395</v>
      </c>
      <c r="G332" s="19" t="str">
        <f t="shared" si="56"/>
        <v/>
      </c>
      <c r="H332" s="21" t="str">
        <f t="shared" si="57"/>
        <v/>
      </c>
      <c r="J332" s="1103">
        <v>3</v>
      </c>
      <c r="K332" s="1069" t="s">
        <v>515</v>
      </c>
      <c r="L332" s="1101">
        <v>45</v>
      </c>
      <c r="M332" s="1101">
        <v>13950</v>
      </c>
      <c r="N332" s="492"/>
      <c r="O332" s="1090" t="s">
        <v>115</v>
      </c>
      <c r="P332" s="1098">
        <v>2635624</v>
      </c>
    </row>
    <row r="333" spans="1:21">
      <c r="C333" s="28">
        <f t="shared" si="58"/>
        <v>4</v>
      </c>
      <c r="D333" s="11" t="str">
        <f t="shared" si="58"/>
        <v>武汉睿福德投资管理中心（有限合伙）</v>
      </c>
      <c r="E333" s="21">
        <f t="shared" si="59"/>
        <v>45</v>
      </c>
      <c r="F333" s="21">
        <f t="shared" si="60"/>
        <v>1.1970000000000001</v>
      </c>
      <c r="G333" s="19" t="str">
        <f t="shared" si="56"/>
        <v/>
      </c>
      <c r="H333" s="21" t="str">
        <f t="shared" si="57"/>
        <v/>
      </c>
      <c r="J333" s="1099">
        <v>4</v>
      </c>
      <c r="K333" s="1100" t="s">
        <v>514</v>
      </c>
      <c r="L333" s="1101">
        <v>45</v>
      </c>
      <c r="M333" s="1101">
        <v>11970</v>
      </c>
      <c r="N333" s="492"/>
      <c r="O333" s="1104"/>
      <c r="P333" s="1098"/>
    </row>
    <row r="334" spans="1:21">
      <c r="C334" s="28" t="str">
        <f t="shared" si="58"/>
        <v/>
      </c>
      <c r="D334" s="11" t="str">
        <f t="shared" si="58"/>
        <v/>
      </c>
      <c r="E334" s="21">
        <f t="shared" si="59"/>
        <v>42</v>
      </c>
      <c r="F334" s="21">
        <f t="shared" si="60"/>
        <v>1.1970000000000001</v>
      </c>
      <c r="G334" s="19" t="str">
        <f t="shared" si="56"/>
        <v/>
      </c>
      <c r="H334" s="21" t="str">
        <f t="shared" si="57"/>
        <v/>
      </c>
      <c r="J334" s="1099"/>
      <c r="K334" s="1100"/>
      <c r="L334" s="1101">
        <v>42</v>
      </c>
      <c r="M334" s="1101">
        <v>11970</v>
      </c>
      <c r="N334" s="492"/>
      <c r="O334" s="1104"/>
      <c r="P334" s="1098"/>
    </row>
    <row r="335" spans="1:21">
      <c r="C335" s="28" t="str">
        <f t="shared" si="58"/>
        <v/>
      </c>
      <c r="D335" s="11" t="str">
        <f t="shared" si="58"/>
        <v/>
      </c>
      <c r="E335" s="21">
        <f t="shared" si="59"/>
        <v>38</v>
      </c>
      <c r="F335" s="21">
        <f t="shared" si="60"/>
        <v>1.1970000000000001</v>
      </c>
      <c r="G335" s="19" t="str">
        <f t="shared" si="56"/>
        <v/>
      </c>
      <c r="H335" s="21" t="str">
        <f t="shared" si="57"/>
        <v/>
      </c>
      <c r="J335" s="1099"/>
      <c r="K335" s="1100"/>
      <c r="L335" s="1101">
        <v>38</v>
      </c>
      <c r="M335" s="1101">
        <v>11970</v>
      </c>
      <c r="N335" s="492"/>
      <c r="O335" s="1104"/>
      <c r="P335" s="1098"/>
    </row>
    <row r="336" spans="1:21">
      <c r="C336" s="28">
        <f t="shared" si="58"/>
        <v>5</v>
      </c>
      <c r="D336" s="11" t="str">
        <f t="shared" si="58"/>
        <v>广发基金管理有限公司</v>
      </c>
      <c r="E336" s="21">
        <f t="shared" si="59"/>
        <v>46.62</v>
      </c>
      <c r="F336" s="21">
        <f t="shared" si="60"/>
        <v>1.1002319999999999</v>
      </c>
      <c r="G336" s="19" t="str">
        <f t="shared" si="56"/>
        <v/>
      </c>
      <c r="H336" s="21" t="str">
        <f t="shared" si="57"/>
        <v/>
      </c>
      <c r="J336" s="1103">
        <v>5</v>
      </c>
      <c r="K336" s="1069" t="s">
        <v>363</v>
      </c>
      <c r="L336" s="1101">
        <v>46.62</v>
      </c>
      <c r="M336" s="1101">
        <v>11002.32</v>
      </c>
      <c r="N336" s="492"/>
      <c r="O336" s="1104"/>
      <c r="P336" s="1098"/>
    </row>
    <row r="337" spans="3:16">
      <c r="C337" s="28">
        <f t="shared" si="58"/>
        <v>6</v>
      </c>
      <c r="D337" s="11" t="str">
        <f t="shared" si="58"/>
        <v>杨廷栋</v>
      </c>
      <c r="E337" s="21">
        <f t="shared" si="59"/>
        <v>40</v>
      </c>
      <c r="F337" s="21">
        <f t="shared" si="60"/>
        <v>1.1000000000000001</v>
      </c>
      <c r="G337" s="19" t="str">
        <f t="shared" si="56"/>
        <v/>
      </c>
      <c r="H337" s="21" t="str">
        <f t="shared" si="57"/>
        <v/>
      </c>
      <c r="J337" s="1099">
        <v>6</v>
      </c>
      <c r="K337" s="1100" t="s">
        <v>513</v>
      </c>
      <c r="L337" s="1101">
        <v>40</v>
      </c>
      <c r="M337" s="1101">
        <v>11000</v>
      </c>
      <c r="N337" s="492"/>
      <c r="O337" s="1104"/>
      <c r="P337" s="1098"/>
    </row>
    <row r="338" spans="3:16">
      <c r="C338" s="28" t="str">
        <f t="shared" si="58"/>
        <v/>
      </c>
      <c r="D338" s="11" t="str">
        <f t="shared" si="58"/>
        <v/>
      </c>
      <c r="E338" s="21">
        <f t="shared" si="59"/>
        <v>38</v>
      </c>
      <c r="F338" s="21">
        <f t="shared" si="60"/>
        <v>1.1020000000000001</v>
      </c>
      <c r="G338" s="19" t="str">
        <f t="shared" si="56"/>
        <v/>
      </c>
      <c r="H338" s="21" t="str">
        <f t="shared" si="57"/>
        <v/>
      </c>
      <c r="J338" s="1099"/>
      <c r="K338" s="1100"/>
      <c r="L338" s="1101">
        <v>38</v>
      </c>
      <c r="M338" s="1101">
        <v>11020</v>
      </c>
      <c r="N338" s="492"/>
      <c r="O338" s="1104"/>
      <c r="P338" s="1098"/>
    </row>
    <row r="339" spans="3:16">
      <c r="C339" s="28" t="str">
        <f t="shared" si="58"/>
        <v/>
      </c>
      <c r="D339" s="11" t="str">
        <f t="shared" si="58"/>
        <v/>
      </c>
      <c r="E339" s="21">
        <f t="shared" si="59"/>
        <v>37.86</v>
      </c>
      <c r="F339" s="21">
        <f t="shared" si="60"/>
        <v>1.101726</v>
      </c>
      <c r="G339" s="19" t="str">
        <f t="shared" si="56"/>
        <v/>
      </c>
      <c r="H339" s="21" t="str">
        <f t="shared" si="57"/>
        <v/>
      </c>
      <c r="J339" s="1099"/>
      <c r="K339" s="1100"/>
      <c r="L339" s="1101">
        <v>37.86</v>
      </c>
      <c r="M339" s="1101">
        <v>11017.26</v>
      </c>
      <c r="N339" s="492"/>
      <c r="O339" s="1104"/>
      <c r="P339" s="1098"/>
    </row>
    <row r="340" spans="3:16">
      <c r="C340" s="28">
        <f t="shared" si="58"/>
        <v>7</v>
      </c>
      <c r="D340" s="11" t="str">
        <f t="shared" si="58"/>
        <v>兴业全球基金管理有限公司</v>
      </c>
      <c r="E340" s="21">
        <f t="shared" si="59"/>
        <v>38.1</v>
      </c>
      <c r="F340" s="21">
        <f t="shared" si="60"/>
        <v>1.1010899999999999</v>
      </c>
      <c r="G340" s="19" t="str">
        <f t="shared" si="56"/>
        <v/>
      </c>
      <c r="H340" s="21" t="str">
        <f t="shared" si="57"/>
        <v/>
      </c>
      <c r="J340" s="1103">
        <v>7</v>
      </c>
      <c r="K340" s="1069" t="s">
        <v>131</v>
      </c>
      <c r="L340" s="1101">
        <v>38.1</v>
      </c>
      <c r="M340" s="1101">
        <v>11010.9</v>
      </c>
      <c r="N340" s="492"/>
      <c r="O340" s="1104"/>
      <c r="P340" s="1098"/>
    </row>
    <row r="341" spans="3:16">
      <c r="C341" s="28">
        <f t="shared" si="58"/>
        <v>8</v>
      </c>
      <c r="D341" s="11" t="str">
        <f t="shared" si="58"/>
        <v>顾三官</v>
      </c>
      <c r="E341" s="21">
        <f t="shared" si="59"/>
        <v>45.5</v>
      </c>
      <c r="F341" s="21">
        <f t="shared" si="60"/>
        <v>1.365</v>
      </c>
      <c r="G341" s="19" t="str">
        <f t="shared" si="56"/>
        <v/>
      </c>
      <c r="H341" s="21" t="str">
        <f t="shared" si="57"/>
        <v/>
      </c>
      <c r="J341" s="1103">
        <v>8</v>
      </c>
      <c r="K341" s="1069" t="s">
        <v>512</v>
      </c>
      <c r="L341" s="1101">
        <v>45.5</v>
      </c>
      <c r="M341" s="1101">
        <v>13650</v>
      </c>
      <c r="N341" s="492"/>
      <c r="O341" s="492"/>
      <c r="P341" s="492"/>
    </row>
    <row r="342" spans="3:16">
      <c r="C342" s="28">
        <f t="shared" si="58"/>
        <v>9</v>
      </c>
      <c r="D342" s="11" t="str">
        <f t="shared" si="58"/>
        <v>河南超赢投资有限公司</v>
      </c>
      <c r="E342" s="21">
        <f t="shared" si="59"/>
        <v>45.84</v>
      </c>
      <c r="F342" s="21">
        <f t="shared" si="60"/>
        <v>1.10016</v>
      </c>
      <c r="G342" s="19" t="str">
        <f t="shared" si="56"/>
        <v/>
      </c>
      <c r="H342" s="21" t="str">
        <f t="shared" si="57"/>
        <v/>
      </c>
      <c r="J342" s="1102">
        <v>9</v>
      </c>
      <c r="K342" s="1071" t="s">
        <v>511</v>
      </c>
      <c r="L342" s="1101">
        <v>45.84</v>
      </c>
      <c r="M342" s="1101">
        <v>11001.6</v>
      </c>
      <c r="N342" s="492"/>
      <c r="O342" s="492"/>
      <c r="P342" s="492"/>
    </row>
    <row r="343" spans="3:16">
      <c r="C343" s="28" t="str">
        <f t="shared" si="58"/>
        <v/>
      </c>
      <c r="D343" s="11" t="str">
        <f t="shared" si="58"/>
        <v/>
      </c>
      <c r="E343" s="21">
        <f t="shared" si="59"/>
        <v>40.75</v>
      </c>
      <c r="F343" s="21">
        <f t="shared" si="60"/>
        <v>1.10025</v>
      </c>
      <c r="G343" s="19" t="str">
        <f t="shared" si="56"/>
        <v/>
      </c>
      <c r="H343" s="21" t="str">
        <f t="shared" si="57"/>
        <v/>
      </c>
      <c r="J343" s="1102"/>
      <c r="K343" s="1071"/>
      <c r="L343" s="1101">
        <v>40.75</v>
      </c>
      <c r="M343" s="1101">
        <v>11002.5</v>
      </c>
      <c r="N343" s="492"/>
      <c r="O343" s="492"/>
      <c r="P343" s="492"/>
    </row>
    <row r="344" spans="3:16">
      <c r="C344" s="28" t="str">
        <f t="shared" ref="C344:D371" si="61">IF(J344=0,"",J344)</f>
        <v/>
      </c>
      <c r="D344" s="11" t="str">
        <f t="shared" si="61"/>
        <v/>
      </c>
      <c r="E344" s="21">
        <f t="shared" si="59"/>
        <v>37.94</v>
      </c>
      <c r="F344" s="21">
        <f t="shared" si="60"/>
        <v>1.10026</v>
      </c>
      <c r="G344" s="19" t="str">
        <f t="shared" si="56"/>
        <v/>
      </c>
      <c r="H344" s="21" t="str">
        <f t="shared" si="57"/>
        <v/>
      </c>
      <c r="J344" s="1032"/>
      <c r="K344" s="1032"/>
      <c r="L344" s="1101">
        <v>37.94</v>
      </c>
      <c r="M344" s="1105">
        <v>11002.6</v>
      </c>
      <c r="N344" s="492"/>
      <c r="O344" s="492"/>
      <c r="P344" s="492"/>
    </row>
    <row r="345" spans="3:16">
      <c r="C345" s="28">
        <f t="shared" si="61"/>
        <v>10</v>
      </c>
      <c r="D345" s="11" t="str">
        <f t="shared" si="61"/>
        <v>青岛城投金融控股集团有限公司</v>
      </c>
      <c r="E345" s="21">
        <f t="shared" si="59"/>
        <v>54.1</v>
      </c>
      <c r="F345" s="21">
        <f t="shared" si="60"/>
        <v>1.10364</v>
      </c>
      <c r="G345" s="19">
        <f t="shared" si="56"/>
        <v>466.83190000000002</v>
      </c>
      <c r="H345" s="21">
        <f t="shared" si="57"/>
        <v>2.2029797361000001</v>
      </c>
      <c r="J345" s="1099">
        <v>10</v>
      </c>
      <c r="K345" s="1066" t="s">
        <v>125</v>
      </c>
      <c r="L345" s="1101">
        <v>54.1</v>
      </c>
      <c r="M345" s="1105">
        <v>11036.4</v>
      </c>
      <c r="N345" s="492"/>
      <c r="O345" s="492"/>
      <c r="P345" s="492"/>
    </row>
    <row r="346" spans="3:16">
      <c r="C346" s="28" t="str">
        <f t="shared" si="61"/>
        <v/>
      </c>
      <c r="D346" s="11" t="str">
        <f t="shared" si="61"/>
        <v/>
      </c>
      <c r="E346" s="21">
        <f t="shared" si="59"/>
        <v>51.1</v>
      </c>
      <c r="F346" s="21">
        <f t="shared" si="60"/>
        <v>1.6505299999999998</v>
      </c>
      <c r="G346" s="19" t="str">
        <f t="shared" si="56"/>
        <v/>
      </c>
      <c r="H346" s="21" t="str">
        <f t="shared" si="57"/>
        <v/>
      </c>
      <c r="J346" s="1099"/>
      <c r="K346" s="1066"/>
      <c r="L346" s="1101">
        <v>51.1</v>
      </c>
      <c r="M346" s="1105">
        <v>16505.3</v>
      </c>
      <c r="N346" s="492"/>
      <c r="O346" s="492"/>
      <c r="P346" s="492"/>
    </row>
    <row r="347" spans="3:16">
      <c r="C347" s="28" t="str">
        <f t="shared" si="61"/>
        <v/>
      </c>
      <c r="D347" s="11" t="str">
        <f t="shared" si="61"/>
        <v/>
      </c>
      <c r="E347" s="21">
        <f t="shared" si="59"/>
        <v>48.1</v>
      </c>
      <c r="F347" s="21">
        <f t="shared" si="60"/>
        <v>2.2029799999999997</v>
      </c>
      <c r="G347" s="19" t="str">
        <f t="shared" si="56"/>
        <v/>
      </c>
      <c r="H347" s="21" t="str">
        <f t="shared" si="57"/>
        <v/>
      </c>
      <c r="J347" s="1099"/>
      <c r="K347" s="1066"/>
      <c r="L347" s="1101">
        <v>48.1</v>
      </c>
      <c r="M347" s="1105">
        <v>22029.8</v>
      </c>
      <c r="N347" s="492"/>
      <c r="O347" s="492"/>
      <c r="P347" s="492"/>
    </row>
    <row r="348" spans="3:16">
      <c r="C348" s="28">
        <f t="shared" si="61"/>
        <v>11</v>
      </c>
      <c r="D348" s="11" t="str">
        <f t="shared" si="61"/>
        <v>凯银投资管理有限公司</v>
      </c>
      <c r="E348" s="21">
        <f t="shared" si="59"/>
        <v>53.11</v>
      </c>
      <c r="F348" s="21">
        <f t="shared" si="60"/>
        <v>1.1046879999999999</v>
      </c>
      <c r="G348" s="19">
        <f t="shared" si="56"/>
        <v>234.09909999999999</v>
      </c>
      <c r="H348" s="21">
        <f t="shared" si="57"/>
        <v>1.1047136528999999</v>
      </c>
      <c r="J348" s="1099">
        <v>11</v>
      </c>
      <c r="K348" s="1066" t="s">
        <v>510</v>
      </c>
      <c r="L348" s="1101">
        <v>53.11</v>
      </c>
      <c r="M348" s="1105">
        <v>11046.88</v>
      </c>
      <c r="N348" s="492"/>
      <c r="O348" s="492"/>
      <c r="P348" s="492"/>
    </row>
    <row r="349" spans="3:16">
      <c r="C349" s="28" t="str">
        <f t="shared" si="61"/>
        <v/>
      </c>
      <c r="D349" s="11" t="str">
        <f t="shared" si="61"/>
        <v/>
      </c>
      <c r="E349" s="21">
        <f t="shared" si="59"/>
        <v>50.16</v>
      </c>
      <c r="F349" s="21">
        <f t="shared" si="60"/>
        <v>1.1035200000000001</v>
      </c>
      <c r="G349" s="19" t="str">
        <f t="shared" si="56"/>
        <v/>
      </c>
      <c r="H349" s="21" t="str">
        <f t="shared" si="57"/>
        <v/>
      </c>
      <c r="J349" s="1099"/>
      <c r="K349" s="1066"/>
      <c r="L349" s="1101">
        <v>50.16</v>
      </c>
      <c r="M349" s="1105">
        <v>11035.2</v>
      </c>
      <c r="N349" s="492"/>
      <c r="O349" s="492"/>
      <c r="P349" s="492"/>
    </row>
    <row r="350" spans="3:16">
      <c r="C350" s="28" t="str">
        <f t="shared" si="61"/>
        <v/>
      </c>
      <c r="D350" s="11" t="str">
        <f t="shared" si="61"/>
        <v/>
      </c>
      <c r="E350" s="21">
        <f t="shared" si="59"/>
        <v>47.21</v>
      </c>
      <c r="F350" s="21">
        <f t="shared" si="60"/>
        <v>1.104714</v>
      </c>
      <c r="G350" s="19" t="str">
        <f t="shared" si="56"/>
        <v/>
      </c>
      <c r="H350" s="21" t="str">
        <f t="shared" si="57"/>
        <v/>
      </c>
      <c r="J350" s="1099"/>
      <c r="K350" s="1066"/>
      <c r="L350" s="1101">
        <v>47.21</v>
      </c>
      <c r="M350" s="1105">
        <v>11047.14</v>
      </c>
      <c r="N350" s="492"/>
      <c r="O350" s="492"/>
      <c r="P350" s="492"/>
    </row>
    <row r="351" spans="3:16">
      <c r="C351" s="28">
        <f t="shared" si="61"/>
        <v>12</v>
      </c>
      <c r="D351" s="11" t="str">
        <f t="shared" si="61"/>
        <v>南山集团资本投资有限公司</v>
      </c>
      <c r="E351" s="21">
        <f t="shared" si="59"/>
        <v>42.47</v>
      </c>
      <c r="F351" s="21">
        <f t="shared" si="60"/>
        <v>1.10422</v>
      </c>
      <c r="G351" s="19" t="str">
        <f t="shared" si="56"/>
        <v/>
      </c>
      <c r="H351" s="21" t="str">
        <f t="shared" si="57"/>
        <v/>
      </c>
      <c r="J351" s="1102">
        <v>12</v>
      </c>
      <c r="K351" s="1071" t="s">
        <v>509</v>
      </c>
      <c r="L351" s="1101">
        <v>42.47</v>
      </c>
      <c r="M351" s="1105">
        <v>11042.2</v>
      </c>
      <c r="N351" s="492"/>
      <c r="O351" s="492"/>
      <c r="P351" s="492"/>
    </row>
    <row r="352" spans="3:16">
      <c r="C352" s="28" t="str">
        <f t="shared" si="61"/>
        <v/>
      </c>
      <c r="D352" s="11" t="str">
        <f t="shared" si="61"/>
        <v/>
      </c>
      <c r="E352" s="21">
        <f t="shared" si="59"/>
        <v>37.86</v>
      </c>
      <c r="F352" s="21">
        <f t="shared" si="60"/>
        <v>1.101726</v>
      </c>
      <c r="G352" s="19" t="str">
        <f t="shared" si="56"/>
        <v/>
      </c>
      <c r="H352" s="21" t="str">
        <f t="shared" si="57"/>
        <v/>
      </c>
      <c r="J352" s="1102"/>
      <c r="K352" s="1071"/>
      <c r="L352" s="1101">
        <v>37.86</v>
      </c>
      <c r="M352" s="1105">
        <v>11017.26</v>
      </c>
      <c r="N352" s="492"/>
      <c r="O352" s="492"/>
      <c r="P352" s="492"/>
    </row>
    <row r="353" spans="3:16">
      <c r="C353" s="28">
        <f t="shared" si="61"/>
        <v>13</v>
      </c>
      <c r="D353" s="11" t="str">
        <f t="shared" si="61"/>
        <v>北京众和成长投资中心（有限合伙）</v>
      </c>
      <c r="E353" s="21">
        <f t="shared" si="59"/>
        <v>45</v>
      </c>
      <c r="F353" s="21">
        <f t="shared" si="60"/>
        <v>1.1025</v>
      </c>
      <c r="G353" s="19" t="str">
        <f t="shared" si="56"/>
        <v/>
      </c>
      <c r="H353" s="21" t="str">
        <f t="shared" si="57"/>
        <v/>
      </c>
      <c r="J353" s="1103">
        <v>13</v>
      </c>
      <c r="K353" s="1069" t="s">
        <v>508</v>
      </c>
      <c r="L353" s="1101">
        <v>45</v>
      </c>
      <c r="M353" s="1105">
        <v>11025</v>
      </c>
      <c r="N353" s="492"/>
      <c r="O353" s="492"/>
      <c r="P353" s="492"/>
    </row>
    <row r="354" spans="3:16">
      <c r="C354" s="28">
        <f t="shared" si="61"/>
        <v>14</v>
      </c>
      <c r="D354" s="11" t="str">
        <f t="shared" si="61"/>
        <v>东海基金管理有限责任公司</v>
      </c>
      <c r="E354" s="21">
        <f t="shared" si="59"/>
        <v>41.01</v>
      </c>
      <c r="F354" s="21">
        <f t="shared" si="60"/>
        <v>1.10727</v>
      </c>
      <c r="G354" s="19" t="str">
        <f t="shared" si="56"/>
        <v/>
      </c>
      <c r="H354" s="21" t="str">
        <f t="shared" si="57"/>
        <v/>
      </c>
      <c r="J354" s="1102">
        <v>14</v>
      </c>
      <c r="K354" s="1071" t="s">
        <v>128</v>
      </c>
      <c r="L354" s="1101">
        <v>41.01</v>
      </c>
      <c r="M354" s="1105">
        <v>11072.7</v>
      </c>
      <c r="N354" s="492"/>
      <c r="O354" s="492"/>
      <c r="P354" s="492"/>
    </row>
    <row r="355" spans="3:16">
      <c r="C355" s="28" t="str">
        <f t="shared" si="61"/>
        <v/>
      </c>
      <c r="D355" s="11" t="str">
        <f t="shared" si="61"/>
        <v/>
      </c>
      <c r="E355" s="21">
        <f t="shared" si="59"/>
        <v>37.89</v>
      </c>
      <c r="F355" s="21">
        <f t="shared" si="60"/>
        <v>2.2014089999999999</v>
      </c>
      <c r="G355" s="19" t="str">
        <f t="shared" si="56"/>
        <v/>
      </c>
      <c r="H355" s="21" t="str">
        <f t="shared" si="57"/>
        <v/>
      </c>
      <c r="J355" s="1102"/>
      <c r="K355" s="1071"/>
      <c r="L355" s="1101">
        <v>37.89</v>
      </c>
      <c r="M355" s="1105">
        <v>22014.09</v>
      </c>
      <c r="N355" s="492"/>
      <c r="O355" s="492"/>
      <c r="P355" s="492"/>
    </row>
    <row r="356" spans="3:16">
      <c r="C356" s="28">
        <f t="shared" si="61"/>
        <v>15</v>
      </c>
      <c r="D356" s="11" t="str">
        <f t="shared" si="61"/>
        <v>邬杏川</v>
      </c>
      <c r="E356" s="21">
        <f t="shared" si="59"/>
        <v>41.05</v>
      </c>
      <c r="F356" s="21">
        <f t="shared" si="60"/>
        <v>1.1001399999999999</v>
      </c>
      <c r="G356" s="19" t="str">
        <f t="shared" si="56"/>
        <v/>
      </c>
      <c r="H356" s="21" t="str">
        <f t="shared" si="57"/>
        <v/>
      </c>
      <c r="J356" s="1103">
        <v>15</v>
      </c>
      <c r="K356" s="1069" t="s">
        <v>507</v>
      </c>
      <c r="L356" s="1101">
        <v>41.05</v>
      </c>
      <c r="M356" s="1105">
        <v>11001.4</v>
      </c>
      <c r="N356" s="492"/>
      <c r="O356" s="492"/>
      <c r="P356" s="492"/>
    </row>
    <row r="357" spans="3:16">
      <c r="C357" s="28">
        <f t="shared" si="61"/>
        <v>16</v>
      </c>
      <c r="D357" s="11" t="str">
        <f t="shared" si="61"/>
        <v>易方达基金管理有限公司</v>
      </c>
      <c r="E357" s="21">
        <f t="shared" si="59"/>
        <v>51.91</v>
      </c>
      <c r="F357" s="21">
        <f t="shared" si="60"/>
        <v>1.97258</v>
      </c>
      <c r="G357" s="19">
        <f t="shared" si="56"/>
        <v>418.00799999999998</v>
      </c>
      <c r="H357" s="21">
        <f t="shared" si="57"/>
        <v>1.9725797519999997</v>
      </c>
      <c r="J357" s="1103">
        <v>16</v>
      </c>
      <c r="K357" s="1069" t="s">
        <v>225</v>
      </c>
      <c r="L357" s="1101">
        <v>51.91</v>
      </c>
      <c r="M357" s="1105">
        <v>19725.8</v>
      </c>
      <c r="N357" s="492"/>
      <c r="O357" s="492"/>
      <c r="P357" s="492"/>
    </row>
    <row r="358" spans="3:16">
      <c r="C358" s="28">
        <f t="shared" si="61"/>
        <v>17</v>
      </c>
      <c r="D358" s="11" t="str">
        <f t="shared" si="61"/>
        <v>华融国际信托有限责任公司</v>
      </c>
      <c r="E358" s="21">
        <f t="shared" si="59"/>
        <v>50.14</v>
      </c>
      <c r="F358" s="21">
        <f t="shared" si="60"/>
        <v>1.1030799999999998</v>
      </c>
      <c r="G358" s="19">
        <f t="shared" si="56"/>
        <v>275.40069999999997</v>
      </c>
      <c r="H358" s="21">
        <f t="shared" si="57"/>
        <v>1.2996159032999999</v>
      </c>
      <c r="J358" s="1099">
        <v>17</v>
      </c>
      <c r="K358" s="1066" t="s">
        <v>506</v>
      </c>
      <c r="L358" s="1101">
        <v>50.14</v>
      </c>
      <c r="M358" s="1105">
        <v>11030.8</v>
      </c>
      <c r="N358" s="492"/>
      <c r="O358" s="492"/>
      <c r="P358" s="492"/>
    </row>
    <row r="359" spans="3:16">
      <c r="C359" s="28" t="str">
        <f t="shared" si="61"/>
        <v/>
      </c>
      <c r="D359" s="11" t="str">
        <f t="shared" si="61"/>
        <v/>
      </c>
      <c r="E359" s="21">
        <f t="shared" si="59"/>
        <v>48.96</v>
      </c>
      <c r="F359" s="21">
        <f t="shared" si="60"/>
        <v>1.2044159999999999</v>
      </c>
      <c r="G359" s="19" t="str">
        <f t="shared" si="56"/>
        <v/>
      </c>
      <c r="H359" s="21" t="str">
        <f t="shared" si="57"/>
        <v/>
      </c>
      <c r="J359" s="1099"/>
      <c r="K359" s="1066"/>
      <c r="L359" s="1101">
        <v>48.96</v>
      </c>
      <c r="M359" s="1105">
        <v>12044.16</v>
      </c>
      <c r="N359" s="492"/>
      <c r="O359" s="492"/>
      <c r="P359" s="492"/>
    </row>
    <row r="360" spans="3:16">
      <c r="C360" s="28" t="str">
        <f t="shared" si="61"/>
        <v/>
      </c>
      <c r="D360" s="11" t="str">
        <f t="shared" si="61"/>
        <v/>
      </c>
      <c r="E360" s="21">
        <f t="shared" si="59"/>
        <v>47.78</v>
      </c>
      <c r="F360" s="21">
        <f t="shared" si="60"/>
        <v>1.2996159999999999</v>
      </c>
      <c r="G360" s="19" t="str">
        <f t="shared" si="56"/>
        <v/>
      </c>
      <c r="H360" s="21" t="str">
        <f t="shared" si="57"/>
        <v/>
      </c>
      <c r="J360" s="1099"/>
      <c r="K360" s="1066"/>
      <c r="L360" s="1101">
        <v>47.78</v>
      </c>
      <c r="M360" s="1105">
        <v>12996.16</v>
      </c>
      <c r="N360" s="492"/>
      <c r="O360" s="492"/>
      <c r="P360" s="492"/>
    </row>
    <row r="361" spans="3:16">
      <c r="C361" s="28">
        <f t="shared" si="61"/>
        <v>18</v>
      </c>
      <c r="D361" s="11" t="str">
        <f t="shared" si="61"/>
        <v>财通基金管理有限公司</v>
      </c>
      <c r="E361" s="21">
        <f t="shared" si="59"/>
        <v>47.19</v>
      </c>
      <c r="F361" s="21">
        <f t="shared" si="60"/>
        <v>2.8078050000000001</v>
      </c>
      <c r="G361" s="19">
        <f t="shared" si="56"/>
        <v>263.56240000000003</v>
      </c>
      <c r="H361" s="21">
        <f t="shared" si="57"/>
        <v>1.2437509656000001</v>
      </c>
      <c r="J361" s="1099">
        <v>18</v>
      </c>
      <c r="K361" s="1066" t="s">
        <v>115</v>
      </c>
      <c r="L361" s="1101">
        <v>47.19</v>
      </c>
      <c r="M361" s="1105">
        <v>28078.05</v>
      </c>
      <c r="N361" s="492"/>
      <c r="O361" s="492"/>
      <c r="P361" s="492"/>
    </row>
    <row r="362" spans="3:16">
      <c r="C362" s="28" t="str">
        <f t="shared" si="61"/>
        <v/>
      </c>
      <c r="D362" s="11" t="str">
        <f t="shared" si="61"/>
        <v/>
      </c>
      <c r="E362" s="21">
        <f t="shared" si="59"/>
        <v>45.88</v>
      </c>
      <c r="F362" s="21">
        <f t="shared" si="60"/>
        <v>3.8172160000000002</v>
      </c>
      <c r="G362" s="19" t="str">
        <f t="shared" si="56"/>
        <v/>
      </c>
      <c r="H362" s="21" t="str">
        <f t="shared" si="57"/>
        <v/>
      </c>
      <c r="J362" s="1099"/>
      <c r="K362" s="1066"/>
      <c r="L362" s="1101">
        <v>45.88</v>
      </c>
      <c r="M362" s="1105">
        <v>38172.160000000003</v>
      </c>
      <c r="N362" s="492"/>
      <c r="O362" s="492"/>
      <c r="P362" s="492"/>
    </row>
    <row r="363" spans="3:16">
      <c r="C363" s="28" t="str">
        <f t="shared" si="61"/>
        <v/>
      </c>
      <c r="D363" s="11" t="str">
        <f t="shared" si="61"/>
        <v/>
      </c>
      <c r="E363" s="21">
        <f t="shared" si="59"/>
        <v>41.53</v>
      </c>
      <c r="F363" s="21">
        <f t="shared" si="60"/>
        <v>5.1164959999999997</v>
      </c>
      <c r="G363" s="19" t="str">
        <f t="shared" si="56"/>
        <v/>
      </c>
      <c r="H363" s="21" t="str">
        <f t="shared" si="57"/>
        <v/>
      </c>
      <c r="J363" s="1099"/>
      <c r="K363" s="1066"/>
      <c r="L363" s="1101">
        <v>41.53</v>
      </c>
      <c r="M363" s="1105">
        <v>51164.959999999999</v>
      </c>
      <c r="N363" s="492"/>
      <c r="O363" s="492"/>
      <c r="P363" s="492"/>
    </row>
    <row r="364" spans="3:16">
      <c r="C364" s="28">
        <f t="shared" si="61"/>
        <v>19</v>
      </c>
      <c r="D364" s="11" t="str">
        <f t="shared" si="61"/>
        <v>华夏人寿保险股份有限公司</v>
      </c>
      <c r="E364" s="21">
        <f t="shared" si="59"/>
        <v>40</v>
      </c>
      <c r="F364" s="21">
        <f t="shared" si="60"/>
        <v>1.1000000000000001</v>
      </c>
      <c r="G364" s="19" t="str">
        <f t="shared" si="56"/>
        <v/>
      </c>
      <c r="H364" s="21" t="str">
        <f t="shared" si="57"/>
        <v/>
      </c>
      <c r="J364" s="1103">
        <v>19</v>
      </c>
      <c r="K364" s="1069" t="s">
        <v>119</v>
      </c>
      <c r="L364" s="1101">
        <v>40</v>
      </c>
      <c r="M364" s="1105">
        <v>11000</v>
      </c>
      <c r="N364" s="492"/>
      <c r="O364" s="492"/>
      <c r="P364" s="492"/>
    </row>
    <row r="365" spans="3:16">
      <c r="C365" s="28">
        <f t="shared" si="61"/>
        <v>20</v>
      </c>
      <c r="D365" s="11" t="str">
        <f t="shared" si="61"/>
        <v>泰达宏利基金管理有限公司</v>
      </c>
      <c r="E365" s="21">
        <f t="shared" si="59"/>
        <v>45.4</v>
      </c>
      <c r="F365" s="21">
        <f t="shared" si="60"/>
        <v>1.3529200000000001</v>
      </c>
      <c r="G365" s="19" t="str">
        <f t="shared" si="56"/>
        <v/>
      </c>
      <c r="H365" s="21" t="str">
        <f t="shared" si="57"/>
        <v/>
      </c>
      <c r="J365" s="1103">
        <v>20</v>
      </c>
      <c r="K365" s="1069" t="s">
        <v>148</v>
      </c>
      <c r="L365" s="1101">
        <v>45.4</v>
      </c>
      <c r="M365" s="1105">
        <v>13529.2</v>
      </c>
      <c r="N365" s="492"/>
      <c r="O365" s="492"/>
      <c r="P365" s="492"/>
    </row>
    <row r="366" spans="3:16">
      <c r="C366" s="28">
        <f t="shared" si="61"/>
        <v>21</v>
      </c>
      <c r="D366" s="11" t="str">
        <f t="shared" si="61"/>
        <v>华鑫证券有限责任公司</v>
      </c>
      <c r="E366" s="21">
        <f t="shared" si="59"/>
        <v>45.01</v>
      </c>
      <c r="F366" s="21">
        <f t="shared" si="60"/>
        <v>1.1972659999999999</v>
      </c>
      <c r="G366" s="19" t="str">
        <f t="shared" si="56"/>
        <v/>
      </c>
      <c r="H366" s="21" t="str">
        <f t="shared" si="57"/>
        <v/>
      </c>
      <c r="J366" s="1102">
        <v>21</v>
      </c>
      <c r="K366" s="1071" t="s">
        <v>505</v>
      </c>
      <c r="L366" s="1101">
        <v>45.01</v>
      </c>
      <c r="M366" s="1105">
        <v>11972.66</v>
      </c>
      <c r="N366" s="492"/>
      <c r="O366" s="492"/>
      <c r="P366" s="492"/>
    </row>
    <row r="367" spans="3:16">
      <c r="C367" s="28" t="str">
        <f t="shared" si="61"/>
        <v/>
      </c>
      <c r="D367" s="11" t="str">
        <f t="shared" si="61"/>
        <v/>
      </c>
      <c r="E367" s="21">
        <f t="shared" si="59"/>
        <v>38.159999999999997</v>
      </c>
      <c r="F367" s="21">
        <f t="shared" si="60"/>
        <v>1.198224</v>
      </c>
      <c r="G367" s="19" t="str">
        <f t="shared" si="56"/>
        <v/>
      </c>
      <c r="H367" s="21" t="str">
        <f t="shared" si="57"/>
        <v/>
      </c>
      <c r="J367" s="1102"/>
      <c r="K367" s="1071"/>
      <c r="L367" s="1101">
        <v>38.159999999999997</v>
      </c>
      <c r="M367" s="1105">
        <v>11982.24</v>
      </c>
      <c r="N367" s="492"/>
      <c r="O367" s="492"/>
      <c r="P367" s="492"/>
    </row>
    <row r="368" spans="3:16">
      <c r="C368" s="28">
        <f t="shared" si="61"/>
        <v>22</v>
      </c>
      <c r="D368" s="11" t="str">
        <f t="shared" si="61"/>
        <v>申万菱信基金管理有限公司</v>
      </c>
      <c r="E368" s="21">
        <f t="shared" si="59"/>
        <v>50</v>
      </c>
      <c r="F368" s="21">
        <f t="shared" si="60"/>
        <v>1.1000000000000001</v>
      </c>
      <c r="G368" s="19">
        <f t="shared" si="56"/>
        <v>295.90159999999997</v>
      </c>
      <c r="H368" s="21">
        <f t="shared" si="57"/>
        <v>1.3963596503999998</v>
      </c>
      <c r="J368" s="1102">
        <v>22</v>
      </c>
      <c r="K368" s="1071" t="s">
        <v>121</v>
      </c>
      <c r="L368" s="1101">
        <v>50</v>
      </c>
      <c r="M368" s="1105">
        <v>11000</v>
      </c>
      <c r="N368" s="492"/>
      <c r="O368" s="492"/>
      <c r="P368" s="492"/>
    </row>
    <row r="369" spans="1:21">
      <c r="C369" s="28" t="str">
        <f t="shared" si="61"/>
        <v/>
      </c>
      <c r="D369" s="11" t="str">
        <f t="shared" si="61"/>
        <v/>
      </c>
      <c r="E369" s="21">
        <f t="shared" si="59"/>
        <v>49.87</v>
      </c>
      <c r="F369" s="21">
        <f t="shared" si="60"/>
        <v>1.39636</v>
      </c>
      <c r="G369" s="19" t="str">
        <f t="shared" si="56"/>
        <v/>
      </c>
      <c r="H369" s="21" t="str">
        <f t="shared" si="57"/>
        <v/>
      </c>
      <c r="J369" s="1102"/>
      <c r="K369" s="1071"/>
      <c r="L369" s="1101">
        <v>49.87</v>
      </c>
      <c r="M369" s="1105">
        <v>13963.6</v>
      </c>
      <c r="N369" s="492"/>
      <c r="O369" s="492"/>
      <c r="P369" s="492"/>
    </row>
    <row r="370" spans="1:21">
      <c r="C370" s="28">
        <f t="shared" si="61"/>
        <v>23</v>
      </c>
      <c r="D370" s="11" t="str">
        <f t="shared" si="61"/>
        <v>赖宗阳</v>
      </c>
      <c r="E370" s="21">
        <f t="shared" si="59"/>
        <v>39.770000000000003</v>
      </c>
      <c r="F370" s="21">
        <f t="shared" si="60"/>
        <v>1.10002</v>
      </c>
      <c r="G370" s="19" t="str">
        <f t="shared" si="56"/>
        <v/>
      </c>
      <c r="H370" s="21" t="str">
        <f t="shared" si="57"/>
        <v/>
      </c>
      <c r="J370" s="1103">
        <v>23</v>
      </c>
      <c r="K370" s="1069" t="s">
        <v>137</v>
      </c>
      <c r="L370" s="1101">
        <v>39.770000000000003</v>
      </c>
      <c r="M370" s="1105">
        <v>11000.2</v>
      </c>
      <c r="N370" s="492"/>
      <c r="O370" s="492"/>
      <c r="P370" s="492"/>
    </row>
    <row r="371" spans="1:21">
      <c r="C371" s="28">
        <f t="shared" si="61"/>
        <v>24</v>
      </c>
      <c r="D371" s="11" t="str">
        <f t="shared" si="61"/>
        <v>申万菱信（上海）资产管理有限公司</v>
      </c>
      <c r="E371" s="21">
        <f t="shared" si="59"/>
        <v>40.28</v>
      </c>
      <c r="F371" s="21">
        <f t="shared" si="60"/>
        <v>1.2083999999999999</v>
      </c>
      <c r="G371" s="19" t="str">
        <f t="shared" si="56"/>
        <v/>
      </c>
      <c r="H371" s="21" t="str">
        <f t="shared" si="57"/>
        <v/>
      </c>
      <c r="J371" s="1103">
        <v>24</v>
      </c>
      <c r="K371" s="1069" t="s">
        <v>138</v>
      </c>
      <c r="L371" s="1101">
        <v>40.28</v>
      </c>
      <c r="M371" s="1105">
        <v>12084</v>
      </c>
      <c r="N371" s="492"/>
      <c r="O371" s="492"/>
      <c r="P371" s="492"/>
    </row>
    <row r="373" spans="1:21">
      <c r="A373" s="24">
        <v>9</v>
      </c>
      <c r="B373" s="12" t="s">
        <v>106</v>
      </c>
      <c r="C373" s="12" t="s">
        <v>126</v>
      </c>
      <c r="D373" s="12" t="s">
        <v>107</v>
      </c>
      <c r="E373" s="12" t="s">
        <v>4</v>
      </c>
      <c r="F373" s="13" t="s">
        <v>108</v>
      </c>
      <c r="G373" s="13" t="s">
        <v>109</v>
      </c>
      <c r="H373" s="12" t="s">
        <v>274</v>
      </c>
      <c r="I373" s="12" t="s">
        <v>273</v>
      </c>
      <c r="J373" s="12" t="s">
        <v>116</v>
      </c>
      <c r="K373" s="14" t="s">
        <v>110</v>
      </c>
      <c r="L373" s="14" t="s">
        <v>276</v>
      </c>
      <c r="M373" s="14" t="s">
        <v>117</v>
      </c>
      <c r="N373" s="15" t="s">
        <v>275</v>
      </c>
      <c r="O373" s="12" t="s">
        <v>111</v>
      </c>
      <c r="P373" s="8" t="s">
        <v>12</v>
      </c>
      <c r="Q373" s="8" t="s">
        <v>190</v>
      </c>
      <c r="R373" s="15" t="s">
        <v>129</v>
      </c>
      <c r="S373" s="14" t="s">
        <v>220</v>
      </c>
    </row>
    <row r="374" spans="1:21">
      <c r="A374" s="24">
        <v>6</v>
      </c>
      <c r="B374" s="979">
        <v>19</v>
      </c>
      <c r="C374" s="9" t="s">
        <v>180</v>
      </c>
      <c r="D374" s="1" t="s">
        <v>53</v>
      </c>
      <c r="E374" s="1" t="s">
        <v>52</v>
      </c>
      <c r="F374" s="3">
        <v>18.100000000000001</v>
      </c>
      <c r="G374" s="3">
        <v>18.099995409999998</v>
      </c>
      <c r="H374" s="2">
        <v>42397</v>
      </c>
      <c r="I374" s="1001" t="s">
        <v>151</v>
      </c>
      <c r="J374" s="11">
        <v>9.6999999999999993</v>
      </c>
      <c r="K374" s="3">
        <v>5.98</v>
      </c>
      <c r="L374" s="3">
        <f>K374/J374</f>
        <v>0.61649484536082488</v>
      </c>
      <c r="M374" s="3">
        <v>7.27</v>
      </c>
      <c r="N374" s="10">
        <f>M374/J374</f>
        <v>0.74948453608247423</v>
      </c>
      <c r="O374" s="1002">
        <v>5</v>
      </c>
      <c r="P374" s="2">
        <v>42808</v>
      </c>
      <c r="Q374" s="1003">
        <v>12.11</v>
      </c>
      <c r="R374" s="18">
        <f>(Q374*(1+T374/10)+U374/10)/M374</f>
        <v>1.6685006877579092</v>
      </c>
      <c r="S374" s="11" t="s">
        <v>221</v>
      </c>
      <c r="T374" s="22">
        <f>IFERROR(RIGHT(LEFT(S374,FIND("股",S374)-1),(FIND("股",S374)-1-FIND("转",S374))),0)</f>
        <v>0</v>
      </c>
      <c r="U374" s="23" t="str">
        <f>IFERROR(RIGHT(LEFT(S374,FIND("元",S374)-1),(FIND("元",S374)-1-FIND("派",S374))),0)</f>
        <v>0.20</v>
      </c>
    </row>
    <row r="376" spans="1:21" ht="16">
      <c r="C376" s="27" t="s">
        <v>118</v>
      </c>
      <c r="D376" s="16" t="s">
        <v>112</v>
      </c>
      <c r="E376" s="16" t="s">
        <v>113</v>
      </c>
      <c r="F376" s="16" t="s">
        <v>288</v>
      </c>
      <c r="G376" s="17" t="s">
        <v>287</v>
      </c>
      <c r="H376" s="16" t="s">
        <v>289</v>
      </c>
      <c r="J376" s="1106" t="s">
        <v>504</v>
      </c>
      <c r="K376" s="1106" t="s">
        <v>504</v>
      </c>
      <c r="L376" s="1006" t="s">
        <v>502</v>
      </c>
      <c r="M376" s="1006" t="s">
        <v>503</v>
      </c>
      <c r="N376" s="1006" t="s">
        <v>502</v>
      </c>
      <c r="O376" s="1005" t="s">
        <v>322</v>
      </c>
      <c r="P376" s="1022" t="s">
        <v>360</v>
      </c>
    </row>
    <row r="377" spans="1:21" ht="15" customHeight="1">
      <c r="C377" s="28">
        <f t="shared" ref="C377:D381" si="62">IF(J377=0,"",J377)</f>
        <v>1</v>
      </c>
      <c r="D377" s="11" t="str">
        <f t="shared" si="62"/>
        <v>泰康资产管理有限责任公司</v>
      </c>
      <c r="E377" s="1499" t="s">
        <v>501</v>
      </c>
      <c r="F377" s="1500"/>
      <c r="G377" s="19">
        <f>IFERROR(VLOOKUP(D377,O$377:Q$382,2,FALSE)/10000,"")</f>
        <v>3020.63</v>
      </c>
      <c r="H377" s="21">
        <f>IFERROR(G377*$M$374/10000,"")</f>
        <v>2.1959980100000003</v>
      </c>
      <c r="J377" s="1071">
        <v>1</v>
      </c>
      <c r="K377" s="1071" t="s">
        <v>124</v>
      </c>
      <c r="L377" s="1068">
        <v>219599801</v>
      </c>
      <c r="M377" s="1107">
        <v>30206300</v>
      </c>
      <c r="N377" s="1068">
        <v>219599801</v>
      </c>
      <c r="O377" s="1071" t="s">
        <v>124</v>
      </c>
      <c r="P377" s="1107">
        <v>30206300</v>
      </c>
    </row>
    <row r="378" spans="1:21" ht="15" customHeight="1">
      <c r="C378" s="28">
        <f t="shared" si="62"/>
        <v>2</v>
      </c>
      <c r="D378" s="11" t="str">
        <f t="shared" si="62"/>
        <v>中国银河证券股份有限公司</v>
      </c>
      <c r="E378" s="1501"/>
      <c r="F378" s="1502"/>
      <c r="G378" s="19">
        <f>IFERROR(VLOOKUP(D378,O$377:Q$382,2,FALSE)/10000,"")</f>
        <v>2751.03</v>
      </c>
      <c r="H378" s="21">
        <f>IFERROR(G378*$M$374/10000,"")</f>
        <v>1.9999988099999999</v>
      </c>
      <c r="J378" s="1071">
        <v>2</v>
      </c>
      <c r="K378" s="1071" t="s">
        <v>13</v>
      </c>
      <c r="L378" s="1068">
        <v>199999881</v>
      </c>
      <c r="M378" s="1107">
        <v>27510300</v>
      </c>
      <c r="N378" s="1068">
        <v>199999881</v>
      </c>
      <c r="O378" s="1071" t="s">
        <v>13</v>
      </c>
      <c r="P378" s="1107">
        <v>27510300</v>
      </c>
    </row>
    <row r="379" spans="1:21" ht="15" customHeight="1">
      <c r="C379" s="28">
        <f t="shared" si="62"/>
        <v>3</v>
      </c>
      <c r="D379" s="11" t="str">
        <f t="shared" si="62"/>
        <v>华安未来资产管理（上海）有
限公司</v>
      </c>
      <c r="E379" s="1501"/>
      <c r="F379" s="1502"/>
      <c r="G379" s="19">
        <f>IFERROR(VLOOKUP(D379,O$377:Q$382,2,FALSE)/10000,"")</f>
        <v>4071.52</v>
      </c>
      <c r="H379" s="21">
        <f>IFERROR(G379*$M$374/10000,"")</f>
        <v>2.9599950399999999</v>
      </c>
      <c r="J379" s="1108">
        <v>3</v>
      </c>
      <c r="K379" s="1108" t="s">
        <v>500</v>
      </c>
      <c r="L379" s="1068">
        <v>295999504</v>
      </c>
      <c r="M379" s="1107">
        <v>40715200</v>
      </c>
      <c r="N379" s="1068">
        <v>295999504</v>
      </c>
      <c r="O379" s="1108" t="s">
        <v>500</v>
      </c>
      <c r="P379" s="1107">
        <v>40715200</v>
      </c>
    </row>
    <row r="380" spans="1:21" ht="15" customHeight="1">
      <c r="C380" s="28">
        <f t="shared" si="62"/>
        <v>4</v>
      </c>
      <c r="D380" s="11" t="str">
        <f t="shared" si="62"/>
        <v>平安大华基金管理有限公司</v>
      </c>
      <c r="E380" s="1501"/>
      <c r="F380" s="1502"/>
      <c r="G380" s="19">
        <f>IFERROR(VLOOKUP(D380,O$377:Q$382,2,FALSE)/10000,"")</f>
        <v>7469.05</v>
      </c>
      <c r="H380" s="21">
        <f>IFERROR(G380*$M$374/10000,"")</f>
        <v>5.4299993500000001</v>
      </c>
      <c r="J380" s="1071">
        <v>4</v>
      </c>
      <c r="K380" s="1071" t="s">
        <v>146</v>
      </c>
      <c r="L380" s="1068">
        <v>542999935</v>
      </c>
      <c r="M380" s="1107">
        <v>74690500</v>
      </c>
      <c r="N380" s="1068">
        <v>542999935</v>
      </c>
      <c r="O380" s="1071" t="s">
        <v>146</v>
      </c>
      <c r="P380" s="1107">
        <v>74690500</v>
      </c>
    </row>
    <row r="381" spans="1:21" ht="15" customHeight="1">
      <c r="C381" s="28">
        <f t="shared" si="62"/>
        <v>5</v>
      </c>
      <c r="D381" s="11" t="str">
        <f t="shared" si="62"/>
        <v>财通基金管理有限公司</v>
      </c>
      <c r="E381" s="1503"/>
      <c r="F381" s="1504"/>
      <c r="G381" s="19">
        <f>IFERROR(VLOOKUP(D381,O$377:Q$382,2,FALSE)/10000,"")</f>
        <v>7584.6</v>
      </c>
      <c r="H381" s="21">
        <f>IFERROR(G381*$M$374/10000,"")</f>
        <v>5.5140042000000005</v>
      </c>
      <c r="J381" s="1071">
        <v>5</v>
      </c>
      <c r="K381" s="1071" t="s">
        <v>115</v>
      </c>
      <c r="L381" s="1068">
        <v>551400420</v>
      </c>
      <c r="M381" s="1107">
        <v>75846000</v>
      </c>
      <c r="N381" s="1068">
        <v>551400420</v>
      </c>
      <c r="O381" s="1071" t="s">
        <v>115</v>
      </c>
      <c r="P381" s="1107">
        <v>75846000</v>
      </c>
    </row>
    <row r="382" spans="1:21">
      <c r="J382" s="120"/>
      <c r="K382" s="120"/>
      <c r="L382" s="119"/>
      <c r="M382" s="119"/>
    </row>
    <row r="383" spans="1:21">
      <c r="A383" s="24">
        <v>10</v>
      </c>
      <c r="B383" s="12" t="s">
        <v>106</v>
      </c>
      <c r="C383" s="12" t="s">
        <v>126</v>
      </c>
      <c r="D383" s="12" t="s">
        <v>107</v>
      </c>
      <c r="E383" s="12" t="s">
        <v>4</v>
      </c>
      <c r="F383" s="13" t="s">
        <v>108</v>
      </c>
      <c r="G383" s="13" t="s">
        <v>109</v>
      </c>
      <c r="H383" s="12" t="s">
        <v>274</v>
      </c>
      <c r="I383" s="12" t="s">
        <v>273</v>
      </c>
      <c r="J383" s="12" t="s">
        <v>116</v>
      </c>
      <c r="K383" s="14" t="s">
        <v>110</v>
      </c>
      <c r="L383" s="14" t="s">
        <v>276</v>
      </c>
      <c r="M383" s="14" t="s">
        <v>117</v>
      </c>
      <c r="N383" s="15" t="s">
        <v>275</v>
      </c>
      <c r="O383" s="12" t="s">
        <v>111</v>
      </c>
      <c r="P383" s="8" t="s">
        <v>12</v>
      </c>
      <c r="Q383" s="8" t="s">
        <v>190</v>
      </c>
      <c r="R383" s="15" t="s">
        <v>129</v>
      </c>
      <c r="S383" s="14" t="s">
        <v>220</v>
      </c>
    </row>
    <row r="384" spans="1:21">
      <c r="A384" s="24">
        <v>6</v>
      </c>
      <c r="B384" s="979">
        <v>20</v>
      </c>
      <c r="C384" s="11" t="s">
        <v>181</v>
      </c>
      <c r="D384" s="1" t="s">
        <v>25</v>
      </c>
      <c r="E384" s="1" t="s">
        <v>24</v>
      </c>
      <c r="F384" s="3">
        <v>8.2001729999999995</v>
      </c>
      <c r="G384" s="3">
        <v>8.2001726838</v>
      </c>
      <c r="H384" s="2">
        <v>42425</v>
      </c>
      <c r="I384" s="1001" t="s">
        <v>151</v>
      </c>
      <c r="J384" s="11">
        <v>33.200000000000003</v>
      </c>
      <c r="K384" s="3">
        <v>33.11</v>
      </c>
      <c r="L384" s="3">
        <f>K384/J384</f>
        <v>0.99728915662650597</v>
      </c>
      <c r="M384" s="3">
        <v>33.21</v>
      </c>
      <c r="N384" s="10">
        <f>M384/J384</f>
        <v>1.000301204819277</v>
      </c>
      <c r="O384" s="1002">
        <v>3</v>
      </c>
      <c r="P384" s="1004">
        <v>42444</v>
      </c>
      <c r="Q384" s="1003">
        <v>28.85</v>
      </c>
      <c r="R384" s="18">
        <f>(Q384*(1+T384/10)+U384/10)/M384</f>
        <v>0.86871424269798259</v>
      </c>
      <c r="S384" s="11" t="s">
        <v>223</v>
      </c>
      <c r="T384" s="22">
        <f>IFERROR(RIGHT(LEFT(S384,FIND("股",S384)-1),(FIND("股",S384)-1-FIND("转",S384))),0)</f>
        <v>0</v>
      </c>
      <c r="U384" s="23">
        <f>IFERROR(RIGHT(LEFT(S384,FIND("元",S384)-1),(FIND("元",S384)-1-FIND("派",S384))),0)</f>
        <v>0</v>
      </c>
    </row>
    <row r="385" spans="3:19">
      <c r="J385" s="119"/>
      <c r="K385" s="119"/>
      <c r="L385" s="119"/>
      <c r="M385" s="119"/>
    </row>
    <row r="386" spans="3:19" ht="20" customHeight="1">
      <c r="C386" s="27" t="s">
        <v>118</v>
      </c>
      <c r="D386" s="16" t="s">
        <v>112</v>
      </c>
      <c r="E386" s="16" t="s">
        <v>113</v>
      </c>
      <c r="F386" s="16" t="s">
        <v>288</v>
      </c>
      <c r="G386" s="17" t="s">
        <v>287</v>
      </c>
      <c r="H386" s="16" t="s">
        <v>289</v>
      </c>
      <c r="J386" s="1109" t="s">
        <v>305</v>
      </c>
      <c r="K386" s="1110" t="s">
        <v>306</v>
      </c>
      <c r="L386" s="1111" t="s">
        <v>341</v>
      </c>
      <c r="M386" s="1112" t="s">
        <v>342</v>
      </c>
      <c r="N386" s="1033"/>
      <c r="O386" s="1096" t="s">
        <v>499</v>
      </c>
      <c r="P386" s="1096" t="s">
        <v>354</v>
      </c>
      <c r="Q386" s="492"/>
    </row>
    <row r="387" spans="3:19">
      <c r="C387" s="28">
        <f t="shared" ref="C387:D392" si="63">IF(J387=0,"",J387)</f>
        <v>1</v>
      </c>
      <c r="D387" s="11" t="str">
        <f t="shared" si="63"/>
        <v>周万沅</v>
      </c>
      <c r="E387" s="21">
        <f t="shared" ref="E387:E392" si="64">L387</f>
        <v>33.979999999999997</v>
      </c>
      <c r="F387" s="21">
        <f t="shared" ref="F387:F392" si="65">M387/100000000</f>
        <v>1.7023980000000001</v>
      </c>
      <c r="G387" s="19">
        <f t="shared" ref="G387:G392" si="66">IFERROR(VLOOKUP(D387,O$387:Q$393,2,FALSE)/10000,"")</f>
        <v>512.61599999999999</v>
      </c>
      <c r="H387" s="21">
        <f t="shared" ref="H387:H392" si="67">IFERROR(G387*$M$384/10000,"")</f>
        <v>1.702397736</v>
      </c>
      <c r="J387" s="1086">
        <v>1</v>
      </c>
      <c r="K387" s="1113" t="s">
        <v>498</v>
      </c>
      <c r="L387" s="1088">
        <v>33.979999999999997</v>
      </c>
      <c r="M387" s="1114">
        <v>170239800</v>
      </c>
      <c r="N387" s="492"/>
      <c r="O387" s="1090" t="s">
        <v>497</v>
      </c>
      <c r="P387" s="1115">
        <v>15356819</v>
      </c>
      <c r="Q387" s="492"/>
      <c r="R387" s="31"/>
      <c r="S387" s="31"/>
    </row>
    <row r="388" spans="3:19">
      <c r="C388" s="28" t="str">
        <f t="shared" si="63"/>
        <v/>
      </c>
      <c r="D388" s="11" t="str">
        <f t="shared" si="63"/>
        <v/>
      </c>
      <c r="E388" s="21">
        <f t="shared" si="64"/>
        <v>33.19</v>
      </c>
      <c r="F388" s="21">
        <f t="shared" si="65"/>
        <v>3.4019750000000002</v>
      </c>
      <c r="G388" s="19" t="str">
        <f t="shared" si="66"/>
        <v/>
      </c>
      <c r="H388" s="21" t="str">
        <f t="shared" si="67"/>
        <v/>
      </c>
      <c r="J388" s="1086"/>
      <c r="K388" s="1087"/>
      <c r="L388" s="1088">
        <v>33.19</v>
      </c>
      <c r="M388" s="1114">
        <v>340197500</v>
      </c>
      <c r="N388" s="492"/>
      <c r="O388" s="1090" t="s">
        <v>498</v>
      </c>
      <c r="P388" s="1115">
        <v>5126160</v>
      </c>
      <c r="Q388" s="492"/>
      <c r="R388" s="6"/>
    </row>
    <row r="389" spans="3:19">
      <c r="C389" s="28">
        <f t="shared" si="63"/>
        <v>2</v>
      </c>
      <c r="D389" s="11" t="str">
        <f t="shared" si="63"/>
        <v>财通基金管理有限公司</v>
      </c>
      <c r="E389" s="21">
        <f t="shared" si="64"/>
        <v>33.21</v>
      </c>
      <c r="F389" s="21">
        <f t="shared" si="65"/>
        <v>1.9349972550000001</v>
      </c>
      <c r="G389" s="19">
        <f t="shared" si="66"/>
        <v>420.88990000000001</v>
      </c>
      <c r="H389" s="21">
        <f t="shared" si="67"/>
        <v>1.3977753579000001</v>
      </c>
      <c r="J389" s="1086">
        <v>2</v>
      </c>
      <c r="K389" s="1087" t="s">
        <v>115</v>
      </c>
      <c r="L389" s="1088">
        <v>33.21</v>
      </c>
      <c r="M389" s="1114">
        <v>193499725.5</v>
      </c>
      <c r="N389" s="492"/>
      <c r="O389" s="1090" t="s">
        <v>115</v>
      </c>
      <c r="P389" s="1115">
        <v>4208899</v>
      </c>
      <c r="Q389" s="492"/>
      <c r="R389" s="6"/>
    </row>
    <row r="390" spans="3:19">
      <c r="C390" s="28" t="str">
        <f t="shared" si="63"/>
        <v/>
      </c>
      <c r="D390" s="11" t="str">
        <f t="shared" si="63"/>
        <v/>
      </c>
      <c r="E390" s="21">
        <f t="shared" si="64"/>
        <v>33.11</v>
      </c>
      <c r="F390" s="21">
        <f t="shared" si="65"/>
        <v>1.9849971449000001</v>
      </c>
      <c r="G390" s="19" t="str">
        <f t="shared" si="66"/>
        <v/>
      </c>
      <c r="H390" s="21" t="str">
        <f t="shared" si="67"/>
        <v/>
      </c>
      <c r="J390" s="1086"/>
      <c r="K390" s="1087"/>
      <c r="L390" s="1088">
        <v>33.11</v>
      </c>
      <c r="M390" s="1114">
        <v>198499714.49000001</v>
      </c>
      <c r="N390" s="492"/>
      <c r="O390" s="492"/>
      <c r="P390" s="492"/>
      <c r="Q390" s="492"/>
      <c r="R390" s="6"/>
    </row>
    <row r="391" spans="3:19">
      <c r="C391" s="28">
        <f t="shared" si="63"/>
        <v>3</v>
      </c>
      <c r="D391" s="11" t="str">
        <f t="shared" si="63"/>
        <v>上海中植鑫荞投资管理有限公司</v>
      </c>
      <c r="E391" s="21">
        <f t="shared" si="64"/>
        <v>33.11</v>
      </c>
      <c r="F391" s="21">
        <f t="shared" si="65"/>
        <v>8.1999997541000003</v>
      </c>
      <c r="G391" s="19">
        <f t="shared" si="66"/>
        <v>1535.6819</v>
      </c>
      <c r="H391" s="21">
        <f t="shared" si="67"/>
        <v>5.0999995899000004</v>
      </c>
      <c r="J391" s="1086">
        <v>3</v>
      </c>
      <c r="K391" s="1087" t="s">
        <v>497</v>
      </c>
      <c r="L391" s="1088">
        <v>33.11</v>
      </c>
      <c r="M391" s="1114">
        <v>819999975.40999997</v>
      </c>
      <c r="N391" s="492"/>
      <c r="O391" s="492"/>
      <c r="P391" s="492"/>
      <c r="Q391" s="492"/>
      <c r="R391" s="6"/>
    </row>
    <row r="392" spans="3:19">
      <c r="C392" s="28" t="str">
        <f t="shared" si="63"/>
        <v/>
      </c>
      <c r="D392" s="11" t="str">
        <f t="shared" si="63"/>
        <v/>
      </c>
      <c r="E392" s="21">
        <f t="shared" si="64"/>
        <v>36.659999999999997</v>
      </c>
      <c r="F392" s="21">
        <f t="shared" si="65"/>
        <v>5.0999998919999996</v>
      </c>
      <c r="G392" s="19" t="str">
        <f t="shared" si="66"/>
        <v/>
      </c>
      <c r="H392" s="21" t="str">
        <f t="shared" si="67"/>
        <v/>
      </c>
      <c r="J392" s="1086"/>
      <c r="K392" s="1113"/>
      <c r="L392" s="1088">
        <v>36.659999999999997</v>
      </c>
      <c r="M392" s="1114">
        <v>509999989.19999999</v>
      </c>
      <c r="N392" s="492"/>
      <c r="O392" s="492"/>
      <c r="P392" s="492"/>
      <c r="Q392" s="492"/>
      <c r="R392" s="6"/>
    </row>
    <row r="393" spans="3:19">
      <c r="J393" s="1108"/>
      <c r="K393" s="1108"/>
      <c r="L393" s="1007"/>
      <c r="M393" s="1007"/>
      <c r="N393" s="492"/>
      <c r="O393" s="492"/>
      <c r="P393" s="492"/>
      <c r="Q393" s="492"/>
    </row>
    <row r="394" spans="3:19">
      <c r="J394" s="1108"/>
      <c r="K394" s="1108"/>
      <c r="L394" s="1007"/>
      <c r="M394" s="1007"/>
      <c r="N394" s="492"/>
      <c r="O394" s="492"/>
      <c r="P394" s="492"/>
      <c r="Q394" s="492"/>
    </row>
    <row r="395" spans="3:19">
      <c r="J395" s="1108"/>
      <c r="K395" s="1108"/>
      <c r="L395" s="1007"/>
      <c r="M395" s="1007"/>
      <c r="N395" s="492"/>
      <c r="O395" s="492"/>
      <c r="P395" s="492"/>
      <c r="Q395" s="492"/>
    </row>
    <row r="396" spans="3:19">
      <c r="J396" s="1108"/>
      <c r="K396" s="1108"/>
      <c r="L396" s="1007"/>
      <c r="M396" s="1007"/>
      <c r="N396" s="492"/>
      <c r="O396" s="492"/>
      <c r="P396" s="492"/>
      <c r="Q396" s="492"/>
    </row>
    <row r="397" spans="3:19">
      <c r="J397" s="120"/>
      <c r="K397" s="120"/>
      <c r="L397" s="119"/>
      <c r="M397" s="119"/>
    </row>
    <row r="398" spans="3:19">
      <c r="J398" s="120"/>
      <c r="K398" s="120"/>
      <c r="L398" s="119"/>
      <c r="M398" s="119"/>
    </row>
    <row r="399" spans="3:19">
      <c r="J399" s="120"/>
      <c r="K399" s="120"/>
      <c r="L399" s="119"/>
      <c r="M399" s="119"/>
    </row>
    <row r="400" spans="3:19">
      <c r="J400" s="120"/>
      <c r="K400" s="120"/>
      <c r="L400" s="119"/>
      <c r="M400" s="119"/>
    </row>
    <row r="401" spans="10:13">
      <c r="J401" s="120"/>
      <c r="K401" s="120"/>
      <c r="L401" s="119"/>
      <c r="M401" s="119"/>
    </row>
    <row r="402" spans="10:13">
      <c r="J402" s="120"/>
      <c r="K402" s="120"/>
      <c r="L402" s="119"/>
      <c r="M402" s="119"/>
    </row>
    <row r="403" spans="10:13">
      <c r="J403" s="120"/>
      <c r="K403" s="120"/>
      <c r="L403" s="119"/>
      <c r="M403" s="119"/>
    </row>
    <row r="404" spans="10:13">
      <c r="J404" s="120"/>
      <c r="K404" s="120"/>
      <c r="L404" s="119"/>
      <c r="M404" s="119"/>
    </row>
    <row r="405" spans="10:13">
      <c r="J405" s="119"/>
      <c r="K405" s="119"/>
      <c r="L405" s="119"/>
      <c r="M405" s="119"/>
    </row>
    <row r="406" spans="10:13">
      <c r="J406" s="119"/>
      <c r="K406" s="119"/>
      <c r="L406" s="119"/>
      <c r="M406" s="119"/>
    </row>
    <row r="407" spans="10:13">
      <c r="J407" s="120"/>
      <c r="K407" s="120"/>
      <c r="L407" s="119"/>
      <c r="M407" s="119"/>
    </row>
    <row r="408" spans="10:13">
      <c r="J408" s="120"/>
      <c r="K408" s="120"/>
      <c r="L408" s="119"/>
      <c r="M408" s="119"/>
    </row>
    <row r="409" spans="10:13">
      <c r="J409" s="120"/>
      <c r="K409" s="120"/>
      <c r="L409" s="119"/>
      <c r="M409" s="119"/>
    </row>
    <row r="410" spans="10:13">
      <c r="J410" s="119"/>
      <c r="K410" s="119"/>
      <c r="L410" s="119"/>
      <c r="M410" s="119"/>
    </row>
  </sheetData>
  <mergeCells count="7">
    <mergeCell ref="E377:F381"/>
    <mergeCell ref="N100:N102"/>
    <mergeCell ref="N103:N104"/>
    <mergeCell ref="N105:N107"/>
    <mergeCell ref="N108:N110"/>
    <mergeCell ref="N111:N113"/>
    <mergeCell ref="D117:H117"/>
  </mergeCells>
  <phoneticPr fontId="139" type="noConversion"/>
  <hyperlinks>
    <hyperlink ref="C2" r:id="rId1" xr:uid="{00000000-0004-0000-0300-000000000000}"/>
    <hyperlink ref="C3" r:id="rId2" xr:uid="{00000000-0004-0000-0300-000001000000}"/>
    <hyperlink ref="C1" r:id="rId3" xr:uid="{00000000-0004-0000-0300-000002000000}"/>
    <hyperlink ref="C13" r:id="rId4" xr:uid="{00000000-0004-0000-0300-000003000000}"/>
    <hyperlink ref="C37" r:id="rId5" xr:uid="{00000000-0004-0000-0300-000004000000}"/>
    <hyperlink ref="C67" r:id="rId6" xr:uid="{00000000-0004-0000-0300-000005000000}"/>
    <hyperlink ref="C374" r:id="rId7" xr:uid="{00000000-0004-0000-0300-000006000000}"/>
    <hyperlink ref="C95" r:id="rId8" xr:uid="{00000000-0004-0000-0300-000007000000}"/>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35"/>
  <sheetViews>
    <sheetView topLeftCell="B11" workbookViewId="0">
      <selection activeCell="B214" sqref="B214"/>
    </sheetView>
  </sheetViews>
  <sheetFormatPr defaultColWidth="10.83203125" defaultRowHeight="14"/>
  <cols>
    <col min="1" max="1" width="10.83203125" style="24" hidden="1" customWidth="1"/>
    <col min="2" max="2" width="10.83203125" style="24"/>
    <col min="3" max="3" width="7.83203125" style="24" customWidth="1"/>
    <col min="4" max="4" width="23.83203125" style="24" customWidth="1"/>
    <col min="5" max="9" width="10.83203125" style="24"/>
    <col min="10" max="10" width="11" style="24" bestFit="1" customWidth="1"/>
    <col min="11" max="11" width="10.83203125" style="24"/>
    <col min="12" max="12" width="11" style="24" bestFit="1" customWidth="1"/>
    <col min="13" max="13" width="13.83203125" style="24" bestFit="1" customWidth="1"/>
    <col min="14" max="14" width="13.6640625" style="24" bestFit="1" customWidth="1"/>
    <col min="15" max="15" width="10.83203125" style="24"/>
    <col min="16" max="16" width="11.83203125" style="24" bestFit="1" customWidth="1"/>
    <col min="17" max="18" width="10.83203125" style="24"/>
    <col min="19" max="19" width="13.5" style="24" customWidth="1"/>
    <col min="20" max="20" width="9.5" style="24" hidden="1" customWidth="1"/>
    <col min="21" max="21" width="10.83203125" style="24" hidden="1" customWidth="1"/>
    <col min="22" max="16384" width="10.83203125" style="24"/>
  </cols>
  <sheetData>
    <row r="1" spans="1:21">
      <c r="B1" s="11">
        <v>79</v>
      </c>
      <c r="C1" s="9" t="s">
        <v>182</v>
      </c>
      <c r="D1" s="1" t="s">
        <v>93</v>
      </c>
      <c r="E1" s="1" t="s">
        <v>92</v>
      </c>
      <c r="F1" s="3">
        <v>8.4499999999999993</v>
      </c>
      <c r="G1" s="3">
        <v>8.4499998863000005</v>
      </c>
      <c r="H1" s="2">
        <v>42424</v>
      </c>
      <c r="I1" s="2" t="s">
        <v>151</v>
      </c>
      <c r="J1" s="11">
        <v>14.2</v>
      </c>
      <c r="K1" s="3">
        <v>11.4</v>
      </c>
      <c r="L1" s="3">
        <f t="shared" ref="L1:L10" si="0">K1/J1</f>
        <v>0.80281690140845074</v>
      </c>
      <c r="M1" s="3">
        <v>11.41</v>
      </c>
      <c r="N1" s="10">
        <f t="shared" ref="N1:N10" si="1">M1/J1</f>
        <v>0.80352112676056342</v>
      </c>
      <c r="O1" s="47">
        <v>4</v>
      </c>
      <c r="P1" s="2">
        <v>42816</v>
      </c>
      <c r="Q1" s="10">
        <v>13.3</v>
      </c>
      <c r="R1" s="18">
        <f>((Q1*(1+T1/10)+U1/10)/M1)*1.5</f>
        <v>1.9364592462751973</v>
      </c>
      <c r="S1" s="11" t="s">
        <v>252</v>
      </c>
      <c r="T1" s="22" t="str">
        <f t="shared" ref="T1:T10" si="2">IFERROR(RIGHT(LEFT(S1,FIND("股",S1)-1),(FIND("股",S1)-1-FIND("转",S1))),0)</f>
        <v>1</v>
      </c>
      <c r="U1" s="23" t="str">
        <f t="shared" ref="U1:U10" si="3">IFERROR(RIGHT(LEFT(S1,FIND("元",S1)-1),(FIND("元",S1)-1-FIND("派",S1))),0)</f>
        <v>1</v>
      </c>
    </row>
    <row r="2" spans="1:21">
      <c r="B2" s="11">
        <v>81</v>
      </c>
      <c r="C2" s="7" t="s">
        <v>183</v>
      </c>
      <c r="D2" s="1" t="s">
        <v>51</v>
      </c>
      <c r="E2" s="1" t="s">
        <v>50</v>
      </c>
      <c r="F2" s="3">
        <v>38.299999999999997</v>
      </c>
      <c r="G2" s="3">
        <v>38.299993020000002</v>
      </c>
      <c r="H2" s="2">
        <v>42425</v>
      </c>
      <c r="I2" s="2" t="s">
        <v>151</v>
      </c>
      <c r="J2" s="11">
        <v>10.220000000000001</v>
      </c>
      <c r="K2" s="3">
        <v>9.32</v>
      </c>
      <c r="L2" s="3">
        <f t="shared" si="0"/>
        <v>0.9119373776908023</v>
      </c>
      <c r="M2" s="3">
        <v>9.6300000000000008</v>
      </c>
      <c r="N2" s="10">
        <f t="shared" si="1"/>
        <v>0.94227005870841485</v>
      </c>
      <c r="O2" s="47">
        <v>9</v>
      </c>
      <c r="P2" s="2">
        <v>42817</v>
      </c>
      <c r="Q2" s="10">
        <v>2.94</v>
      </c>
      <c r="R2" s="18">
        <f t="shared" ref="R2:R10" si="4">(Q2*(1+T2/10)+U2/10)/M2</f>
        <v>1.2315680166147454</v>
      </c>
      <c r="S2" s="11" t="s">
        <v>253</v>
      </c>
      <c r="T2" s="22" t="str">
        <f t="shared" si="2"/>
        <v>30</v>
      </c>
      <c r="U2" s="23" t="str">
        <f t="shared" si="3"/>
        <v>1</v>
      </c>
    </row>
    <row r="3" spans="1:21">
      <c r="B3" s="11">
        <v>84</v>
      </c>
      <c r="C3" s="9" t="s">
        <v>184</v>
      </c>
      <c r="D3" s="1" t="s">
        <v>67</v>
      </c>
      <c r="E3" s="1" t="s">
        <v>66</v>
      </c>
      <c r="F3" s="3">
        <v>26</v>
      </c>
      <c r="G3" s="3">
        <v>25.999999982399999</v>
      </c>
      <c r="H3" s="2">
        <v>42424</v>
      </c>
      <c r="I3" s="2" t="s">
        <v>151</v>
      </c>
      <c r="J3" s="11">
        <v>17.66</v>
      </c>
      <c r="K3" s="3">
        <v>15.09</v>
      </c>
      <c r="L3" s="3">
        <f t="shared" si="0"/>
        <v>0.85447338618346547</v>
      </c>
      <c r="M3" s="3">
        <v>15.09</v>
      </c>
      <c r="N3" s="10">
        <f t="shared" si="1"/>
        <v>0.85447338618346547</v>
      </c>
      <c r="O3" s="47">
        <v>5</v>
      </c>
      <c r="P3" s="2">
        <v>42837</v>
      </c>
      <c r="Q3" s="10">
        <v>9.6999999999999993</v>
      </c>
      <c r="R3" s="18">
        <f t="shared" si="4"/>
        <v>0.96995277799867452</v>
      </c>
      <c r="S3" s="11" t="s">
        <v>254</v>
      </c>
      <c r="T3" s="22" t="str">
        <f t="shared" si="2"/>
        <v>4.996546</v>
      </c>
      <c r="U3" s="23" t="str">
        <f t="shared" si="3"/>
        <v>0.899378</v>
      </c>
    </row>
    <row r="4" spans="1:21">
      <c r="B4" s="11">
        <v>85</v>
      </c>
      <c r="C4" s="9" t="s">
        <v>185</v>
      </c>
      <c r="D4" s="1" t="s">
        <v>9</v>
      </c>
      <c r="E4" s="1" t="s">
        <v>0</v>
      </c>
      <c r="F4" s="3">
        <v>13.92245</v>
      </c>
      <c r="G4" s="3">
        <v>13.92245</v>
      </c>
      <c r="H4" s="2">
        <v>42432</v>
      </c>
      <c r="I4" s="11" t="s">
        <v>186</v>
      </c>
      <c r="J4" s="11">
        <v>11.27</v>
      </c>
      <c r="K4" s="3">
        <v>9.07</v>
      </c>
      <c r="L4" s="3">
        <f t="shared" si="0"/>
        <v>0.80479148181011539</v>
      </c>
      <c r="M4" s="3">
        <v>9.07</v>
      </c>
      <c r="N4" s="10">
        <f t="shared" si="1"/>
        <v>0.80479148181011539</v>
      </c>
      <c r="O4" s="47">
        <v>7</v>
      </c>
      <c r="P4" s="2">
        <v>42821</v>
      </c>
      <c r="Q4" s="10">
        <v>11.08</v>
      </c>
      <c r="R4" s="18">
        <f t="shared" si="4"/>
        <v>1.2216097023153252</v>
      </c>
      <c r="S4" s="11" t="s">
        <v>223</v>
      </c>
      <c r="T4" s="22">
        <f t="shared" si="2"/>
        <v>0</v>
      </c>
      <c r="U4" s="23">
        <f t="shared" si="3"/>
        <v>0</v>
      </c>
    </row>
    <row r="5" spans="1:21">
      <c r="B5" s="11">
        <v>87</v>
      </c>
      <c r="C5" s="7" t="s">
        <v>187</v>
      </c>
      <c r="D5" s="1" t="s">
        <v>17</v>
      </c>
      <c r="E5" s="1" t="s">
        <v>16</v>
      </c>
      <c r="F5" s="3">
        <v>9.0399999999999991</v>
      </c>
      <c r="G5" s="3">
        <v>9.0399998746999994</v>
      </c>
      <c r="H5" s="2">
        <v>42433</v>
      </c>
      <c r="I5" s="2" t="s">
        <v>224</v>
      </c>
      <c r="J5" s="11">
        <v>33.97</v>
      </c>
      <c r="K5" s="3">
        <v>25.97</v>
      </c>
      <c r="L5" s="3">
        <f t="shared" si="0"/>
        <v>0.76449808654695317</v>
      </c>
      <c r="M5" s="3">
        <v>28.87</v>
      </c>
      <c r="N5" s="10">
        <f t="shared" si="1"/>
        <v>0.84986753017368277</v>
      </c>
      <c r="O5" s="47">
        <v>8</v>
      </c>
      <c r="P5" s="2">
        <v>42824</v>
      </c>
      <c r="Q5" s="10">
        <v>20.079999999999998</v>
      </c>
      <c r="R5" s="18">
        <f t="shared" si="4"/>
        <v>0.69691721510218207</v>
      </c>
      <c r="S5" s="11" t="s">
        <v>222</v>
      </c>
      <c r="T5" s="22">
        <f t="shared" si="2"/>
        <v>0</v>
      </c>
      <c r="U5" s="23" t="str">
        <f t="shared" si="3"/>
        <v>0.4</v>
      </c>
    </row>
    <row r="6" spans="1:21">
      <c r="B6" s="11">
        <v>90</v>
      </c>
      <c r="C6" s="9" t="s">
        <v>188</v>
      </c>
      <c r="D6" s="1" t="s">
        <v>87</v>
      </c>
      <c r="E6" s="1" t="s">
        <v>86</v>
      </c>
      <c r="F6" s="3">
        <v>14.439155</v>
      </c>
      <c r="G6" s="3">
        <v>14.4391549792</v>
      </c>
      <c r="H6" s="2">
        <v>42454</v>
      </c>
      <c r="I6" s="2" t="s">
        <v>153</v>
      </c>
      <c r="J6" s="11">
        <v>9.61</v>
      </c>
      <c r="K6" s="3">
        <v>5.0199999999999996</v>
      </c>
      <c r="L6" s="3">
        <f t="shared" si="0"/>
        <v>0.52237252861602501</v>
      </c>
      <c r="M6" s="3">
        <v>7.42</v>
      </c>
      <c r="N6" s="10">
        <f t="shared" si="1"/>
        <v>0.77211238293444329</v>
      </c>
      <c r="O6" s="47">
        <v>5</v>
      </c>
      <c r="P6" s="2">
        <v>42825</v>
      </c>
      <c r="Q6" s="10">
        <v>15.56</v>
      </c>
      <c r="R6" s="18">
        <f t="shared" si="4"/>
        <v>2.1105121293800542</v>
      </c>
      <c r="S6" s="11" t="s">
        <v>242</v>
      </c>
      <c r="T6" s="22">
        <f t="shared" si="2"/>
        <v>0</v>
      </c>
      <c r="U6" s="23" t="str">
        <f t="shared" si="3"/>
        <v>1.00</v>
      </c>
    </row>
    <row r="7" spans="1:21">
      <c r="B7" s="11">
        <v>93</v>
      </c>
      <c r="C7" s="9" t="s">
        <v>189</v>
      </c>
      <c r="D7" s="1" t="s">
        <v>21</v>
      </c>
      <c r="E7" s="1" t="s">
        <v>20</v>
      </c>
      <c r="F7" s="3">
        <v>28</v>
      </c>
      <c r="G7" s="3">
        <v>27.543206963999999</v>
      </c>
      <c r="H7" s="2">
        <v>42439</v>
      </c>
      <c r="I7" s="11" t="s">
        <v>151</v>
      </c>
      <c r="J7" s="11">
        <v>7.86</v>
      </c>
      <c r="K7" s="3">
        <v>6.76</v>
      </c>
      <c r="L7" s="3">
        <f t="shared" si="0"/>
        <v>0.86005089058524165</v>
      </c>
      <c r="M7" s="3">
        <v>6.76</v>
      </c>
      <c r="N7" s="10">
        <f t="shared" si="1"/>
        <v>0.86005089058524165</v>
      </c>
      <c r="O7" s="47">
        <v>4</v>
      </c>
      <c r="P7" s="2">
        <v>42825</v>
      </c>
      <c r="Q7" s="10">
        <v>7.02</v>
      </c>
      <c r="R7" s="18">
        <f t="shared" si="4"/>
        <v>1.0433431952662722</v>
      </c>
      <c r="S7" s="11" t="s">
        <v>255</v>
      </c>
      <c r="T7" s="22">
        <f t="shared" si="2"/>
        <v>0</v>
      </c>
      <c r="U7" s="23" t="str">
        <f t="shared" si="3"/>
        <v>0.33</v>
      </c>
    </row>
    <row r="8" spans="1:21">
      <c r="B8" s="11">
        <v>98</v>
      </c>
      <c r="C8" s="9" t="s">
        <v>192</v>
      </c>
      <c r="D8" s="1" t="s">
        <v>15</v>
      </c>
      <c r="E8" s="1" t="s">
        <v>14</v>
      </c>
      <c r="F8" s="3">
        <v>15</v>
      </c>
      <c r="G8" s="3">
        <v>10.36</v>
      </c>
      <c r="H8" s="2">
        <v>42437</v>
      </c>
      <c r="I8" s="11" t="s">
        <v>191</v>
      </c>
      <c r="J8" s="11">
        <v>15.6</v>
      </c>
      <c r="K8" s="3">
        <v>11.83</v>
      </c>
      <c r="L8" s="3">
        <f t="shared" si="0"/>
        <v>0.7583333333333333</v>
      </c>
      <c r="M8" s="3">
        <v>12.95</v>
      </c>
      <c r="N8" s="10">
        <f t="shared" si="1"/>
        <v>0.83012820512820507</v>
      </c>
      <c r="O8" s="47">
        <v>5</v>
      </c>
      <c r="P8" s="2">
        <v>42830</v>
      </c>
      <c r="Q8" s="10">
        <v>26</v>
      </c>
      <c r="R8" s="18">
        <f t="shared" si="4"/>
        <v>2.0100386100386101</v>
      </c>
      <c r="S8" s="11" t="s">
        <v>256</v>
      </c>
      <c r="T8" s="22">
        <f t="shared" si="2"/>
        <v>0</v>
      </c>
      <c r="U8" s="23" t="str">
        <f t="shared" si="3"/>
        <v>0.3</v>
      </c>
    </row>
    <row r="9" spans="1:21">
      <c r="B9" s="11">
        <v>100</v>
      </c>
      <c r="C9" s="9" t="s">
        <v>193</v>
      </c>
      <c r="D9" s="1" t="s">
        <v>61</v>
      </c>
      <c r="E9" s="1" t="s">
        <v>60</v>
      </c>
      <c r="F9" s="3">
        <v>3.8955000000000002</v>
      </c>
      <c r="G9" s="3">
        <v>3.8954999524999998</v>
      </c>
      <c r="H9" s="2">
        <v>42426</v>
      </c>
      <c r="I9" s="11" t="s">
        <v>191</v>
      </c>
      <c r="J9" s="11">
        <v>30.98</v>
      </c>
      <c r="K9" s="3">
        <v>22.48</v>
      </c>
      <c r="L9" s="3">
        <f t="shared" si="0"/>
        <v>0.72562943834732085</v>
      </c>
      <c r="M9" s="3">
        <v>24.05</v>
      </c>
      <c r="N9" s="10">
        <f t="shared" si="1"/>
        <v>0.77630729502905105</v>
      </c>
      <c r="O9" s="47">
        <v>3</v>
      </c>
      <c r="P9" s="2">
        <v>42831</v>
      </c>
      <c r="Q9" s="10">
        <v>39.549999999999997</v>
      </c>
      <c r="R9" s="18">
        <f t="shared" si="4"/>
        <v>1.6482328482328481</v>
      </c>
      <c r="S9" s="11" t="s">
        <v>257</v>
      </c>
      <c r="T9" s="22">
        <f t="shared" si="2"/>
        <v>0</v>
      </c>
      <c r="U9" s="23" t="str">
        <f t="shared" si="3"/>
        <v>0.90</v>
      </c>
    </row>
    <row r="10" spans="1:21">
      <c r="B10" s="11">
        <v>101</v>
      </c>
      <c r="C10" s="9" t="s">
        <v>194</v>
      </c>
      <c r="D10" s="1" t="s">
        <v>23</v>
      </c>
      <c r="E10" s="1" t="s">
        <v>22</v>
      </c>
      <c r="F10" s="3">
        <v>10.112242999999999</v>
      </c>
      <c r="G10" s="3">
        <v>10.112242978899999</v>
      </c>
      <c r="H10" s="2">
        <v>42444</v>
      </c>
      <c r="I10" s="2" t="s">
        <v>151</v>
      </c>
      <c r="J10" s="11">
        <v>14.56</v>
      </c>
      <c r="K10" s="3">
        <v>11.61</v>
      </c>
      <c r="L10" s="3">
        <f t="shared" si="0"/>
        <v>0.79739010989010983</v>
      </c>
      <c r="M10" s="3">
        <v>13.21</v>
      </c>
      <c r="N10" s="10">
        <f t="shared" si="1"/>
        <v>0.90728021978021978</v>
      </c>
      <c r="O10" s="47">
        <v>5</v>
      </c>
      <c r="P10" s="2">
        <v>42832</v>
      </c>
      <c r="Q10" s="10">
        <v>13.01</v>
      </c>
      <c r="R10" s="18">
        <f t="shared" si="4"/>
        <v>0.9931869795609386</v>
      </c>
      <c r="S10" s="11" t="s">
        <v>258</v>
      </c>
      <c r="T10" s="22">
        <f t="shared" si="2"/>
        <v>0</v>
      </c>
      <c r="U10" s="23" t="str">
        <f t="shared" si="3"/>
        <v>1.1</v>
      </c>
    </row>
    <row r="12" spans="1:21">
      <c r="A12" s="24">
        <v>1</v>
      </c>
      <c r="B12" s="12" t="s">
        <v>106</v>
      </c>
      <c r="C12" s="12" t="s">
        <v>126</v>
      </c>
      <c r="D12" s="12" t="s">
        <v>107</v>
      </c>
      <c r="E12" s="12" t="s">
        <v>4</v>
      </c>
      <c r="F12" s="13" t="s">
        <v>108</v>
      </c>
      <c r="G12" s="13" t="s">
        <v>109</v>
      </c>
      <c r="H12" s="12" t="s">
        <v>274</v>
      </c>
      <c r="I12" s="12" t="s">
        <v>273</v>
      </c>
      <c r="J12" s="12" t="s">
        <v>116</v>
      </c>
      <c r="K12" s="14" t="s">
        <v>110</v>
      </c>
      <c r="L12" s="14" t="s">
        <v>276</v>
      </c>
      <c r="M12" s="14" t="s">
        <v>117</v>
      </c>
      <c r="N12" s="15" t="s">
        <v>275</v>
      </c>
      <c r="O12" s="12" t="s">
        <v>111</v>
      </c>
      <c r="P12" s="8" t="s">
        <v>12</v>
      </c>
      <c r="Q12" s="8" t="s">
        <v>190</v>
      </c>
      <c r="R12" s="15" t="s">
        <v>129</v>
      </c>
      <c r="S12" s="14" t="s">
        <v>220</v>
      </c>
    </row>
    <row r="13" spans="1:21">
      <c r="B13" s="11">
        <v>21</v>
      </c>
      <c r="C13" s="9" t="s">
        <v>182</v>
      </c>
      <c r="D13" s="1" t="s">
        <v>93</v>
      </c>
      <c r="E13" s="1" t="s">
        <v>92</v>
      </c>
      <c r="F13" s="3">
        <v>8.4499999999999993</v>
      </c>
      <c r="G13" s="3">
        <v>8.4499998863000005</v>
      </c>
      <c r="H13" s="2">
        <v>42424</v>
      </c>
      <c r="I13" s="2" t="s">
        <v>151</v>
      </c>
      <c r="J13" s="11">
        <v>14.2</v>
      </c>
      <c r="K13" s="3">
        <v>11.4</v>
      </c>
      <c r="L13" s="3">
        <f>K13/J13</f>
        <v>0.80281690140845074</v>
      </c>
      <c r="M13" s="3">
        <v>11.41</v>
      </c>
      <c r="N13" s="10">
        <f>M13/J13</f>
        <v>0.80352112676056342</v>
      </c>
      <c r="O13" s="47">
        <v>4</v>
      </c>
      <c r="P13" s="2">
        <v>42816</v>
      </c>
      <c r="Q13" s="10">
        <v>13.3</v>
      </c>
      <c r="R13" s="18">
        <f>((Q13*(1+T13/10)+U13/10)/M13)*1.5</f>
        <v>1.9364592462751973</v>
      </c>
      <c r="S13" s="11" t="s">
        <v>252</v>
      </c>
      <c r="T13" s="22" t="str">
        <f>IFERROR(RIGHT(LEFT(S13,FIND("股",S13)-1),(FIND("股",S13)-1-FIND("转",S13))),0)</f>
        <v>1</v>
      </c>
      <c r="U13" s="23" t="str">
        <f>IFERROR(RIGHT(LEFT(S13,FIND("元",S13)-1),(FIND("元",S13)-1-FIND("派",S13))),0)</f>
        <v>1</v>
      </c>
    </row>
    <row r="14" spans="1:21">
      <c r="B14" s="125"/>
      <c r="C14" s="129"/>
      <c r="D14" s="128"/>
      <c r="E14" s="128"/>
      <c r="F14" s="127"/>
      <c r="G14" s="127"/>
      <c r="H14" s="126"/>
      <c r="I14" s="125"/>
      <c r="K14" s="130"/>
      <c r="L14" s="130"/>
      <c r="M14" s="130"/>
      <c r="N14" s="5"/>
      <c r="O14" s="120"/>
      <c r="P14" s="124"/>
      <c r="Q14" s="5"/>
      <c r="R14" s="123"/>
      <c r="T14" s="28"/>
      <c r="U14" s="122"/>
    </row>
    <row r="15" spans="1:21">
      <c r="C15" s="27" t="s">
        <v>118</v>
      </c>
      <c r="D15" s="16" t="s">
        <v>112</v>
      </c>
      <c r="E15" s="16" t="s">
        <v>113</v>
      </c>
      <c r="F15" s="16" t="s">
        <v>288</v>
      </c>
      <c r="G15" s="17" t="s">
        <v>287</v>
      </c>
      <c r="H15" s="16" t="s">
        <v>289</v>
      </c>
      <c r="J15" s="1116" t="s">
        <v>118</v>
      </c>
      <c r="K15" s="1116" t="s">
        <v>7</v>
      </c>
      <c r="L15" s="1007" t="s">
        <v>642</v>
      </c>
      <c r="M15" s="1007" t="s">
        <v>412</v>
      </c>
      <c r="N15" s="1007"/>
      <c r="O15" s="1116" t="s">
        <v>7</v>
      </c>
      <c r="P15" s="1116" t="s">
        <v>410</v>
      </c>
      <c r="Q15" s="1007"/>
    </row>
    <row r="16" spans="1:21">
      <c r="C16" s="24">
        <f t="shared" ref="C16:D22" si="5">IF(J16=0,"",J16)</f>
        <v>1</v>
      </c>
      <c r="D16" s="11" t="str">
        <f>IF(K16=0,"",K16)</f>
        <v>申万菱信（上海）资产管理有限公司</v>
      </c>
      <c r="E16" s="21">
        <f t="shared" ref="E16:E22" si="6">L16</f>
        <v>11.43</v>
      </c>
      <c r="F16" s="21">
        <f>M16/10000</f>
        <v>1.7</v>
      </c>
      <c r="G16" s="19">
        <f t="shared" ref="G16:G22" si="7">IFERROR(VLOOKUP(D16,O$15:Q$22,2,FALSE)/10000,"")</f>
        <v>1489.9211</v>
      </c>
      <c r="H16" s="21">
        <f t="shared" ref="H16:H22" si="8">IFERROR(G16*M$13/10000,"")</f>
        <v>1.6999999750999999</v>
      </c>
      <c r="J16" s="1093">
        <v>1</v>
      </c>
      <c r="K16" s="1116" t="s">
        <v>138</v>
      </c>
      <c r="L16" s="1088">
        <v>11.43</v>
      </c>
      <c r="M16" s="1089">
        <v>17000</v>
      </c>
      <c r="N16" s="1007"/>
      <c r="O16" s="1116" t="s">
        <v>138</v>
      </c>
      <c r="P16" s="1117">
        <v>14899211</v>
      </c>
      <c r="Q16" s="1118"/>
    </row>
    <row r="17" spans="1:21">
      <c r="C17" s="24">
        <f t="shared" si="5"/>
        <v>2</v>
      </c>
      <c r="D17" s="11" t="str">
        <f t="shared" si="5"/>
        <v>上海北信瑞丰资产管理有限公司</v>
      </c>
      <c r="E17" s="21">
        <f t="shared" si="6"/>
        <v>12.3</v>
      </c>
      <c r="F17" s="21">
        <f t="shared" ref="F17:F22" si="9">M17/10000</f>
        <v>1.7</v>
      </c>
      <c r="G17" s="19">
        <f t="shared" si="7"/>
        <v>1489.9211</v>
      </c>
      <c r="H17" s="21">
        <f t="shared" si="8"/>
        <v>1.6999999750999999</v>
      </c>
      <c r="J17" s="1086">
        <v>2</v>
      </c>
      <c r="K17" s="1054" t="s">
        <v>373</v>
      </c>
      <c r="L17" s="1088">
        <v>12.3</v>
      </c>
      <c r="M17" s="1089">
        <v>17000</v>
      </c>
      <c r="N17" s="1007"/>
      <c r="O17" s="1054" t="s">
        <v>373</v>
      </c>
      <c r="P17" s="1117">
        <v>14899211</v>
      </c>
      <c r="Q17" s="1118"/>
    </row>
    <row r="18" spans="1:21" ht="15" customHeight="1">
      <c r="C18" s="24" t="str">
        <f t="shared" si="5"/>
        <v/>
      </c>
      <c r="D18" s="11" t="str">
        <f t="shared" si="5"/>
        <v/>
      </c>
      <c r="E18" s="21">
        <f t="shared" si="6"/>
        <v>11.5</v>
      </c>
      <c r="F18" s="21">
        <f t="shared" si="9"/>
        <v>1.7</v>
      </c>
      <c r="G18" s="19" t="str">
        <f t="shared" si="7"/>
        <v/>
      </c>
      <c r="H18" s="21" t="str">
        <f t="shared" si="8"/>
        <v/>
      </c>
      <c r="J18" s="1086"/>
      <c r="K18" s="1054"/>
      <c r="L18" s="1088">
        <v>11.5</v>
      </c>
      <c r="M18" s="1089">
        <v>17000</v>
      </c>
      <c r="N18" s="1007"/>
      <c r="O18" s="1116" t="s">
        <v>147</v>
      </c>
      <c r="P18" s="1117">
        <v>16652059</v>
      </c>
      <c r="Q18" s="1118"/>
    </row>
    <row r="19" spans="1:21">
      <c r="C19" s="24" t="str">
        <f t="shared" si="5"/>
        <v/>
      </c>
      <c r="D19" s="11" t="str">
        <f t="shared" si="5"/>
        <v/>
      </c>
      <c r="E19" s="21">
        <f t="shared" si="6"/>
        <v>11.4</v>
      </c>
      <c r="F19" s="21">
        <f t="shared" si="9"/>
        <v>1.7</v>
      </c>
      <c r="G19" s="19" t="str">
        <f t="shared" si="7"/>
        <v/>
      </c>
      <c r="H19" s="21" t="str">
        <f t="shared" si="8"/>
        <v/>
      </c>
      <c r="J19" s="1086"/>
      <c r="K19" s="1054"/>
      <c r="L19" s="1088">
        <v>11.4</v>
      </c>
      <c r="M19" s="1089">
        <v>17000</v>
      </c>
      <c r="N19" s="1007"/>
      <c r="O19" s="1116" t="s">
        <v>115</v>
      </c>
      <c r="P19" s="1117">
        <v>27607362</v>
      </c>
      <c r="Q19" s="492"/>
    </row>
    <row r="20" spans="1:21">
      <c r="C20" s="24">
        <f t="shared" si="5"/>
        <v>3</v>
      </c>
      <c r="D20" s="11" t="str">
        <f t="shared" si="5"/>
        <v>诺安基金管理有限公司</v>
      </c>
      <c r="E20" s="21">
        <f t="shared" si="6"/>
        <v>11.62</v>
      </c>
      <c r="F20" s="21">
        <f t="shared" si="9"/>
        <v>1.9</v>
      </c>
      <c r="G20" s="19">
        <f t="shared" si="7"/>
        <v>1665.2058999999999</v>
      </c>
      <c r="H20" s="21">
        <f t="shared" si="8"/>
        <v>1.8999999318999998</v>
      </c>
      <c r="J20" s="1093">
        <v>3</v>
      </c>
      <c r="K20" s="1116" t="s">
        <v>147</v>
      </c>
      <c r="L20" s="1088">
        <v>11.62</v>
      </c>
      <c r="M20" s="1089">
        <v>19000</v>
      </c>
      <c r="N20" s="1007"/>
      <c r="O20" s="1007"/>
      <c r="P20" s="1509"/>
      <c r="Q20" s="492"/>
    </row>
    <row r="21" spans="1:21">
      <c r="C21" s="24">
        <f t="shared" si="5"/>
        <v>4</v>
      </c>
      <c r="D21" s="11" t="str">
        <f t="shared" si="5"/>
        <v>财通基金管理有限公司</v>
      </c>
      <c r="E21" s="21">
        <f t="shared" si="6"/>
        <v>11.72</v>
      </c>
      <c r="F21" s="21">
        <f t="shared" si="9"/>
        <v>3</v>
      </c>
      <c r="G21" s="19">
        <f>IFERROR(VLOOKUP(D21,O$15:Q$22,2,FALSE)/10000,"")</f>
        <v>2760.7361999999998</v>
      </c>
      <c r="H21" s="21">
        <f>IFERROR(G21*M$13/10000,"")</f>
        <v>3.1500000041999998</v>
      </c>
      <c r="J21" s="1094">
        <v>4</v>
      </c>
      <c r="K21" s="1054" t="s">
        <v>115</v>
      </c>
      <c r="L21" s="1088">
        <v>11.72</v>
      </c>
      <c r="M21" s="1089">
        <v>30000</v>
      </c>
      <c r="N21" s="1007"/>
      <c r="O21" s="1007"/>
      <c r="P21" s="1509"/>
      <c r="Q21" s="492"/>
    </row>
    <row r="22" spans="1:21">
      <c r="C22" s="24" t="str">
        <f t="shared" si="5"/>
        <v/>
      </c>
      <c r="D22" s="11" t="str">
        <f t="shared" si="5"/>
        <v/>
      </c>
      <c r="E22" s="21">
        <f t="shared" si="6"/>
        <v>11.41</v>
      </c>
      <c r="F22" s="21">
        <f t="shared" si="9"/>
        <v>3.6</v>
      </c>
      <c r="G22" s="19" t="str">
        <f t="shared" si="7"/>
        <v/>
      </c>
      <c r="H22" s="21" t="str">
        <f t="shared" si="8"/>
        <v/>
      </c>
      <c r="J22" s="1094"/>
      <c r="K22" s="1054"/>
      <c r="L22" s="1088">
        <v>11.41</v>
      </c>
      <c r="M22" s="1089">
        <v>36000</v>
      </c>
      <c r="N22" s="1007"/>
      <c r="O22" s="1007"/>
      <c r="P22" s="1119"/>
      <c r="Q22" s="492"/>
    </row>
    <row r="23" spans="1:21">
      <c r="J23" s="28"/>
    </row>
    <row r="24" spans="1:21">
      <c r="A24" s="24">
        <v>2</v>
      </c>
      <c r="B24" s="12" t="s">
        <v>106</v>
      </c>
      <c r="C24" s="12" t="s">
        <v>126</v>
      </c>
      <c r="D24" s="12" t="s">
        <v>107</v>
      </c>
      <c r="E24" s="12" t="s">
        <v>4</v>
      </c>
      <c r="F24" s="13" t="s">
        <v>108</v>
      </c>
      <c r="G24" s="13" t="s">
        <v>109</v>
      </c>
      <c r="H24" s="12" t="s">
        <v>274</v>
      </c>
      <c r="I24" s="12" t="s">
        <v>273</v>
      </c>
      <c r="J24" s="12" t="s">
        <v>116</v>
      </c>
      <c r="K24" s="14" t="s">
        <v>110</v>
      </c>
      <c r="L24" s="14" t="s">
        <v>276</v>
      </c>
      <c r="M24" s="14" t="s">
        <v>117</v>
      </c>
      <c r="N24" s="15" t="s">
        <v>275</v>
      </c>
      <c r="O24" s="12" t="s">
        <v>111</v>
      </c>
      <c r="P24" s="8" t="s">
        <v>12</v>
      </c>
      <c r="Q24" s="8" t="s">
        <v>190</v>
      </c>
      <c r="R24" s="15" t="s">
        <v>129</v>
      </c>
      <c r="S24" s="14" t="s">
        <v>220</v>
      </c>
    </row>
    <row r="25" spans="1:21">
      <c r="B25" s="11">
        <v>22</v>
      </c>
      <c r="C25" s="7" t="s">
        <v>183</v>
      </c>
      <c r="D25" s="1" t="s">
        <v>51</v>
      </c>
      <c r="E25" s="1" t="s">
        <v>50</v>
      </c>
      <c r="F25" s="3">
        <v>38.299999999999997</v>
      </c>
      <c r="G25" s="3">
        <v>38.299993020000002</v>
      </c>
      <c r="H25" s="2">
        <v>42425</v>
      </c>
      <c r="I25" s="2" t="s">
        <v>151</v>
      </c>
      <c r="J25" s="11">
        <v>10.220000000000001</v>
      </c>
      <c r="K25" s="3">
        <v>9.32</v>
      </c>
      <c r="L25" s="3">
        <f>K25/J25</f>
        <v>0.9119373776908023</v>
      </c>
      <c r="M25" s="3">
        <v>9.6300000000000008</v>
      </c>
      <c r="N25" s="10">
        <f>M25/J25</f>
        <v>0.94227005870841485</v>
      </c>
      <c r="O25" s="47">
        <v>9</v>
      </c>
      <c r="P25" s="2">
        <v>42817</v>
      </c>
      <c r="Q25" s="10">
        <v>2.94</v>
      </c>
      <c r="R25" s="18">
        <f>(Q25*(1+T25/10)+U25/10)/M25</f>
        <v>1.2315680166147454</v>
      </c>
      <c r="S25" s="11" t="s">
        <v>253</v>
      </c>
      <c r="T25" s="22" t="str">
        <f>IFERROR(RIGHT(LEFT(S25,FIND("股",S25)-1),(FIND("股",S25)-1-FIND("转",S25))),0)</f>
        <v>30</v>
      </c>
      <c r="U25" s="23" t="str">
        <f>IFERROR(RIGHT(LEFT(S25,FIND("元",S25)-1),(FIND("元",S25)-1-FIND("派",S25))),0)</f>
        <v>1</v>
      </c>
    </row>
    <row r="26" spans="1:21">
      <c r="B26" s="125"/>
      <c r="C26" s="129"/>
      <c r="D26" s="128"/>
      <c r="E26" s="128"/>
      <c r="F26" s="127"/>
      <c r="G26" s="127"/>
      <c r="H26" s="126"/>
      <c r="I26" s="125"/>
      <c r="K26" s="130"/>
      <c r="L26" s="130"/>
      <c r="M26" s="130"/>
      <c r="N26" s="5"/>
      <c r="O26" s="120"/>
      <c r="P26" s="124"/>
      <c r="Q26" s="5"/>
      <c r="R26" s="123"/>
      <c r="T26" s="28"/>
      <c r="U26" s="122"/>
    </row>
    <row r="27" spans="1:21" ht="16.5">
      <c r="C27" s="27" t="s">
        <v>118</v>
      </c>
      <c r="D27" s="16" t="s">
        <v>112</v>
      </c>
      <c r="E27" s="16" t="s">
        <v>113</v>
      </c>
      <c r="F27" s="16" t="s">
        <v>288</v>
      </c>
      <c r="G27" s="17" t="s">
        <v>287</v>
      </c>
      <c r="H27" s="16" t="s">
        <v>289</v>
      </c>
      <c r="J27" s="1120" t="s">
        <v>641</v>
      </c>
      <c r="K27" s="1006" t="s">
        <v>640</v>
      </c>
      <c r="L27" s="1006" t="s">
        <v>639</v>
      </c>
      <c r="M27" s="1007" t="s">
        <v>638</v>
      </c>
      <c r="N27" s="492"/>
      <c r="O27" s="1006" t="s">
        <v>637</v>
      </c>
      <c r="P27" s="1007" t="s">
        <v>636</v>
      </c>
      <c r="Q27" s="1033"/>
    </row>
    <row r="28" spans="1:21" ht="15.5">
      <c r="C28" s="28">
        <f t="shared" ref="C28:D45" si="10">IF(J28=0,"",J28)</f>
        <v>1</v>
      </c>
      <c r="D28" s="11" t="str">
        <f t="shared" si="10"/>
        <v>德盈润泰实业有限公司</v>
      </c>
      <c r="E28" s="21">
        <f t="shared" ref="E28:E45" si="11">L28</f>
        <v>9.39</v>
      </c>
      <c r="F28" s="21">
        <f t="shared" ref="F28:F45" si="12">M28/10000</f>
        <v>3.83</v>
      </c>
      <c r="G28" s="19" t="str">
        <f>IFERROR(VLOOKUP(D28,O$27:Q$33,2,FALSE)/1,"")</f>
        <v/>
      </c>
      <c r="H28" s="21" t="str">
        <f t="shared" ref="H28:H37" si="13">IFERROR(G28*M$25/10000,"")</f>
        <v/>
      </c>
      <c r="J28" s="1030">
        <v>1</v>
      </c>
      <c r="K28" s="1121" t="s">
        <v>523</v>
      </c>
      <c r="L28" s="1122">
        <v>9.39</v>
      </c>
      <c r="M28" s="1123">
        <v>38300</v>
      </c>
      <c r="N28" s="492"/>
      <c r="O28" s="1124" t="s">
        <v>635</v>
      </c>
      <c r="P28" s="1125">
        <v>3977.15</v>
      </c>
      <c r="Q28" s="492"/>
    </row>
    <row r="29" spans="1:21" ht="15.5">
      <c r="C29" s="28" t="str">
        <f t="shared" si="10"/>
        <v/>
      </c>
      <c r="D29" s="11" t="str">
        <f t="shared" si="10"/>
        <v/>
      </c>
      <c r="E29" s="21">
        <f t="shared" si="11"/>
        <v>9.32</v>
      </c>
      <c r="F29" s="21">
        <f t="shared" si="12"/>
        <v>3.83</v>
      </c>
      <c r="G29" s="19" t="str">
        <f>IFERROR(VLOOKUP(D29,O$27:Q$33,2,FALSE)/1,"")</f>
        <v/>
      </c>
      <c r="H29" s="21" t="str">
        <f t="shared" si="13"/>
        <v/>
      </c>
      <c r="J29" s="1030"/>
      <c r="K29" s="1121"/>
      <c r="L29" s="1122">
        <v>9.32</v>
      </c>
      <c r="M29" s="1123">
        <v>38300</v>
      </c>
      <c r="N29" s="492"/>
      <c r="O29" s="1124" t="s">
        <v>130</v>
      </c>
      <c r="P29" s="1125">
        <v>3977.15</v>
      </c>
      <c r="Q29" s="492"/>
    </row>
    <row r="30" spans="1:21" ht="15.5">
      <c r="C30" s="28">
        <f t="shared" si="10"/>
        <v>2</v>
      </c>
      <c r="D30" s="11" t="str">
        <f t="shared" si="10"/>
        <v>建信基金管理有限责任公司</v>
      </c>
      <c r="E30" s="21">
        <f t="shared" si="11"/>
        <v>10.85</v>
      </c>
      <c r="F30" s="21">
        <f t="shared" si="12"/>
        <v>3.83</v>
      </c>
      <c r="G30" s="19">
        <f>IFERROR(VLOOKUP(D30,O$27:Q$33,2,FALSE)/1,"")</f>
        <v>3977.15</v>
      </c>
      <c r="H30" s="21">
        <f t="shared" si="13"/>
        <v>3.8299954500000006</v>
      </c>
      <c r="J30" s="1024">
        <v>2</v>
      </c>
      <c r="K30" s="1124" t="s">
        <v>130</v>
      </c>
      <c r="L30" s="1122">
        <v>10.85</v>
      </c>
      <c r="M30" s="1123">
        <v>38300</v>
      </c>
      <c r="N30" s="492"/>
      <c r="O30" s="1124" t="s">
        <v>336</v>
      </c>
      <c r="P30" s="1125">
        <v>3977.15</v>
      </c>
      <c r="Q30" s="492"/>
    </row>
    <row r="31" spans="1:21" ht="15.5">
      <c r="C31" s="28">
        <f t="shared" si="10"/>
        <v>3</v>
      </c>
      <c r="D31" s="11" t="str">
        <f t="shared" si="10"/>
        <v>北信瑞丰基金管理有限公司</v>
      </c>
      <c r="E31" s="21">
        <f t="shared" si="11"/>
        <v>10.78</v>
      </c>
      <c r="F31" s="21">
        <f t="shared" si="12"/>
        <v>3.83</v>
      </c>
      <c r="G31" s="19">
        <f t="shared" ref="G31:G45" si="14">IFERROR(VLOOKUP(D31,O$27:Q$33,2,FALSE)/1,"")</f>
        <v>3977.15</v>
      </c>
      <c r="H31" s="21">
        <f t="shared" si="13"/>
        <v>3.8299954500000006</v>
      </c>
      <c r="J31" s="1024">
        <v>3</v>
      </c>
      <c r="K31" s="1124" t="s">
        <v>336</v>
      </c>
      <c r="L31" s="1122">
        <v>10.78</v>
      </c>
      <c r="M31" s="1123">
        <v>38300</v>
      </c>
      <c r="N31" s="492"/>
      <c r="O31" s="1124" t="s">
        <v>403</v>
      </c>
      <c r="P31" s="1125">
        <v>3977.15</v>
      </c>
      <c r="Q31" s="492"/>
    </row>
    <row r="32" spans="1:21" ht="15.5">
      <c r="C32" s="28">
        <f t="shared" si="10"/>
        <v>4</v>
      </c>
      <c r="D32" s="11" t="str">
        <f t="shared" si="10"/>
        <v>国寿安保基金管理有限公司</v>
      </c>
      <c r="E32" s="21">
        <f t="shared" si="11"/>
        <v>10.8</v>
      </c>
      <c r="F32" s="21">
        <f t="shared" si="12"/>
        <v>3.83</v>
      </c>
      <c r="G32" s="19">
        <f t="shared" si="14"/>
        <v>3977.15</v>
      </c>
      <c r="H32" s="21">
        <f t="shared" si="13"/>
        <v>3.8299954500000006</v>
      </c>
      <c r="J32" s="1024">
        <v>4</v>
      </c>
      <c r="K32" s="1124" t="s">
        <v>403</v>
      </c>
      <c r="L32" s="1122">
        <v>10.8</v>
      </c>
      <c r="M32" s="1123">
        <v>38300</v>
      </c>
      <c r="N32" s="492"/>
      <c r="O32" s="1124" t="s">
        <v>300</v>
      </c>
      <c r="P32" s="1125">
        <v>3977.15</v>
      </c>
      <c r="Q32" s="492"/>
    </row>
    <row r="33" spans="1:21" ht="15.5">
      <c r="C33" s="28">
        <f t="shared" si="10"/>
        <v>5</v>
      </c>
      <c r="D33" s="11" t="str">
        <f t="shared" si="10"/>
        <v>信诚基金管理有限公司</v>
      </c>
      <c r="E33" s="21">
        <f t="shared" si="11"/>
        <v>10.83</v>
      </c>
      <c r="F33" s="21">
        <f t="shared" si="12"/>
        <v>3.83</v>
      </c>
      <c r="G33" s="19">
        <f t="shared" si="14"/>
        <v>3977.15</v>
      </c>
      <c r="H33" s="21">
        <f t="shared" si="13"/>
        <v>3.8299954500000006</v>
      </c>
      <c r="J33" s="1024">
        <v>5</v>
      </c>
      <c r="K33" s="1124" t="s">
        <v>300</v>
      </c>
      <c r="L33" s="1122">
        <v>10.83</v>
      </c>
      <c r="M33" s="1123">
        <v>38300</v>
      </c>
      <c r="N33" s="492"/>
      <c r="O33" s="1124" t="s">
        <v>634</v>
      </c>
      <c r="P33" s="1125">
        <v>5264.79</v>
      </c>
      <c r="Q33" s="492"/>
    </row>
    <row r="34" spans="1:21" ht="15.5">
      <c r="C34" s="28">
        <f t="shared" si="10"/>
        <v>6</v>
      </c>
      <c r="D34" s="11" t="str">
        <f t="shared" si="10"/>
        <v>华安未来资产管理（上海）有限公司</v>
      </c>
      <c r="E34" s="21">
        <f t="shared" si="11"/>
        <v>9.6</v>
      </c>
      <c r="F34" s="21">
        <f t="shared" si="12"/>
        <v>3.99</v>
      </c>
      <c r="G34" s="19" t="str">
        <f t="shared" si="14"/>
        <v/>
      </c>
      <c r="H34" s="21" t="str">
        <f t="shared" si="13"/>
        <v/>
      </c>
      <c r="J34" s="1024">
        <v>6</v>
      </c>
      <c r="K34" s="1124" t="s">
        <v>358</v>
      </c>
      <c r="L34" s="1122">
        <v>9.6</v>
      </c>
      <c r="M34" s="1123">
        <v>39900</v>
      </c>
      <c r="N34" s="492"/>
      <c r="O34" s="1124" t="s">
        <v>383</v>
      </c>
      <c r="P34" s="1125">
        <v>4049.74</v>
      </c>
      <c r="Q34" s="492"/>
    </row>
    <row r="35" spans="1:21" ht="15.5">
      <c r="C35" s="28">
        <f t="shared" si="10"/>
        <v>7</v>
      </c>
      <c r="D35" s="11" t="str">
        <f t="shared" si="10"/>
        <v>天治基金管理有限公司</v>
      </c>
      <c r="E35" s="21">
        <f t="shared" si="11"/>
        <v>11.2</v>
      </c>
      <c r="F35" s="21">
        <f t="shared" si="12"/>
        <v>5.07</v>
      </c>
      <c r="G35" s="19">
        <f t="shared" si="14"/>
        <v>5264.79</v>
      </c>
      <c r="H35" s="21">
        <f t="shared" si="13"/>
        <v>5.0699927699999998</v>
      </c>
      <c r="J35" s="1030">
        <v>7</v>
      </c>
      <c r="K35" s="1121" t="s">
        <v>634</v>
      </c>
      <c r="L35" s="1122">
        <v>11.2</v>
      </c>
      <c r="M35" s="1123">
        <v>50700</v>
      </c>
      <c r="N35" s="492"/>
      <c r="O35" s="1124" t="s">
        <v>121</v>
      </c>
      <c r="P35" s="1125">
        <v>4392.5200000000004</v>
      </c>
      <c r="Q35" s="492"/>
    </row>
    <row r="36" spans="1:21" ht="15.5">
      <c r="C36" s="28" t="str">
        <f t="shared" si="10"/>
        <v/>
      </c>
      <c r="D36" s="11" t="str">
        <f t="shared" si="10"/>
        <v/>
      </c>
      <c r="E36" s="21">
        <f t="shared" si="11"/>
        <v>10.26</v>
      </c>
      <c r="F36" s="21">
        <f t="shared" si="12"/>
        <v>5.07</v>
      </c>
      <c r="G36" s="19" t="str">
        <f t="shared" si="14"/>
        <v/>
      </c>
      <c r="H36" s="21" t="str">
        <f t="shared" si="13"/>
        <v/>
      </c>
      <c r="J36" s="1030"/>
      <c r="K36" s="1121"/>
      <c r="L36" s="1122">
        <v>10.26</v>
      </c>
      <c r="M36" s="1123">
        <v>50700</v>
      </c>
      <c r="N36" s="492"/>
      <c r="O36" s="1124" t="s">
        <v>560</v>
      </c>
      <c r="P36" s="1126">
        <v>61787400</v>
      </c>
      <c r="Q36" s="492"/>
    </row>
    <row r="37" spans="1:21" ht="15.5">
      <c r="C37" s="28" t="str">
        <f t="shared" si="10"/>
        <v/>
      </c>
      <c r="D37" s="11" t="str">
        <f t="shared" si="10"/>
        <v/>
      </c>
      <c r="E37" s="21">
        <f t="shared" si="11"/>
        <v>9.6999999999999993</v>
      </c>
      <c r="F37" s="21">
        <f t="shared" si="12"/>
        <v>5.07</v>
      </c>
      <c r="G37" s="19" t="str">
        <f t="shared" si="14"/>
        <v/>
      </c>
      <c r="H37" s="21" t="str">
        <f t="shared" si="13"/>
        <v/>
      </c>
      <c r="J37" s="1030"/>
      <c r="K37" s="1121"/>
      <c r="L37" s="1122">
        <v>9.6999999999999993</v>
      </c>
      <c r="M37" s="1123">
        <v>50700</v>
      </c>
      <c r="N37" s="492"/>
      <c r="O37" s="492"/>
      <c r="P37" s="492"/>
      <c r="Q37" s="492"/>
    </row>
    <row r="38" spans="1:21" ht="15.5">
      <c r="C38" s="28">
        <f t="shared" si="10"/>
        <v>8</v>
      </c>
      <c r="D38" s="11" t="str">
        <f t="shared" si="10"/>
        <v>深圳天风天成资产管理有限公司</v>
      </c>
      <c r="E38" s="21">
        <f t="shared" si="11"/>
        <v>9.6300000000000008</v>
      </c>
      <c r="F38" s="21">
        <f t="shared" si="12"/>
        <v>11.49</v>
      </c>
      <c r="G38" s="19" t="str">
        <f t="shared" si="14"/>
        <v/>
      </c>
      <c r="H38" s="21"/>
      <c r="J38" s="1024">
        <v>8</v>
      </c>
      <c r="K38" s="1124" t="s">
        <v>560</v>
      </c>
      <c r="L38" s="1122">
        <v>9.6300000000000008</v>
      </c>
      <c r="M38" s="1123">
        <v>114900</v>
      </c>
      <c r="N38" s="492"/>
      <c r="O38" s="492"/>
      <c r="P38" s="492"/>
      <c r="Q38" s="492"/>
    </row>
    <row r="39" spans="1:21" ht="15.5">
      <c r="C39" s="28">
        <f t="shared" si="10"/>
        <v>9</v>
      </c>
      <c r="D39" s="11" t="str">
        <f t="shared" si="10"/>
        <v>上海金元百利资产管理有限公司</v>
      </c>
      <c r="E39" s="21">
        <f t="shared" si="11"/>
        <v>10.75</v>
      </c>
      <c r="F39" s="21">
        <f t="shared" si="12"/>
        <v>3.8999000000000001</v>
      </c>
      <c r="G39" s="19" t="str">
        <f t="shared" si="14"/>
        <v/>
      </c>
      <c r="H39" s="21"/>
      <c r="J39" s="1030">
        <v>9</v>
      </c>
      <c r="K39" s="1121" t="s">
        <v>383</v>
      </c>
      <c r="L39" s="1122">
        <v>10.75</v>
      </c>
      <c r="M39" s="1123">
        <v>38999</v>
      </c>
      <c r="N39" s="492"/>
      <c r="O39" s="492"/>
      <c r="P39" s="492"/>
      <c r="Q39" s="492"/>
    </row>
    <row r="40" spans="1:21" ht="15.5">
      <c r="C40" s="28" t="str">
        <f t="shared" si="10"/>
        <v/>
      </c>
      <c r="D40" s="11" t="str">
        <f t="shared" si="10"/>
        <v/>
      </c>
      <c r="E40" s="21">
        <f t="shared" si="11"/>
        <v>10</v>
      </c>
      <c r="F40" s="21">
        <f t="shared" si="12"/>
        <v>3.8999000000000001</v>
      </c>
      <c r="G40" s="19" t="str">
        <f t="shared" si="14"/>
        <v/>
      </c>
      <c r="H40" s="21" t="str">
        <f>IFERROR(G40*M$25/10000,"")</f>
        <v/>
      </c>
      <c r="J40" s="1030"/>
      <c r="K40" s="1121"/>
      <c r="L40" s="1122">
        <v>10</v>
      </c>
      <c r="M40" s="1123">
        <v>38999</v>
      </c>
      <c r="N40" s="492"/>
      <c r="O40" s="492"/>
      <c r="P40" s="492"/>
      <c r="Q40" s="492"/>
    </row>
    <row r="41" spans="1:21" ht="15.5">
      <c r="C41" s="28" t="str">
        <f t="shared" si="10"/>
        <v/>
      </c>
      <c r="D41" s="11" t="str">
        <f t="shared" si="10"/>
        <v/>
      </c>
      <c r="E41" s="21">
        <f t="shared" si="11"/>
        <v>9.32</v>
      </c>
      <c r="F41" s="21">
        <f t="shared" si="12"/>
        <v>3.8999000000000001</v>
      </c>
      <c r="G41" s="19" t="str">
        <f t="shared" si="14"/>
        <v/>
      </c>
      <c r="H41" s="21" t="str">
        <f>IFERROR(G41*M$25/10000,"")</f>
        <v/>
      </c>
      <c r="J41" s="1030"/>
      <c r="K41" s="1121"/>
      <c r="L41" s="1122">
        <v>9.32</v>
      </c>
      <c r="M41" s="1123">
        <v>38999</v>
      </c>
      <c r="N41" s="492"/>
      <c r="O41" s="492"/>
      <c r="P41" s="492"/>
      <c r="Q41" s="492"/>
    </row>
    <row r="42" spans="1:21" ht="15.5">
      <c r="C42" s="28">
        <f t="shared" si="10"/>
        <v>10</v>
      </c>
      <c r="D42" s="11" t="str">
        <f t="shared" si="10"/>
        <v>申万菱信基金管理有限公司</v>
      </c>
      <c r="E42" s="21">
        <f t="shared" si="11"/>
        <v>11.23</v>
      </c>
      <c r="F42" s="21">
        <f t="shared" si="12"/>
        <v>3.9</v>
      </c>
      <c r="G42" s="19" t="str">
        <f t="shared" si="14"/>
        <v/>
      </c>
      <c r="H42" s="21" t="str">
        <f>IFERROR(G42*M$25/10000,"")</f>
        <v/>
      </c>
      <c r="J42" s="1030">
        <v>10</v>
      </c>
      <c r="K42" s="1121" t="s">
        <v>121</v>
      </c>
      <c r="L42" s="1122">
        <v>11.23</v>
      </c>
      <c r="M42" s="1123">
        <v>39000</v>
      </c>
      <c r="N42" s="492"/>
      <c r="O42" s="492"/>
      <c r="P42" s="492"/>
      <c r="Q42" s="492"/>
    </row>
    <row r="43" spans="1:21" ht="15.5">
      <c r="C43" s="28" t="str">
        <f t="shared" si="10"/>
        <v/>
      </c>
      <c r="D43" s="11" t="str">
        <f t="shared" si="10"/>
        <v/>
      </c>
      <c r="E43" s="21">
        <f t="shared" si="11"/>
        <v>10.27</v>
      </c>
      <c r="F43" s="21">
        <f t="shared" si="12"/>
        <v>3.9</v>
      </c>
      <c r="G43" s="19" t="str">
        <f t="shared" si="14"/>
        <v/>
      </c>
      <c r="H43" s="21" t="str">
        <f>IFERROR(G43*M$25/10000,"")</f>
        <v/>
      </c>
      <c r="J43" s="1030"/>
      <c r="K43" s="1121"/>
      <c r="L43" s="1122">
        <v>10.27</v>
      </c>
      <c r="M43" s="1123">
        <v>39000</v>
      </c>
      <c r="N43" s="492"/>
      <c r="O43" s="492"/>
      <c r="P43" s="492"/>
      <c r="Q43" s="492"/>
    </row>
    <row r="44" spans="1:21" ht="15.5">
      <c r="C44" s="28" t="str">
        <f t="shared" si="10"/>
        <v/>
      </c>
      <c r="D44" s="11" t="str">
        <f t="shared" si="10"/>
        <v/>
      </c>
      <c r="E44" s="21">
        <f t="shared" si="11"/>
        <v>9.7200000000000006</v>
      </c>
      <c r="F44" s="21">
        <f t="shared" si="12"/>
        <v>4.2300000000000004</v>
      </c>
      <c r="G44" s="19" t="str">
        <f t="shared" si="14"/>
        <v/>
      </c>
      <c r="H44" s="21"/>
      <c r="J44" s="1030"/>
      <c r="K44" s="1121"/>
      <c r="L44" s="1122">
        <v>9.7200000000000006</v>
      </c>
      <c r="M44" s="1123">
        <v>42300</v>
      </c>
      <c r="N44" s="492"/>
      <c r="O44" s="492"/>
      <c r="P44" s="492"/>
      <c r="Q44" s="492"/>
    </row>
    <row r="45" spans="1:21" ht="15.5">
      <c r="C45" s="28">
        <f t="shared" si="10"/>
        <v>11</v>
      </c>
      <c r="D45" s="11" t="str">
        <f t="shared" si="10"/>
        <v>平安大华基金管理有限公司</v>
      </c>
      <c r="E45" s="21">
        <f t="shared" si="11"/>
        <v>9.32</v>
      </c>
      <c r="F45" s="21">
        <f t="shared" si="12"/>
        <v>5.4</v>
      </c>
      <c r="G45" s="19" t="str">
        <f t="shared" si="14"/>
        <v/>
      </c>
      <c r="H45" s="21"/>
      <c r="J45" s="1024">
        <v>11</v>
      </c>
      <c r="K45" s="1124" t="s">
        <v>146</v>
      </c>
      <c r="L45" s="1122">
        <v>9.32</v>
      </c>
      <c r="M45" s="1123">
        <v>54000</v>
      </c>
      <c r="N45" s="492"/>
      <c r="O45" s="492"/>
      <c r="P45" s="492"/>
      <c r="Q45" s="492"/>
    </row>
    <row r="46" spans="1:21">
      <c r="J46" s="111"/>
      <c r="K46" s="108"/>
      <c r="L46" s="110"/>
      <c r="M46" s="109"/>
      <c r="N46" s="108"/>
    </row>
    <row r="47" spans="1:21">
      <c r="A47" s="24">
        <v>3</v>
      </c>
      <c r="B47" s="12" t="s">
        <v>106</v>
      </c>
      <c r="C47" s="12" t="s">
        <v>126</v>
      </c>
      <c r="D47" s="12" t="s">
        <v>107</v>
      </c>
      <c r="E47" s="12" t="s">
        <v>4</v>
      </c>
      <c r="F47" s="13" t="s">
        <v>108</v>
      </c>
      <c r="G47" s="13" t="s">
        <v>109</v>
      </c>
      <c r="H47" s="12" t="s">
        <v>274</v>
      </c>
      <c r="I47" s="12" t="s">
        <v>273</v>
      </c>
      <c r="J47" s="12" t="s">
        <v>116</v>
      </c>
      <c r="K47" s="14" t="s">
        <v>110</v>
      </c>
      <c r="L47" s="14" t="s">
        <v>276</v>
      </c>
      <c r="M47" s="14" t="s">
        <v>117</v>
      </c>
      <c r="N47" s="15" t="s">
        <v>275</v>
      </c>
      <c r="O47" s="12" t="s">
        <v>111</v>
      </c>
      <c r="P47" s="8" t="s">
        <v>12</v>
      </c>
      <c r="Q47" s="8" t="s">
        <v>190</v>
      </c>
      <c r="R47" s="15" t="s">
        <v>129</v>
      </c>
      <c r="S47" s="14" t="s">
        <v>220</v>
      </c>
    </row>
    <row r="48" spans="1:21">
      <c r="B48" s="11">
        <v>23</v>
      </c>
      <c r="C48" s="9" t="s">
        <v>184</v>
      </c>
      <c r="D48" s="1" t="s">
        <v>67</v>
      </c>
      <c r="E48" s="1" t="s">
        <v>66</v>
      </c>
      <c r="F48" s="3">
        <v>26</v>
      </c>
      <c r="G48" s="3">
        <v>25.999999982399999</v>
      </c>
      <c r="H48" s="2">
        <v>42424</v>
      </c>
      <c r="I48" s="2" t="s">
        <v>151</v>
      </c>
      <c r="J48" s="11">
        <v>17.66</v>
      </c>
      <c r="K48" s="3">
        <v>15.09</v>
      </c>
      <c r="L48" s="3">
        <f>K48/J48</f>
        <v>0.85447338618346547</v>
      </c>
      <c r="M48" s="3">
        <v>15.09</v>
      </c>
      <c r="N48" s="10">
        <f>M48/J48</f>
        <v>0.85447338618346547</v>
      </c>
      <c r="O48" s="47">
        <v>5</v>
      </c>
      <c r="P48" s="2">
        <v>42837</v>
      </c>
      <c r="Q48" s="10">
        <v>9.6999999999999993</v>
      </c>
      <c r="R48" s="18">
        <f>(Q48*(1+T48/10)+U48/10)/M48</f>
        <v>0.96995277799867452</v>
      </c>
      <c r="S48" s="11" t="s">
        <v>254</v>
      </c>
      <c r="T48" s="22" t="str">
        <f>IFERROR(RIGHT(LEFT(S48,FIND("股",S48)-1),(FIND("股",S48)-1-FIND("转",S48))),0)</f>
        <v>4.996546</v>
      </c>
      <c r="U48" s="23" t="str">
        <f>IFERROR(RIGHT(LEFT(S48,FIND("元",S48)-1),(FIND("元",S48)-1-FIND("派",S48))),0)</f>
        <v>0.899378</v>
      </c>
    </row>
    <row r="49" spans="1:21">
      <c r="B49" s="125"/>
      <c r="C49" s="129"/>
      <c r="D49" s="128"/>
      <c r="E49" s="128"/>
      <c r="F49" s="127"/>
      <c r="G49" s="127"/>
      <c r="H49" s="126"/>
      <c r="I49" s="125"/>
      <c r="K49" s="130"/>
      <c r="L49" s="130"/>
      <c r="M49" s="130"/>
      <c r="N49" s="5"/>
      <c r="O49" s="120"/>
      <c r="P49" s="124"/>
      <c r="Q49" s="5"/>
      <c r="R49" s="123"/>
      <c r="T49" s="28"/>
      <c r="U49" s="122"/>
    </row>
    <row r="50" spans="1:21">
      <c r="C50" s="27" t="s">
        <v>118</v>
      </c>
      <c r="D50" s="16" t="s">
        <v>112</v>
      </c>
      <c r="E50" s="16" t="s">
        <v>113</v>
      </c>
      <c r="F50" s="16" t="s">
        <v>288</v>
      </c>
      <c r="G50" s="17" t="s">
        <v>287</v>
      </c>
      <c r="H50" s="16" t="s">
        <v>289</v>
      </c>
      <c r="J50" s="1096" t="s">
        <v>298</v>
      </c>
      <c r="K50" s="1085" t="s">
        <v>372</v>
      </c>
      <c r="L50" s="1006" t="s">
        <v>633</v>
      </c>
      <c r="M50" s="1007" t="s">
        <v>632</v>
      </c>
      <c r="N50" s="1096" t="s">
        <v>631</v>
      </c>
      <c r="O50" s="1096" t="s">
        <v>302</v>
      </c>
      <c r="P50" s="1005" t="s">
        <v>377</v>
      </c>
      <c r="Q50" s="1033"/>
    </row>
    <row r="51" spans="1:21">
      <c r="C51" s="28">
        <f t="shared" ref="C51:D58" si="15">IF(J51=0,"",J51)</f>
        <v>1</v>
      </c>
      <c r="D51" s="11" t="str">
        <f t="shared" si="15"/>
        <v>深圳市融通资本财富管理有限公司</v>
      </c>
      <c r="E51" s="21">
        <f t="shared" ref="E51:E58" si="16">L51</f>
        <v>15.09</v>
      </c>
      <c r="F51" s="21">
        <f t="shared" ref="F51:F58" si="17">M51/10000</f>
        <v>5.2</v>
      </c>
      <c r="G51" s="19">
        <f t="shared" ref="G51:G58" si="18">IFERROR(VLOOKUP(D51,O$50:Q$56,2,FALSE)/10000,"")</f>
        <v>2995.3613</v>
      </c>
      <c r="H51" s="21">
        <f t="shared" ref="H51:H58" si="19">IFERROR(G51*M$48/10000,"")</f>
        <v>4.5200002017000003</v>
      </c>
      <c r="J51" s="1127">
        <v>1</v>
      </c>
      <c r="K51" s="1014" t="s">
        <v>630</v>
      </c>
      <c r="L51" s="1128">
        <v>15.09</v>
      </c>
      <c r="M51" s="1013">
        <v>52000</v>
      </c>
      <c r="N51" s="1017" t="s">
        <v>378</v>
      </c>
      <c r="O51" s="1090" t="s">
        <v>630</v>
      </c>
      <c r="P51" s="1129">
        <v>29953613</v>
      </c>
      <c r="Q51" s="492"/>
    </row>
    <row r="52" spans="1:21">
      <c r="C52" s="28">
        <f t="shared" si="15"/>
        <v>2</v>
      </c>
      <c r="D52" s="11" t="str">
        <f t="shared" si="15"/>
        <v>易方达基金管理有限公司</v>
      </c>
      <c r="E52" s="21">
        <f t="shared" si="16"/>
        <v>17.010000000000002</v>
      </c>
      <c r="F52" s="21">
        <f t="shared" si="17"/>
        <v>5.2</v>
      </c>
      <c r="G52" s="19">
        <f t="shared" si="18"/>
        <v>3445.9906999999998</v>
      </c>
      <c r="H52" s="21">
        <f t="shared" si="19"/>
        <v>5.1999999662999992</v>
      </c>
      <c r="J52" s="1127">
        <v>2</v>
      </c>
      <c r="K52" s="1014" t="s">
        <v>225</v>
      </c>
      <c r="L52" s="1128">
        <v>17.010000000000002</v>
      </c>
      <c r="M52" s="1013">
        <v>52000</v>
      </c>
      <c r="N52" s="1017" t="s">
        <v>628</v>
      </c>
      <c r="O52" s="1090" t="s">
        <v>225</v>
      </c>
      <c r="P52" s="1129">
        <v>34459907</v>
      </c>
      <c r="Q52" s="492"/>
    </row>
    <row r="53" spans="1:21">
      <c r="C53" s="28">
        <f t="shared" si="15"/>
        <v>3</v>
      </c>
      <c r="D53" s="11" t="str">
        <f t="shared" si="15"/>
        <v>申万菱信基金管理有限公司</v>
      </c>
      <c r="E53" s="21">
        <f t="shared" si="16"/>
        <v>15.53</v>
      </c>
      <c r="F53" s="21">
        <f t="shared" si="17"/>
        <v>5.6</v>
      </c>
      <c r="G53" s="19">
        <f t="shared" si="18"/>
        <v>3711.0668999999998</v>
      </c>
      <c r="H53" s="21">
        <f t="shared" si="19"/>
        <v>5.5999999521000001</v>
      </c>
      <c r="J53" s="1127">
        <v>3</v>
      </c>
      <c r="K53" s="1014" t="s">
        <v>121</v>
      </c>
      <c r="L53" s="1128">
        <v>15.53</v>
      </c>
      <c r="M53" s="1013">
        <v>56000</v>
      </c>
      <c r="N53" s="1017" t="s">
        <v>628</v>
      </c>
      <c r="O53" s="1090" t="s">
        <v>121</v>
      </c>
      <c r="P53" s="1129">
        <v>37110669</v>
      </c>
      <c r="Q53" s="492"/>
    </row>
    <row r="54" spans="1:21">
      <c r="C54" s="28">
        <f t="shared" si="15"/>
        <v>4</v>
      </c>
      <c r="D54" s="11" t="str">
        <f t="shared" si="15"/>
        <v>东方汇智资产管理有限公司</v>
      </c>
      <c r="E54" s="21">
        <f t="shared" si="16"/>
        <v>16.8</v>
      </c>
      <c r="F54" s="21">
        <f t="shared" si="17"/>
        <v>5.48</v>
      </c>
      <c r="G54" s="19">
        <f t="shared" si="18"/>
        <v>3631.5439999999999</v>
      </c>
      <c r="H54" s="21">
        <f t="shared" si="19"/>
        <v>5.4799998959999998</v>
      </c>
      <c r="J54" s="1130">
        <v>4</v>
      </c>
      <c r="K54" s="1011" t="s">
        <v>299</v>
      </c>
      <c r="L54" s="1128">
        <v>16.8</v>
      </c>
      <c r="M54" s="1131">
        <v>54800</v>
      </c>
      <c r="N54" s="1510" t="s">
        <v>378</v>
      </c>
      <c r="O54" s="1090" t="s">
        <v>629</v>
      </c>
      <c r="P54" s="1129">
        <v>34459907</v>
      </c>
      <c r="Q54" s="492"/>
    </row>
    <row r="55" spans="1:21">
      <c r="C55" s="28" t="str">
        <f t="shared" si="15"/>
        <v/>
      </c>
      <c r="D55" s="11" t="str">
        <f t="shared" si="15"/>
        <v/>
      </c>
      <c r="E55" s="21">
        <f t="shared" si="16"/>
        <v>16</v>
      </c>
      <c r="F55" s="21">
        <f t="shared" si="17"/>
        <v>5.48</v>
      </c>
      <c r="G55" s="19" t="str">
        <f t="shared" si="18"/>
        <v/>
      </c>
      <c r="H55" s="21" t="str">
        <f t="shared" si="19"/>
        <v/>
      </c>
      <c r="J55" s="1130"/>
      <c r="K55" s="1011"/>
      <c r="L55" s="1128">
        <v>16</v>
      </c>
      <c r="M55" s="1131">
        <v>54800</v>
      </c>
      <c r="N55" s="1510"/>
      <c r="O55" s="1090" t="s">
        <v>299</v>
      </c>
      <c r="P55" s="1129">
        <v>36315440</v>
      </c>
      <c r="Q55" s="492"/>
    </row>
    <row r="56" spans="1:21">
      <c r="C56" s="28" t="str">
        <f t="shared" si="15"/>
        <v/>
      </c>
      <c r="D56" s="11" t="str">
        <f t="shared" si="15"/>
        <v/>
      </c>
      <c r="E56" s="21">
        <f t="shared" si="16"/>
        <v>15.1</v>
      </c>
      <c r="F56" s="21">
        <f t="shared" si="17"/>
        <v>5.48</v>
      </c>
      <c r="G56" s="19" t="str">
        <f t="shared" si="18"/>
        <v/>
      </c>
      <c r="H56" s="21" t="str">
        <f t="shared" si="19"/>
        <v/>
      </c>
      <c r="J56" s="1130"/>
      <c r="K56" s="1011"/>
      <c r="L56" s="1128">
        <v>15.1</v>
      </c>
      <c r="M56" s="1131">
        <v>54800</v>
      </c>
      <c r="N56" s="1510"/>
      <c r="O56" s="492"/>
      <c r="P56" s="492"/>
      <c r="Q56" s="492"/>
    </row>
    <row r="57" spans="1:21">
      <c r="C57" s="28">
        <f t="shared" si="15"/>
        <v>5</v>
      </c>
      <c r="D57" s="11" t="str">
        <f t="shared" si="15"/>
        <v>中融基金管理有限公司</v>
      </c>
      <c r="E57" s="21">
        <f t="shared" si="16"/>
        <v>16</v>
      </c>
      <c r="F57" s="21">
        <f t="shared" si="17"/>
        <v>5.2</v>
      </c>
      <c r="G57" s="19">
        <f t="shared" si="18"/>
        <v>3445.9906999999998</v>
      </c>
      <c r="H57" s="21">
        <f t="shared" si="19"/>
        <v>5.1999999662999992</v>
      </c>
      <c r="J57" s="1127">
        <v>5</v>
      </c>
      <c r="K57" s="1014" t="s">
        <v>629</v>
      </c>
      <c r="L57" s="1128">
        <v>16</v>
      </c>
      <c r="M57" s="1013">
        <v>52000</v>
      </c>
      <c r="N57" s="1017" t="s">
        <v>628</v>
      </c>
      <c r="O57" s="492"/>
      <c r="P57" s="492"/>
      <c r="Q57" s="492"/>
    </row>
    <row r="58" spans="1:21">
      <c r="C58" s="28">
        <f t="shared" si="15"/>
        <v>6</v>
      </c>
      <c r="D58" s="11" t="str">
        <f t="shared" si="15"/>
        <v>北京中金元合创业投资中心（有限合伙）</v>
      </c>
      <c r="E58" s="21">
        <f t="shared" si="16"/>
        <v>15.9</v>
      </c>
      <c r="F58" s="21">
        <f t="shared" si="17"/>
        <v>5.2</v>
      </c>
      <c r="G58" s="19" t="str">
        <f t="shared" si="18"/>
        <v/>
      </c>
      <c r="H58" s="21" t="str">
        <f t="shared" si="19"/>
        <v/>
      </c>
      <c r="J58" s="1127">
        <v>6</v>
      </c>
      <c r="K58" s="1014" t="s">
        <v>627</v>
      </c>
      <c r="L58" s="1128">
        <v>15.9</v>
      </c>
      <c r="M58" s="1013">
        <v>52000</v>
      </c>
      <c r="N58" s="1017" t="s">
        <v>378</v>
      </c>
      <c r="O58" s="492"/>
      <c r="P58" s="492"/>
      <c r="Q58" s="492"/>
    </row>
    <row r="60" spans="1:21">
      <c r="A60" s="24">
        <v>4</v>
      </c>
      <c r="B60" s="12" t="s">
        <v>106</v>
      </c>
      <c r="C60" s="12" t="s">
        <v>126</v>
      </c>
      <c r="D60" s="12" t="s">
        <v>107</v>
      </c>
      <c r="E60" s="12" t="s">
        <v>4</v>
      </c>
      <c r="F60" s="13" t="s">
        <v>108</v>
      </c>
      <c r="G60" s="13" t="s">
        <v>109</v>
      </c>
      <c r="H60" s="12" t="s">
        <v>274</v>
      </c>
      <c r="I60" s="12" t="s">
        <v>273</v>
      </c>
      <c r="J60" s="12" t="s">
        <v>116</v>
      </c>
      <c r="K60" s="14" t="s">
        <v>110</v>
      </c>
      <c r="L60" s="14" t="s">
        <v>276</v>
      </c>
      <c r="M60" s="14" t="s">
        <v>117</v>
      </c>
      <c r="N60" s="15" t="s">
        <v>275</v>
      </c>
      <c r="O60" s="12" t="s">
        <v>111</v>
      </c>
      <c r="P60" s="8" t="s">
        <v>12</v>
      </c>
      <c r="Q60" s="8" t="s">
        <v>190</v>
      </c>
      <c r="R60" s="15" t="s">
        <v>129</v>
      </c>
      <c r="S60" s="14" t="s">
        <v>220</v>
      </c>
    </row>
    <row r="61" spans="1:21">
      <c r="B61" s="11">
        <v>24</v>
      </c>
      <c r="C61" s="9" t="s">
        <v>185</v>
      </c>
      <c r="D61" s="1" t="s">
        <v>9</v>
      </c>
      <c r="E61" s="1" t="s">
        <v>0</v>
      </c>
      <c r="F61" s="3">
        <v>13.92245</v>
      </c>
      <c r="G61" s="3">
        <v>13.92245</v>
      </c>
      <c r="H61" s="2">
        <v>42432</v>
      </c>
      <c r="I61" s="11" t="s">
        <v>186</v>
      </c>
      <c r="J61" s="11">
        <v>11.27</v>
      </c>
      <c r="K61" s="3">
        <v>9.07</v>
      </c>
      <c r="L61" s="3">
        <f>K61/J61</f>
        <v>0.80479148181011539</v>
      </c>
      <c r="M61" s="3">
        <v>9.07</v>
      </c>
      <c r="N61" s="10">
        <f>M61/J61</f>
        <v>0.80479148181011539</v>
      </c>
      <c r="O61" s="47">
        <v>7</v>
      </c>
      <c r="P61" s="2">
        <v>42821</v>
      </c>
      <c r="Q61" s="10">
        <v>11.08</v>
      </c>
      <c r="R61" s="18">
        <f>(Q61*(1+T61/10)+U61/10)/M61</f>
        <v>1.2216097023153252</v>
      </c>
      <c r="S61" s="11" t="s">
        <v>223</v>
      </c>
      <c r="T61" s="22">
        <f>IFERROR(RIGHT(LEFT(S61,FIND("股",S61)-1),(FIND("股",S61)-1-FIND("转",S61))),0)</f>
        <v>0</v>
      </c>
      <c r="U61" s="23">
        <f>IFERROR(RIGHT(LEFT(S61,FIND("元",S61)-1),(FIND("元",S61)-1-FIND("派",S61))),0)</f>
        <v>0</v>
      </c>
    </row>
    <row r="62" spans="1:21">
      <c r="B62" s="125"/>
      <c r="C62" s="129"/>
      <c r="D62" s="128"/>
      <c r="E62" s="128"/>
      <c r="F62" s="127"/>
      <c r="G62" s="127"/>
      <c r="H62" s="126"/>
      <c r="I62" s="125"/>
      <c r="K62" s="130"/>
      <c r="L62" s="130"/>
      <c r="M62" s="130"/>
      <c r="N62" s="5"/>
      <c r="O62" s="120"/>
      <c r="P62" s="124"/>
      <c r="Q62" s="5"/>
      <c r="R62" s="123"/>
      <c r="T62" s="28"/>
      <c r="U62" s="122"/>
    </row>
    <row r="63" spans="1:21" ht="14.5">
      <c r="C63" s="16" t="s">
        <v>118</v>
      </c>
      <c r="D63" s="16" t="s">
        <v>112</v>
      </c>
      <c r="E63" s="16" t="s">
        <v>113</v>
      </c>
      <c r="F63" s="16" t="s">
        <v>288</v>
      </c>
      <c r="G63" s="136" t="s">
        <v>411</v>
      </c>
      <c r="H63" s="17" t="s">
        <v>287</v>
      </c>
      <c r="I63" s="27" t="s">
        <v>289</v>
      </c>
      <c r="J63" s="1005" t="s">
        <v>298</v>
      </c>
      <c r="K63" s="1005" t="s">
        <v>306</v>
      </c>
      <c r="L63" s="1005" t="s">
        <v>626</v>
      </c>
      <c r="M63" s="1007" t="s">
        <v>341</v>
      </c>
      <c r="N63" s="1007" t="s">
        <v>308</v>
      </c>
      <c r="O63" s="1075" t="s">
        <v>291</v>
      </c>
      <c r="P63" s="1006" t="s">
        <v>374</v>
      </c>
      <c r="Q63" s="1033"/>
    </row>
    <row r="64" spans="1:21" ht="15" customHeight="1">
      <c r="C64" s="24">
        <f>IF(J64=0,"",J64)</f>
        <v>1</v>
      </c>
      <c r="D64" s="11" t="str">
        <f>IF(K64=0,"",K64)</f>
        <v>深圳市红塔资产管理有限公司</v>
      </c>
      <c r="E64" s="21">
        <f>M64</f>
        <v>9.6</v>
      </c>
      <c r="F64" s="641">
        <f>N64/10000</f>
        <v>2.8000000319999998</v>
      </c>
      <c r="G64" s="11" t="str">
        <f>L64</f>
        <v>10:59</v>
      </c>
      <c r="H64" s="135">
        <f>IFERROR(VLOOKUP(D64,O$64:Q$78,2,FALSE)/10000,"")</f>
        <v>3087.1003000000001</v>
      </c>
      <c r="I64" s="641">
        <f>IFERROR(H64*M$61/10000,"")</f>
        <v>2.7999999721000002</v>
      </c>
      <c r="J64" s="1086">
        <v>1</v>
      </c>
      <c r="K64" s="1087" t="s">
        <v>618</v>
      </c>
      <c r="L64" s="1132" t="s">
        <v>625</v>
      </c>
      <c r="M64" s="1133">
        <v>9.6</v>
      </c>
      <c r="N64" s="1134">
        <v>28000.000319999999</v>
      </c>
      <c r="O64" s="1087" t="s">
        <v>332</v>
      </c>
      <c r="P64" s="1117">
        <v>15479603</v>
      </c>
      <c r="Q64" s="492"/>
    </row>
    <row r="65" spans="1:19" ht="15" customHeight="1">
      <c r="C65" s="24" t="str">
        <f t="shared" ref="C65:D75" si="20">IF(J65=0,"",J65)</f>
        <v/>
      </c>
      <c r="D65" s="11" t="str">
        <f t="shared" si="20"/>
        <v/>
      </c>
      <c r="E65" s="21">
        <f t="shared" ref="E65:E75" si="21">M65</f>
        <v>9.1999999999999993</v>
      </c>
      <c r="F65" s="641">
        <f t="shared" ref="F65:F75" si="22">N65/10000</f>
        <v>1.399999972</v>
      </c>
      <c r="G65" s="11" t="str">
        <f t="shared" ref="G65:G75" si="23">L65</f>
        <v>10:59</v>
      </c>
      <c r="H65" s="135" t="str">
        <f t="shared" ref="H65:H78" si="24">IFERROR(VLOOKUP(D65,O$64:Q$78,2,FALSE)/10000,"")</f>
        <v/>
      </c>
      <c r="I65" s="641" t="str">
        <f t="shared" ref="I65:I77" si="25">IFERROR(H65*M$61/10000,"")</f>
        <v/>
      </c>
      <c r="J65" s="1086"/>
      <c r="K65" s="1087"/>
      <c r="L65" s="1135" t="s">
        <v>625</v>
      </c>
      <c r="M65" s="1136">
        <v>9.1999999999999993</v>
      </c>
      <c r="N65" s="1137">
        <v>13999.99972</v>
      </c>
      <c r="O65" s="1104" t="s">
        <v>618</v>
      </c>
      <c r="P65" s="1117">
        <v>30871003</v>
      </c>
      <c r="Q65" s="492"/>
    </row>
    <row r="66" spans="1:19" ht="15" customHeight="1">
      <c r="C66" s="24">
        <f t="shared" si="20"/>
        <v>2</v>
      </c>
      <c r="D66" s="11" t="str">
        <f t="shared" si="20"/>
        <v>申万菱信（上海）资产管理有限公司</v>
      </c>
      <c r="E66" s="21">
        <f t="shared" si="21"/>
        <v>9.07</v>
      </c>
      <c r="F66" s="641">
        <f t="shared" si="22"/>
        <v>1.4512</v>
      </c>
      <c r="G66" s="11" t="str">
        <f t="shared" si="23"/>
        <v>10:58</v>
      </c>
      <c r="H66" s="135">
        <f t="shared" si="24"/>
        <v>1600</v>
      </c>
      <c r="I66" s="641">
        <f t="shared" si="25"/>
        <v>1.4512</v>
      </c>
      <c r="J66" s="1093">
        <v>2</v>
      </c>
      <c r="K66" s="1116" t="s">
        <v>138</v>
      </c>
      <c r="L66" s="1135" t="s">
        <v>624</v>
      </c>
      <c r="M66" s="1136">
        <v>9.07</v>
      </c>
      <c r="N66" s="1137">
        <v>14512</v>
      </c>
      <c r="O66" s="1087" t="s">
        <v>121</v>
      </c>
      <c r="P66" s="1117">
        <v>30877938</v>
      </c>
      <c r="Q66" s="492"/>
    </row>
    <row r="67" spans="1:19" ht="15" customHeight="1">
      <c r="C67" s="24">
        <f t="shared" si="20"/>
        <v>3</v>
      </c>
      <c r="D67" s="11" t="str">
        <f t="shared" si="20"/>
        <v>申万菱信基金管理有限公司</v>
      </c>
      <c r="E67" s="21">
        <f t="shared" si="21"/>
        <v>10.81</v>
      </c>
      <c r="F67" s="641">
        <f t="shared" si="22"/>
        <v>2.7987090000000001</v>
      </c>
      <c r="G67" s="11" t="str">
        <f t="shared" si="23"/>
        <v>10:58</v>
      </c>
      <c r="H67" s="135">
        <f t="shared" si="24"/>
        <v>3087.7937999999999</v>
      </c>
      <c r="I67" s="641">
        <f t="shared" si="25"/>
        <v>2.8006289766000001</v>
      </c>
      <c r="J67" s="1086">
        <v>3</v>
      </c>
      <c r="K67" s="1087" t="s">
        <v>121</v>
      </c>
      <c r="L67" s="1135" t="s">
        <v>624</v>
      </c>
      <c r="M67" s="1136">
        <v>10.81</v>
      </c>
      <c r="N67" s="1137">
        <v>27987.09</v>
      </c>
      <c r="O67" s="1116" t="s">
        <v>138</v>
      </c>
      <c r="P67" s="1117">
        <v>16000000</v>
      </c>
      <c r="Q67" s="492"/>
    </row>
    <row r="68" spans="1:19" ht="15" customHeight="1">
      <c r="C68" s="24" t="str">
        <f t="shared" si="20"/>
        <v/>
      </c>
      <c r="D68" s="11" t="str">
        <f t="shared" si="20"/>
        <v/>
      </c>
      <c r="E68" s="21">
        <f t="shared" si="21"/>
        <v>10.11</v>
      </c>
      <c r="F68" s="641">
        <f t="shared" si="22"/>
        <v>2.7994590000000001</v>
      </c>
      <c r="G68" s="11" t="str">
        <f t="shared" si="23"/>
        <v>10:58</v>
      </c>
      <c r="H68" s="135" t="str">
        <f t="shared" si="24"/>
        <v/>
      </c>
      <c r="I68" s="641" t="str">
        <f t="shared" si="25"/>
        <v/>
      </c>
      <c r="J68" s="1086"/>
      <c r="K68" s="1087"/>
      <c r="L68" s="1135" t="s">
        <v>624</v>
      </c>
      <c r="M68" s="1136">
        <v>10.11</v>
      </c>
      <c r="N68" s="1137">
        <v>27994.59</v>
      </c>
      <c r="O68" s="1087" t="s">
        <v>618</v>
      </c>
      <c r="P68" s="1117">
        <v>12568908</v>
      </c>
      <c r="Q68" s="492"/>
    </row>
    <row r="69" spans="1:19" ht="15" customHeight="1">
      <c r="C69" s="24" t="str">
        <f t="shared" si="20"/>
        <v/>
      </c>
      <c r="D69" s="11" t="str">
        <f t="shared" si="20"/>
        <v/>
      </c>
      <c r="E69" s="21">
        <f t="shared" si="21"/>
        <v>9.09</v>
      </c>
      <c r="F69" s="641">
        <f t="shared" si="22"/>
        <v>2.8006290000000003</v>
      </c>
      <c r="G69" s="11" t="str">
        <f t="shared" si="23"/>
        <v>10:58</v>
      </c>
      <c r="H69" s="135" t="str">
        <f t="shared" si="24"/>
        <v/>
      </c>
      <c r="I69" s="641" t="str">
        <f t="shared" si="25"/>
        <v/>
      </c>
      <c r="J69" s="1086"/>
      <c r="K69" s="1087"/>
      <c r="L69" s="1135" t="s">
        <v>624</v>
      </c>
      <c r="M69" s="1136">
        <v>9.09</v>
      </c>
      <c r="N69" s="1137">
        <v>28006.29</v>
      </c>
      <c r="O69" s="1054" t="s">
        <v>115</v>
      </c>
      <c r="P69" s="1117">
        <v>5503596</v>
      </c>
      <c r="Q69" s="492"/>
    </row>
    <row r="70" spans="1:19" ht="15" customHeight="1">
      <c r="C70" s="24">
        <f t="shared" si="20"/>
        <v>4</v>
      </c>
      <c r="D70" s="11" t="str">
        <f>IF(K70=0,"",K70)</f>
        <v>宝盈基金管理有限公司</v>
      </c>
      <c r="E70" s="21">
        <f t="shared" si="21"/>
        <v>10.8</v>
      </c>
      <c r="F70" s="641">
        <f t="shared" si="22"/>
        <v>1.4039999999999999</v>
      </c>
      <c r="G70" s="11" t="str">
        <f t="shared" si="23"/>
        <v>10:53</v>
      </c>
      <c r="H70" s="135">
        <f t="shared" si="24"/>
        <v>1547.9603</v>
      </c>
      <c r="I70" s="641">
        <f t="shared" si="25"/>
        <v>1.4039999921000001</v>
      </c>
      <c r="J70" s="1086">
        <v>4</v>
      </c>
      <c r="K70" s="1087" t="s">
        <v>332</v>
      </c>
      <c r="L70" s="1135" t="s">
        <v>623</v>
      </c>
      <c r="M70" s="1136">
        <v>10.8</v>
      </c>
      <c r="N70" s="1137">
        <v>14040</v>
      </c>
      <c r="O70" s="492"/>
      <c r="P70" s="492"/>
      <c r="Q70" s="492"/>
    </row>
    <row r="71" spans="1:19" ht="15" customHeight="1">
      <c r="C71" s="24" t="str">
        <f t="shared" si="20"/>
        <v/>
      </c>
      <c r="D71" s="11" t="str">
        <f t="shared" si="20"/>
        <v/>
      </c>
      <c r="E71" s="21">
        <f t="shared" si="21"/>
        <v>10.1</v>
      </c>
      <c r="F71" s="641">
        <f t="shared" si="22"/>
        <v>1.4038999999999999</v>
      </c>
      <c r="G71" s="11" t="str">
        <f t="shared" si="23"/>
        <v>10:53</v>
      </c>
      <c r="H71" s="135" t="str">
        <f t="shared" si="24"/>
        <v/>
      </c>
      <c r="I71" s="641" t="str">
        <f t="shared" si="25"/>
        <v/>
      </c>
      <c r="J71" s="1086"/>
      <c r="K71" s="1087"/>
      <c r="L71" s="1135" t="s">
        <v>623</v>
      </c>
      <c r="M71" s="1136">
        <v>10.1</v>
      </c>
      <c r="N71" s="1137">
        <v>14039</v>
      </c>
      <c r="O71" s="492"/>
      <c r="P71" s="492"/>
      <c r="Q71" s="492"/>
    </row>
    <row r="72" spans="1:19" ht="15" customHeight="1">
      <c r="C72" s="24" t="str">
        <f t="shared" si="20"/>
        <v/>
      </c>
      <c r="D72" s="11" t="str">
        <f t="shared" si="20"/>
        <v/>
      </c>
      <c r="E72" s="21">
        <f t="shared" si="21"/>
        <v>9.1</v>
      </c>
      <c r="F72" s="641">
        <f t="shared" si="22"/>
        <v>1.4014</v>
      </c>
      <c r="G72" s="11" t="str">
        <f t="shared" si="23"/>
        <v>10:53</v>
      </c>
      <c r="H72" s="135" t="str">
        <f t="shared" si="24"/>
        <v/>
      </c>
      <c r="I72" s="641" t="str">
        <f t="shared" si="25"/>
        <v/>
      </c>
      <c r="J72" s="1086"/>
      <c r="K72" s="1087"/>
      <c r="L72" s="1135" t="s">
        <v>623</v>
      </c>
      <c r="M72" s="1136">
        <v>9.1</v>
      </c>
      <c r="N72" s="1137">
        <v>14014</v>
      </c>
      <c r="O72" s="492"/>
      <c r="P72" s="492"/>
      <c r="Q72" s="492"/>
    </row>
    <row r="73" spans="1:19" ht="15" customHeight="1">
      <c r="C73" s="24">
        <f t="shared" si="20"/>
        <v>5</v>
      </c>
      <c r="D73" s="11" t="str">
        <f t="shared" si="20"/>
        <v>财通基金管理有限公司</v>
      </c>
      <c r="E73" s="21">
        <f t="shared" si="21"/>
        <v>9.51</v>
      </c>
      <c r="F73" s="641">
        <f t="shared" si="22"/>
        <v>1.7650560000000002</v>
      </c>
      <c r="G73" s="11" t="str">
        <f t="shared" si="23"/>
        <v>10:49</v>
      </c>
      <c r="H73" s="135">
        <f>42198952/10000</f>
        <v>4219.8951999999999</v>
      </c>
      <c r="I73" s="641">
        <f t="shared" si="25"/>
        <v>3.8274449463999995</v>
      </c>
      <c r="J73" s="1094">
        <v>5</v>
      </c>
      <c r="K73" s="1054" t="s">
        <v>115</v>
      </c>
      <c r="L73" s="1135" t="s">
        <v>622</v>
      </c>
      <c r="M73" s="1136">
        <v>9.51</v>
      </c>
      <c r="N73" s="1137">
        <v>17650.560000000001</v>
      </c>
      <c r="O73" s="492"/>
      <c r="P73" s="492"/>
      <c r="Q73" s="492"/>
    </row>
    <row r="74" spans="1:19" ht="15" customHeight="1">
      <c r="C74" s="24" t="str">
        <f t="shared" si="20"/>
        <v/>
      </c>
      <c r="D74" s="11" t="str">
        <f t="shared" si="20"/>
        <v/>
      </c>
      <c r="E74" s="21">
        <f t="shared" si="21"/>
        <v>9.3800000000000008</v>
      </c>
      <c r="F74" s="641">
        <f t="shared" si="22"/>
        <v>3.0006619999999997</v>
      </c>
      <c r="G74" s="11" t="str">
        <f t="shared" si="23"/>
        <v>10:49</v>
      </c>
      <c r="H74" s="135" t="str">
        <f t="shared" si="24"/>
        <v/>
      </c>
      <c r="I74" s="641" t="str">
        <f t="shared" si="25"/>
        <v/>
      </c>
      <c r="J74" s="1094"/>
      <c r="K74" s="1054"/>
      <c r="L74" s="1135" t="s">
        <v>622</v>
      </c>
      <c r="M74" s="1136">
        <v>9.3800000000000008</v>
      </c>
      <c r="N74" s="1137">
        <v>30006.62</v>
      </c>
      <c r="O74" s="492"/>
      <c r="P74" s="492"/>
      <c r="Q74" s="492"/>
    </row>
    <row r="75" spans="1:19" ht="15" customHeight="1">
      <c r="C75" s="24" t="str">
        <f t="shared" si="20"/>
        <v/>
      </c>
      <c r="D75" s="11" t="str">
        <f t="shared" si="20"/>
        <v/>
      </c>
      <c r="E75" s="21">
        <f t="shared" si="21"/>
        <v>9.15</v>
      </c>
      <c r="F75" s="641">
        <f t="shared" si="22"/>
        <v>3.8274449999999995</v>
      </c>
      <c r="G75" s="11" t="str">
        <f t="shared" si="23"/>
        <v>10:49</v>
      </c>
      <c r="H75" s="135" t="str">
        <f t="shared" si="24"/>
        <v/>
      </c>
      <c r="I75" s="641" t="str">
        <f t="shared" si="25"/>
        <v/>
      </c>
      <c r="J75" s="1032"/>
      <c r="K75" s="1032"/>
      <c r="L75" s="1138" t="s">
        <v>622</v>
      </c>
      <c r="M75" s="1139">
        <v>9.15</v>
      </c>
      <c r="N75" s="1137">
        <v>38274.449999999997</v>
      </c>
      <c r="O75" s="492"/>
      <c r="P75" s="492"/>
      <c r="Q75" s="492"/>
    </row>
    <row r="76" spans="1:19" ht="15" customHeight="1">
      <c r="C76" s="16"/>
      <c r="D76" s="134" t="s">
        <v>621</v>
      </c>
      <c r="E76" s="16"/>
      <c r="F76" s="133"/>
      <c r="G76" s="16" t="s">
        <v>3611</v>
      </c>
      <c r="H76" s="16" t="str">
        <f t="shared" si="24"/>
        <v/>
      </c>
      <c r="I76" s="27" t="str">
        <f t="shared" si="25"/>
        <v/>
      </c>
      <c r="J76" s="1140" t="s">
        <v>620</v>
      </c>
      <c r="K76" s="1140"/>
      <c r="L76" s="1140" t="s">
        <v>619</v>
      </c>
      <c r="M76" s="1140"/>
      <c r="N76" s="1140"/>
      <c r="O76" s="492"/>
      <c r="P76" s="492"/>
      <c r="Q76" s="492"/>
    </row>
    <row r="77" spans="1:19" ht="15" customHeight="1">
      <c r="C77" s="24">
        <f>IF(J77=0,"",J77)</f>
        <v>6</v>
      </c>
      <c r="D77" s="11" t="str">
        <f>IF(K77=0,"",K77)</f>
        <v>深圳市红塔资产管理有限公司</v>
      </c>
      <c r="E77" s="21">
        <f>M77</f>
        <v>9.07</v>
      </c>
      <c r="F77" s="21">
        <f>N77/10000</f>
        <v>1.1399999556</v>
      </c>
      <c r="G77" s="11" t="str">
        <f>L77</f>
        <v>16:07</v>
      </c>
      <c r="H77" s="19">
        <f>12568908/10000</f>
        <v>1256.8907999999999</v>
      </c>
      <c r="I77" s="641">
        <f t="shared" si="25"/>
        <v>1.1399999555999998</v>
      </c>
      <c r="J77" s="1093">
        <v>6</v>
      </c>
      <c r="K77" s="1116" t="s">
        <v>618</v>
      </c>
      <c r="L77" s="1138" t="s">
        <v>617</v>
      </c>
      <c r="M77" s="1139">
        <v>9.07</v>
      </c>
      <c r="N77" s="1137">
        <v>11399.999556000001</v>
      </c>
      <c r="O77" s="492"/>
      <c r="P77" s="492"/>
      <c r="Q77" s="492"/>
    </row>
    <row r="78" spans="1:19" ht="15" customHeight="1">
      <c r="C78" s="24">
        <f>IF(J78=0,"",J78)</f>
        <v>7</v>
      </c>
      <c r="D78" s="11" t="str">
        <f>IF(K78=0,"",K78)</f>
        <v>财通基金管理有限公司</v>
      </c>
      <c r="E78" s="21">
        <f>M78</f>
        <v>9.07</v>
      </c>
      <c r="F78" s="21">
        <f>N78/10000</f>
        <v>1.20631</v>
      </c>
      <c r="G78" s="11" t="str">
        <f>L78</f>
        <v>16:56</v>
      </c>
      <c r="H78" s="19">
        <f t="shared" si="24"/>
        <v>550.3596</v>
      </c>
      <c r="I78" s="641">
        <f>IFERROR(H78*M$61/10000,"")</f>
        <v>0.49917615720000003</v>
      </c>
      <c r="J78" s="1093">
        <v>7</v>
      </c>
      <c r="K78" s="1116" t="s">
        <v>115</v>
      </c>
      <c r="L78" s="1138" t="s">
        <v>616</v>
      </c>
      <c r="M78" s="1139">
        <v>9.07</v>
      </c>
      <c r="N78" s="1137">
        <v>12063.1</v>
      </c>
      <c r="O78" s="492"/>
      <c r="P78" s="492"/>
      <c r="Q78" s="492"/>
    </row>
    <row r="80" spans="1:19">
      <c r="A80" s="24">
        <v>5</v>
      </c>
      <c r="B80" s="12" t="s">
        <v>106</v>
      </c>
      <c r="C80" s="12" t="s">
        <v>126</v>
      </c>
      <c r="D80" s="12" t="s">
        <v>107</v>
      </c>
      <c r="E80" s="12" t="s">
        <v>4</v>
      </c>
      <c r="F80" s="13" t="s">
        <v>108</v>
      </c>
      <c r="G80" s="13" t="s">
        <v>109</v>
      </c>
      <c r="H80" s="12" t="s">
        <v>274</v>
      </c>
      <c r="I80" s="12" t="s">
        <v>273</v>
      </c>
      <c r="J80" s="12" t="s">
        <v>116</v>
      </c>
      <c r="K80" s="14" t="s">
        <v>110</v>
      </c>
      <c r="L80" s="14" t="s">
        <v>276</v>
      </c>
      <c r="M80" s="14" t="s">
        <v>117</v>
      </c>
      <c r="N80" s="15" t="s">
        <v>275</v>
      </c>
      <c r="O80" s="12" t="s">
        <v>111</v>
      </c>
      <c r="P80" s="8" t="s">
        <v>12</v>
      </c>
      <c r="Q80" s="8" t="s">
        <v>190</v>
      </c>
      <c r="R80" s="15" t="s">
        <v>129</v>
      </c>
      <c r="S80" s="14" t="s">
        <v>220</v>
      </c>
    </row>
    <row r="81" spans="2:21">
      <c r="B81" s="11">
        <v>25</v>
      </c>
      <c r="C81" s="7" t="s">
        <v>187</v>
      </c>
      <c r="D81" s="1" t="s">
        <v>17</v>
      </c>
      <c r="E81" s="1" t="s">
        <v>16</v>
      </c>
      <c r="F81" s="3">
        <v>9.0399999999999991</v>
      </c>
      <c r="G81" s="3">
        <v>9.0399998746999994</v>
      </c>
      <c r="H81" s="2">
        <v>42433</v>
      </c>
      <c r="I81" s="2" t="s">
        <v>151</v>
      </c>
      <c r="J81" s="11">
        <v>33.97</v>
      </c>
      <c r="K81" s="3">
        <v>25.97</v>
      </c>
      <c r="L81" s="3">
        <f>K81/J81</f>
        <v>0.76449808654695317</v>
      </c>
      <c r="M81" s="3">
        <v>28.87</v>
      </c>
      <c r="N81" s="10">
        <f>M81/J81</f>
        <v>0.84986753017368277</v>
      </c>
      <c r="O81" s="47">
        <v>8</v>
      </c>
      <c r="P81" s="2">
        <v>42824</v>
      </c>
      <c r="Q81" s="10">
        <v>20.079999999999998</v>
      </c>
      <c r="R81" s="18">
        <f>(Q81*(1+T81/10)+U81/10)/M81</f>
        <v>0.69691721510218207</v>
      </c>
      <c r="S81" s="11" t="s">
        <v>222</v>
      </c>
      <c r="T81" s="22">
        <f>IFERROR(RIGHT(LEFT(S81,FIND("股",S81)-1),(FIND("股",S81)-1-FIND("转",S81))),0)</f>
        <v>0</v>
      </c>
      <c r="U81" s="23" t="str">
        <f>IFERROR(RIGHT(LEFT(S81,FIND("元",S81)-1),(FIND("元",S81)-1-FIND("派",S81))),0)</f>
        <v>0.4</v>
      </c>
    </row>
    <row r="82" spans="2:21">
      <c r="B82" s="125"/>
      <c r="C82" s="129"/>
      <c r="D82" s="128"/>
      <c r="E82" s="128"/>
      <c r="F82" s="127"/>
      <c r="G82" s="127"/>
      <c r="H82" s="126"/>
      <c r="I82" s="125"/>
      <c r="J82" s="119"/>
      <c r="K82" s="119"/>
      <c r="L82" s="119"/>
      <c r="M82" s="119"/>
      <c r="N82" s="5"/>
      <c r="O82" s="120"/>
      <c r="P82" s="124"/>
      <c r="Q82" s="5"/>
      <c r="R82" s="123"/>
      <c r="T82" s="28"/>
      <c r="U82" s="122"/>
    </row>
    <row r="83" spans="2:21" ht="17" customHeight="1">
      <c r="C83" s="27" t="s">
        <v>118</v>
      </c>
      <c r="D83" s="16" t="s">
        <v>112</v>
      </c>
      <c r="E83" s="16" t="s">
        <v>113</v>
      </c>
      <c r="F83" s="16" t="s">
        <v>288</v>
      </c>
      <c r="G83" s="17" t="s">
        <v>287</v>
      </c>
      <c r="H83" s="16" t="s">
        <v>289</v>
      </c>
      <c r="J83" s="1005" t="s">
        <v>298</v>
      </c>
      <c r="K83" s="1005" t="s">
        <v>369</v>
      </c>
      <c r="L83" s="1096" t="s">
        <v>615</v>
      </c>
      <c r="M83" s="1006" t="s">
        <v>308</v>
      </c>
      <c r="N83" s="1009"/>
      <c r="O83" s="1140" t="s">
        <v>306</v>
      </c>
      <c r="P83" s="1048" t="s">
        <v>303</v>
      </c>
      <c r="Q83" s="1033"/>
    </row>
    <row r="84" spans="2:21">
      <c r="C84" s="28">
        <f>IF(J84=0,"",J84)</f>
        <v>1</v>
      </c>
      <c r="D84" s="11" t="str">
        <f>IF(K84=0,"",K84)</f>
        <v>华泰柏瑞基金管理有限公司</v>
      </c>
      <c r="E84" s="21">
        <f>L84</f>
        <v>28.5</v>
      </c>
      <c r="F84" s="21">
        <f>M84/10000</f>
        <v>1</v>
      </c>
      <c r="G84" s="19" t="str">
        <f t="shared" ref="G84:G113" si="26">IFERROR(VLOOKUP(D84,O$84:Q$118,2,FALSE)/10000,"")</f>
        <v/>
      </c>
      <c r="H84" s="21" t="str">
        <f>IFERROR(G84*M$81/10000,"")</f>
        <v/>
      </c>
      <c r="J84" s="1141">
        <v>1</v>
      </c>
      <c r="K84" s="1116" t="s">
        <v>122</v>
      </c>
      <c r="L84" s="1142">
        <v>28.5</v>
      </c>
      <c r="M84" s="1143">
        <v>10000</v>
      </c>
      <c r="N84" s="492"/>
      <c r="O84" s="1116" t="s">
        <v>606</v>
      </c>
      <c r="P84" s="1144">
        <v>4502944</v>
      </c>
      <c r="Q84" s="492"/>
    </row>
    <row r="85" spans="2:21">
      <c r="C85" s="28">
        <f t="shared" ref="C85:D113" si="27">IF(J85=0,"",J85)</f>
        <v>2</v>
      </c>
      <c r="D85" s="11" t="str">
        <f t="shared" si="27"/>
        <v>中邮创业基金管理股份有限公司</v>
      </c>
      <c r="E85" s="21">
        <f t="shared" ref="E85:E113" si="28">L85</f>
        <v>29</v>
      </c>
      <c r="F85" s="21">
        <f t="shared" ref="F85:F113" si="29">M85/10000</f>
        <v>1</v>
      </c>
      <c r="G85" s="19">
        <f t="shared" si="26"/>
        <v>346.38029999999998</v>
      </c>
      <c r="H85" s="21">
        <f t="shared" ref="H85:H113" si="30">IFERROR(G85*M$81/10000,"")</f>
        <v>0.99999992609999988</v>
      </c>
      <c r="J85" s="1145">
        <v>2</v>
      </c>
      <c r="K85" s="1087" t="s">
        <v>612</v>
      </c>
      <c r="L85" s="1142">
        <v>29</v>
      </c>
      <c r="M85" s="1143">
        <v>10000</v>
      </c>
      <c r="N85" s="492"/>
      <c r="O85" s="1087" t="s">
        <v>136</v>
      </c>
      <c r="P85" s="1144">
        <v>3740907</v>
      </c>
      <c r="Q85" s="492"/>
    </row>
    <row r="86" spans="2:21" ht="15" customHeight="1">
      <c r="C86" s="28" t="str">
        <f t="shared" si="27"/>
        <v/>
      </c>
      <c r="D86" s="11" t="str">
        <f t="shared" si="27"/>
        <v/>
      </c>
      <c r="E86" s="21">
        <f t="shared" si="28"/>
        <v>28.5</v>
      </c>
      <c r="F86" s="21">
        <f t="shared" si="29"/>
        <v>2</v>
      </c>
      <c r="G86" s="19" t="str">
        <f t="shared" si="26"/>
        <v/>
      </c>
      <c r="H86" s="21" t="str">
        <f t="shared" si="30"/>
        <v/>
      </c>
      <c r="J86" s="1145"/>
      <c r="K86" s="1087"/>
      <c r="L86" s="1142">
        <v>28.5</v>
      </c>
      <c r="M86" s="1143">
        <v>20000</v>
      </c>
      <c r="N86" s="492"/>
      <c r="O86" s="1087" t="s">
        <v>158</v>
      </c>
      <c r="P86" s="1144">
        <v>3463803</v>
      </c>
      <c r="Q86" s="492"/>
    </row>
    <row r="87" spans="2:21">
      <c r="C87" s="28" t="str">
        <f t="shared" si="27"/>
        <v/>
      </c>
      <c r="D87" s="11" t="str">
        <f t="shared" si="27"/>
        <v/>
      </c>
      <c r="E87" s="21">
        <f t="shared" si="28"/>
        <v>28</v>
      </c>
      <c r="F87" s="21">
        <f t="shared" si="29"/>
        <v>3</v>
      </c>
      <c r="G87" s="19" t="str">
        <f t="shared" si="26"/>
        <v/>
      </c>
      <c r="H87" s="21" t="str">
        <f t="shared" si="30"/>
        <v/>
      </c>
      <c r="J87" s="1145"/>
      <c r="K87" s="1087"/>
      <c r="L87" s="1142">
        <v>28</v>
      </c>
      <c r="M87" s="1143">
        <v>30000</v>
      </c>
      <c r="N87" s="492"/>
      <c r="O87" s="1116" t="s">
        <v>8</v>
      </c>
      <c r="P87" s="1144">
        <v>3463803</v>
      </c>
      <c r="Q87" s="492"/>
    </row>
    <row r="88" spans="2:21">
      <c r="C88" s="28">
        <f t="shared" si="27"/>
        <v>3</v>
      </c>
      <c r="D88" s="11" t="str">
        <f t="shared" si="27"/>
        <v>海通证券股份有限公司</v>
      </c>
      <c r="E88" s="21">
        <f t="shared" si="28"/>
        <v>30</v>
      </c>
      <c r="F88" s="21">
        <f t="shared" si="29"/>
        <v>1</v>
      </c>
      <c r="G88" s="19">
        <f t="shared" si="26"/>
        <v>346.38029999999998</v>
      </c>
      <c r="H88" s="21">
        <f t="shared" si="30"/>
        <v>0.99999992609999988</v>
      </c>
      <c r="J88" s="1141">
        <v>3</v>
      </c>
      <c r="K88" s="1116" t="s">
        <v>8</v>
      </c>
      <c r="L88" s="1142">
        <v>30</v>
      </c>
      <c r="M88" s="1143">
        <v>10000</v>
      </c>
      <c r="N88" s="492"/>
      <c r="O88" s="1116" t="s">
        <v>120</v>
      </c>
      <c r="P88" s="1144">
        <v>3463803</v>
      </c>
      <c r="Q88" s="492"/>
    </row>
    <row r="89" spans="2:21">
      <c r="C89" s="28">
        <f t="shared" si="27"/>
        <v>4</v>
      </c>
      <c r="D89" s="11" t="str">
        <f t="shared" si="27"/>
        <v>申万菱信（上海）资产管理有限公
司</v>
      </c>
      <c r="E89" s="21" t="str">
        <f t="shared" si="28"/>
        <v>无效申购</v>
      </c>
      <c r="F89" s="21" t="str">
        <f>M89</f>
        <v>无效申购</v>
      </c>
      <c r="G89" s="19" t="str">
        <f t="shared" si="26"/>
        <v/>
      </c>
      <c r="H89" s="21" t="str">
        <f t="shared" si="30"/>
        <v/>
      </c>
      <c r="J89" s="1141">
        <v>4</v>
      </c>
      <c r="K89" s="1006" t="s">
        <v>614</v>
      </c>
      <c r="L89" s="1116" t="s">
        <v>613</v>
      </c>
      <c r="M89" s="1116" t="s">
        <v>613</v>
      </c>
      <c r="N89" s="492"/>
      <c r="O89" s="1087" t="s">
        <v>612</v>
      </c>
      <c r="P89" s="1144">
        <v>3463803</v>
      </c>
      <c r="Q89" s="492"/>
    </row>
    <row r="90" spans="2:21">
      <c r="C90" s="28">
        <f t="shared" si="27"/>
        <v>5</v>
      </c>
      <c r="D90" s="11" t="str">
        <f t="shared" si="27"/>
        <v>南京瑞达信沨股权投资合伙企业
（有限合伙）</v>
      </c>
      <c r="E90" s="21">
        <f t="shared" si="28"/>
        <v>26.05</v>
      </c>
      <c r="F90" s="21">
        <f t="shared" si="29"/>
        <v>1</v>
      </c>
      <c r="G90" s="19" t="str">
        <f t="shared" si="26"/>
        <v/>
      </c>
      <c r="H90" s="21" t="str">
        <f t="shared" si="30"/>
        <v/>
      </c>
      <c r="J90" s="1145">
        <v>5</v>
      </c>
      <c r="K90" s="1108" t="s">
        <v>611</v>
      </c>
      <c r="L90" s="1142">
        <v>26.05</v>
      </c>
      <c r="M90" s="1143">
        <v>10000</v>
      </c>
      <c r="N90" s="492"/>
      <c r="O90" s="1054" t="s">
        <v>316</v>
      </c>
      <c r="P90" s="1144">
        <v>4156563</v>
      </c>
      <c r="Q90" s="492"/>
    </row>
    <row r="91" spans="2:21">
      <c r="C91" s="28" t="str">
        <f t="shared" si="27"/>
        <v/>
      </c>
      <c r="D91" s="11" t="str">
        <f t="shared" si="27"/>
        <v/>
      </c>
      <c r="E91" s="21">
        <f t="shared" si="28"/>
        <v>26</v>
      </c>
      <c r="F91" s="21">
        <f t="shared" si="29"/>
        <v>1</v>
      </c>
      <c r="G91" s="19" t="str">
        <f t="shared" si="26"/>
        <v/>
      </c>
      <c r="H91" s="21" t="str">
        <f t="shared" si="30"/>
        <v/>
      </c>
      <c r="J91" s="1145"/>
      <c r="K91" s="1108"/>
      <c r="L91" s="1142">
        <v>26</v>
      </c>
      <c r="M91" s="1143">
        <v>10000</v>
      </c>
      <c r="N91" s="492"/>
      <c r="O91" s="1116" t="s">
        <v>115</v>
      </c>
      <c r="P91" s="1144">
        <v>5057155</v>
      </c>
      <c r="Q91" s="492"/>
    </row>
    <row r="92" spans="2:21">
      <c r="C92" s="28" t="str">
        <f t="shared" si="27"/>
        <v/>
      </c>
      <c r="D92" s="11" t="str">
        <f t="shared" si="27"/>
        <v/>
      </c>
      <c r="E92" s="21">
        <f t="shared" si="28"/>
        <v>25.97</v>
      </c>
      <c r="F92" s="21">
        <f t="shared" si="29"/>
        <v>1</v>
      </c>
      <c r="G92" s="19" t="str">
        <f t="shared" si="26"/>
        <v/>
      </c>
      <c r="H92" s="21" t="str">
        <f t="shared" si="30"/>
        <v/>
      </c>
      <c r="J92" s="1145"/>
      <c r="K92" s="1108"/>
      <c r="L92" s="1142">
        <v>25.97</v>
      </c>
      <c r="M92" s="1143">
        <v>10000</v>
      </c>
      <c r="N92" s="492"/>
      <c r="O92" s="1054"/>
      <c r="P92" s="1144"/>
      <c r="Q92" s="492"/>
    </row>
    <row r="93" spans="2:21">
      <c r="C93" s="28">
        <f t="shared" si="27"/>
        <v>6</v>
      </c>
      <c r="D93" s="11" t="str">
        <f t="shared" si="27"/>
        <v>潘宇红</v>
      </c>
      <c r="E93" s="21">
        <f t="shared" si="28"/>
        <v>27.31</v>
      </c>
      <c r="F93" s="21">
        <f t="shared" si="29"/>
        <v>1</v>
      </c>
      <c r="G93" s="19" t="str">
        <f t="shared" si="26"/>
        <v/>
      </c>
      <c r="H93" s="21" t="str">
        <f t="shared" si="30"/>
        <v/>
      </c>
      <c r="J93" s="1141">
        <v>6</v>
      </c>
      <c r="K93" s="1116" t="s">
        <v>610</v>
      </c>
      <c r="L93" s="1142">
        <v>27.31</v>
      </c>
      <c r="M93" s="1143">
        <v>10000</v>
      </c>
      <c r="N93" s="492"/>
      <c r="O93" s="1054"/>
      <c r="P93" s="1144"/>
      <c r="Q93" s="492"/>
    </row>
    <row r="94" spans="2:21">
      <c r="C94" s="28">
        <f t="shared" si="27"/>
        <v>7</v>
      </c>
      <c r="D94" s="11" t="str">
        <f t="shared" si="27"/>
        <v>德盈润泰实业有限公司</v>
      </c>
      <c r="E94" s="21">
        <f t="shared" si="28"/>
        <v>28.5</v>
      </c>
      <c r="F94" s="21">
        <f t="shared" si="29"/>
        <v>2</v>
      </c>
      <c r="G94" s="19" t="str">
        <f t="shared" si="26"/>
        <v/>
      </c>
      <c r="H94" s="21" t="str">
        <f t="shared" si="30"/>
        <v/>
      </c>
      <c r="J94" s="1145">
        <v>7</v>
      </c>
      <c r="K94" s="1087" t="s">
        <v>523</v>
      </c>
      <c r="L94" s="1142">
        <v>28.5</v>
      </c>
      <c r="M94" s="1143">
        <v>20000</v>
      </c>
      <c r="N94" s="492"/>
      <c r="O94" s="1054"/>
      <c r="P94" s="1144"/>
      <c r="Q94" s="492"/>
    </row>
    <row r="95" spans="2:21">
      <c r="C95" s="28" t="str">
        <f t="shared" si="27"/>
        <v/>
      </c>
      <c r="D95" s="11" t="str">
        <f t="shared" si="27"/>
        <v/>
      </c>
      <c r="E95" s="21">
        <f t="shared" si="28"/>
        <v>28</v>
      </c>
      <c r="F95" s="21">
        <f t="shared" si="29"/>
        <v>2</v>
      </c>
      <c r="G95" s="19" t="str">
        <f t="shared" si="26"/>
        <v/>
      </c>
      <c r="H95" s="21" t="str">
        <f t="shared" si="30"/>
        <v/>
      </c>
      <c r="J95" s="1145"/>
      <c r="K95" s="1087"/>
      <c r="L95" s="1142">
        <v>28</v>
      </c>
      <c r="M95" s="1143">
        <v>20000</v>
      </c>
      <c r="N95" s="492"/>
      <c r="O95" s="1054"/>
      <c r="P95" s="1144"/>
      <c r="Q95" s="492"/>
    </row>
    <row r="96" spans="2:21">
      <c r="C96" s="28" t="str">
        <f t="shared" si="27"/>
        <v/>
      </c>
      <c r="D96" s="11" t="str">
        <f t="shared" si="27"/>
        <v/>
      </c>
      <c r="E96" s="21">
        <f t="shared" si="28"/>
        <v>25.97</v>
      </c>
      <c r="F96" s="21">
        <f t="shared" si="29"/>
        <v>2</v>
      </c>
      <c r="G96" s="19" t="str">
        <f t="shared" si="26"/>
        <v/>
      </c>
      <c r="H96" s="21" t="str">
        <f t="shared" si="30"/>
        <v/>
      </c>
      <c r="J96" s="1145"/>
      <c r="K96" s="1087"/>
      <c r="L96" s="1142">
        <v>25.97</v>
      </c>
      <c r="M96" s="1143">
        <v>20000</v>
      </c>
      <c r="N96" s="492"/>
      <c r="O96" s="1054"/>
      <c r="P96" s="1144"/>
      <c r="Q96" s="492"/>
    </row>
    <row r="97" spans="3:17">
      <c r="C97" s="28">
        <f t="shared" si="27"/>
        <v>8</v>
      </c>
      <c r="D97" s="11" t="str">
        <f t="shared" si="27"/>
        <v>深圳平安大华汇通财富管理有限公司</v>
      </c>
      <c r="E97" s="21">
        <f t="shared" si="28"/>
        <v>30.6</v>
      </c>
      <c r="F97" s="21">
        <f t="shared" si="29"/>
        <v>1</v>
      </c>
      <c r="G97" s="19">
        <f t="shared" si="26"/>
        <v>346.38029999999998</v>
      </c>
      <c r="H97" s="21">
        <f t="shared" si="30"/>
        <v>0.99999992609999988</v>
      </c>
      <c r="J97" s="1145">
        <v>8</v>
      </c>
      <c r="K97" s="1087" t="s">
        <v>158</v>
      </c>
      <c r="L97" s="1142">
        <v>30.6</v>
      </c>
      <c r="M97" s="1143">
        <v>10000</v>
      </c>
      <c r="N97" s="492"/>
      <c r="O97" s="1054"/>
      <c r="P97" s="1144"/>
      <c r="Q97" s="492"/>
    </row>
    <row r="98" spans="3:17">
      <c r="C98" s="28" t="str">
        <f t="shared" si="27"/>
        <v/>
      </c>
      <c r="D98" s="11" t="str">
        <f t="shared" si="27"/>
        <v/>
      </c>
      <c r="E98" s="38" t="str">
        <f t="shared" si="28"/>
        <v>27.20
（不符合认购邀请书要求，此档申购无效）</v>
      </c>
      <c r="F98" s="21" t="str">
        <f>M98</f>
        <v>18,080
（不符合认购邀请书要求，此档申购无效）</v>
      </c>
      <c r="G98" s="19" t="str">
        <f t="shared" si="26"/>
        <v/>
      </c>
      <c r="H98" s="21" t="str">
        <f t="shared" si="30"/>
        <v/>
      </c>
      <c r="J98" s="1145"/>
      <c r="K98" s="1087"/>
      <c r="L98" s="1006" t="s">
        <v>609</v>
      </c>
      <c r="M98" s="1006" t="s">
        <v>608</v>
      </c>
      <c r="N98" s="492"/>
      <c r="O98" s="1054"/>
      <c r="P98" s="1144"/>
      <c r="Q98" s="492"/>
    </row>
    <row r="99" spans="3:17">
      <c r="C99" s="28">
        <f t="shared" si="27"/>
        <v>9</v>
      </c>
      <c r="D99" s="11" t="str">
        <f t="shared" si="27"/>
        <v>兴业全球基金管理有限公司</v>
      </c>
      <c r="E99" s="21">
        <f t="shared" si="28"/>
        <v>26.08</v>
      </c>
      <c r="F99" s="21">
        <f t="shared" si="29"/>
        <v>1.17</v>
      </c>
      <c r="G99" s="19" t="str">
        <f t="shared" si="26"/>
        <v/>
      </c>
      <c r="H99" s="21" t="str">
        <f t="shared" si="30"/>
        <v/>
      </c>
      <c r="J99" s="1141">
        <v>9</v>
      </c>
      <c r="K99" s="1116" t="s">
        <v>131</v>
      </c>
      <c r="L99" s="1142">
        <v>26.08</v>
      </c>
      <c r="M99" s="1143">
        <v>11700</v>
      </c>
      <c r="N99" s="492"/>
      <c r="O99" s="1054"/>
      <c r="P99" s="1144"/>
      <c r="Q99" s="492"/>
    </row>
    <row r="100" spans="3:17">
      <c r="C100" s="28">
        <f t="shared" si="27"/>
        <v>10</v>
      </c>
      <c r="D100" s="11" t="str">
        <f t="shared" si="27"/>
        <v>诺安基金管理有限公司</v>
      </c>
      <c r="E100" s="21">
        <f t="shared" si="28"/>
        <v>26.48</v>
      </c>
      <c r="F100" s="21">
        <f t="shared" si="29"/>
        <v>1.29</v>
      </c>
      <c r="G100" s="19" t="str">
        <f t="shared" si="26"/>
        <v/>
      </c>
      <c r="H100" s="21" t="str">
        <f t="shared" si="30"/>
        <v/>
      </c>
      <c r="J100" s="1141">
        <v>10</v>
      </c>
      <c r="K100" s="1116" t="s">
        <v>147</v>
      </c>
      <c r="L100" s="1142">
        <v>26.48</v>
      </c>
      <c r="M100" s="1143">
        <v>12900</v>
      </c>
      <c r="N100" s="492"/>
      <c r="O100" s="1054"/>
      <c r="P100" s="1144"/>
      <c r="Q100" s="492"/>
    </row>
    <row r="101" spans="3:17">
      <c r="C101" s="28">
        <f t="shared" si="27"/>
        <v>11</v>
      </c>
      <c r="D101" s="11" t="str">
        <f t="shared" si="27"/>
        <v>中信证券股份有限公司</v>
      </c>
      <c r="E101" s="21">
        <f t="shared" si="28"/>
        <v>29</v>
      </c>
      <c r="F101" s="21">
        <f t="shared" si="29"/>
        <v>1.2</v>
      </c>
      <c r="G101" s="19">
        <f t="shared" si="26"/>
        <v>415.65629999999999</v>
      </c>
      <c r="H101" s="21">
        <f t="shared" si="30"/>
        <v>1.1999997380999998</v>
      </c>
      <c r="J101" s="1146">
        <v>11</v>
      </c>
      <c r="K101" s="1054" t="s">
        <v>316</v>
      </c>
      <c r="L101" s="1142">
        <v>29</v>
      </c>
      <c r="M101" s="1143">
        <v>12000</v>
      </c>
      <c r="N101" s="492"/>
      <c r="O101" s="1054"/>
      <c r="P101" s="1144"/>
      <c r="Q101" s="492"/>
    </row>
    <row r="102" spans="3:17">
      <c r="C102" s="28" t="str">
        <f t="shared" si="27"/>
        <v/>
      </c>
      <c r="D102" s="11" t="str">
        <f t="shared" si="27"/>
        <v/>
      </c>
      <c r="E102" s="21">
        <f t="shared" si="28"/>
        <v>28.5</v>
      </c>
      <c r="F102" s="21">
        <f t="shared" si="29"/>
        <v>1.94</v>
      </c>
      <c r="G102" s="19" t="str">
        <f t="shared" si="26"/>
        <v/>
      </c>
      <c r="H102" s="21" t="str">
        <f t="shared" si="30"/>
        <v/>
      </c>
      <c r="J102" s="1146"/>
      <c r="K102" s="1054"/>
      <c r="L102" s="1142">
        <v>28.5</v>
      </c>
      <c r="M102" s="1143">
        <v>19400</v>
      </c>
      <c r="N102" s="492"/>
      <c r="O102" s="1054"/>
      <c r="P102" s="1144"/>
      <c r="Q102" s="492"/>
    </row>
    <row r="103" spans="3:17">
      <c r="C103" s="28">
        <f t="shared" si="27"/>
        <v>12</v>
      </c>
      <c r="D103" s="11" t="str">
        <f t="shared" si="27"/>
        <v>民生通惠资产管理有限公司</v>
      </c>
      <c r="E103" s="21">
        <f t="shared" si="28"/>
        <v>26.51</v>
      </c>
      <c r="F103" s="21">
        <f t="shared" si="29"/>
        <v>1</v>
      </c>
      <c r="G103" s="19" t="str">
        <f t="shared" si="26"/>
        <v/>
      </c>
      <c r="H103" s="21" t="str">
        <f t="shared" si="30"/>
        <v/>
      </c>
      <c r="J103" s="1141">
        <v>12</v>
      </c>
      <c r="K103" s="1116" t="s">
        <v>351</v>
      </c>
      <c r="L103" s="1142">
        <v>26.51</v>
      </c>
      <c r="M103" s="1143">
        <v>10000</v>
      </c>
      <c r="N103" s="492"/>
      <c r="O103" s="1054"/>
      <c r="P103" s="1144"/>
      <c r="Q103" s="492"/>
    </row>
    <row r="104" spans="3:17">
      <c r="C104" s="28">
        <f t="shared" si="27"/>
        <v>13</v>
      </c>
      <c r="D104" s="11" t="str">
        <f t="shared" si="27"/>
        <v>华安基金管理有限公司</v>
      </c>
      <c r="E104" s="21">
        <f t="shared" si="28"/>
        <v>32.51</v>
      </c>
      <c r="F104" s="21">
        <f t="shared" si="29"/>
        <v>1.08</v>
      </c>
      <c r="G104" s="19">
        <f t="shared" si="26"/>
        <v>374.09070000000003</v>
      </c>
      <c r="H104" s="21">
        <f t="shared" si="30"/>
        <v>1.0799998509000002</v>
      </c>
      <c r="J104" s="1145">
        <v>13</v>
      </c>
      <c r="K104" s="1087" t="s">
        <v>136</v>
      </c>
      <c r="L104" s="1142">
        <v>32.51</v>
      </c>
      <c r="M104" s="1143">
        <v>10800</v>
      </c>
      <c r="N104" s="492"/>
      <c r="O104" s="1054"/>
      <c r="P104" s="1144"/>
      <c r="Q104" s="492"/>
    </row>
    <row r="105" spans="3:17">
      <c r="C105" s="28" t="str">
        <f t="shared" si="27"/>
        <v/>
      </c>
      <c r="D105" s="11" t="str">
        <f t="shared" si="27"/>
        <v/>
      </c>
      <c r="E105" s="21">
        <f t="shared" si="28"/>
        <v>28.87</v>
      </c>
      <c r="F105" s="21">
        <f t="shared" si="29"/>
        <v>1.58</v>
      </c>
      <c r="G105" s="19" t="str">
        <f t="shared" si="26"/>
        <v/>
      </c>
      <c r="H105" s="21" t="str">
        <f t="shared" si="30"/>
        <v/>
      </c>
      <c r="J105" s="1145"/>
      <c r="K105" s="1087"/>
      <c r="L105" s="1142">
        <v>28.87</v>
      </c>
      <c r="M105" s="1143">
        <v>15800</v>
      </c>
      <c r="N105" s="492"/>
      <c r="O105" s="1054"/>
      <c r="P105" s="1144"/>
      <c r="Q105" s="492"/>
    </row>
    <row r="106" spans="3:17">
      <c r="C106" s="28" t="str">
        <f t="shared" si="27"/>
        <v/>
      </c>
      <c r="D106" s="11" t="str">
        <f t="shared" si="27"/>
        <v/>
      </c>
      <c r="E106" s="21">
        <f t="shared" si="28"/>
        <v>28.12</v>
      </c>
      <c r="F106" s="21">
        <f t="shared" si="29"/>
        <v>1.78</v>
      </c>
      <c r="G106" s="19" t="str">
        <f t="shared" si="26"/>
        <v/>
      </c>
      <c r="H106" s="21" t="str">
        <f t="shared" si="30"/>
        <v/>
      </c>
      <c r="J106" s="1145"/>
      <c r="K106" s="1087"/>
      <c r="L106" s="1142">
        <v>28.12</v>
      </c>
      <c r="M106" s="1143">
        <v>17800</v>
      </c>
      <c r="N106" s="492"/>
      <c r="O106" s="1054"/>
      <c r="P106" s="1144"/>
      <c r="Q106" s="492"/>
    </row>
    <row r="107" spans="3:17">
      <c r="C107" s="28">
        <f t="shared" si="27"/>
        <v>14</v>
      </c>
      <c r="D107" s="11" t="str">
        <f t="shared" si="27"/>
        <v>天安财产保险股份有限公司</v>
      </c>
      <c r="E107" s="21">
        <f t="shared" si="28"/>
        <v>29.06</v>
      </c>
      <c r="F107" s="21">
        <f t="shared" si="29"/>
        <v>1</v>
      </c>
      <c r="G107" s="19">
        <f t="shared" si="26"/>
        <v>346.38029999999998</v>
      </c>
      <c r="H107" s="21">
        <f t="shared" si="30"/>
        <v>0.99999992609999988</v>
      </c>
      <c r="J107" s="1141">
        <v>14</v>
      </c>
      <c r="K107" s="1116" t="s">
        <v>120</v>
      </c>
      <c r="L107" s="1142">
        <v>29.06</v>
      </c>
      <c r="M107" s="1143">
        <v>10000</v>
      </c>
      <c r="N107" s="492"/>
      <c r="O107" s="1054"/>
      <c r="P107" s="1144"/>
      <c r="Q107" s="492"/>
    </row>
    <row r="108" spans="3:17">
      <c r="C108" s="28">
        <f t="shared" si="27"/>
        <v>15</v>
      </c>
      <c r="D108" s="11" t="str">
        <f t="shared" si="27"/>
        <v>华福证券有限责任公司</v>
      </c>
      <c r="E108" s="21">
        <f t="shared" si="28"/>
        <v>27.2</v>
      </c>
      <c r="F108" s="21">
        <f t="shared" si="29"/>
        <v>1</v>
      </c>
      <c r="G108" s="19" t="str">
        <f t="shared" si="26"/>
        <v/>
      </c>
      <c r="H108" s="21" t="str">
        <f t="shared" si="30"/>
        <v/>
      </c>
      <c r="J108" s="1141">
        <v>15</v>
      </c>
      <c r="K108" s="1116" t="s">
        <v>522</v>
      </c>
      <c r="L108" s="1142">
        <v>27.2</v>
      </c>
      <c r="M108" s="1143">
        <v>10000</v>
      </c>
      <c r="N108" s="492"/>
      <c r="O108" s="1054"/>
      <c r="P108" s="1144"/>
      <c r="Q108" s="492"/>
    </row>
    <row r="109" spans="3:17">
      <c r="C109" s="28">
        <f t="shared" si="27"/>
        <v>16</v>
      </c>
      <c r="D109" s="11" t="str">
        <f t="shared" si="27"/>
        <v>北京永安财富投资基金管理有限
公司</v>
      </c>
      <c r="E109" s="21">
        <f t="shared" si="28"/>
        <v>26.01</v>
      </c>
      <c r="F109" s="21">
        <f t="shared" si="29"/>
        <v>1</v>
      </c>
      <c r="G109" s="19" t="str">
        <f t="shared" si="26"/>
        <v/>
      </c>
      <c r="H109" s="21" t="str">
        <f t="shared" si="30"/>
        <v/>
      </c>
      <c r="J109" s="1141">
        <v>16</v>
      </c>
      <c r="K109" s="1006" t="s">
        <v>607</v>
      </c>
      <c r="L109" s="1142">
        <v>26.01</v>
      </c>
      <c r="M109" s="1143">
        <v>10000</v>
      </c>
      <c r="N109" s="492"/>
      <c r="O109" s="1054"/>
      <c r="P109" s="1144"/>
      <c r="Q109" s="492"/>
    </row>
    <row r="110" spans="3:17">
      <c r="C110" s="28">
        <f t="shared" si="27"/>
        <v>17</v>
      </c>
      <c r="D110" s="11" t="str">
        <f t="shared" si="27"/>
        <v>财通基金管理有限公司</v>
      </c>
      <c r="E110" s="21">
        <f t="shared" si="28"/>
        <v>28.87</v>
      </c>
      <c r="F110" s="21">
        <f t="shared" si="29"/>
        <v>5</v>
      </c>
      <c r="G110" s="19">
        <f t="shared" si="26"/>
        <v>505.71550000000002</v>
      </c>
      <c r="H110" s="21">
        <f t="shared" si="30"/>
        <v>1.4600006485000001</v>
      </c>
      <c r="J110" s="1141">
        <v>17</v>
      </c>
      <c r="K110" s="1116" t="s">
        <v>115</v>
      </c>
      <c r="L110" s="1142">
        <v>28.87</v>
      </c>
      <c r="M110" s="1143">
        <v>50000</v>
      </c>
      <c r="N110" s="492"/>
      <c r="O110" s="1054"/>
      <c r="P110" s="1144"/>
      <c r="Q110" s="492"/>
    </row>
    <row r="111" spans="3:17">
      <c r="C111" s="28">
        <f t="shared" si="27"/>
        <v>18</v>
      </c>
      <c r="D111" s="11" t="str">
        <f t="shared" si="27"/>
        <v>博时基金管理有限公司</v>
      </c>
      <c r="E111" s="21">
        <f t="shared" si="28"/>
        <v>26.36</v>
      </c>
      <c r="F111" s="21">
        <f t="shared" si="29"/>
        <v>1.28</v>
      </c>
      <c r="G111" s="19" t="str">
        <f t="shared" si="26"/>
        <v/>
      </c>
      <c r="H111" s="21" t="str">
        <f t="shared" si="30"/>
        <v/>
      </c>
      <c r="J111" s="1141">
        <v>18</v>
      </c>
      <c r="K111" s="1116" t="s">
        <v>173</v>
      </c>
      <c r="L111" s="1142">
        <v>26.36</v>
      </c>
      <c r="M111" s="1143">
        <v>12800</v>
      </c>
      <c r="N111" s="492"/>
      <c r="O111" s="1054"/>
      <c r="P111" s="1144"/>
      <c r="Q111" s="492"/>
    </row>
    <row r="112" spans="3:17">
      <c r="C112" s="28">
        <f t="shared" si="27"/>
        <v>19</v>
      </c>
      <c r="D112" s="11" t="str">
        <f t="shared" si="27"/>
        <v>易方达基金管理有限公司</v>
      </c>
      <c r="E112" s="21">
        <f t="shared" si="28"/>
        <v>26.01</v>
      </c>
      <c r="F112" s="21">
        <f t="shared" si="29"/>
        <v>2.9</v>
      </c>
      <c r="G112" s="19" t="str">
        <f t="shared" si="26"/>
        <v/>
      </c>
      <c r="H112" s="21" t="str">
        <f t="shared" si="30"/>
        <v/>
      </c>
      <c r="J112" s="1141">
        <v>19</v>
      </c>
      <c r="K112" s="1116" t="s">
        <v>225</v>
      </c>
      <c r="L112" s="1142">
        <v>26.01</v>
      </c>
      <c r="M112" s="1143">
        <v>29000</v>
      </c>
      <c r="N112" s="492"/>
      <c r="O112" s="1054"/>
      <c r="P112" s="1144"/>
      <c r="Q112" s="492"/>
    </row>
    <row r="113" spans="1:21">
      <c r="C113" s="28">
        <f t="shared" si="27"/>
        <v>20</v>
      </c>
      <c r="D113" s="11" t="str">
        <f t="shared" si="27"/>
        <v>中民投资本管理有限公司</v>
      </c>
      <c r="E113" s="21">
        <f t="shared" si="28"/>
        <v>33</v>
      </c>
      <c r="F113" s="21">
        <f t="shared" si="29"/>
        <v>1.3</v>
      </c>
      <c r="G113" s="19">
        <f t="shared" si="26"/>
        <v>450.2944</v>
      </c>
      <c r="H113" s="21">
        <f t="shared" si="30"/>
        <v>1.2999999328</v>
      </c>
      <c r="J113" s="1141">
        <v>20</v>
      </c>
      <c r="K113" s="1116" t="s">
        <v>606</v>
      </c>
      <c r="L113" s="1142">
        <v>33</v>
      </c>
      <c r="M113" s="1143">
        <v>13000</v>
      </c>
      <c r="N113" s="492"/>
      <c r="O113" s="1054"/>
      <c r="P113" s="1144"/>
      <c r="Q113" s="492"/>
    </row>
    <row r="114" spans="1:21">
      <c r="J114" s="33"/>
      <c r="K114" s="34"/>
      <c r="L114" s="35"/>
      <c r="M114" s="36"/>
    </row>
    <row r="115" spans="1:21">
      <c r="A115" s="24">
        <v>6</v>
      </c>
      <c r="B115" s="12" t="s">
        <v>106</v>
      </c>
      <c r="C115" s="12" t="s">
        <v>126</v>
      </c>
      <c r="D115" s="12" t="s">
        <v>107</v>
      </c>
      <c r="E115" s="12" t="s">
        <v>4</v>
      </c>
      <c r="F115" s="13" t="s">
        <v>108</v>
      </c>
      <c r="G115" s="13" t="s">
        <v>109</v>
      </c>
      <c r="H115" s="12" t="s">
        <v>274</v>
      </c>
      <c r="I115" s="12" t="s">
        <v>273</v>
      </c>
      <c r="J115" s="12" t="s">
        <v>116</v>
      </c>
      <c r="K115" s="14" t="s">
        <v>110</v>
      </c>
      <c r="L115" s="14" t="s">
        <v>276</v>
      </c>
      <c r="M115" s="14" t="s">
        <v>117</v>
      </c>
      <c r="N115" s="15" t="s">
        <v>275</v>
      </c>
      <c r="O115" s="29" t="s">
        <v>111</v>
      </c>
      <c r="P115" s="30" t="s">
        <v>12</v>
      </c>
      <c r="Q115" s="8" t="s">
        <v>190</v>
      </c>
      <c r="R115" s="15" t="s">
        <v>129</v>
      </c>
      <c r="S115" s="14" t="s">
        <v>220</v>
      </c>
    </row>
    <row r="116" spans="1:21">
      <c r="B116" s="11">
        <v>26</v>
      </c>
      <c r="C116" s="9" t="s">
        <v>188</v>
      </c>
      <c r="D116" s="1" t="s">
        <v>87</v>
      </c>
      <c r="E116" s="1" t="s">
        <v>86</v>
      </c>
      <c r="F116" s="3">
        <v>14.439155</v>
      </c>
      <c r="G116" s="3">
        <v>14.4391549792</v>
      </c>
      <c r="H116" s="2">
        <v>42454</v>
      </c>
      <c r="I116" s="2" t="s">
        <v>153</v>
      </c>
      <c r="J116" s="11">
        <v>9.61</v>
      </c>
      <c r="K116" s="3">
        <v>5.0199999999999996</v>
      </c>
      <c r="L116" s="3">
        <f>K116/J116</f>
        <v>0.52237252861602501</v>
      </c>
      <c r="M116" s="3">
        <v>7.42</v>
      </c>
      <c r="N116" s="10">
        <f>M116/J116</f>
        <v>0.77211238293444329</v>
      </c>
      <c r="O116" s="47">
        <v>5</v>
      </c>
      <c r="P116" s="2">
        <v>42825</v>
      </c>
      <c r="Q116" s="10">
        <v>15.56</v>
      </c>
      <c r="R116" s="18">
        <f>(Q116*(1+T116/10)+U116/10)/M116</f>
        <v>2.1105121293800542</v>
      </c>
      <c r="S116" s="11" t="s">
        <v>242</v>
      </c>
      <c r="T116" s="22">
        <f>IFERROR(RIGHT(LEFT(S116,FIND("股",S116)-1),(FIND("股",S116)-1-FIND("转",S116))),0)</f>
        <v>0</v>
      </c>
      <c r="U116" s="23" t="str">
        <f>IFERROR(RIGHT(LEFT(S116,FIND("元",S116)-1),(FIND("元",S116)-1-FIND("派",S116))),0)</f>
        <v>1.00</v>
      </c>
    </row>
    <row r="117" spans="1:21">
      <c r="B117" s="125"/>
      <c r="C117" s="129"/>
      <c r="D117" s="128"/>
      <c r="E117" s="128"/>
      <c r="F117" s="127"/>
      <c r="G117" s="127"/>
      <c r="H117" s="126"/>
      <c r="I117" s="125"/>
      <c r="K117" s="130"/>
      <c r="L117" s="130"/>
      <c r="M117" s="130"/>
      <c r="N117" s="5"/>
      <c r="O117" s="120"/>
      <c r="P117" s="124"/>
      <c r="Q117" s="5"/>
      <c r="R117" s="123"/>
      <c r="T117" s="28"/>
      <c r="U117" s="122"/>
    </row>
    <row r="118" spans="1:21">
      <c r="C118" s="27" t="s">
        <v>118</v>
      </c>
      <c r="D118" s="16" t="s">
        <v>112</v>
      </c>
      <c r="E118" s="16" t="s">
        <v>113</v>
      </c>
      <c r="F118" s="16" t="s">
        <v>288</v>
      </c>
      <c r="G118" s="17" t="s">
        <v>287</v>
      </c>
      <c r="H118" s="16" t="s">
        <v>289</v>
      </c>
      <c r="J118" s="1096" t="s">
        <v>298</v>
      </c>
      <c r="K118" s="1096" t="s">
        <v>345</v>
      </c>
      <c r="L118" s="1007" t="s">
        <v>605</v>
      </c>
      <c r="M118" s="1007" t="s">
        <v>301</v>
      </c>
      <c r="N118" s="1033"/>
      <c r="O118" s="1008" t="s">
        <v>331</v>
      </c>
      <c r="P118" s="1008" t="s">
        <v>377</v>
      </c>
      <c r="Q118" s="1033"/>
    </row>
    <row r="119" spans="1:21">
      <c r="C119" s="28">
        <f>IF(J119=0,"",J119)</f>
        <v>1</v>
      </c>
      <c r="D119" s="11" t="str">
        <f>IF(K119=0,"",K119)</f>
        <v>博时资本管理有限公司</v>
      </c>
      <c r="E119" s="21">
        <f>L119</f>
        <v>5.51</v>
      </c>
      <c r="F119" s="21">
        <f>M119/10000</f>
        <v>1.6</v>
      </c>
      <c r="G119" s="19" t="str">
        <f t="shared" ref="G119:G144" si="31">IFERROR(VLOOKUP(D119,O$119:R$144,2,FALSE)/10000,"")</f>
        <v/>
      </c>
      <c r="H119" s="21" t="str">
        <f>IFERROR(G119*M$116/10000,"")</f>
        <v/>
      </c>
      <c r="J119" s="1145">
        <v>1</v>
      </c>
      <c r="K119" s="1147" t="s">
        <v>315</v>
      </c>
      <c r="L119" s="1142">
        <v>5.51</v>
      </c>
      <c r="M119" s="1148">
        <v>16000</v>
      </c>
      <c r="N119" s="492"/>
      <c r="O119" s="1116" t="s">
        <v>134</v>
      </c>
      <c r="P119" s="1143">
        <v>22237196</v>
      </c>
      <c r="Q119" s="492"/>
    </row>
    <row r="120" spans="1:21">
      <c r="C120" s="28" t="str">
        <f t="shared" ref="C120:D144" si="32">IF(J120=0,"",J120)</f>
        <v/>
      </c>
      <c r="D120" s="11" t="str">
        <f t="shared" si="32"/>
        <v/>
      </c>
      <c r="E120" s="21">
        <f t="shared" ref="E120:E144" si="33">L120</f>
        <v>5.03</v>
      </c>
      <c r="F120" s="21">
        <f t="shared" ref="F120:F144" si="34">M120/10000</f>
        <v>2.8</v>
      </c>
      <c r="G120" s="19" t="str">
        <f t="shared" si="31"/>
        <v/>
      </c>
      <c r="H120" s="21" t="str">
        <f t="shared" ref="H120:H144" si="35">IFERROR(G120*M$116/10000,"")</f>
        <v/>
      </c>
      <c r="J120" s="1145"/>
      <c r="K120" s="1147"/>
      <c r="L120" s="1142">
        <v>5.03</v>
      </c>
      <c r="M120" s="1148">
        <v>28000</v>
      </c>
      <c r="N120" s="492"/>
      <c r="O120" s="1116" t="s">
        <v>601</v>
      </c>
      <c r="P120" s="1143">
        <v>56199460</v>
      </c>
      <c r="Q120" s="492"/>
    </row>
    <row r="121" spans="1:21">
      <c r="C121" s="28">
        <f t="shared" si="32"/>
        <v>2</v>
      </c>
      <c r="D121" s="11" t="str">
        <f t="shared" si="32"/>
        <v>财通基金管理有限公司</v>
      </c>
      <c r="E121" s="21">
        <f t="shared" si="33"/>
        <v>7.25</v>
      </c>
      <c r="F121" s="21">
        <f t="shared" si="34"/>
        <v>2.82</v>
      </c>
      <c r="G121" s="19" t="str">
        <f t="shared" si="31"/>
        <v/>
      </c>
      <c r="H121" s="21" t="str">
        <f t="shared" si="35"/>
        <v/>
      </c>
      <c r="J121" s="1145">
        <v>2</v>
      </c>
      <c r="K121" s="1147" t="s">
        <v>115</v>
      </c>
      <c r="L121" s="1142">
        <v>7.25</v>
      </c>
      <c r="M121" s="1148">
        <v>28200</v>
      </c>
      <c r="N121" s="492"/>
      <c r="O121" s="1116" t="s">
        <v>600</v>
      </c>
      <c r="P121" s="1143">
        <v>52560646</v>
      </c>
      <c r="Q121" s="492"/>
    </row>
    <row r="122" spans="1:21">
      <c r="C122" s="28" t="str">
        <f t="shared" si="32"/>
        <v/>
      </c>
      <c r="D122" s="11" t="str">
        <f t="shared" si="32"/>
        <v/>
      </c>
      <c r="E122" s="21">
        <f t="shared" si="33"/>
        <v>6.65</v>
      </c>
      <c r="F122" s="21">
        <f t="shared" si="34"/>
        <v>7.7</v>
      </c>
      <c r="G122" s="19" t="str">
        <f t="shared" si="31"/>
        <v/>
      </c>
      <c r="H122" s="21" t="str">
        <f t="shared" si="35"/>
        <v/>
      </c>
      <c r="J122" s="1145"/>
      <c r="K122" s="1147"/>
      <c r="L122" s="1142">
        <v>6.65</v>
      </c>
      <c r="M122" s="1148">
        <v>77000</v>
      </c>
      <c r="N122" s="492"/>
      <c r="O122" s="1116" t="s">
        <v>285</v>
      </c>
      <c r="P122" s="1143">
        <v>19460916</v>
      </c>
      <c r="Q122" s="492"/>
    </row>
    <row r="123" spans="1:21">
      <c r="C123" s="28" t="str">
        <f t="shared" si="32"/>
        <v/>
      </c>
      <c r="D123" s="11" t="str">
        <f t="shared" si="32"/>
        <v/>
      </c>
      <c r="E123" s="21">
        <f t="shared" si="33"/>
        <v>5.7</v>
      </c>
      <c r="F123" s="21">
        <f t="shared" si="34"/>
        <v>9.85</v>
      </c>
      <c r="G123" s="19" t="str">
        <f t="shared" si="31"/>
        <v/>
      </c>
      <c r="H123" s="21" t="str">
        <f t="shared" si="35"/>
        <v/>
      </c>
      <c r="J123" s="1145"/>
      <c r="K123" s="1147"/>
      <c r="L123" s="1142">
        <v>5.7</v>
      </c>
      <c r="M123" s="1148">
        <v>98500</v>
      </c>
      <c r="N123" s="492"/>
      <c r="O123" s="1116" t="s">
        <v>604</v>
      </c>
      <c r="P123" s="1143">
        <v>44139558</v>
      </c>
      <c r="Q123" s="492"/>
    </row>
    <row r="124" spans="1:21">
      <c r="C124" s="28">
        <f t="shared" si="32"/>
        <v>3</v>
      </c>
      <c r="D124" s="11" t="str">
        <f t="shared" si="32"/>
        <v>创金合信基金管理有限公司</v>
      </c>
      <c r="E124" s="21">
        <f t="shared" si="33"/>
        <v>8.3000000000000007</v>
      </c>
      <c r="F124" s="21">
        <f t="shared" si="34"/>
        <v>1.65</v>
      </c>
      <c r="G124" s="19">
        <f t="shared" si="31"/>
        <v>2223.7195999999999</v>
      </c>
      <c r="H124" s="21">
        <f t="shared" si="35"/>
        <v>1.6499999432000001</v>
      </c>
      <c r="J124" s="1145">
        <v>3</v>
      </c>
      <c r="K124" s="1147" t="s">
        <v>134</v>
      </c>
      <c r="L124" s="1142">
        <v>8.3000000000000007</v>
      </c>
      <c r="M124" s="1148">
        <v>16500</v>
      </c>
      <c r="N124" s="492"/>
      <c r="O124" s="1116"/>
      <c r="P124" s="1143"/>
      <c r="Q124" s="492"/>
    </row>
    <row r="125" spans="1:21">
      <c r="C125" s="28" t="str">
        <f t="shared" si="32"/>
        <v/>
      </c>
      <c r="D125" s="11" t="str">
        <f t="shared" si="32"/>
        <v/>
      </c>
      <c r="E125" s="21">
        <f t="shared" si="33"/>
        <v>7.2</v>
      </c>
      <c r="F125" s="21">
        <f t="shared" si="34"/>
        <v>1.65</v>
      </c>
      <c r="G125" s="19" t="str">
        <f t="shared" si="31"/>
        <v/>
      </c>
      <c r="H125" s="21" t="str">
        <f t="shared" si="35"/>
        <v/>
      </c>
      <c r="J125" s="1145"/>
      <c r="K125" s="1147"/>
      <c r="L125" s="1142">
        <v>7.2</v>
      </c>
      <c r="M125" s="1148">
        <v>16500</v>
      </c>
      <c r="N125" s="492"/>
      <c r="O125" s="1116"/>
      <c r="P125" s="1143"/>
      <c r="Q125" s="492"/>
    </row>
    <row r="126" spans="1:21">
      <c r="C126" s="28" t="str">
        <f t="shared" si="32"/>
        <v/>
      </c>
      <c r="D126" s="11" t="str">
        <f t="shared" si="32"/>
        <v/>
      </c>
      <c r="E126" s="21">
        <f t="shared" si="33"/>
        <v>6.3</v>
      </c>
      <c r="F126" s="21">
        <f t="shared" si="34"/>
        <v>1.95</v>
      </c>
      <c r="G126" s="19" t="str">
        <f t="shared" si="31"/>
        <v/>
      </c>
      <c r="H126" s="21" t="str">
        <f t="shared" si="35"/>
        <v/>
      </c>
      <c r="J126" s="1145"/>
      <c r="K126" s="1147"/>
      <c r="L126" s="1142">
        <v>6.3</v>
      </c>
      <c r="M126" s="1148">
        <v>19500</v>
      </c>
      <c r="N126" s="492"/>
      <c r="O126" s="1116"/>
      <c r="P126" s="1143"/>
      <c r="Q126" s="492"/>
    </row>
    <row r="127" spans="1:21">
      <c r="C127" s="28">
        <f t="shared" si="32"/>
        <v>4</v>
      </c>
      <c r="D127" s="11" t="str">
        <f t="shared" si="32"/>
        <v>大成创新资本管理有限公司</v>
      </c>
      <c r="E127" s="21">
        <f t="shared" si="33"/>
        <v>7.42</v>
      </c>
      <c r="F127" s="21">
        <f t="shared" si="34"/>
        <v>3.39</v>
      </c>
      <c r="G127" s="19">
        <f t="shared" si="31"/>
        <v>4413.9557999999997</v>
      </c>
      <c r="H127" s="21">
        <f t="shared" si="35"/>
        <v>3.2751552035999998</v>
      </c>
      <c r="J127" s="1145">
        <v>4</v>
      </c>
      <c r="K127" s="1147" t="s">
        <v>604</v>
      </c>
      <c r="L127" s="1142">
        <v>7.42</v>
      </c>
      <c r="M127" s="1148">
        <v>33900</v>
      </c>
      <c r="N127" s="492"/>
      <c r="O127" s="1116"/>
      <c r="P127" s="1143"/>
      <c r="Q127" s="492"/>
    </row>
    <row r="128" spans="1:21">
      <c r="C128" s="28" t="str">
        <f t="shared" si="32"/>
        <v/>
      </c>
      <c r="D128" s="11" t="str">
        <f t="shared" si="32"/>
        <v/>
      </c>
      <c r="E128" s="21">
        <f t="shared" si="33"/>
        <v>7.34</v>
      </c>
      <c r="F128" s="21">
        <f t="shared" si="34"/>
        <v>3.39</v>
      </c>
      <c r="G128" s="19" t="str">
        <f t="shared" si="31"/>
        <v/>
      </c>
      <c r="H128" s="21" t="str">
        <f t="shared" si="35"/>
        <v/>
      </c>
      <c r="J128" s="1145"/>
      <c r="K128" s="1147"/>
      <c r="L128" s="1142">
        <v>7.34</v>
      </c>
      <c r="M128" s="1148">
        <v>33900</v>
      </c>
      <c r="N128" s="492"/>
      <c r="O128" s="1116"/>
      <c r="P128" s="1143"/>
      <c r="Q128" s="492"/>
    </row>
    <row r="129" spans="3:17">
      <c r="C129" s="28" t="str">
        <f t="shared" si="32"/>
        <v/>
      </c>
      <c r="D129" s="11" t="str">
        <f t="shared" si="32"/>
        <v/>
      </c>
      <c r="E129" s="21">
        <f t="shared" si="33"/>
        <v>7.26</v>
      </c>
      <c r="F129" s="21">
        <f t="shared" si="34"/>
        <v>3.39</v>
      </c>
      <c r="G129" s="19" t="str">
        <f t="shared" si="31"/>
        <v/>
      </c>
      <c r="H129" s="21" t="str">
        <f t="shared" si="35"/>
        <v/>
      </c>
      <c r="J129" s="1145"/>
      <c r="K129" s="1147"/>
      <c r="L129" s="1142">
        <v>7.26</v>
      </c>
      <c r="M129" s="1148">
        <v>33900</v>
      </c>
      <c r="N129" s="492"/>
      <c r="O129" s="1116"/>
      <c r="P129" s="1143"/>
      <c r="Q129" s="492"/>
    </row>
    <row r="130" spans="3:17">
      <c r="C130" s="28">
        <f t="shared" si="32"/>
        <v>5</v>
      </c>
      <c r="D130" s="11" t="str">
        <f t="shared" si="32"/>
        <v>东海基金管理有限公司</v>
      </c>
      <c r="E130" s="21">
        <f t="shared" si="33"/>
        <v>6.01</v>
      </c>
      <c r="F130" s="21">
        <f t="shared" si="34"/>
        <v>1.45</v>
      </c>
      <c r="G130" s="19" t="str">
        <f t="shared" si="31"/>
        <v/>
      </c>
      <c r="H130" s="21" t="str">
        <f t="shared" si="35"/>
        <v/>
      </c>
      <c r="J130" s="1145">
        <v>5</v>
      </c>
      <c r="K130" s="1147" t="s">
        <v>526</v>
      </c>
      <c r="L130" s="1142">
        <v>6.01</v>
      </c>
      <c r="M130" s="1148">
        <v>14500</v>
      </c>
      <c r="N130" s="492"/>
      <c r="O130" s="1116"/>
      <c r="P130" s="1143"/>
      <c r="Q130" s="492"/>
    </row>
    <row r="131" spans="3:17">
      <c r="C131" s="28" t="str">
        <f t="shared" si="32"/>
        <v/>
      </c>
      <c r="D131" s="11" t="str">
        <f t="shared" si="32"/>
        <v/>
      </c>
      <c r="E131" s="21">
        <f t="shared" si="33"/>
        <v>5.05</v>
      </c>
      <c r="F131" s="21">
        <f t="shared" si="34"/>
        <v>2.9</v>
      </c>
      <c r="G131" s="19" t="str">
        <f t="shared" si="31"/>
        <v/>
      </c>
      <c r="H131" s="21" t="str">
        <f t="shared" si="35"/>
        <v/>
      </c>
      <c r="J131" s="1145"/>
      <c r="K131" s="1147"/>
      <c r="L131" s="1142">
        <v>5.05</v>
      </c>
      <c r="M131" s="1148">
        <v>29000</v>
      </c>
      <c r="N131" s="492"/>
      <c r="O131" s="1116"/>
      <c r="P131" s="1143"/>
      <c r="Q131" s="492"/>
    </row>
    <row r="132" spans="3:17">
      <c r="C132" s="28">
        <f t="shared" si="32"/>
        <v>6</v>
      </c>
      <c r="D132" s="11" t="str">
        <f t="shared" si="32"/>
        <v>宏信证券有限责任公司</v>
      </c>
      <c r="E132" s="21">
        <f t="shared" si="33"/>
        <v>6</v>
      </c>
      <c r="F132" s="21">
        <f t="shared" si="34"/>
        <v>1.73</v>
      </c>
      <c r="G132" s="19" t="str">
        <f t="shared" si="31"/>
        <v/>
      </c>
      <c r="H132" s="21" t="str">
        <f t="shared" si="35"/>
        <v/>
      </c>
      <c r="J132" s="1145">
        <v>6</v>
      </c>
      <c r="K132" s="1147" t="s">
        <v>603</v>
      </c>
      <c r="L132" s="1142">
        <v>6</v>
      </c>
      <c r="M132" s="1148">
        <v>17300</v>
      </c>
      <c r="N132" s="492"/>
      <c r="O132" s="1116"/>
      <c r="P132" s="1143"/>
      <c r="Q132" s="492"/>
    </row>
    <row r="133" spans="3:17">
      <c r="C133" s="28" t="str">
        <f t="shared" si="32"/>
        <v/>
      </c>
      <c r="D133" s="11" t="str">
        <f t="shared" si="32"/>
        <v/>
      </c>
      <c r="E133" s="21">
        <f t="shared" si="33"/>
        <v>5.6</v>
      </c>
      <c r="F133" s="21">
        <f t="shared" si="34"/>
        <v>1.62</v>
      </c>
      <c r="G133" s="19" t="str">
        <f t="shared" si="31"/>
        <v/>
      </c>
      <c r="H133" s="21" t="str">
        <f t="shared" si="35"/>
        <v/>
      </c>
      <c r="J133" s="1145"/>
      <c r="K133" s="1147"/>
      <c r="L133" s="1142">
        <v>5.6</v>
      </c>
      <c r="M133" s="1148">
        <v>16200</v>
      </c>
      <c r="N133" s="492"/>
      <c r="O133" s="1116"/>
      <c r="P133" s="1143"/>
      <c r="Q133" s="492"/>
    </row>
    <row r="134" spans="3:17">
      <c r="C134" s="28" t="str">
        <f t="shared" si="32"/>
        <v/>
      </c>
      <c r="D134" s="11" t="str">
        <f t="shared" si="32"/>
        <v/>
      </c>
      <c r="E134" s="21">
        <f t="shared" si="33"/>
        <v>5.0199999999999996</v>
      </c>
      <c r="F134" s="21">
        <f t="shared" si="34"/>
        <v>1.45</v>
      </c>
      <c r="G134" s="19" t="str">
        <f t="shared" si="31"/>
        <v/>
      </c>
      <c r="H134" s="21" t="str">
        <f t="shared" si="35"/>
        <v/>
      </c>
      <c r="J134" s="1145"/>
      <c r="K134" s="1147"/>
      <c r="L134" s="1142">
        <v>5.0199999999999996</v>
      </c>
      <c r="M134" s="1148">
        <v>14500</v>
      </c>
      <c r="N134" s="492"/>
      <c r="O134" s="1116"/>
      <c r="P134" s="1143"/>
      <c r="Q134" s="492"/>
    </row>
    <row r="135" spans="3:17">
      <c r="C135" s="28">
        <f t="shared" si="32"/>
        <v>7</v>
      </c>
      <c r="D135" s="11" t="str">
        <f t="shared" si="32"/>
        <v>李天云</v>
      </c>
      <c r="E135" s="21">
        <f t="shared" si="33"/>
        <v>6.88</v>
      </c>
      <c r="F135" s="21">
        <f t="shared" si="34"/>
        <v>3.1</v>
      </c>
      <c r="G135" s="19" t="str">
        <f t="shared" si="31"/>
        <v/>
      </c>
      <c r="H135" s="21" t="str">
        <f t="shared" si="35"/>
        <v/>
      </c>
      <c r="J135" s="1145">
        <v>7</v>
      </c>
      <c r="K135" s="1147" t="s">
        <v>602</v>
      </c>
      <c r="L135" s="1142">
        <v>6.88</v>
      </c>
      <c r="M135" s="1148">
        <v>31000</v>
      </c>
      <c r="N135" s="492"/>
      <c r="O135" s="1116"/>
      <c r="P135" s="1143"/>
      <c r="Q135" s="492"/>
    </row>
    <row r="136" spans="3:17">
      <c r="C136" s="28" t="str">
        <f t="shared" si="32"/>
        <v/>
      </c>
      <c r="D136" s="11" t="str">
        <f t="shared" si="32"/>
        <v/>
      </c>
      <c r="E136" s="21">
        <f t="shared" si="33"/>
        <v>6.38</v>
      </c>
      <c r="F136" s="21">
        <f t="shared" si="34"/>
        <v>3.1</v>
      </c>
      <c r="G136" s="19" t="str">
        <f t="shared" si="31"/>
        <v/>
      </c>
      <c r="H136" s="21" t="str">
        <f t="shared" si="35"/>
        <v/>
      </c>
      <c r="J136" s="1145"/>
      <c r="K136" s="1147"/>
      <c r="L136" s="1142">
        <v>6.38</v>
      </c>
      <c r="M136" s="1148">
        <v>31000</v>
      </c>
      <c r="N136" s="492"/>
      <c r="O136" s="1116"/>
      <c r="P136" s="1143"/>
      <c r="Q136" s="492"/>
    </row>
    <row r="137" spans="3:17">
      <c r="C137" s="28" t="str">
        <f t="shared" si="32"/>
        <v/>
      </c>
      <c r="D137" s="11" t="str">
        <f t="shared" si="32"/>
        <v/>
      </c>
      <c r="E137" s="21">
        <f t="shared" si="33"/>
        <v>5.88</v>
      </c>
      <c r="F137" s="21">
        <f t="shared" si="34"/>
        <v>3.2</v>
      </c>
      <c r="G137" s="19" t="str">
        <f t="shared" si="31"/>
        <v/>
      </c>
      <c r="H137" s="21" t="str">
        <f t="shared" si="35"/>
        <v/>
      </c>
      <c r="J137" s="1145"/>
      <c r="K137" s="1147"/>
      <c r="L137" s="1142">
        <v>5.88</v>
      </c>
      <c r="M137" s="1148">
        <v>32000</v>
      </c>
      <c r="N137" s="492"/>
      <c r="O137" s="1116"/>
      <c r="P137" s="1143"/>
      <c r="Q137" s="492"/>
    </row>
    <row r="138" spans="3:17">
      <c r="C138" s="28">
        <f t="shared" si="32"/>
        <v>8</v>
      </c>
      <c r="D138" s="11" t="str">
        <f t="shared" si="32"/>
        <v>鹏华资产管理（深圳）有限公司</v>
      </c>
      <c r="E138" s="21">
        <f t="shared" si="33"/>
        <v>7.5</v>
      </c>
      <c r="F138" s="21">
        <f t="shared" si="34"/>
        <v>1.444</v>
      </c>
      <c r="G138" s="19">
        <f t="shared" si="31"/>
        <v>1946.0916</v>
      </c>
      <c r="H138" s="21">
        <f t="shared" si="35"/>
        <v>1.4439999671999999</v>
      </c>
      <c r="J138" s="1141">
        <v>8</v>
      </c>
      <c r="K138" s="1116" t="s">
        <v>285</v>
      </c>
      <c r="L138" s="1142">
        <v>7.5</v>
      </c>
      <c r="M138" s="1148">
        <v>14440</v>
      </c>
      <c r="N138" s="492"/>
      <c r="O138" s="1116"/>
      <c r="P138" s="1143"/>
      <c r="Q138" s="492"/>
    </row>
    <row r="139" spans="3:17">
      <c r="C139" s="28">
        <f t="shared" si="32"/>
        <v>9</v>
      </c>
      <c r="D139" s="11" t="str">
        <f t="shared" si="32"/>
        <v>上海锐懿资产管理有限公司</v>
      </c>
      <c r="E139" s="21">
        <f t="shared" si="33"/>
        <v>7.5</v>
      </c>
      <c r="F139" s="21">
        <f t="shared" si="34"/>
        <v>4.17</v>
      </c>
      <c r="G139" s="19">
        <f t="shared" si="31"/>
        <v>5619.9459999999999</v>
      </c>
      <c r="H139" s="21">
        <f t="shared" si="35"/>
        <v>4.1699999319999996</v>
      </c>
      <c r="J139" s="1141">
        <v>9</v>
      </c>
      <c r="K139" s="1116" t="s">
        <v>601</v>
      </c>
      <c r="L139" s="1142">
        <v>7.5</v>
      </c>
      <c r="M139" s="1148">
        <v>41700</v>
      </c>
      <c r="N139" s="492"/>
      <c r="O139" s="1116"/>
      <c r="P139" s="1143"/>
      <c r="Q139" s="492"/>
    </row>
    <row r="140" spans="3:17">
      <c r="C140" s="28">
        <f t="shared" si="32"/>
        <v>10</v>
      </c>
      <c r="D140" s="11" t="str">
        <f t="shared" si="32"/>
        <v>申万菱信基金管理有限公司</v>
      </c>
      <c r="E140" s="21">
        <f t="shared" si="33"/>
        <v>6.26</v>
      </c>
      <c r="F140" s="21">
        <f t="shared" si="34"/>
        <v>1.45</v>
      </c>
      <c r="G140" s="19" t="str">
        <f t="shared" si="31"/>
        <v/>
      </c>
      <c r="H140" s="21" t="str">
        <f t="shared" si="35"/>
        <v/>
      </c>
      <c r="J140" s="1145">
        <v>10</v>
      </c>
      <c r="K140" s="1147" t="s">
        <v>121</v>
      </c>
      <c r="L140" s="1142">
        <v>6.26</v>
      </c>
      <c r="M140" s="1148">
        <v>14500</v>
      </c>
      <c r="N140" s="492"/>
      <c r="O140" s="1116"/>
      <c r="P140" s="1143"/>
      <c r="Q140" s="492"/>
    </row>
    <row r="141" spans="3:17">
      <c r="C141" s="28" t="str">
        <f t="shared" si="32"/>
        <v/>
      </c>
      <c r="D141" s="11" t="str">
        <f t="shared" si="32"/>
        <v/>
      </c>
      <c r="E141" s="21">
        <f t="shared" si="33"/>
        <v>6.25</v>
      </c>
      <c r="F141" s="21">
        <f t="shared" si="34"/>
        <v>1.95</v>
      </c>
      <c r="G141" s="19" t="str">
        <f t="shared" si="31"/>
        <v/>
      </c>
      <c r="H141" s="21" t="str">
        <f t="shared" si="35"/>
        <v/>
      </c>
      <c r="J141" s="1145"/>
      <c r="K141" s="1147"/>
      <c r="L141" s="1142">
        <v>6.25</v>
      </c>
      <c r="M141" s="1148">
        <v>19500</v>
      </c>
      <c r="N141" s="492"/>
      <c r="O141" s="1116"/>
      <c r="P141" s="1143"/>
      <c r="Q141" s="492"/>
    </row>
    <row r="142" spans="3:17">
      <c r="C142" s="28">
        <f t="shared" si="32"/>
        <v>11</v>
      </c>
      <c r="D142" s="11" t="str">
        <f t="shared" si="32"/>
        <v>泰达宏利基金管理有限公司</v>
      </c>
      <c r="E142" s="21">
        <f t="shared" si="33"/>
        <v>7.38</v>
      </c>
      <c r="F142" s="21">
        <f t="shared" si="34"/>
        <v>1.46</v>
      </c>
      <c r="G142" s="19" t="str">
        <f t="shared" si="31"/>
        <v/>
      </c>
      <c r="H142" s="21" t="str">
        <f t="shared" si="35"/>
        <v/>
      </c>
      <c r="J142" s="1141">
        <v>11</v>
      </c>
      <c r="K142" s="1116" t="s">
        <v>148</v>
      </c>
      <c r="L142" s="1142">
        <v>7.38</v>
      </c>
      <c r="M142" s="1148">
        <v>14600</v>
      </c>
      <c r="N142" s="492"/>
      <c r="O142" s="1116"/>
      <c r="P142" s="1143"/>
      <c r="Q142" s="492"/>
    </row>
    <row r="143" spans="3:17">
      <c r="C143" s="28">
        <f t="shared" si="32"/>
        <v>12</v>
      </c>
      <c r="D143" s="11" t="str">
        <f t="shared" si="32"/>
        <v>泰康资产管理有限责任公司</v>
      </c>
      <c r="E143" s="21">
        <f t="shared" si="33"/>
        <v>5.5</v>
      </c>
      <c r="F143" s="21">
        <f t="shared" si="34"/>
        <v>1.5</v>
      </c>
      <c r="G143" s="19" t="str">
        <f t="shared" si="31"/>
        <v/>
      </c>
      <c r="H143" s="21" t="str">
        <f t="shared" si="35"/>
        <v/>
      </c>
      <c r="J143" s="1141">
        <v>12</v>
      </c>
      <c r="K143" s="1116" t="s">
        <v>124</v>
      </c>
      <c r="L143" s="1142">
        <v>5.5</v>
      </c>
      <c r="M143" s="1148">
        <v>15000</v>
      </c>
      <c r="N143" s="492"/>
      <c r="O143" s="492"/>
      <c r="P143" s="492"/>
      <c r="Q143" s="492"/>
    </row>
    <row r="144" spans="3:17">
      <c r="C144" s="28">
        <f t="shared" si="32"/>
        <v>13</v>
      </c>
      <c r="D144" s="11" t="str">
        <f t="shared" si="32"/>
        <v>万家共赢资产管理有限公司</v>
      </c>
      <c r="E144" s="21">
        <f t="shared" si="33"/>
        <v>7.5</v>
      </c>
      <c r="F144" s="21">
        <f t="shared" si="34"/>
        <v>3.9</v>
      </c>
      <c r="G144" s="19">
        <f t="shared" si="31"/>
        <v>5256.0645999999997</v>
      </c>
      <c r="H144" s="21">
        <f t="shared" si="35"/>
        <v>3.8999999332000002</v>
      </c>
      <c r="J144" s="1141">
        <v>13</v>
      </c>
      <c r="K144" s="1116" t="s">
        <v>600</v>
      </c>
      <c r="L144" s="1142">
        <v>7.5</v>
      </c>
      <c r="M144" s="1148">
        <v>39000</v>
      </c>
      <c r="N144" s="492"/>
      <c r="O144" s="492"/>
      <c r="P144" s="492"/>
      <c r="Q144" s="492"/>
    </row>
    <row r="146" spans="1:21">
      <c r="A146" s="24">
        <v>7</v>
      </c>
      <c r="B146" s="12" t="s">
        <v>106</v>
      </c>
      <c r="C146" s="12" t="s">
        <v>126</v>
      </c>
      <c r="D146" s="12" t="s">
        <v>107</v>
      </c>
      <c r="E146" s="12" t="s">
        <v>4</v>
      </c>
      <c r="F146" s="13" t="s">
        <v>108</v>
      </c>
      <c r="G146" s="13" t="s">
        <v>109</v>
      </c>
      <c r="H146" s="12" t="s">
        <v>274</v>
      </c>
      <c r="I146" s="12" t="s">
        <v>273</v>
      </c>
      <c r="J146" s="12" t="s">
        <v>116</v>
      </c>
      <c r="K146" s="14" t="s">
        <v>110</v>
      </c>
      <c r="L146" s="14" t="s">
        <v>276</v>
      </c>
      <c r="M146" s="14" t="s">
        <v>117</v>
      </c>
      <c r="N146" s="15" t="s">
        <v>275</v>
      </c>
      <c r="O146" s="12" t="s">
        <v>111</v>
      </c>
      <c r="P146" s="8" t="s">
        <v>12</v>
      </c>
      <c r="Q146" s="8" t="s">
        <v>190</v>
      </c>
      <c r="R146" s="15" t="s">
        <v>129</v>
      </c>
      <c r="S146" s="14" t="s">
        <v>220</v>
      </c>
    </row>
    <row r="147" spans="1:21">
      <c r="B147" s="11">
        <v>27</v>
      </c>
      <c r="C147" s="9" t="s">
        <v>189</v>
      </c>
      <c r="D147" s="1" t="s">
        <v>21</v>
      </c>
      <c r="E147" s="1" t="s">
        <v>20</v>
      </c>
      <c r="F147" s="3">
        <v>28</v>
      </c>
      <c r="G147" s="3">
        <v>27.543206963999999</v>
      </c>
      <c r="H147" s="2">
        <v>42439</v>
      </c>
      <c r="I147" s="11" t="s">
        <v>151</v>
      </c>
      <c r="J147" s="11">
        <v>7.86</v>
      </c>
      <c r="K147" s="3">
        <v>6.76</v>
      </c>
      <c r="L147" s="3">
        <f>K147/J147</f>
        <v>0.86005089058524165</v>
      </c>
      <c r="M147" s="3">
        <v>6.76</v>
      </c>
      <c r="N147" s="10">
        <f>M147/J147</f>
        <v>0.86005089058524165</v>
      </c>
      <c r="O147" s="47">
        <v>4</v>
      </c>
      <c r="P147" s="2">
        <v>42825</v>
      </c>
      <c r="Q147" s="10">
        <v>7.02</v>
      </c>
      <c r="R147" s="18">
        <f>(Q147*(1+T147/10)+U147/10)/M147</f>
        <v>1.0433431952662722</v>
      </c>
      <c r="S147" s="11" t="s">
        <v>255</v>
      </c>
      <c r="T147" s="22">
        <f>IFERROR(RIGHT(LEFT(S147,FIND("股",S147)-1),(FIND("股",S147)-1-FIND("转",S147))),0)</f>
        <v>0</v>
      </c>
      <c r="U147" s="23" t="str">
        <f>IFERROR(RIGHT(LEFT(S147,FIND("元",S147)-1),(FIND("元",S147)-1-FIND("派",S147))),0)</f>
        <v>0.33</v>
      </c>
    </row>
    <row r="148" spans="1:21">
      <c r="B148" s="125"/>
      <c r="C148" s="129"/>
      <c r="D148" s="128"/>
      <c r="E148" s="128"/>
      <c r="F148" s="127"/>
      <c r="G148" s="127"/>
      <c r="H148" s="126"/>
      <c r="I148" s="125"/>
      <c r="K148" s="130"/>
      <c r="L148" s="130"/>
      <c r="M148" s="130"/>
      <c r="N148" s="5"/>
      <c r="O148" s="120"/>
      <c r="P148" s="124"/>
      <c r="Q148" s="5"/>
      <c r="R148" s="123"/>
      <c r="T148" s="28"/>
      <c r="U148" s="122"/>
    </row>
    <row r="149" spans="1:21">
      <c r="C149" s="27" t="s">
        <v>118</v>
      </c>
      <c r="D149" s="16" t="s">
        <v>112</v>
      </c>
      <c r="E149" s="16" t="s">
        <v>113</v>
      </c>
      <c r="F149" s="16" t="s">
        <v>288</v>
      </c>
      <c r="G149" s="17" t="s">
        <v>287</v>
      </c>
      <c r="H149" s="16" t="s">
        <v>289</v>
      </c>
      <c r="J149" s="1149" t="s">
        <v>305</v>
      </c>
      <c r="K149" s="1150" t="s">
        <v>306</v>
      </c>
      <c r="L149" s="1151" t="s">
        <v>341</v>
      </c>
      <c r="M149" s="1151" t="s">
        <v>308</v>
      </c>
      <c r="N149" s="1152"/>
      <c r="O149" s="1149" t="s">
        <v>331</v>
      </c>
      <c r="P149" s="1153" t="s">
        <v>474</v>
      </c>
      <c r="Q149" s="32"/>
    </row>
    <row r="150" spans="1:21">
      <c r="C150" s="28">
        <f t="shared" ref="C150:D156" si="36">IF(J150=0,"",J150)</f>
        <v>1</v>
      </c>
      <c r="D150" s="11" t="str">
        <f t="shared" si="36"/>
        <v>深圳平安大华汇通财富管理有限公司</v>
      </c>
      <c r="E150" s="21">
        <f t="shared" ref="E150:E156" si="37">L150</f>
        <v>6.76</v>
      </c>
      <c r="F150" s="21">
        <f>M150/10000</f>
        <v>5.5999840000000001</v>
      </c>
      <c r="G150" s="19" t="str">
        <f t="shared" ref="G150:G156" si="38">IFERROR(VLOOKUP(D150,O$149:Q$156,2,FALSE)/10000,"")</f>
        <v/>
      </c>
      <c r="H150" s="21" t="str">
        <f t="shared" ref="H150:H156" si="39">IFERROR(G150*M$147/10000,"")</f>
        <v/>
      </c>
      <c r="J150" s="1154">
        <v>1</v>
      </c>
      <c r="K150" s="1155" t="s">
        <v>158</v>
      </c>
      <c r="L150" s="1156">
        <v>6.76</v>
      </c>
      <c r="M150" s="1157">
        <v>55999.839999999997</v>
      </c>
      <c r="N150" s="1158"/>
      <c r="O150" s="1159" t="s">
        <v>599</v>
      </c>
      <c r="P150" s="1160">
        <v>82840000</v>
      </c>
    </row>
    <row r="151" spans="1:21">
      <c r="C151" s="28">
        <f t="shared" si="36"/>
        <v>2</v>
      </c>
      <c r="D151" s="11" t="str">
        <f t="shared" si="36"/>
        <v>兴业财富资产管理有限公司</v>
      </c>
      <c r="E151" s="21">
        <f t="shared" si="37"/>
        <v>6.77</v>
      </c>
      <c r="F151" s="21">
        <f t="shared" ref="F151:F156" si="40">M151/10000</f>
        <v>8.3995390000000008</v>
      </c>
      <c r="G151" s="19" t="str">
        <f t="shared" si="38"/>
        <v/>
      </c>
      <c r="H151" s="21" t="str">
        <f t="shared" si="39"/>
        <v/>
      </c>
      <c r="J151" s="1154">
        <v>2</v>
      </c>
      <c r="K151" s="1155" t="s">
        <v>352</v>
      </c>
      <c r="L151" s="1156">
        <v>6.77</v>
      </c>
      <c r="M151" s="1157">
        <v>83995.39</v>
      </c>
      <c r="N151" s="1158"/>
      <c r="O151" s="1159" t="s">
        <v>598</v>
      </c>
      <c r="P151" s="1160">
        <v>124253535</v>
      </c>
    </row>
    <row r="152" spans="1:21">
      <c r="C152" s="28">
        <f t="shared" si="36"/>
        <v>3</v>
      </c>
      <c r="D152" s="11" t="str">
        <f t="shared" si="36"/>
        <v>财通基金管理有限公司</v>
      </c>
      <c r="E152" s="21">
        <f t="shared" si="37"/>
        <v>6.86</v>
      </c>
      <c r="F152" s="21">
        <f t="shared" si="40"/>
        <v>3.2324319999999997</v>
      </c>
      <c r="G152" s="19">
        <f t="shared" si="38"/>
        <v>7609</v>
      </c>
      <c r="H152" s="21">
        <f t="shared" si="39"/>
        <v>5.1436839999999995</v>
      </c>
      <c r="J152" s="1161">
        <v>3</v>
      </c>
      <c r="K152" s="1162" t="s">
        <v>115</v>
      </c>
      <c r="L152" s="1156">
        <v>6.86</v>
      </c>
      <c r="M152" s="1157">
        <v>32324.32</v>
      </c>
      <c r="N152" s="1158"/>
      <c r="O152" s="1163" t="s">
        <v>115</v>
      </c>
      <c r="P152" s="1160">
        <v>76090000</v>
      </c>
    </row>
    <row r="153" spans="1:21">
      <c r="C153" s="28" t="str">
        <f t="shared" si="36"/>
        <v/>
      </c>
      <c r="D153" s="11" t="str">
        <f t="shared" si="36"/>
        <v/>
      </c>
      <c r="E153" s="21">
        <f t="shared" si="37"/>
        <v>6.8</v>
      </c>
      <c r="F153" s="21">
        <f t="shared" si="40"/>
        <v>3.468</v>
      </c>
      <c r="G153" s="19" t="str">
        <f t="shared" si="38"/>
        <v/>
      </c>
      <c r="H153" s="21" t="str">
        <f t="shared" si="39"/>
        <v/>
      </c>
      <c r="J153" s="1161"/>
      <c r="K153" s="1162"/>
      <c r="L153" s="1164">
        <v>6.8</v>
      </c>
      <c r="M153" s="1157">
        <v>34680</v>
      </c>
      <c r="N153" s="1158"/>
      <c r="O153" s="1163" t="s">
        <v>359</v>
      </c>
      <c r="P153" s="1160">
        <v>124260355</v>
      </c>
    </row>
    <row r="154" spans="1:21">
      <c r="C154" s="28" t="str">
        <f t="shared" si="36"/>
        <v/>
      </c>
      <c r="D154" s="11" t="str">
        <f t="shared" si="36"/>
        <v/>
      </c>
      <c r="E154" s="21">
        <f t="shared" si="37"/>
        <v>6.76</v>
      </c>
      <c r="F154" s="21">
        <f t="shared" si="40"/>
        <v>5.1436839999999995</v>
      </c>
      <c r="G154" s="19" t="str">
        <f t="shared" si="38"/>
        <v/>
      </c>
      <c r="H154" s="21" t="str">
        <f t="shared" si="39"/>
        <v/>
      </c>
      <c r="J154" s="1161"/>
      <c r="K154" s="1162"/>
      <c r="L154" s="1156">
        <v>6.76</v>
      </c>
      <c r="M154" s="1157">
        <v>51436.84</v>
      </c>
      <c r="N154" s="1158"/>
      <c r="O154" s="1158"/>
      <c r="P154" s="1158"/>
    </row>
    <row r="155" spans="1:21">
      <c r="C155" s="28">
        <f t="shared" si="36"/>
        <v>4</v>
      </c>
      <c r="D155" s="11" t="str">
        <f t="shared" si="36"/>
        <v>华龙证券股份有限公司</v>
      </c>
      <c r="E155" s="21">
        <f t="shared" si="37"/>
        <v>7</v>
      </c>
      <c r="F155" s="21">
        <f t="shared" si="40"/>
        <v>8.4</v>
      </c>
      <c r="G155" s="19">
        <f t="shared" si="38"/>
        <v>12426.0355</v>
      </c>
      <c r="H155" s="21">
        <f t="shared" si="39"/>
        <v>8.3999999980000002</v>
      </c>
      <c r="J155" s="1165">
        <v>4</v>
      </c>
      <c r="K155" s="1155" t="s">
        <v>359</v>
      </c>
      <c r="L155" s="1165">
        <v>7</v>
      </c>
      <c r="M155" s="1157">
        <v>84000</v>
      </c>
      <c r="N155" s="1158"/>
      <c r="O155" s="1158"/>
      <c r="P155" s="1158"/>
    </row>
    <row r="156" spans="1:21">
      <c r="C156" s="28" t="str">
        <f t="shared" si="36"/>
        <v/>
      </c>
      <c r="D156" s="11" t="str">
        <f t="shared" si="36"/>
        <v/>
      </c>
      <c r="E156" s="21">
        <f t="shared" si="37"/>
        <v>6.76</v>
      </c>
      <c r="F156" s="21">
        <f t="shared" si="40"/>
        <v>8.4</v>
      </c>
      <c r="G156" s="19" t="str">
        <f t="shared" si="38"/>
        <v/>
      </c>
      <c r="H156" s="21" t="str">
        <f t="shared" si="39"/>
        <v/>
      </c>
      <c r="J156" s="1165"/>
      <c r="K156" s="1155"/>
      <c r="L156" s="1156">
        <v>6.76</v>
      </c>
      <c r="M156" s="1157">
        <v>84000</v>
      </c>
      <c r="N156" s="1158"/>
      <c r="O156" s="1158"/>
      <c r="P156" s="1158"/>
    </row>
    <row r="158" spans="1:21">
      <c r="A158" s="24">
        <v>8</v>
      </c>
      <c r="B158" s="12" t="s">
        <v>106</v>
      </c>
      <c r="C158" s="12" t="s">
        <v>126</v>
      </c>
      <c r="D158" s="12" t="s">
        <v>107</v>
      </c>
      <c r="E158" s="12" t="s">
        <v>4</v>
      </c>
      <c r="F158" s="13" t="s">
        <v>108</v>
      </c>
      <c r="G158" s="13" t="s">
        <v>109</v>
      </c>
      <c r="H158" s="12" t="s">
        <v>274</v>
      </c>
      <c r="I158" s="12" t="s">
        <v>273</v>
      </c>
      <c r="J158" s="12" t="s">
        <v>116</v>
      </c>
      <c r="K158" s="14" t="s">
        <v>110</v>
      </c>
      <c r="L158" s="14" t="s">
        <v>276</v>
      </c>
      <c r="M158" s="14" t="s">
        <v>117</v>
      </c>
      <c r="N158" s="15" t="s">
        <v>275</v>
      </c>
      <c r="O158" s="12" t="s">
        <v>111</v>
      </c>
      <c r="P158" s="8" t="s">
        <v>12</v>
      </c>
      <c r="Q158" s="8" t="s">
        <v>190</v>
      </c>
      <c r="R158" s="15" t="s">
        <v>129</v>
      </c>
      <c r="S158" s="14" t="s">
        <v>220</v>
      </c>
    </row>
    <row r="159" spans="1:21">
      <c r="B159" s="11">
        <v>28</v>
      </c>
      <c r="C159" s="9" t="s">
        <v>192</v>
      </c>
      <c r="D159" s="1" t="s">
        <v>15</v>
      </c>
      <c r="E159" s="1" t="s">
        <v>14</v>
      </c>
      <c r="F159" s="3">
        <v>15</v>
      </c>
      <c r="G159" s="3">
        <v>10.36</v>
      </c>
      <c r="H159" s="2">
        <v>42437</v>
      </c>
      <c r="I159" s="11" t="s">
        <v>191</v>
      </c>
      <c r="J159" s="11">
        <v>15.6</v>
      </c>
      <c r="K159" s="3">
        <v>11.83</v>
      </c>
      <c r="L159" s="3">
        <f>K159/J159</f>
        <v>0.7583333333333333</v>
      </c>
      <c r="M159" s="3">
        <v>12.95</v>
      </c>
      <c r="N159" s="10">
        <f>M159/J159</f>
        <v>0.83012820512820507</v>
      </c>
      <c r="O159" s="47">
        <v>5</v>
      </c>
      <c r="P159" s="2">
        <v>42830</v>
      </c>
      <c r="Q159" s="10">
        <v>26</v>
      </c>
      <c r="R159" s="18">
        <f>(Q159*(1+T159/10)+U159/10)/M159</f>
        <v>2.0100386100386101</v>
      </c>
      <c r="S159" s="11" t="s">
        <v>256</v>
      </c>
      <c r="T159" s="22">
        <f>IFERROR(RIGHT(LEFT(S159,FIND("股",S159)-1),(FIND("股",S159)-1-FIND("转",S159))),0)</f>
        <v>0</v>
      </c>
      <c r="U159" s="23" t="str">
        <f>IFERROR(RIGHT(LEFT(S159,FIND("元",S159)-1),(FIND("元",S159)-1-FIND("派",S159))),0)</f>
        <v>0.3</v>
      </c>
    </row>
    <row r="161" spans="3:17" ht="15">
      <c r="C161" s="27" t="s">
        <v>118</v>
      </c>
      <c r="D161" s="16" t="s">
        <v>112</v>
      </c>
      <c r="E161" s="16" t="s">
        <v>113</v>
      </c>
      <c r="F161" s="16" t="s">
        <v>288</v>
      </c>
      <c r="G161" s="17" t="s">
        <v>287</v>
      </c>
      <c r="H161" s="16" t="s">
        <v>289</v>
      </c>
      <c r="J161" s="1149" t="s">
        <v>298</v>
      </c>
      <c r="K161" s="1149" t="s">
        <v>597</v>
      </c>
      <c r="L161" s="1166" t="s">
        <v>596</v>
      </c>
      <c r="M161" s="1153" t="s">
        <v>595</v>
      </c>
      <c r="N161" s="1149" t="s">
        <v>536</v>
      </c>
      <c r="O161" s="1150" t="s">
        <v>306</v>
      </c>
      <c r="P161" s="1151" t="s">
        <v>534</v>
      </c>
      <c r="Q161" s="1167"/>
    </row>
    <row r="162" spans="3:17">
      <c r="C162" s="28">
        <f t="shared" ref="C162:D177" si="41">IF(J162=0,"",J162)</f>
        <v>1</v>
      </c>
      <c r="D162" s="11" t="str">
        <f t="shared" si="41"/>
        <v>兴业全球基金管理有限公司</v>
      </c>
      <c r="E162" s="21">
        <f t="shared" ref="E162:E181" si="42">L162</f>
        <v>11.93</v>
      </c>
      <c r="F162" s="21">
        <f>N162/10000</f>
        <v>1.9207299999999998</v>
      </c>
      <c r="G162" s="19" t="str">
        <f t="shared" ref="G162:G181" si="43">IFERROR(VLOOKUP(D162,O$162:Q$181,2,FALSE)/1,"")</f>
        <v/>
      </c>
      <c r="H162" s="21" t="str">
        <f t="shared" ref="H162:H181" si="44">IFERROR(G162*$M$159/10000,"")</f>
        <v/>
      </c>
      <c r="J162" s="1154">
        <v>1</v>
      </c>
      <c r="K162" s="1168" t="s">
        <v>131</v>
      </c>
      <c r="L162" s="1169">
        <v>11.93</v>
      </c>
      <c r="M162" s="1154">
        <v>1610</v>
      </c>
      <c r="N162" s="1168">
        <f>M162*L162</f>
        <v>19207.3</v>
      </c>
      <c r="O162" s="1155" t="s">
        <v>362</v>
      </c>
      <c r="P162" s="1165">
        <v>1600</v>
      </c>
      <c r="Q162" s="1158"/>
    </row>
    <row r="163" spans="3:17">
      <c r="C163" s="28">
        <f t="shared" si="41"/>
        <v>2</v>
      </c>
      <c r="D163" s="11" t="str">
        <f t="shared" si="41"/>
        <v>第一创业证券股份有限公司</v>
      </c>
      <c r="E163" s="21">
        <f t="shared" si="42"/>
        <v>12.53</v>
      </c>
      <c r="F163" s="21">
        <f t="shared" ref="F163:F181" si="45">N163/10000</f>
        <v>2.0173299999999998</v>
      </c>
      <c r="G163" s="19" t="str">
        <f t="shared" si="43"/>
        <v/>
      </c>
      <c r="H163" s="21" t="str">
        <f t="shared" si="44"/>
        <v/>
      </c>
      <c r="J163" s="1154">
        <v>2</v>
      </c>
      <c r="K163" s="1168" t="s">
        <v>127</v>
      </c>
      <c r="L163" s="1169">
        <v>12.53</v>
      </c>
      <c r="M163" s="1154">
        <v>1610</v>
      </c>
      <c r="N163" s="1168">
        <f t="shared" ref="N163:N181" si="46">M163*L163</f>
        <v>20173.3</v>
      </c>
      <c r="O163" s="1155" t="s">
        <v>336</v>
      </c>
      <c r="P163" s="1165">
        <v>1880</v>
      </c>
      <c r="Q163" s="1158"/>
    </row>
    <row r="164" spans="3:17">
      <c r="C164" s="28">
        <f t="shared" si="41"/>
        <v>3</v>
      </c>
      <c r="D164" s="11" t="str">
        <f t="shared" si="41"/>
        <v>东海基金管理有限责任公司</v>
      </c>
      <c r="E164" s="21">
        <f t="shared" si="42"/>
        <v>11.85</v>
      </c>
      <c r="F164" s="21">
        <f t="shared" si="45"/>
        <v>1.8959999999999999</v>
      </c>
      <c r="G164" s="19" t="str">
        <f t="shared" si="43"/>
        <v/>
      </c>
      <c r="H164" s="21" t="str">
        <f t="shared" si="44"/>
        <v/>
      </c>
      <c r="J164" s="1154">
        <v>3</v>
      </c>
      <c r="K164" s="1168" t="s">
        <v>128</v>
      </c>
      <c r="L164" s="1169">
        <v>11.85</v>
      </c>
      <c r="M164" s="1154">
        <v>1600</v>
      </c>
      <c r="N164" s="1168">
        <f t="shared" si="46"/>
        <v>18960</v>
      </c>
      <c r="O164" s="1155" t="s">
        <v>235</v>
      </c>
      <c r="P164" s="1165">
        <v>1600</v>
      </c>
      <c r="Q164" s="1158"/>
    </row>
    <row r="165" spans="3:17">
      <c r="C165" s="28">
        <f t="shared" si="41"/>
        <v>4</v>
      </c>
      <c r="D165" s="11" t="str">
        <f t="shared" si="41"/>
        <v>北京京泰阳光投资有限公司</v>
      </c>
      <c r="E165" s="21">
        <f t="shared" si="42"/>
        <v>12.3</v>
      </c>
      <c r="F165" s="21">
        <f t="shared" si="45"/>
        <v>1.968</v>
      </c>
      <c r="G165" s="19" t="str">
        <f t="shared" si="43"/>
        <v/>
      </c>
      <c r="H165" s="21" t="str">
        <f t="shared" si="44"/>
        <v/>
      </c>
      <c r="J165" s="1161">
        <v>4</v>
      </c>
      <c r="K165" s="1162" t="s">
        <v>594</v>
      </c>
      <c r="L165" s="1169">
        <v>12.3</v>
      </c>
      <c r="M165" s="1154">
        <v>1600</v>
      </c>
      <c r="N165" s="1168">
        <f t="shared" si="46"/>
        <v>19680</v>
      </c>
      <c r="O165" s="1155" t="s">
        <v>358</v>
      </c>
      <c r="P165" s="1165">
        <v>2370</v>
      </c>
      <c r="Q165" s="1158"/>
    </row>
    <row r="166" spans="3:17">
      <c r="C166" s="28" t="str">
        <f t="shared" si="41"/>
        <v/>
      </c>
      <c r="D166" s="11" t="str">
        <f t="shared" si="41"/>
        <v/>
      </c>
      <c r="E166" s="21">
        <f t="shared" si="42"/>
        <v>11.85</v>
      </c>
      <c r="F166" s="21">
        <f t="shared" si="45"/>
        <v>2.7254999999999998</v>
      </c>
      <c r="G166" s="19" t="str">
        <f t="shared" si="43"/>
        <v/>
      </c>
      <c r="H166" s="21" t="str">
        <f t="shared" si="44"/>
        <v/>
      </c>
      <c r="J166" s="1161"/>
      <c r="K166" s="1162"/>
      <c r="L166" s="1169">
        <v>11.85</v>
      </c>
      <c r="M166" s="1154">
        <v>2300</v>
      </c>
      <c r="N166" s="1168">
        <f t="shared" si="46"/>
        <v>27255</v>
      </c>
      <c r="O166" s="1168" t="s">
        <v>592</v>
      </c>
      <c r="P166" s="1170">
        <v>550</v>
      </c>
      <c r="Q166" s="1158"/>
    </row>
    <row r="167" spans="3:17">
      <c r="C167" s="28" t="str">
        <f t="shared" si="41"/>
        <v/>
      </c>
      <c r="D167" s="11" t="str">
        <f t="shared" si="41"/>
        <v/>
      </c>
      <c r="E167" s="21">
        <f t="shared" si="42"/>
        <v>11.83</v>
      </c>
      <c r="F167" s="21">
        <f t="shared" si="45"/>
        <v>2.7208999999999999</v>
      </c>
      <c r="G167" s="19" t="str">
        <f t="shared" si="43"/>
        <v/>
      </c>
      <c r="H167" s="21" t="str">
        <f t="shared" si="44"/>
        <v/>
      </c>
      <c r="J167" s="1161"/>
      <c r="K167" s="1162"/>
      <c r="L167" s="1169">
        <v>11.83</v>
      </c>
      <c r="M167" s="1154">
        <v>2300</v>
      </c>
      <c r="N167" s="1168">
        <f t="shared" si="46"/>
        <v>27209</v>
      </c>
      <c r="O167" s="1158"/>
      <c r="P167" s="1158"/>
      <c r="Q167" s="1158"/>
    </row>
    <row r="168" spans="3:17">
      <c r="C168" s="28">
        <f t="shared" si="41"/>
        <v>5</v>
      </c>
      <c r="D168" s="11" t="str">
        <f t="shared" si="41"/>
        <v>湘财证券股份有限公司</v>
      </c>
      <c r="E168" s="21">
        <f t="shared" si="42"/>
        <v>12.8</v>
      </c>
      <c r="F168" s="21">
        <f t="shared" si="45"/>
        <v>2.048</v>
      </c>
      <c r="G168" s="19" t="str">
        <f t="shared" si="43"/>
        <v/>
      </c>
      <c r="H168" s="21" t="str">
        <f t="shared" si="44"/>
        <v/>
      </c>
      <c r="J168" s="1154">
        <v>5</v>
      </c>
      <c r="K168" s="1168" t="s">
        <v>459</v>
      </c>
      <c r="L168" s="1169">
        <v>12.8</v>
      </c>
      <c r="M168" s="1154">
        <v>1600</v>
      </c>
      <c r="N168" s="1168">
        <f t="shared" si="46"/>
        <v>20480</v>
      </c>
      <c r="O168" s="1158"/>
      <c r="P168" s="1158"/>
      <c r="Q168" s="1158"/>
    </row>
    <row r="169" spans="3:17">
      <c r="C169" s="28">
        <f t="shared" si="41"/>
        <v>6</v>
      </c>
      <c r="D169" s="11" t="str">
        <f t="shared" si="41"/>
        <v>中广核资本控股有限公司</v>
      </c>
      <c r="E169" s="21">
        <f t="shared" si="42"/>
        <v>13.63</v>
      </c>
      <c r="F169" s="21">
        <f t="shared" si="45"/>
        <v>2.1808000000000001</v>
      </c>
      <c r="G169" s="19">
        <f t="shared" si="43"/>
        <v>1600</v>
      </c>
      <c r="H169" s="21">
        <f t="shared" si="44"/>
        <v>2.0720000000000001</v>
      </c>
      <c r="J169" s="1154">
        <v>6</v>
      </c>
      <c r="K169" s="1168" t="s">
        <v>362</v>
      </c>
      <c r="L169" s="1169">
        <v>13.63</v>
      </c>
      <c r="M169" s="1154">
        <v>1600</v>
      </c>
      <c r="N169" s="1168">
        <f t="shared" si="46"/>
        <v>21808</v>
      </c>
      <c r="O169" s="1158"/>
      <c r="P169" s="1158"/>
      <c r="Q169" s="1158"/>
    </row>
    <row r="170" spans="3:17">
      <c r="C170" s="28">
        <f t="shared" si="41"/>
        <v>7</v>
      </c>
      <c r="D170" s="11" t="str">
        <f t="shared" si="41"/>
        <v>财通基金管理有限公司</v>
      </c>
      <c r="E170" s="21">
        <f t="shared" si="42"/>
        <v>12</v>
      </c>
      <c r="F170" s="21">
        <f t="shared" si="45"/>
        <v>2.7360000000000002</v>
      </c>
      <c r="G170" s="19" t="str">
        <f t="shared" si="43"/>
        <v/>
      </c>
      <c r="H170" s="21" t="str">
        <f t="shared" si="44"/>
        <v/>
      </c>
      <c r="J170" s="1165">
        <v>7</v>
      </c>
      <c r="K170" s="1155" t="s">
        <v>115</v>
      </c>
      <c r="L170" s="1169">
        <v>12</v>
      </c>
      <c r="M170" s="1154">
        <v>2280</v>
      </c>
      <c r="N170" s="1168">
        <f t="shared" si="46"/>
        <v>27360</v>
      </c>
      <c r="O170" s="1158"/>
      <c r="P170" s="1158"/>
      <c r="Q170" s="1158"/>
    </row>
    <row r="171" spans="3:17">
      <c r="C171" s="28" t="str">
        <f t="shared" si="41"/>
        <v/>
      </c>
      <c r="D171" s="11" t="str">
        <f t="shared" si="41"/>
        <v/>
      </c>
      <c r="E171" s="21">
        <f t="shared" si="42"/>
        <v>11.83</v>
      </c>
      <c r="F171" s="21">
        <f t="shared" si="45"/>
        <v>2.9456700000000002</v>
      </c>
      <c r="G171" s="19" t="str">
        <f t="shared" si="43"/>
        <v/>
      </c>
      <c r="H171" s="21" t="str">
        <f t="shared" si="44"/>
        <v/>
      </c>
      <c r="J171" s="1165"/>
      <c r="K171" s="1155"/>
      <c r="L171" s="1169">
        <v>11.83</v>
      </c>
      <c r="M171" s="1154">
        <v>2490</v>
      </c>
      <c r="N171" s="1168">
        <f t="shared" si="46"/>
        <v>29456.7</v>
      </c>
      <c r="O171" s="1158"/>
      <c r="P171" s="1158"/>
      <c r="Q171" s="1158"/>
    </row>
    <row r="172" spans="3:17">
      <c r="C172" s="28">
        <f t="shared" si="41"/>
        <v>8</v>
      </c>
      <c r="D172" s="11" t="str">
        <f t="shared" si="41"/>
        <v>诺安基金管理有限公司</v>
      </c>
      <c r="E172" s="21">
        <f t="shared" si="42"/>
        <v>12.07</v>
      </c>
      <c r="F172" s="21">
        <f t="shared" si="45"/>
        <v>2.34158</v>
      </c>
      <c r="G172" s="19" t="str">
        <f t="shared" si="43"/>
        <v/>
      </c>
      <c r="H172" s="21" t="str">
        <f t="shared" si="44"/>
        <v/>
      </c>
      <c r="J172" s="1165">
        <v>8</v>
      </c>
      <c r="K172" s="1155" t="s">
        <v>147</v>
      </c>
      <c r="L172" s="1169">
        <v>12.07</v>
      </c>
      <c r="M172" s="1154">
        <v>1940</v>
      </c>
      <c r="N172" s="1168">
        <f t="shared" si="46"/>
        <v>23415.8</v>
      </c>
      <c r="O172" s="1158"/>
      <c r="P172" s="1158"/>
      <c r="Q172" s="1158"/>
    </row>
    <row r="173" spans="3:17">
      <c r="C173" s="28" t="str">
        <f t="shared" si="41"/>
        <v/>
      </c>
      <c r="D173" s="11" t="str">
        <f t="shared" si="41"/>
        <v/>
      </c>
      <c r="E173" s="21">
        <f t="shared" si="42"/>
        <v>12.02</v>
      </c>
      <c r="F173" s="21">
        <f t="shared" si="45"/>
        <v>2.5482399999999998</v>
      </c>
      <c r="G173" s="19" t="str">
        <f t="shared" si="43"/>
        <v/>
      </c>
      <c r="H173" s="21" t="str">
        <f t="shared" si="44"/>
        <v/>
      </c>
      <c r="J173" s="1165"/>
      <c r="K173" s="1155"/>
      <c r="L173" s="1169">
        <v>12.02</v>
      </c>
      <c r="M173" s="1154">
        <v>2120</v>
      </c>
      <c r="N173" s="1168">
        <f t="shared" si="46"/>
        <v>25482.399999999998</v>
      </c>
      <c r="O173" s="1158"/>
      <c r="P173" s="1158"/>
      <c r="Q173" s="1158"/>
    </row>
    <row r="174" spans="3:17">
      <c r="C174" s="28">
        <f t="shared" si="41"/>
        <v>9</v>
      </c>
      <c r="D174" s="11" t="str">
        <f t="shared" si="41"/>
        <v>华安未来资产管理（上海）
有限公司</v>
      </c>
      <c r="E174" s="21">
        <f t="shared" si="42"/>
        <v>13</v>
      </c>
      <c r="F174" s="21">
        <f t="shared" si="45"/>
        <v>3.081</v>
      </c>
      <c r="G174" s="19" t="str">
        <f t="shared" si="43"/>
        <v/>
      </c>
      <c r="H174" s="21" t="str">
        <f t="shared" si="44"/>
        <v/>
      </c>
      <c r="J174" s="1154">
        <v>9</v>
      </c>
      <c r="K174" s="1166" t="s">
        <v>593</v>
      </c>
      <c r="L174" s="1169">
        <v>13</v>
      </c>
      <c r="M174" s="1154">
        <v>2370</v>
      </c>
      <c r="N174" s="1168">
        <f t="shared" si="46"/>
        <v>30810</v>
      </c>
      <c r="O174" s="1158"/>
      <c r="P174" s="1158"/>
      <c r="Q174" s="1158"/>
    </row>
    <row r="175" spans="3:17">
      <c r="C175" s="28">
        <f t="shared" si="41"/>
        <v>10</v>
      </c>
      <c r="D175" s="11" t="str">
        <f t="shared" si="41"/>
        <v>中欧盛世资产管理（上海）有限公司</v>
      </c>
      <c r="E175" s="21">
        <f t="shared" si="42"/>
        <v>13.2</v>
      </c>
      <c r="F175" s="21">
        <f t="shared" si="45"/>
        <v>2.1120000000000001</v>
      </c>
      <c r="G175" s="19">
        <f t="shared" si="43"/>
        <v>1600</v>
      </c>
      <c r="H175" s="21">
        <f t="shared" si="44"/>
        <v>2.0720000000000001</v>
      </c>
      <c r="J175" s="1161">
        <v>10</v>
      </c>
      <c r="K175" s="1155" t="s">
        <v>235</v>
      </c>
      <c r="L175" s="1169">
        <v>13.2</v>
      </c>
      <c r="M175" s="1154">
        <v>1600</v>
      </c>
      <c r="N175" s="1168">
        <f t="shared" si="46"/>
        <v>21120</v>
      </c>
      <c r="O175" s="1158"/>
      <c r="P175" s="1158"/>
      <c r="Q175" s="1158"/>
    </row>
    <row r="176" spans="3:17">
      <c r="C176" s="28" t="str">
        <f t="shared" si="41"/>
        <v/>
      </c>
      <c r="D176" s="11" t="str">
        <f t="shared" si="41"/>
        <v/>
      </c>
      <c r="E176" s="21">
        <f t="shared" si="42"/>
        <v>12.03</v>
      </c>
      <c r="F176" s="21">
        <f t="shared" si="45"/>
        <v>2.00901</v>
      </c>
      <c r="G176" s="19" t="str">
        <f t="shared" si="43"/>
        <v/>
      </c>
      <c r="H176" s="21" t="str">
        <f t="shared" si="44"/>
        <v/>
      </c>
      <c r="J176" s="1161"/>
      <c r="K176" s="1155"/>
      <c r="L176" s="1169">
        <v>12.03</v>
      </c>
      <c r="M176" s="1154">
        <v>1670</v>
      </c>
      <c r="N176" s="1168">
        <f t="shared" si="46"/>
        <v>20090.099999999999</v>
      </c>
      <c r="O176" s="1158"/>
      <c r="P176" s="1158"/>
      <c r="Q176" s="1158"/>
    </row>
    <row r="177" spans="1:21">
      <c r="C177" s="28" t="str">
        <f t="shared" si="41"/>
        <v/>
      </c>
      <c r="D177" s="11" t="str">
        <f t="shared" si="41"/>
        <v/>
      </c>
      <c r="E177" s="21">
        <f t="shared" si="42"/>
        <v>11.89</v>
      </c>
      <c r="F177" s="21">
        <f t="shared" si="45"/>
        <v>2.0094100000000004</v>
      </c>
      <c r="G177" s="19" t="str">
        <f t="shared" si="43"/>
        <v/>
      </c>
      <c r="H177" s="21" t="str">
        <f t="shared" si="44"/>
        <v/>
      </c>
      <c r="J177" s="1161"/>
      <c r="K177" s="1155"/>
      <c r="L177" s="1169">
        <v>11.89</v>
      </c>
      <c r="M177" s="1154">
        <v>1690</v>
      </c>
      <c r="N177" s="1168">
        <f t="shared" si="46"/>
        <v>20094.100000000002</v>
      </c>
      <c r="O177" s="1158"/>
      <c r="P177" s="1158"/>
      <c r="Q177" s="1158"/>
    </row>
    <row r="178" spans="1:21">
      <c r="C178" s="28">
        <f t="shared" ref="C178:D181" si="47">IF(J178=0,"",J178)</f>
        <v>11</v>
      </c>
      <c r="D178" s="11" t="str">
        <f t="shared" si="47"/>
        <v>刘建国</v>
      </c>
      <c r="E178" s="21">
        <f t="shared" si="42"/>
        <v>12.95</v>
      </c>
      <c r="F178" s="21">
        <f t="shared" si="45"/>
        <v>2.9784999999999999</v>
      </c>
      <c r="G178" s="19">
        <f t="shared" si="43"/>
        <v>550</v>
      </c>
      <c r="H178" s="21">
        <f t="shared" si="44"/>
        <v>0.71225000000000005</v>
      </c>
      <c r="J178" s="1154">
        <v>11</v>
      </c>
      <c r="K178" s="1168" t="s">
        <v>592</v>
      </c>
      <c r="L178" s="1169">
        <v>12.95</v>
      </c>
      <c r="M178" s="1154">
        <v>2300</v>
      </c>
      <c r="N178" s="1168">
        <f t="shared" si="46"/>
        <v>29785</v>
      </c>
      <c r="O178" s="1158"/>
      <c r="P178" s="1158"/>
      <c r="Q178" s="1158"/>
    </row>
    <row r="179" spans="1:21">
      <c r="C179" s="28">
        <f t="shared" si="47"/>
        <v>12</v>
      </c>
      <c r="D179" s="11" t="str">
        <f t="shared" si="47"/>
        <v>北信瑞丰基金管理有限公司</v>
      </c>
      <c r="E179" s="21">
        <f t="shared" si="42"/>
        <v>13.2</v>
      </c>
      <c r="F179" s="21">
        <f t="shared" si="45"/>
        <v>2.4815999999999998</v>
      </c>
      <c r="G179" s="19">
        <f t="shared" si="43"/>
        <v>1880</v>
      </c>
      <c r="H179" s="21">
        <f t="shared" si="44"/>
        <v>2.4346000000000001</v>
      </c>
      <c r="J179" s="1161">
        <v>12</v>
      </c>
      <c r="K179" s="1162" t="s">
        <v>336</v>
      </c>
      <c r="L179" s="1169">
        <v>13.2</v>
      </c>
      <c r="M179" s="1154">
        <v>1880</v>
      </c>
      <c r="N179" s="1168">
        <f t="shared" si="46"/>
        <v>24816</v>
      </c>
      <c r="O179" s="1158"/>
      <c r="P179" s="1158"/>
      <c r="Q179" s="1158"/>
    </row>
    <row r="180" spans="1:21">
      <c r="C180" s="28" t="str">
        <f t="shared" si="47"/>
        <v/>
      </c>
      <c r="D180" s="11" t="str">
        <f t="shared" si="47"/>
        <v/>
      </c>
      <c r="E180" s="21">
        <f t="shared" si="42"/>
        <v>12.03</v>
      </c>
      <c r="F180" s="21">
        <f t="shared" si="45"/>
        <v>2.7428399999999997</v>
      </c>
      <c r="G180" s="19" t="str">
        <f t="shared" si="43"/>
        <v/>
      </c>
      <c r="H180" s="21" t="str">
        <f t="shared" si="44"/>
        <v/>
      </c>
      <c r="J180" s="1161"/>
      <c r="K180" s="1162"/>
      <c r="L180" s="1169">
        <v>12.03</v>
      </c>
      <c r="M180" s="1154">
        <v>2280</v>
      </c>
      <c r="N180" s="1168">
        <f t="shared" si="46"/>
        <v>27428.399999999998</v>
      </c>
      <c r="O180" s="1158"/>
      <c r="P180" s="1158"/>
      <c r="Q180" s="1158"/>
    </row>
    <row r="181" spans="1:21">
      <c r="C181" s="28" t="str">
        <f t="shared" si="47"/>
        <v/>
      </c>
      <c r="D181" s="11" t="str">
        <f t="shared" si="47"/>
        <v/>
      </c>
      <c r="E181" s="21">
        <f t="shared" si="42"/>
        <v>11.88</v>
      </c>
      <c r="F181" s="21">
        <f t="shared" si="45"/>
        <v>2.7442800000000003</v>
      </c>
      <c r="G181" s="19" t="str">
        <f t="shared" si="43"/>
        <v/>
      </c>
      <c r="H181" s="21" t="str">
        <f t="shared" si="44"/>
        <v/>
      </c>
      <c r="J181" s="1161"/>
      <c r="K181" s="1162"/>
      <c r="L181" s="1169">
        <v>11.88</v>
      </c>
      <c r="M181" s="1154">
        <v>2310</v>
      </c>
      <c r="N181" s="1168">
        <f t="shared" si="46"/>
        <v>27442.800000000003</v>
      </c>
      <c r="O181" s="1158"/>
      <c r="P181" s="1158"/>
      <c r="Q181" s="1158"/>
    </row>
    <row r="183" spans="1:21">
      <c r="A183" s="24">
        <v>9</v>
      </c>
      <c r="B183" s="12" t="s">
        <v>106</v>
      </c>
      <c r="C183" s="12" t="s">
        <v>126</v>
      </c>
      <c r="D183" s="12" t="s">
        <v>107</v>
      </c>
      <c r="E183" s="12" t="s">
        <v>4</v>
      </c>
      <c r="F183" s="13" t="s">
        <v>108</v>
      </c>
      <c r="G183" s="13" t="s">
        <v>109</v>
      </c>
      <c r="H183" s="12" t="s">
        <v>274</v>
      </c>
      <c r="I183" s="12" t="s">
        <v>273</v>
      </c>
      <c r="J183" s="12" t="s">
        <v>116</v>
      </c>
      <c r="K183" s="14" t="s">
        <v>110</v>
      </c>
      <c r="L183" s="14" t="s">
        <v>276</v>
      </c>
      <c r="M183" s="14" t="s">
        <v>117</v>
      </c>
      <c r="N183" s="15" t="s">
        <v>275</v>
      </c>
      <c r="O183" s="12" t="s">
        <v>111</v>
      </c>
      <c r="P183" s="8" t="s">
        <v>12</v>
      </c>
      <c r="Q183" s="8" t="s">
        <v>190</v>
      </c>
      <c r="R183" s="15" t="s">
        <v>129</v>
      </c>
      <c r="S183" s="14" t="s">
        <v>220</v>
      </c>
    </row>
    <row r="184" spans="1:21">
      <c r="B184" s="11">
        <v>29</v>
      </c>
      <c r="C184" s="9" t="s">
        <v>193</v>
      </c>
      <c r="D184" s="1" t="s">
        <v>61</v>
      </c>
      <c r="E184" s="1" t="s">
        <v>60</v>
      </c>
      <c r="F184" s="3">
        <v>3.8955000000000002</v>
      </c>
      <c r="G184" s="3">
        <v>3.8954999524999998</v>
      </c>
      <c r="H184" s="2">
        <v>42426</v>
      </c>
      <c r="I184" s="11" t="s">
        <v>191</v>
      </c>
      <c r="J184" s="11">
        <v>30.98</v>
      </c>
      <c r="K184" s="3">
        <v>22.48</v>
      </c>
      <c r="L184" s="3">
        <f>K184/J184</f>
        <v>0.72562943834732085</v>
      </c>
      <c r="M184" s="3">
        <v>24.05</v>
      </c>
      <c r="N184" s="10">
        <f>M184/J184</f>
        <v>0.77630729502905105</v>
      </c>
      <c r="O184" s="47">
        <v>3</v>
      </c>
      <c r="P184" s="2">
        <v>42831</v>
      </c>
      <c r="Q184" s="10">
        <v>39.549999999999997</v>
      </c>
      <c r="R184" s="18">
        <f>(Q184*(1+T184/10)+U184/10)/M184</f>
        <v>1.6482328482328481</v>
      </c>
      <c r="S184" s="11" t="s">
        <v>257</v>
      </c>
      <c r="T184" s="22">
        <f>IFERROR(RIGHT(LEFT(S184,FIND("股",S184)-1),(FIND("股",S184)-1-FIND("转",S184))),0)</f>
        <v>0</v>
      </c>
      <c r="U184" s="23" t="str">
        <f>IFERROR(RIGHT(LEFT(S184,FIND("元",S184)-1),(FIND("元",S184)-1-FIND("派",S184))),0)</f>
        <v>0.90</v>
      </c>
    </row>
    <row r="186" spans="1:21">
      <c r="C186" s="27" t="s">
        <v>118</v>
      </c>
      <c r="D186" s="16" t="s">
        <v>112</v>
      </c>
      <c r="E186" s="16" t="s">
        <v>113</v>
      </c>
      <c r="F186" s="16" t="s">
        <v>288</v>
      </c>
      <c r="G186" s="17" t="s">
        <v>287</v>
      </c>
      <c r="H186" s="16" t="s">
        <v>289</v>
      </c>
      <c r="J186" s="1171" t="s">
        <v>118</v>
      </c>
      <c r="K186" s="1171" t="s">
        <v>7</v>
      </c>
      <c r="L186" s="1172" t="s">
        <v>356</v>
      </c>
      <c r="M186" s="1172" t="s">
        <v>591</v>
      </c>
      <c r="N186" s="1172" t="s">
        <v>536</v>
      </c>
      <c r="O186" s="1149" t="s">
        <v>322</v>
      </c>
      <c r="P186" s="1173" t="s">
        <v>360</v>
      </c>
      <c r="Q186" s="1158"/>
    </row>
    <row r="187" spans="1:21">
      <c r="C187" s="28">
        <f t="shared" ref="C187:D202" si="48">IF(J187=0,"",J187)</f>
        <v>1</v>
      </c>
      <c r="D187" s="11" t="str">
        <f t="shared" si="48"/>
        <v>深圳尚诚壹品资产管理有限公司</v>
      </c>
      <c r="E187" s="21">
        <f t="shared" ref="E187:E203" si="49">L187</f>
        <v>28.05</v>
      </c>
      <c r="F187" s="21">
        <f>N187/10000</f>
        <v>0.50490000000000002</v>
      </c>
      <c r="G187" s="19">
        <f t="shared" ref="G187:G203" si="50">IFERROR(VLOOKUP(D187,O$187:Q$204,2,FALSE)/10000,"")</f>
        <v>280</v>
      </c>
      <c r="H187" s="21">
        <f t="shared" ref="H187:H203" si="51">IFERROR(G187*$M$184/10000,"")</f>
        <v>0.6734</v>
      </c>
      <c r="J187" s="1174">
        <v>1</v>
      </c>
      <c r="K187" s="1175" t="s">
        <v>527</v>
      </c>
      <c r="L187" s="1176">
        <v>28.05</v>
      </c>
      <c r="M187" s="1177">
        <v>180</v>
      </c>
      <c r="N187" s="1178">
        <f>L187*M187</f>
        <v>5049</v>
      </c>
      <c r="O187" s="1175" t="s">
        <v>527</v>
      </c>
      <c r="P187" s="1178">
        <v>2800000</v>
      </c>
      <c r="Q187" s="1158"/>
    </row>
    <row r="188" spans="1:21">
      <c r="C188" s="28" t="str">
        <f t="shared" si="48"/>
        <v/>
      </c>
      <c r="D188" s="11" t="str">
        <f t="shared" si="48"/>
        <v/>
      </c>
      <c r="E188" s="21">
        <f t="shared" si="49"/>
        <v>25</v>
      </c>
      <c r="F188" s="21">
        <f t="shared" ref="F188:F203" si="52">N188/10000</f>
        <v>0.7</v>
      </c>
      <c r="G188" s="19" t="str">
        <f t="shared" si="50"/>
        <v/>
      </c>
      <c r="H188" s="21" t="str">
        <f t="shared" si="51"/>
        <v/>
      </c>
      <c r="J188" s="1174"/>
      <c r="K188" s="1175"/>
      <c r="L188" s="1176">
        <v>25</v>
      </c>
      <c r="M188" s="1177">
        <v>280</v>
      </c>
      <c r="N188" s="1178">
        <f t="shared" ref="N188:N203" si="53">L188*M188</f>
        <v>7000</v>
      </c>
      <c r="O188" s="1175"/>
      <c r="P188" s="1178"/>
      <c r="Q188" s="1158"/>
    </row>
    <row r="189" spans="1:21">
      <c r="C189" s="28" t="str">
        <f t="shared" si="48"/>
        <v/>
      </c>
      <c r="D189" s="11" t="str">
        <f t="shared" si="48"/>
        <v/>
      </c>
      <c r="E189" s="21">
        <f t="shared" si="49"/>
        <v>22.5</v>
      </c>
      <c r="F189" s="21">
        <f t="shared" si="52"/>
        <v>0.67500000000000004</v>
      </c>
      <c r="G189" s="19" t="str">
        <f t="shared" si="50"/>
        <v/>
      </c>
      <c r="H189" s="21" t="str">
        <f t="shared" si="51"/>
        <v/>
      </c>
      <c r="J189" s="1174"/>
      <c r="K189" s="1175"/>
      <c r="L189" s="1176">
        <v>22.5</v>
      </c>
      <c r="M189" s="1177">
        <v>300</v>
      </c>
      <c r="N189" s="1178">
        <f t="shared" si="53"/>
        <v>6750</v>
      </c>
      <c r="O189" s="1175"/>
      <c r="P189" s="1178"/>
      <c r="Q189" s="1158"/>
    </row>
    <row r="190" spans="1:21">
      <c r="C190" s="28">
        <f t="shared" si="48"/>
        <v>2</v>
      </c>
      <c r="D190" s="11" t="str">
        <f t="shared" si="48"/>
        <v>财通基金管理有限公司</v>
      </c>
      <c r="E190" s="21">
        <f t="shared" si="49"/>
        <v>25</v>
      </c>
      <c r="F190" s="21">
        <f t="shared" si="52"/>
        <v>1.4750000000000001</v>
      </c>
      <c r="G190" s="19">
        <f t="shared" si="50"/>
        <v>1120</v>
      </c>
      <c r="H190" s="21">
        <f t="shared" si="51"/>
        <v>2.6936</v>
      </c>
      <c r="J190" s="1174">
        <v>2</v>
      </c>
      <c r="K190" s="1179" t="s">
        <v>115</v>
      </c>
      <c r="L190" s="1176">
        <v>25</v>
      </c>
      <c r="M190" s="1177">
        <v>590</v>
      </c>
      <c r="N190" s="1178">
        <f t="shared" si="53"/>
        <v>14750</v>
      </c>
      <c r="O190" s="1179" t="s">
        <v>115</v>
      </c>
      <c r="P190" s="1178">
        <v>11200000</v>
      </c>
      <c r="Q190" s="1158"/>
    </row>
    <row r="191" spans="1:21">
      <c r="C191" s="28" t="str">
        <f t="shared" si="48"/>
        <v/>
      </c>
      <c r="D191" s="11" t="str">
        <f t="shared" si="48"/>
        <v/>
      </c>
      <c r="E191" s="21">
        <f t="shared" si="49"/>
        <v>24.05</v>
      </c>
      <c r="F191" s="21">
        <f t="shared" si="52"/>
        <v>2.6936</v>
      </c>
      <c r="G191" s="19" t="str">
        <f t="shared" si="50"/>
        <v/>
      </c>
      <c r="H191" s="21" t="str">
        <f t="shared" si="51"/>
        <v/>
      </c>
      <c r="J191" s="1174"/>
      <c r="K191" s="1179"/>
      <c r="L191" s="1176">
        <v>24.05</v>
      </c>
      <c r="M191" s="1180">
        <v>1120</v>
      </c>
      <c r="N191" s="1178">
        <f t="shared" si="53"/>
        <v>26936</v>
      </c>
      <c r="O191" s="1179"/>
      <c r="P191" s="1178"/>
      <c r="Q191" s="1158"/>
    </row>
    <row r="192" spans="1:21">
      <c r="C192" s="28" t="str">
        <f t="shared" si="48"/>
        <v/>
      </c>
      <c r="D192" s="11" t="str">
        <f t="shared" si="48"/>
        <v/>
      </c>
      <c r="E192" s="21">
        <f t="shared" si="49"/>
        <v>22.65</v>
      </c>
      <c r="F192" s="21">
        <f t="shared" si="52"/>
        <v>2.9218499999999996</v>
      </c>
      <c r="G192" s="19" t="str">
        <f t="shared" si="50"/>
        <v/>
      </c>
      <c r="H192" s="21" t="str">
        <f t="shared" si="51"/>
        <v/>
      </c>
      <c r="J192" s="1174"/>
      <c r="K192" s="1179"/>
      <c r="L192" s="1176">
        <v>22.65</v>
      </c>
      <c r="M192" s="1180">
        <v>1290</v>
      </c>
      <c r="N192" s="1178">
        <f t="shared" si="53"/>
        <v>29218.499999999996</v>
      </c>
      <c r="O192" s="1179"/>
      <c r="P192" s="1178"/>
      <c r="Q192" s="1158"/>
    </row>
    <row r="193" spans="1:21">
      <c r="C193" s="28">
        <f t="shared" si="48"/>
        <v>3</v>
      </c>
      <c r="D193" s="11" t="str">
        <f t="shared" si="48"/>
        <v>申万菱信（上海）资产
管理有限公司</v>
      </c>
      <c r="E193" s="21">
        <f t="shared" si="49"/>
        <v>24.05</v>
      </c>
      <c r="F193" s="21">
        <f t="shared" si="52"/>
        <v>0.52910000000000001</v>
      </c>
      <c r="G193" s="19">
        <f t="shared" si="50"/>
        <v>219.75049999999999</v>
      </c>
      <c r="H193" s="21">
        <f t="shared" si="51"/>
        <v>0.52849995250000004</v>
      </c>
      <c r="J193" s="1181">
        <v>3</v>
      </c>
      <c r="K193" s="1172" t="s">
        <v>590</v>
      </c>
      <c r="L193" s="1176">
        <v>24.05</v>
      </c>
      <c r="M193" s="1177">
        <v>220</v>
      </c>
      <c r="N193" s="1178">
        <f t="shared" si="53"/>
        <v>5291</v>
      </c>
      <c r="O193" s="1172" t="s">
        <v>590</v>
      </c>
      <c r="P193" s="1182">
        <v>2197505</v>
      </c>
      <c r="Q193" s="1158"/>
    </row>
    <row r="194" spans="1:21">
      <c r="C194" s="28">
        <f t="shared" si="48"/>
        <v>4</v>
      </c>
      <c r="D194" s="11" t="str">
        <f t="shared" si="48"/>
        <v>长城证券股份有限公司</v>
      </c>
      <c r="E194" s="21">
        <f t="shared" si="49"/>
        <v>24</v>
      </c>
      <c r="F194" s="21">
        <f t="shared" si="52"/>
        <v>0.432</v>
      </c>
      <c r="G194" s="19" t="str">
        <f t="shared" si="50"/>
        <v/>
      </c>
      <c r="H194" s="21" t="str">
        <f t="shared" si="51"/>
        <v/>
      </c>
      <c r="J194" s="1181">
        <v>4</v>
      </c>
      <c r="K194" s="1183" t="s">
        <v>529</v>
      </c>
      <c r="L194" s="1176">
        <v>24</v>
      </c>
      <c r="M194" s="1177">
        <v>180</v>
      </c>
      <c r="N194" s="1178">
        <f t="shared" si="53"/>
        <v>4320</v>
      </c>
      <c r="O194" s="1183"/>
      <c r="P194" s="1184"/>
      <c r="Q194" s="1158"/>
    </row>
    <row r="195" spans="1:21">
      <c r="C195" s="28">
        <f t="shared" si="48"/>
        <v>5</v>
      </c>
      <c r="D195" s="11" t="str">
        <f t="shared" si="48"/>
        <v>华鑫证券有限责任公司</v>
      </c>
      <c r="E195" s="21">
        <f t="shared" si="49"/>
        <v>23.5</v>
      </c>
      <c r="F195" s="21">
        <f t="shared" si="52"/>
        <v>0.47</v>
      </c>
      <c r="G195" s="19" t="str">
        <f t="shared" si="50"/>
        <v/>
      </c>
      <c r="H195" s="21" t="str">
        <f t="shared" si="51"/>
        <v/>
      </c>
      <c r="J195" s="1181">
        <v>5</v>
      </c>
      <c r="K195" s="1183" t="s">
        <v>505</v>
      </c>
      <c r="L195" s="1176">
        <v>23.5</v>
      </c>
      <c r="M195" s="1177">
        <v>200</v>
      </c>
      <c r="N195" s="1178">
        <f t="shared" si="53"/>
        <v>4700</v>
      </c>
      <c r="O195" s="1183"/>
      <c r="P195" s="1184"/>
      <c r="Q195" s="1158"/>
    </row>
    <row r="196" spans="1:21">
      <c r="C196" s="28">
        <f t="shared" si="48"/>
        <v>6</v>
      </c>
      <c r="D196" s="11" t="str">
        <f t="shared" si="48"/>
        <v>兴证证券资产管理有限
公司</v>
      </c>
      <c r="E196" s="21">
        <f t="shared" si="49"/>
        <v>23.15</v>
      </c>
      <c r="F196" s="21">
        <f t="shared" si="52"/>
        <v>0.41670000000000001</v>
      </c>
      <c r="G196" s="19" t="str">
        <f t="shared" si="50"/>
        <v/>
      </c>
      <c r="H196" s="21" t="str">
        <f t="shared" si="51"/>
        <v/>
      </c>
      <c r="J196" s="1181">
        <v>6</v>
      </c>
      <c r="K196" s="1172" t="s">
        <v>589</v>
      </c>
      <c r="L196" s="1176">
        <v>23.15</v>
      </c>
      <c r="M196" s="1177">
        <v>180</v>
      </c>
      <c r="N196" s="1178">
        <f t="shared" si="53"/>
        <v>4167</v>
      </c>
      <c r="O196" s="1172"/>
      <c r="P196" s="1185"/>
      <c r="Q196" s="1158"/>
    </row>
    <row r="197" spans="1:21">
      <c r="C197" s="28">
        <f t="shared" si="48"/>
        <v>7</v>
      </c>
      <c r="D197" s="11" t="str">
        <f t="shared" si="48"/>
        <v>金鹰基金管理有限公司</v>
      </c>
      <c r="E197" s="21">
        <f t="shared" si="49"/>
        <v>23</v>
      </c>
      <c r="F197" s="21">
        <f t="shared" si="52"/>
        <v>0.41399999999999998</v>
      </c>
      <c r="G197" s="19" t="str">
        <f t="shared" si="50"/>
        <v/>
      </c>
      <c r="H197" s="21" t="str">
        <f t="shared" si="51"/>
        <v/>
      </c>
      <c r="J197" s="1181">
        <v>7</v>
      </c>
      <c r="K197" s="1183" t="s">
        <v>278</v>
      </c>
      <c r="L197" s="1176">
        <v>23</v>
      </c>
      <c r="M197" s="1177">
        <v>180</v>
      </c>
      <c r="N197" s="1178">
        <f t="shared" si="53"/>
        <v>4140</v>
      </c>
      <c r="O197" s="1183"/>
      <c r="P197" s="1184"/>
      <c r="Q197" s="1158"/>
    </row>
    <row r="198" spans="1:21">
      <c r="C198" s="28">
        <f t="shared" si="48"/>
        <v>8</v>
      </c>
      <c r="D198" s="11" t="str">
        <f t="shared" si="48"/>
        <v>诺安基金管理有限公司</v>
      </c>
      <c r="E198" s="21">
        <f t="shared" si="49"/>
        <v>22.85</v>
      </c>
      <c r="F198" s="21">
        <f t="shared" si="52"/>
        <v>0.63980000000000004</v>
      </c>
      <c r="G198" s="19" t="str">
        <f t="shared" si="50"/>
        <v/>
      </c>
      <c r="H198" s="21" t="str">
        <f t="shared" si="51"/>
        <v/>
      </c>
      <c r="J198" s="1181">
        <v>8</v>
      </c>
      <c r="K198" s="1183" t="s">
        <v>147</v>
      </c>
      <c r="L198" s="1176">
        <v>22.85</v>
      </c>
      <c r="M198" s="1177">
        <v>280</v>
      </c>
      <c r="N198" s="1178">
        <f t="shared" si="53"/>
        <v>6398</v>
      </c>
      <c r="O198" s="1183"/>
      <c r="P198" s="1184"/>
      <c r="Q198" s="1158"/>
    </row>
    <row r="199" spans="1:21">
      <c r="C199" s="28">
        <f t="shared" si="48"/>
        <v>9</v>
      </c>
      <c r="D199" s="11" t="str">
        <f t="shared" si="48"/>
        <v>民生通惠资产管理有限
公司</v>
      </c>
      <c r="E199" s="21">
        <f t="shared" si="49"/>
        <v>22.55</v>
      </c>
      <c r="F199" s="21">
        <f t="shared" si="52"/>
        <v>0.40589999999999998</v>
      </c>
      <c r="G199" s="19" t="str">
        <f t="shared" si="50"/>
        <v/>
      </c>
      <c r="H199" s="21" t="str">
        <f t="shared" si="51"/>
        <v/>
      </c>
      <c r="J199" s="1181">
        <v>9</v>
      </c>
      <c r="K199" s="1172" t="s">
        <v>588</v>
      </c>
      <c r="L199" s="1176">
        <v>22.55</v>
      </c>
      <c r="M199" s="1177">
        <v>180</v>
      </c>
      <c r="N199" s="1178">
        <f t="shared" si="53"/>
        <v>4059</v>
      </c>
      <c r="O199" s="1172"/>
      <c r="P199" s="1185"/>
      <c r="Q199" s="1158"/>
    </row>
    <row r="200" spans="1:21">
      <c r="C200" s="28">
        <f t="shared" si="48"/>
        <v>10</v>
      </c>
      <c r="D200" s="11" t="str">
        <f t="shared" si="48"/>
        <v>东源（天津）股权投资
基金管理股份有限公司</v>
      </c>
      <c r="E200" s="21">
        <f t="shared" si="49"/>
        <v>22.5</v>
      </c>
      <c r="F200" s="21">
        <f t="shared" si="52"/>
        <v>0.40500000000000003</v>
      </c>
      <c r="G200" s="19" t="str">
        <f t="shared" si="50"/>
        <v/>
      </c>
      <c r="H200" s="21" t="str">
        <f t="shared" si="51"/>
        <v/>
      </c>
      <c r="J200" s="1181">
        <v>10</v>
      </c>
      <c r="K200" s="1172" t="s">
        <v>587</v>
      </c>
      <c r="L200" s="1176">
        <v>22.5</v>
      </c>
      <c r="M200" s="1177">
        <v>180</v>
      </c>
      <c r="N200" s="1178">
        <f>L200*M200</f>
        <v>4050</v>
      </c>
      <c r="O200" s="1172"/>
      <c r="P200" s="1185"/>
      <c r="Q200" s="1158"/>
    </row>
    <row r="201" spans="1:21">
      <c r="C201" s="28">
        <f t="shared" si="48"/>
        <v>11</v>
      </c>
      <c r="D201" s="11" t="str">
        <f t="shared" si="48"/>
        <v>东海基金管理有限责任
公司</v>
      </c>
      <c r="E201" s="21">
        <f t="shared" si="49"/>
        <v>22.5</v>
      </c>
      <c r="F201" s="21">
        <f t="shared" si="52"/>
        <v>0.58499999999999996</v>
      </c>
      <c r="G201" s="19" t="str">
        <f t="shared" si="50"/>
        <v/>
      </c>
      <c r="H201" s="21" t="str">
        <f t="shared" si="51"/>
        <v/>
      </c>
      <c r="J201" s="1181">
        <v>11</v>
      </c>
      <c r="K201" s="1159" t="s">
        <v>586</v>
      </c>
      <c r="L201" s="1186">
        <v>22.5</v>
      </c>
      <c r="M201" s="1177">
        <v>260</v>
      </c>
      <c r="N201" s="1178">
        <f t="shared" si="53"/>
        <v>5850</v>
      </c>
      <c r="O201" s="1158"/>
      <c r="P201" s="1158"/>
      <c r="Q201" s="1158"/>
    </row>
    <row r="202" spans="1:21">
      <c r="C202" s="28">
        <f t="shared" si="48"/>
        <v>12</v>
      </c>
      <c r="D202" s="11" t="str">
        <f t="shared" si="48"/>
        <v>海通证券股份有限公司</v>
      </c>
      <c r="E202" s="21">
        <f t="shared" si="49"/>
        <v>22.48</v>
      </c>
      <c r="F202" s="21">
        <f t="shared" si="52"/>
        <v>0.40464</v>
      </c>
      <c r="G202" s="19" t="str">
        <f t="shared" si="50"/>
        <v/>
      </c>
      <c r="H202" s="21" t="str">
        <f t="shared" si="51"/>
        <v/>
      </c>
      <c r="J202" s="1181">
        <v>12</v>
      </c>
      <c r="K202" s="1183" t="s">
        <v>8</v>
      </c>
      <c r="L202" s="1186">
        <v>22.48</v>
      </c>
      <c r="M202" s="1177">
        <v>180</v>
      </c>
      <c r="N202" s="1178">
        <f t="shared" si="53"/>
        <v>4046.4</v>
      </c>
      <c r="O202" s="1158"/>
      <c r="P202" s="1158"/>
      <c r="Q202" s="1158"/>
    </row>
    <row r="203" spans="1:21">
      <c r="C203" s="28">
        <f t="shared" ref="C203:D203" si="54">IF(J203=0,"",J203)</f>
        <v>13</v>
      </c>
      <c r="D203" s="11" t="str">
        <f t="shared" si="54"/>
        <v>招商财富资产管理有限
公司</v>
      </c>
      <c r="E203" s="21">
        <f t="shared" si="49"/>
        <v>22.48</v>
      </c>
      <c r="F203" s="21">
        <f t="shared" si="52"/>
        <v>0.40464</v>
      </c>
      <c r="G203" s="19" t="str">
        <f t="shared" si="50"/>
        <v/>
      </c>
      <c r="H203" s="21" t="str">
        <f t="shared" si="51"/>
        <v/>
      </c>
      <c r="J203" s="1181">
        <v>13</v>
      </c>
      <c r="K203" s="1159" t="s">
        <v>585</v>
      </c>
      <c r="L203" s="1186">
        <v>22.48</v>
      </c>
      <c r="M203" s="1177">
        <v>180</v>
      </c>
      <c r="N203" s="1178">
        <f t="shared" si="53"/>
        <v>4046.4</v>
      </c>
      <c r="O203" s="1158"/>
      <c r="P203" s="1158"/>
      <c r="Q203" s="1158"/>
    </row>
    <row r="204" spans="1:21">
      <c r="J204" s="120"/>
      <c r="K204" s="120"/>
      <c r="L204" s="119"/>
      <c r="M204" s="119"/>
    </row>
    <row r="205" spans="1:21">
      <c r="A205" s="24">
        <v>10</v>
      </c>
      <c r="B205" s="12" t="s">
        <v>106</v>
      </c>
      <c r="C205" s="12" t="s">
        <v>126</v>
      </c>
      <c r="D205" s="12" t="s">
        <v>107</v>
      </c>
      <c r="E205" s="12" t="s">
        <v>4</v>
      </c>
      <c r="F205" s="13" t="s">
        <v>108</v>
      </c>
      <c r="G205" s="13" t="s">
        <v>109</v>
      </c>
      <c r="H205" s="12" t="s">
        <v>274</v>
      </c>
      <c r="I205" s="12" t="s">
        <v>273</v>
      </c>
      <c r="J205" s="12" t="s">
        <v>116</v>
      </c>
      <c r="K205" s="14" t="s">
        <v>110</v>
      </c>
      <c r="L205" s="14" t="s">
        <v>276</v>
      </c>
      <c r="M205" s="14" t="s">
        <v>117</v>
      </c>
      <c r="N205" s="15" t="s">
        <v>275</v>
      </c>
      <c r="O205" s="12" t="s">
        <v>111</v>
      </c>
      <c r="P205" s="8" t="s">
        <v>12</v>
      </c>
      <c r="Q205" s="8" t="s">
        <v>190</v>
      </c>
      <c r="R205" s="15" t="s">
        <v>129</v>
      </c>
      <c r="S205" s="14" t="s">
        <v>220</v>
      </c>
    </row>
    <row r="206" spans="1:21">
      <c r="B206" s="11">
        <v>30</v>
      </c>
      <c r="C206" s="9" t="s">
        <v>194</v>
      </c>
      <c r="D206" s="1" t="s">
        <v>23</v>
      </c>
      <c r="E206" s="1" t="s">
        <v>22</v>
      </c>
      <c r="F206" s="3">
        <v>10.112242999999999</v>
      </c>
      <c r="G206" s="3">
        <v>10.112242978899999</v>
      </c>
      <c r="H206" s="2">
        <v>42444</v>
      </c>
      <c r="I206" s="2" t="s">
        <v>151</v>
      </c>
      <c r="J206" s="11">
        <v>14.56</v>
      </c>
      <c r="K206" s="3">
        <v>11.61</v>
      </c>
      <c r="L206" s="3">
        <f>K206/J206</f>
        <v>0.79739010989010983</v>
      </c>
      <c r="M206" s="3">
        <v>13.21</v>
      </c>
      <c r="N206" s="10">
        <f>M206/J206</f>
        <v>0.90728021978021978</v>
      </c>
      <c r="O206" s="47">
        <v>5</v>
      </c>
      <c r="P206" s="2">
        <v>42832</v>
      </c>
      <c r="Q206" s="10">
        <v>13.01</v>
      </c>
      <c r="R206" s="18">
        <f>(Q206*(1+T206/10)+U206/10)/M206</f>
        <v>0.9931869795609386</v>
      </c>
      <c r="S206" s="11" t="s">
        <v>258</v>
      </c>
      <c r="T206" s="22">
        <f>IFERROR(RIGHT(LEFT(S206,FIND("股",S206)-1),(FIND("股",S206)-1-FIND("转",S206))),0)</f>
        <v>0</v>
      </c>
      <c r="U206" s="23" t="str">
        <f>IFERROR(RIGHT(LEFT(S206,FIND("元",S206)-1),(FIND("元",S206)-1-FIND("派",S206))),0)</f>
        <v>1.1</v>
      </c>
    </row>
    <row r="207" spans="1:21">
      <c r="J207" s="119"/>
      <c r="K207" s="119"/>
      <c r="L207" s="119"/>
      <c r="M207" s="119"/>
    </row>
    <row r="208" spans="1:21" ht="20" customHeight="1">
      <c r="C208" s="27" t="s">
        <v>118</v>
      </c>
      <c r="D208" s="16" t="s">
        <v>112</v>
      </c>
      <c r="E208" s="16" t="s">
        <v>113</v>
      </c>
      <c r="F208" s="16" t="s">
        <v>288</v>
      </c>
      <c r="G208" s="17" t="s">
        <v>287</v>
      </c>
      <c r="H208" s="16" t="s">
        <v>289</v>
      </c>
      <c r="J208" s="1149" t="s">
        <v>298</v>
      </c>
      <c r="K208" s="1149" t="s">
        <v>306</v>
      </c>
      <c r="L208" s="1159" t="s">
        <v>341</v>
      </c>
      <c r="M208" s="1159" t="s">
        <v>308</v>
      </c>
      <c r="N208" s="1152"/>
      <c r="O208" s="1149" t="s">
        <v>322</v>
      </c>
      <c r="P208" s="1173" t="s">
        <v>360</v>
      </c>
      <c r="Q208" s="1158"/>
      <c r="R208" s="1158"/>
    </row>
    <row r="209" spans="3:18" ht="17" customHeight="1">
      <c r="C209" s="28">
        <f t="shared" ref="C209:D224" si="55">IF(J209=0,"",J209)</f>
        <v>1</v>
      </c>
      <c r="D209" s="11" t="str">
        <f t="shared" si="55"/>
        <v>中车金证投资有限公司</v>
      </c>
      <c r="E209" s="21">
        <f t="shared" ref="E209:E233" si="56">L209</f>
        <v>12.77</v>
      </c>
      <c r="F209" s="21">
        <f t="shared" ref="F209:F233" si="57">M209/10000</f>
        <v>1.1008</v>
      </c>
      <c r="G209" s="19" t="str">
        <f t="shared" ref="G209:G233" si="58">IFERROR(VLOOKUP(D209,O$209:Q$218,2,FALSE)/10000,"")</f>
        <v/>
      </c>
      <c r="H209" s="21" t="str">
        <f t="shared" ref="H209:H233" si="59">IFERROR(G209*$M$206/10000,"")</f>
        <v/>
      </c>
      <c r="J209" s="1154">
        <v>1</v>
      </c>
      <c r="K209" s="1168" t="s">
        <v>584</v>
      </c>
      <c r="L209" s="1187">
        <v>12.77</v>
      </c>
      <c r="M209" s="1188">
        <v>11008</v>
      </c>
      <c r="N209" s="1158"/>
      <c r="O209" s="1150" t="s">
        <v>368</v>
      </c>
      <c r="P209" s="1151" t="s">
        <v>583</v>
      </c>
      <c r="Q209" s="1158"/>
      <c r="R209" s="1158"/>
    </row>
    <row r="210" spans="3:18" ht="15" customHeight="1">
      <c r="C210" s="28">
        <f t="shared" si="55"/>
        <v>2</v>
      </c>
      <c r="D210" s="11" t="str">
        <f t="shared" si="55"/>
        <v>博时资本管理有限公司</v>
      </c>
      <c r="E210" s="21">
        <f t="shared" si="56"/>
        <v>13</v>
      </c>
      <c r="F210" s="21">
        <f t="shared" si="57"/>
        <v>1.1999</v>
      </c>
      <c r="G210" s="19" t="str">
        <f t="shared" si="58"/>
        <v/>
      </c>
      <c r="H210" s="21" t="str">
        <f t="shared" si="59"/>
        <v/>
      </c>
      <c r="J210" s="1161">
        <v>2</v>
      </c>
      <c r="K210" s="1189" t="s">
        <v>315</v>
      </c>
      <c r="L210" s="1154">
        <v>13</v>
      </c>
      <c r="M210" s="1188">
        <v>11999</v>
      </c>
      <c r="N210" s="1158"/>
      <c r="O210" s="1155" t="s">
        <v>384</v>
      </c>
      <c r="P210" s="1190">
        <v>8328841</v>
      </c>
      <c r="Q210" s="1158"/>
      <c r="R210" s="1158"/>
    </row>
    <row r="211" spans="3:18" ht="15" customHeight="1">
      <c r="C211" s="28" t="str">
        <f t="shared" si="55"/>
        <v/>
      </c>
      <c r="D211" s="11" t="str">
        <f t="shared" si="55"/>
        <v>无效报价</v>
      </c>
      <c r="E211" s="21">
        <f t="shared" si="56"/>
        <v>12</v>
      </c>
      <c r="F211" s="21">
        <f t="shared" si="57"/>
        <v>1.2</v>
      </c>
      <c r="G211" s="19" t="str">
        <f t="shared" si="58"/>
        <v/>
      </c>
      <c r="H211" s="21" t="str">
        <f t="shared" si="59"/>
        <v/>
      </c>
      <c r="J211" s="1161"/>
      <c r="K211" s="1189" t="s">
        <v>582</v>
      </c>
      <c r="L211" s="1154">
        <v>12</v>
      </c>
      <c r="M211" s="1188">
        <v>12000</v>
      </c>
      <c r="N211" s="1158"/>
      <c r="O211" s="1155" t="s">
        <v>134</v>
      </c>
      <c r="P211" s="1190">
        <v>9081665</v>
      </c>
      <c r="Q211" s="1158"/>
      <c r="R211" s="1158"/>
    </row>
    <row r="212" spans="3:18" ht="15" customHeight="1">
      <c r="C212" s="28" t="str">
        <f t="shared" si="55"/>
        <v/>
      </c>
      <c r="D212" s="11" t="str">
        <f t="shared" si="55"/>
        <v/>
      </c>
      <c r="E212" s="21">
        <f t="shared" si="56"/>
        <v>11.61</v>
      </c>
      <c r="F212" s="21">
        <f t="shared" si="57"/>
        <v>1.1993</v>
      </c>
      <c r="G212" s="19" t="str">
        <f t="shared" si="58"/>
        <v/>
      </c>
      <c r="H212" s="21" t="str">
        <f t="shared" si="59"/>
        <v/>
      </c>
      <c r="J212" s="1161"/>
      <c r="K212" s="1189"/>
      <c r="L212" s="1187">
        <v>11.61</v>
      </c>
      <c r="M212" s="1188">
        <v>11993</v>
      </c>
      <c r="N212" s="1158"/>
      <c r="O212" s="1155" t="s">
        <v>146</v>
      </c>
      <c r="P212" s="1190">
        <v>8335087</v>
      </c>
      <c r="Q212" s="1158"/>
      <c r="R212" s="1158"/>
    </row>
    <row r="213" spans="3:18" ht="15" customHeight="1">
      <c r="C213" s="28">
        <f t="shared" si="55"/>
        <v>3</v>
      </c>
      <c r="D213" s="11" t="str">
        <f t="shared" si="55"/>
        <v>华安基金管理有限公司</v>
      </c>
      <c r="E213" s="21">
        <f t="shared" si="56"/>
        <v>12.6</v>
      </c>
      <c r="F213" s="21">
        <f t="shared" si="57"/>
        <v>1.4074</v>
      </c>
      <c r="G213" s="19" t="str">
        <f t="shared" si="58"/>
        <v/>
      </c>
      <c r="H213" s="21" t="str">
        <f t="shared" si="59"/>
        <v/>
      </c>
      <c r="J213" s="1165">
        <v>3</v>
      </c>
      <c r="K213" s="1155" t="s">
        <v>136</v>
      </c>
      <c r="L213" s="1191">
        <v>12.6</v>
      </c>
      <c r="M213" s="1188">
        <v>14074</v>
      </c>
      <c r="N213" s="1158"/>
      <c r="O213" s="1155" t="s">
        <v>278</v>
      </c>
      <c r="P213" s="1190">
        <v>46279712</v>
      </c>
      <c r="Q213" s="1158"/>
      <c r="R213" s="1158"/>
    </row>
    <row r="214" spans="3:18" ht="15" customHeight="1">
      <c r="C214" s="28" t="str">
        <f t="shared" si="55"/>
        <v/>
      </c>
      <c r="D214" s="11" t="str">
        <f t="shared" si="55"/>
        <v/>
      </c>
      <c r="E214" s="21">
        <f t="shared" si="56"/>
        <v>12.02</v>
      </c>
      <c r="F214" s="21">
        <f t="shared" si="57"/>
        <v>1.6071</v>
      </c>
      <c r="G214" s="19" t="str">
        <f t="shared" si="58"/>
        <v/>
      </c>
      <c r="H214" s="21" t="str">
        <f t="shared" si="59"/>
        <v/>
      </c>
      <c r="J214" s="1165"/>
      <c r="K214" s="1155"/>
      <c r="L214" s="1187">
        <v>12.02</v>
      </c>
      <c r="M214" s="1188">
        <v>16071</v>
      </c>
      <c r="N214" s="1158"/>
      <c r="O214" s="1155" t="s">
        <v>371</v>
      </c>
      <c r="P214" s="1190">
        <v>4524604</v>
      </c>
      <c r="Q214" s="1158"/>
      <c r="R214" s="1158"/>
    </row>
    <row r="215" spans="3:18">
      <c r="C215" s="28">
        <f t="shared" si="55"/>
        <v>4</v>
      </c>
      <c r="D215" s="11" t="str">
        <f t="shared" si="55"/>
        <v>长城证券股份有限公司</v>
      </c>
      <c r="E215" s="21">
        <f t="shared" si="56"/>
        <v>11.61</v>
      </c>
      <c r="F215" s="21">
        <f t="shared" si="57"/>
        <v>1.1006</v>
      </c>
      <c r="G215" s="19" t="str">
        <f t="shared" si="58"/>
        <v/>
      </c>
      <c r="H215" s="21" t="str">
        <f t="shared" si="59"/>
        <v/>
      </c>
      <c r="J215" s="1154">
        <v>4</v>
      </c>
      <c r="K215" s="1168" t="s">
        <v>529</v>
      </c>
      <c r="L215" s="1187">
        <v>11.61</v>
      </c>
      <c r="M215" s="1188">
        <v>11006</v>
      </c>
      <c r="N215" s="1192"/>
      <c r="O215" s="1158"/>
      <c r="P215" s="1158"/>
      <c r="Q215" s="1158"/>
      <c r="R215" s="1158"/>
    </row>
    <row r="216" spans="3:18">
      <c r="C216" s="28">
        <f t="shared" si="55"/>
        <v>5</v>
      </c>
      <c r="D216" s="11" t="str">
        <f t="shared" si="55"/>
        <v>兴证证券资产管理有限公司</v>
      </c>
      <c r="E216" s="21">
        <f t="shared" si="56"/>
        <v>12</v>
      </c>
      <c r="F216" s="21">
        <f t="shared" si="57"/>
        <v>1.1279999999999999</v>
      </c>
      <c r="G216" s="19" t="str">
        <f t="shared" si="58"/>
        <v/>
      </c>
      <c r="H216" s="21" t="str">
        <f t="shared" si="59"/>
        <v/>
      </c>
      <c r="J216" s="1154">
        <v>5</v>
      </c>
      <c r="K216" s="1168" t="s">
        <v>150</v>
      </c>
      <c r="L216" s="1154">
        <v>12</v>
      </c>
      <c r="M216" s="1188">
        <v>11280</v>
      </c>
      <c r="N216" s="1192"/>
      <c r="O216" s="1158"/>
      <c r="P216" s="1158"/>
      <c r="Q216" s="1158"/>
      <c r="R216" s="1158"/>
    </row>
    <row r="217" spans="3:18">
      <c r="C217" s="28">
        <f t="shared" si="55"/>
        <v>6</v>
      </c>
      <c r="D217" s="11" t="str">
        <f t="shared" si="55"/>
        <v>创金合信基金管理有限公司</v>
      </c>
      <c r="E217" s="21">
        <f t="shared" si="56"/>
        <v>13.51</v>
      </c>
      <c r="F217" s="21">
        <f t="shared" si="57"/>
        <v>1.1997</v>
      </c>
      <c r="G217" s="19">
        <f t="shared" si="58"/>
        <v>908.16650000000004</v>
      </c>
      <c r="H217" s="21">
        <f t="shared" si="59"/>
        <v>1.1996879465000001</v>
      </c>
      <c r="J217" s="1154">
        <v>6</v>
      </c>
      <c r="K217" s="1168" t="s">
        <v>134</v>
      </c>
      <c r="L217" s="1187">
        <v>13.51</v>
      </c>
      <c r="M217" s="1188">
        <v>11997</v>
      </c>
      <c r="N217" s="1192"/>
      <c r="O217" s="1158"/>
      <c r="P217" s="1158"/>
      <c r="Q217" s="1158"/>
      <c r="R217" s="1158"/>
    </row>
    <row r="218" spans="3:18">
      <c r="C218" s="28">
        <f t="shared" si="55"/>
        <v>7</v>
      </c>
      <c r="D218" s="11" t="str">
        <f t="shared" si="55"/>
        <v>平安大华基金管理有限公司</v>
      </c>
      <c r="E218" s="21">
        <f t="shared" si="56"/>
        <v>13.51</v>
      </c>
      <c r="F218" s="21">
        <f t="shared" si="57"/>
        <v>1.1011</v>
      </c>
      <c r="G218" s="19">
        <f t="shared" si="58"/>
        <v>833.50869999999998</v>
      </c>
      <c r="H218" s="21">
        <f t="shared" si="59"/>
        <v>1.1010649927</v>
      </c>
      <c r="J218" s="1154">
        <v>7</v>
      </c>
      <c r="K218" s="1168" t="s">
        <v>146</v>
      </c>
      <c r="L218" s="1187">
        <v>13.51</v>
      </c>
      <c r="M218" s="1188">
        <v>11011</v>
      </c>
      <c r="N218" s="1158"/>
      <c r="O218" s="1158"/>
      <c r="P218" s="1158"/>
      <c r="Q218" s="1158"/>
      <c r="R218" s="1158"/>
    </row>
    <row r="219" spans="3:18">
      <c r="C219" s="28">
        <f t="shared" si="55"/>
        <v>8</v>
      </c>
      <c r="D219" s="11" t="str">
        <f t="shared" si="55"/>
        <v>申万菱信基金管理有限公司</v>
      </c>
      <c r="E219" s="21">
        <f t="shared" si="56"/>
        <v>12.77</v>
      </c>
      <c r="F219" s="21">
        <f t="shared" si="57"/>
        <v>1.1008</v>
      </c>
      <c r="G219" s="19" t="str">
        <f t="shared" si="58"/>
        <v/>
      </c>
      <c r="H219" s="21" t="str">
        <f t="shared" si="59"/>
        <v/>
      </c>
      <c r="J219" s="1165">
        <v>8</v>
      </c>
      <c r="K219" s="1155" t="s">
        <v>121</v>
      </c>
      <c r="L219" s="1187">
        <v>12.77</v>
      </c>
      <c r="M219" s="1188">
        <v>11008</v>
      </c>
      <c r="N219" s="1158"/>
      <c r="O219" s="1158"/>
      <c r="P219" s="1158"/>
      <c r="Q219" s="1158"/>
      <c r="R219" s="1158"/>
    </row>
    <row r="220" spans="3:18">
      <c r="C220" s="28" t="str">
        <f t="shared" si="55"/>
        <v/>
      </c>
      <c r="D220" s="11" t="str">
        <f t="shared" si="55"/>
        <v/>
      </c>
      <c r="E220" s="21">
        <f t="shared" si="56"/>
        <v>12.03</v>
      </c>
      <c r="F220" s="21">
        <f t="shared" si="57"/>
        <v>1.4015</v>
      </c>
      <c r="G220" s="19" t="str">
        <f t="shared" si="58"/>
        <v/>
      </c>
      <c r="H220" s="21" t="str">
        <f t="shared" si="59"/>
        <v/>
      </c>
      <c r="J220" s="1165"/>
      <c r="K220" s="1155"/>
      <c r="L220" s="1187">
        <v>12.03</v>
      </c>
      <c r="M220" s="1188">
        <v>14015</v>
      </c>
      <c r="N220" s="1158"/>
      <c r="O220" s="1158"/>
      <c r="P220" s="1158"/>
      <c r="Q220" s="1158"/>
      <c r="R220" s="1158"/>
    </row>
    <row r="221" spans="3:18">
      <c r="C221" s="28">
        <f t="shared" si="55"/>
        <v>9</v>
      </c>
      <c r="D221" s="11" t="str">
        <f t="shared" si="55"/>
        <v>安信基金管理有限责任公司</v>
      </c>
      <c r="E221" s="21">
        <f t="shared" si="56"/>
        <v>13.21</v>
      </c>
      <c r="F221" s="21">
        <f t="shared" si="57"/>
        <v>1.1968000000000001</v>
      </c>
      <c r="G221" s="19">
        <f t="shared" si="58"/>
        <v>452.46039999999999</v>
      </c>
      <c r="H221" s="21">
        <f t="shared" si="59"/>
        <v>0.59770018840000005</v>
      </c>
      <c r="J221" s="1165">
        <v>9</v>
      </c>
      <c r="K221" s="1155" t="s">
        <v>371</v>
      </c>
      <c r="L221" s="1187">
        <v>13.21</v>
      </c>
      <c r="M221" s="1188">
        <v>11968</v>
      </c>
      <c r="N221" s="1158"/>
      <c r="O221" s="1158"/>
      <c r="P221" s="1158"/>
      <c r="Q221" s="1158"/>
      <c r="R221" s="1158"/>
    </row>
    <row r="222" spans="3:18">
      <c r="C222" s="28" t="str">
        <f t="shared" si="55"/>
        <v/>
      </c>
      <c r="D222" s="11" t="str">
        <f t="shared" si="55"/>
        <v/>
      </c>
      <c r="E222" s="21">
        <f t="shared" si="56"/>
        <v>12.69</v>
      </c>
      <c r="F222" s="21">
        <f t="shared" si="57"/>
        <v>2.387</v>
      </c>
      <c r="G222" s="19" t="str">
        <f t="shared" si="58"/>
        <v/>
      </c>
      <c r="H222" s="21" t="str">
        <f t="shared" si="59"/>
        <v/>
      </c>
      <c r="J222" s="1165"/>
      <c r="K222" s="1155"/>
      <c r="L222" s="1187">
        <v>12.69</v>
      </c>
      <c r="M222" s="1188">
        <v>23870</v>
      </c>
      <c r="N222" s="1158"/>
      <c r="O222" s="1158"/>
      <c r="P222" s="1158"/>
      <c r="Q222" s="1158"/>
      <c r="R222" s="1158"/>
    </row>
    <row r="223" spans="3:18">
      <c r="C223" s="28">
        <f t="shared" si="55"/>
        <v>10</v>
      </c>
      <c r="D223" s="11" t="str">
        <f t="shared" si="55"/>
        <v>财通基金管理有限公司</v>
      </c>
      <c r="E223" s="21">
        <f t="shared" si="56"/>
        <v>12.77</v>
      </c>
      <c r="F223" s="21">
        <f t="shared" si="57"/>
        <v>2.4378000000000002</v>
      </c>
      <c r="G223" s="19" t="str">
        <f t="shared" si="58"/>
        <v/>
      </c>
      <c r="H223" s="21" t="str">
        <f t="shared" si="59"/>
        <v/>
      </c>
      <c r="J223" s="1161">
        <v>10</v>
      </c>
      <c r="K223" s="1189" t="s">
        <v>115</v>
      </c>
      <c r="L223" s="1187">
        <v>12.77</v>
      </c>
      <c r="M223" s="1188">
        <v>24378</v>
      </c>
      <c r="N223" s="1158"/>
      <c r="O223" s="1158"/>
      <c r="P223" s="1158"/>
      <c r="Q223" s="1158"/>
      <c r="R223" s="1158"/>
    </row>
    <row r="224" spans="3:18">
      <c r="C224" s="28" t="str">
        <f t="shared" si="55"/>
        <v/>
      </c>
      <c r="D224" s="11" t="str">
        <f t="shared" si="55"/>
        <v/>
      </c>
      <c r="E224" s="21">
        <f t="shared" si="56"/>
        <v>12.05</v>
      </c>
      <c r="F224" s="21">
        <f t="shared" si="57"/>
        <v>6.7130999999999998</v>
      </c>
      <c r="G224" s="19" t="str">
        <f t="shared" si="58"/>
        <v/>
      </c>
      <c r="H224" s="21" t="str">
        <f t="shared" si="59"/>
        <v/>
      </c>
      <c r="J224" s="1161"/>
      <c r="K224" s="1189"/>
      <c r="L224" s="1187">
        <v>12.05</v>
      </c>
      <c r="M224" s="1188">
        <v>67131</v>
      </c>
      <c r="N224" s="1158"/>
      <c r="O224" s="1158"/>
      <c r="P224" s="1158"/>
      <c r="Q224" s="1158"/>
      <c r="R224" s="1158"/>
    </row>
    <row r="225" spans="3:18">
      <c r="C225" s="28" t="str">
        <f t="shared" ref="C225:D233" si="60">IF(J225=0,"",J225)</f>
        <v/>
      </c>
      <c r="D225" s="11" t="str">
        <f t="shared" si="60"/>
        <v/>
      </c>
      <c r="E225" s="21">
        <f t="shared" si="56"/>
        <v>11.65</v>
      </c>
      <c r="F225" s="21">
        <f t="shared" si="57"/>
        <v>7.2858999999999998</v>
      </c>
      <c r="G225" s="19" t="str">
        <f t="shared" si="58"/>
        <v/>
      </c>
      <c r="H225" s="21" t="str">
        <f t="shared" si="59"/>
        <v/>
      </c>
      <c r="J225" s="1161"/>
      <c r="K225" s="1189"/>
      <c r="L225" s="1187">
        <v>11.65</v>
      </c>
      <c r="M225" s="1188">
        <v>72859</v>
      </c>
      <c r="N225" s="1158"/>
      <c r="O225" s="1158"/>
      <c r="P225" s="1158"/>
      <c r="Q225" s="1158"/>
      <c r="R225" s="1158"/>
    </row>
    <row r="226" spans="3:18">
      <c r="C226" s="28">
        <f t="shared" si="60"/>
        <v>11</v>
      </c>
      <c r="D226" s="11" t="str">
        <f t="shared" si="60"/>
        <v>东海基金管理有限公司</v>
      </c>
      <c r="E226" s="21">
        <f t="shared" si="56"/>
        <v>12.1</v>
      </c>
      <c r="F226" s="21">
        <f t="shared" si="57"/>
        <v>2.2010000000000001</v>
      </c>
      <c r="G226" s="19" t="str">
        <f t="shared" si="58"/>
        <v/>
      </c>
      <c r="H226" s="21" t="str">
        <f t="shared" si="59"/>
        <v/>
      </c>
      <c r="J226" s="1154">
        <v>11</v>
      </c>
      <c r="K226" s="1168" t="s">
        <v>526</v>
      </c>
      <c r="L226" s="1191">
        <v>12.1</v>
      </c>
      <c r="M226" s="1188">
        <v>22010</v>
      </c>
      <c r="N226" s="1158"/>
      <c r="O226" s="1158"/>
      <c r="P226" s="1158"/>
      <c r="Q226" s="1158"/>
      <c r="R226" s="1158"/>
    </row>
    <row r="227" spans="3:18">
      <c r="C227" s="28">
        <f t="shared" si="60"/>
        <v>12</v>
      </c>
      <c r="D227" s="11" t="str">
        <f t="shared" si="60"/>
        <v>东莞证券股份有限公司</v>
      </c>
      <c r="E227" s="21">
        <f t="shared" si="56"/>
        <v>13.6</v>
      </c>
      <c r="F227" s="21">
        <f t="shared" si="57"/>
        <v>1.1002000000000001</v>
      </c>
      <c r="G227" s="19">
        <f t="shared" si="58"/>
        <v>832.88409999999999</v>
      </c>
      <c r="H227" s="21">
        <f t="shared" si="59"/>
        <v>1.1002398961000002</v>
      </c>
      <c r="J227" s="1154">
        <v>12</v>
      </c>
      <c r="K227" s="1168" t="s">
        <v>384</v>
      </c>
      <c r="L227" s="1191">
        <v>13.6</v>
      </c>
      <c r="M227" s="1188">
        <v>11002</v>
      </c>
      <c r="N227" s="1158"/>
      <c r="O227" s="1158"/>
      <c r="P227" s="1158"/>
      <c r="Q227" s="1158"/>
      <c r="R227" s="1158"/>
    </row>
    <row r="228" spans="3:18">
      <c r="C228" s="28">
        <f t="shared" si="60"/>
        <v>13</v>
      </c>
      <c r="D228" s="11" t="str">
        <f t="shared" si="60"/>
        <v>德盈润泰实业有限公司</v>
      </c>
      <c r="E228" s="21">
        <f t="shared" si="56"/>
        <v>11.61</v>
      </c>
      <c r="F228" s="21">
        <f t="shared" si="57"/>
        <v>1.161</v>
      </c>
      <c r="G228" s="19" t="str">
        <f t="shared" si="58"/>
        <v/>
      </c>
      <c r="H228" s="21" t="str">
        <f t="shared" si="59"/>
        <v/>
      </c>
      <c r="J228" s="1154">
        <v>13</v>
      </c>
      <c r="K228" s="1168" t="s">
        <v>523</v>
      </c>
      <c r="L228" s="1187">
        <v>11.61</v>
      </c>
      <c r="M228" s="1188">
        <v>11610</v>
      </c>
      <c r="N228" s="1158"/>
      <c r="O228" s="1158"/>
      <c r="P228" s="1158"/>
      <c r="Q228" s="1158"/>
      <c r="R228" s="1158"/>
    </row>
    <row r="229" spans="3:18">
      <c r="C229" s="28">
        <f t="shared" si="60"/>
        <v>14</v>
      </c>
      <c r="D229" s="11" t="str">
        <f t="shared" si="60"/>
        <v>华夏人寿保险股份有限公司</v>
      </c>
      <c r="E229" s="21">
        <f t="shared" si="56"/>
        <v>12.05</v>
      </c>
      <c r="F229" s="21">
        <f t="shared" si="57"/>
        <v>1.1002000000000001</v>
      </c>
      <c r="G229" s="19" t="str">
        <f t="shared" si="58"/>
        <v/>
      </c>
      <c r="H229" s="21" t="str">
        <f t="shared" si="59"/>
        <v/>
      </c>
      <c r="J229" s="1154">
        <v>14</v>
      </c>
      <c r="K229" s="1168" t="s">
        <v>119</v>
      </c>
      <c r="L229" s="1187">
        <v>12.05</v>
      </c>
      <c r="M229" s="1188">
        <v>11002</v>
      </c>
      <c r="N229" s="1158"/>
      <c r="O229" s="1158"/>
      <c r="P229" s="1158"/>
      <c r="Q229" s="1158"/>
      <c r="R229" s="1158"/>
    </row>
    <row r="230" spans="3:18">
      <c r="C230" s="28">
        <f t="shared" si="60"/>
        <v>15</v>
      </c>
      <c r="D230" s="11" t="str">
        <f t="shared" si="60"/>
        <v>金鹰基金管理有限公司</v>
      </c>
      <c r="E230" s="21">
        <f t="shared" si="56"/>
        <v>14.26</v>
      </c>
      <c r="F230" s="21">
        <f t="shared" si="57"/>
        <v>4.7999000000000001</v>
      </c>
      <c r="G230" s="19">
        <f t="shared" si="58"/>
        <v>4627.9712</v>
      </c>
      <c r="H230" s="21">
        <f t="shared" si="59"/>
        <v>6.1135499551999999</v>
      </c>
      <c r="J230" s="1193">
        <v>15</v>
      </c>
      <c r="K230" s="1189" t="s">
        <v>278</v>
      </c>
      <c r="L230" s="1169">
        <v>14.26</v>
      </c>
      <c r="M230" s="1190">
        <v>47999</v>
      </c>
      <c r="N230" s="1158"/>
      <c r="O230" s="1158"/>
      <c r="P230" s="1158"/>
      <c r="Q230" s="1158"/>
      <c r="R230" s="1158"/>
    </row>
    <row r="231" spans="3:18">
      <c r="C231" s="28" t="str">
        <f t="shared" si="60"/>
        <v/>
      </c>
      <c r="D231" s="11" t="str">
        <f t="shared" si="60"/>
        <v/>
      </c>
      <c r="E231" s="21">
        <f t="shared" si="56"/>
        <v>14</v>
      </c>
      <c r="F231" s="21">
        <f t="shared" si="57"/>
        <v>5.0119999999999996</v>
      </c>
      <c r="G231" s="19" t="str">
        <f t="shared" si="58"/>
        <v/>
      </c>
      <c r="H231" s="21" t="str">
        <f t="shared" si="59"/>
        <v/>
      </c>
      <c r="J231" s="1193"/>
      <c r="K231" s="1189"/>
      <c r="L231" s="1154">
        <v>14</v>
      </c>
      <c r="M231" s="1190">
        <v>50120</v>
      </c>
      <c r="N231" s="1158"/>
      <c r="O231" s="1158"/>
      <c r="P231" s="1158"/>
      <c r="Q231" s="1158"/>
      <c r="R231" s="1158"/>
    </row>
    <row r="232" spans="3:18">
      <c r="C232" s="28" t="str">
        <f t="shared" si="60"/>
        <v/>
      </c>
      <c r="D232" s="11" t="str">
        <f t="shared" si="60"/>
        <v/>
      </c>
      <c r="E232" s="21">
        <f t="shared" si="56"/>
        <v>13.25</v>
      </c>
      <c r="F232" s="21">
        <f t="shared" si="57"/>
        <v>6.1135999999999999</v>
      </c>
      <c r="G232" s="19" t="str">
        <f t="shared" si="58"/>
        <v/>
      </c>
      <c r="H232" s="21" t="str">
        <f t="shared" si="59"/>
        <v/>
      </c>
      <c r="J232" s="1193"/>
      <c r="K232" s="1189"/>
      <c r="L232" s="1169">
        <v>13.25</v>
      </c>
      <c r="M232" s="1190">
        <v>61136</v>
      </c>
      <c r="N232" s="1158"/>
      <c r="O232" s="1158"/>
      <c r="P232" s="1158"/>
      <c r="Q232" s="1158"/>
      <c r="R232" s="1158"/>
    </row>
    <row r="233" spans="3:18">
      <c r="C233" s="28">
        <f t="shared" si="60"/>
        <v>16</v>
      </c>
      <c r="D233" s="11" t="str">
        <f t="shared" si="60"/>
        <v>诺安基金管理有限公司</v>
      </c>
      <c r="E233" s="21">
        <f t="shared" si="56"/>
        <v>12.96</v>
      </c>
      <c r="F233" s="21">
        <f t="shared" si="57"/>
        <v>1.8079000000000001</v>
      </c>
      <c r="G233" s="19" t="str">
        <f t="shared" si="58"/>
        <v/>
      </c>
      <c r="H233" s="21" t="str">
        <f t="shared" si="59"/>
        <v/>
      </c>
      <c r="J233" s="1154">
        <v>16</v>
      </c>
      <c r="K233" s="1155" t="s">
        <v>147</v>
      </c>
      <c r="L233" s="1169">
        <v>12.96</v>
      </c>
      <c r="M233" s="1190">
        <v>18079</v>
      </c>
      <c r="N233" s="1158"/>
      <c r="O233" s="1158"/>
      <c r="P233" s="1158"/>
      <c r="Q233" s="1158"/>
      <c r="R233" s="1158"/>
    </row>
    <row r="234" spans="3:18">
      <c r="J234" s="120"/>
      <c r="K234" s="120"/>
      <c r="L234" s="119"/>
      <c r="M234" s="119"/>
    </row>
    <row r="235" spans="3:18">
      <c r="J235" s="119"/>
      <c r="K235" s="119"/>
      <c r="L235" s="119"/>
      <c r="M235" s="119"/>
    </row>
  </sheetData>
  <mergeCells count="2">
    <mergeCell ref="P20:P21"/>
    <mergeCell ref="N54:N56"/>
  </mergeCells>
  <phoneticPr fontId="139" type="noConversion"/>
  <hyperlinks>
    <hyperlink ref="C5" r:id="rId1" xr:uid="{00000000-0004-0000-0400-000000000000}"/>
    <hyperlink ref="C1" r:id="rId2" xr:uid="{00000000-0004-0000-0400-000001000000}"/>
    <hyperlink ref="C2" r:id="rId3" xr:uid="{00000000-0004-0000-0400-000002000000}"/>
    <hyperlink ref="C3" r:id="rId4" xr:uid="{00000000-0004-0000-0400-000003000000}"/>
    <hyperlink ref="C4" r:id="rId5" xr:uid="{00000000-0004-0000-0400-000004000000}"/>
    <hyperlink ref="C6" r:id="rId6" xr:uid="{00000000-0004-0000-0400-000005000000}"/>
    <hyperlink ref="C7" r:id="rId7" xr:uid="{00000000-0004-0000-0400-000006000000}"/>
    <hyperlink ref="C8" r:id="rId8" xr:uid="{00000000-0004-0000-0400-000007000000}"/>
    <hyperlink ref="C9" r:id="rId9" xr:uid="{00000000-0004-0000-0400-000008000000}"/>
    <hyperlink ref="C10" r:id="rId10" xr:uid="{00000000-0004-0000-0400-000009000000}"/>
    <hyperlink ref="C206" r:id="rId11" xr:uid="{00000000-0004-0000-0400-00000A000000}"/>
    <hyperlink ref="C13" r:id="rId12" xr:uid="{00000000-0004-0000-0400-00000B000000}"/>
    <hyperlink ref="C25" r:id="rId13" xr:uid="{00000000-0004-0000-0400-00000C000000}"/>
    <hyperlink ref="C48" r:id="rId14" xr:uid="{00000000-0004-0000-0400-00000D000000}"/>
    <hyperlink ref="C61" r:id="rId15" xr:uid="{00000000-0004-0000-0400-00000E000000}"/>
    <hyperlink ref="C81" r:id="rId16" xr:uid="{00000000-0004-0000-0400-00000F000000}"/>
    <hyperlink ref="C116" r:id="rId17" xr:uid="{00000000-0004-0000-0400-000010000000}"/>
    <hyperlink ref="C147" r:id="rId18" xr:uid="{00000000-0004-0000-0400-000011000000}"/>
    <hyperlink ref="C159" r:id="rId19" xr:uid="{00000000-0004-0000-0400-000012000000}"/>
    <hyperlink ref="C184" r:id="rId20" xr:uid="{00000000-0004-0000-0400-000013000000}"/>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00"/>
  <sheetViews>
    <sheetView topLeftCell="B11" workbookViewId="0">
      <selection activeCell="B166" sqref="B166"/>
    </sheetView>
  </sheetViews>
  <sheetFormatPr defaultColWidth="10.83203125" defaultRowHeight="14"/>
  <cols>
    <col min="1" max="1" width="10.83203125" style="24" hidden="1" customWidth="1"/>
    <col min="2" max="3" width="10.83203125" style="24"/>
    <col min="4" max="4" width="23.83203125" style="24" customWidth="1"/>
    <col min="5" max="9" width="10.83203125" style="24"/>
    <col min="10" max="10" width="11" style="24" bestFit="1" customWidth="1"/>
    <col min="11" max="11" width="8.6640625" style="24" customWidth="1"/>
    <col min="12" max="14" width="9.33203125" style="24" customWidth="1"/>
    <col min="15" max="15" width="10.83203125" style="24"/>
    <col min="16" max="16" width="11.83203125" style="24" bestFit="1" customWidth="1"/>
    <col min="17" max="18" width="10.83203125" style="24"/>
    <col min="19" max="19" width="17.5" style="24" customWidth="1"/>
    <col min="20" max="20" width="10.5" style="24" hidden="1" customWidth="1"/>
    <col min="21" max="21" width="10.83203125" style="24" hidden="1" customWidth="1"/>
    <col min="22" max="16384" width="10.83203125" style="24"/>
  </cols>
  <sheetData>
    <row r="1" spans="1:21">
      <c r="A1" s="24">
        <v>8</v>
      </c>
      <c r="B1" s="979">
        <v>102</v>
      </c>
      <c r="C1" s="9" t="s">
        <v>195</v>
      </c>
      <c r="D1" s="1" t="s">
        <v>75</v>
      </c>
      <c r="E1" s="1" t="s">
        <v>74</v>
      </c>
      <c r="F1" s="3">
        <v>2.5</v>
      </c>
      <c r="G1" s="3">
        <v>2.4999996686000001</v>
      </c>
      <c r="H1" s="2">
        <v>42445</v>
      </c>
      <c r="I1" s="1001" t="s">
        <v>151</v>
      </c>
      <c r="J1" s="11">
        <v>44.67</v>
      </c>
      <c r="K1" s="3">
        <v>39.770000000000003</v>
      </c>
      <c r="L1" s="3">
        <f t="shared" ref="L1:L10" si="0">K1/J1</f>
        <v>0.89030669353033365</v>
      </c>
      <c r="M1" s="3">
        <v>41.29</v>
      </c>
      <c r="N1" s="10">
        <f t="shared" ref="N1:N10" si="1">M1/J1</f>
        <v>0.9243340049250055</v>
      </c>
      <c r="O1" s="1002">
        <v>4</v>
      </c>
      <c r="P1" s="2">
        <v>42832</v>
      </c>
      <c r="Q1" s="1003">
        <v>24.08</v>
      </c>
      <c r="R1" s="18">
        <f t="shared" ref="R1:R10" si="2">(Q1*(1+T1/10)+U1/10)/M1</f>
        <v>1.1681411368583383</v>
      </c>
      <c r="S1" s="11" t="s">
        <v>259</v>
      </c>
      <c r="T1" s="22" t="str">
        <f t="shared" ref="T1:T10" si="3">IFERROR(RIGHT(LEFT(S1,FIND("股",S1)-1),(FIND("股",S1)-1-FIND("转",S1))),0)</f>
        <v>9.9229858426</v>
      </c>
      <c r="U1" s="23" t="str">
        <f t="shared" ref="U1:U10" si="4">IFERROR(RIGHT(LEFT(S1,FIND("元",S1)-1),(FIND("元",S1)-1-FIND("派",S1))),0)</f>
        <v>2.579976319</v>
      </c>
    </row>
    <row r="2" spans="1:21">
      <c r="A2" s="24">
        <v>8</v>
      </c>
      <c r="B2" s="979">
        <v>104</v>
      </c>
      <c r="C2" s="9" t="s">
        <v>196</v>
      </c>
      <c r="D2" s="1" t="s">
        <v>97</v>
      </c>
      <c r="E2" s="1" t="s">
        <v>96</v>
      </c>
      <c r="F2" s="3">
        <v>5.1660000000000004</v>
      </c>
      <c r="G2" s="3">
        <v>5.0999992560000003</v>
      </c>
      <c r="H2" s="2">
        <v>42444</v>
      </c>
      <c r="I2" s="1001" t="s">
        <v>151</v>
      </c>
      <c r="J2" s="11">
        <v>41.72</v>
      </c>
      <c r="K2" s="3">
        <v>35.97</v>
      </c>
      <c r="L2" s="3">
        <f t="shared" si="0"/>
        <v>0.86217641418983704</v>
      </c>
      <c r="M2" s="3">
        <v>35.97</v>
      </c>
      <c r="N2" s="10">
        <f t="shared" si="1"/>
        <v>0.86217641418983704</v>
      </c>
      <c r="O2" s="1002">
        <v>9</v>
      </c>
      <c r="P2" s="1004">
        <v>42835</v>
      </c>
      <c r="Q2" s="1003">
        <v>25.81</v>
      </c>
      <c r="R2" s="18">
        <f t="shared" si="2"/>
        <v>1.448985265499027</v>
      </c>
      <c r="S2" s="11" t="s">
        <v>260</v>
      </c>
      <c r="T2" s="22" t="str">
        <f t="shared" si="3"/>
        <v>10</v>
      </c>
      <c r="U2" s="23" t="str">
        <f t="shared" si="4"/>
        <v>5</v>
      </c>
    </row>
    <row r="3" spans="1:21">
      <c r="A3" s="24">
        <v>8</v>
      </c>
      <c r="B3" s="979">
        <v>106</v>
      </c>
      <c r="C3" s="9" t="s">
        <v>197</v>
      </c>
      <c r="D3" s="1" t="s">
        <v>99</v>
      </c>
      <c r="E3" s="1" t="s">
        <v>98</v>
      </c>
      <c r="F3" s="3">
        <v>29.2</v>
      </c>
      <c r="G3" s="3">
        <v>20.855999620799999</v>
      </c>
      <c r="H3" s="2">
        <v>42443</v>
      </c>
      <c r="I3" s="1001" t="s">
        <v>151</v>
      </c>
      <c r="J3" s="11">
        <v>58.3</v>
      </c>
      <c r="K3" s="3">
        <v>50.8</v>
      </c>
      <c r="L3" s="3">
        <f t="shared" si="0"/>
        <v>0.8713550600343053</v>
      </c>
      <c r="M3" s="3">
        <v>56.88</v>
      </c>
      <c r="N3" s="10">
        <f t="shared" si="1"/>
        <v>0.97564322469982856</v>
      </c>
      <c r="O3" s="1002">
        <v>5</v>
      </c>
      <c r="P3" s="1004">
        <v>42468</v>
      </c>
      <c r="Q3" s="1003">
        <v>83.65</v>
      </c>
      <c r="R3" s="18">
        <f>(Q3*(1+T3/10)+U3/10)/M3</f>
        <v>1.4706399437412097</v>
      </c>
      <c r="S3" s="11" t="s">
        <v>223</v>
      </c>
      <c r="T3" s="22">
        <f t="shared" si="3"/>
        <v>0</v>
      </c>
      <c r="U3" s="23">
        <f t="shared" si="4"/>
        <v>0</v>
      </c>
    </row>
    <row r="4" spans="1:21">
      <c r="A4" s="24">
        <v>8</v>
      </c>
      <c r="B4" s="979">
        <v>108</v>
      </c>
      <c r="C4" s="9" t="s">
        <v>198</v>
      </c>
      <c r="D4" s="1" t="s">
        <v>85</v>
      </c>
      <c r="E4" s="1" t="s">
        <v>84</v>
      </c>
      <c r="F4" s="3">
        <v>3.71</v>
      </c>
      <c r="G4" s="3">
        <v>3.7099997385000001</v>
      </c>
      <c r="H4" s="2">
        <v>42437</v>
      </c>
      <c r="I4" s="1001" t="s">
        <v>151</v>
      </c>
      <c r="J4" s="11">
        <v>77.64</v>
      </c>
      <c r="K4" s="3">
        <v>72.56</v>
      </c>
      <c r="L4" s="3">
        <f t="shared" si="0"/>
        <v>0.93456980937661005</v>
      </c>
      <c r="M4" s="3">
        <v>72.569999999999993</v>
      </c>
      <c r="N4" s="10">
        <f t="shared" si="1"/>
        <v>0.93469860896445123</v>
      </c>
      <c r="O4" s="1002">
        <v>2</v>
      </c>
      <c r="P4" s="1004">
        <v>42881</v>
      </c>
      <c r="Q4" s="1003">
        <v>26.38</v>
      </c>
      <c r="R4" s="18">
        <f t="shared" si="2"/>
        <v>0.82548551054154617</v>
      </c>
      <c r="S4" s="11" t="s">
        <v>261</v>
      </c>
      <c r="T4" s="22" t="str">
        <f t="shared" si="3"/>
        <v>12.6167</v>
      </c>
      <c r="U4" s="23" t="str">
        <f t="shared" si="4"/>
        <v>2.426289</v>
      </c>
    </row>
    <row r="5" spans="1:21">
      <c r="A5" s="24">
        <v>8</v>
      </c>
      <c r="B5" s="979">
        <v>110</v>
      </c>
      <c r="C5" s="9" t="s">
        <v>199</v>
      </c>
      <c r="D5" s="1" t="s">
        <v>29</v>
      </c>
      <c r="E5" s="1" t="s">
        <v>28</v>
      </c>
      <c r="F5" s="3">
        <v>50</v>
      </c>
      <c r="G5" s="3">
        <v>49.999999888799998</v>
      </c>
      <c r="H5" s="2">
        <v>42461</v>
      </c>
      <c r="I5" s="979" t="s">
        <v>200</v>
      </c>
      <c r="J5" s="11">
        <v>15.04</v>
      </c>
      <c r="K5" s="3">
        <v>15.08</v>
      </c>
      <c r="L5" s="3">
        <f t="shared" si="0"/>
        <v>1.0026595744680851</v>
      </c>
      <c r="M5" s="3">
        <v>15.08</v>
      </c>
      <c r="N5" s="10">
        <f t="shared" si="1"/>
        <v>1.0026595744680851</v>
      </c>
      <c r="O5" s="1002">
        <v>1</v>
      </c>
      <c r="P5" s="1004">
        <v>42838</v>
      </c>
      <c r="Q5" s="1003">
        <v>13.92</v>
      </c>
      <c r="R5" s="18">
        <f t="shared" si="2"/>
        <v>0.97612732095490717</v>
      </c>
      <c r="S5" s="11" t="s">
        <v>262</v>
      </c>
      <c r="T5" s="22">
        <f t="shared" si="3"/>
        <v>0</v>
      </c>
      <c r="U5" s="23" t="str">
        <f t="shared" si="4"/>
        <v>8.00</v>
      </c>
    </row>
    <row r="6" spans="1:21">
      <c r="A6" s="24">
        <v>8</v>
      </c>
      <c r="B6" s="979">
        <v>111</v>
      </c>
      <c r="C6" s="9" t="s">
        <v>201</v>
      </c>
      <c r="D6" s="1" t="s">
        <v>79</v>
      </c>
      <c r="E6" s="1" t="s">
        <v>78</v>
      </c>
      <c r="F6" s="3">
        <v>16.5</v>
      </c>
      <c r="G6" s="3">
        <v>16.499999942399999</v>
      </c>
      <c r="H6" s="2">
        <v>42446</v>
      </c>
      <c r="I6" s="979" t="s">
        <v>202</v>
      </c>
      <c r="J6" s="11">
        <v>6.7</v>
      </c>
      <c r="K6" s="3">
        <v>6.06</v>
      </c>
      <c r="L6" s="3">
        <f t="shared" si="0"/>
        <v>0.90447761194029841</v>
      </c>
      <c r="M6" s="3">
        <v>6.08</v>
      </c>
      <c r="N6" s="10">
        <f t="shared" si="1"/>
        <v>0.90746268656716411</v>
      </c>
      <c r="O6" s="1002">
        <v>6</v>
      </c>
      <c r="P6" s="1004">
        <v>42838</v>
      </c>
      <c r="Q6" s="1003">
        <v>6.7</v>
      </c>
      <c r="R6" s="18">
        <f t="shared" si="2"/>
        <v>1.1019736842105263</v>
      </c>
      <c r="S6" s="11" t="s">
        <v>223</v>
      </c>
      <c r="T6" s="22">
        <f t="shared" si="3"/>
        <v>0</v>
      </c>
      <c r="U6" s="23">
        <f t="shared" si="4"/>
        <v>0</v>
      </c>
    </row>
    <row r="7" spans="1:21">
      <c r="A7" s="24">
        <v>8</v>
      </c>
      <c r="B7" s="979">
        <v>115</v>
      </c>
      <c r="C7" s="9" t="s">
        <v>203</v>
      </c>
      <c r="D7" s="1" t="s">
        <v>43</v>
      </c>
      <c r="E7" s="1" t="s">
        <v>42</v>
      </c>
      <c r="F7" s="3">
        <v>5.9749999999999996</v>
      </c>
      <c r="G7" s="3">
        <v>5.9749998770000001</v>
      </c>
      <c r="H7" s="2">
        <v>42452</v>
      </c>
      <c r="I7" s="979" t="s">
        <v>204</v>
      </c>
      <c r="J7" s="11">
        <v>18.46</v>
      </c>
      <c r="K7" s="3">
        <v>15.2</v>
      </c>
      <c r="L7" s="3">
        <f t="shared" si="0"/>
        <v>0.8234019501625135</v>
      </c>
      <c r="M7" s="3">
        <v>16.66</v>
      </c>
      <c r="N7" s="10">
        <f t="shared" si="1"/>
        <v>0.90249187432286015</v>
      </c>
      <c r="O7" s="1002">
        <v>7</v>
      </c>
      <c r="P7" s="1004">
        <v>42839</v>
      </c>
      <c r="Q7" s="1003">
        <v>13.24</v>
      </c>
      <c r="R7" s="18">
        <f t="shared" si="2"/>
        <v>1.201080432172869</v>
      </c>
      <c r="S7" s="11" t="s">
        <v>263</v>
      </c>
      <c r="T7" s="22" t="str">
        <f t="shared" si="3"/>
        <v>5</v>
      </c>
      <c r="U7" s="23" t="str">
        <f t="shared" si="4"/>
        <v>1.5</v>
      </c>
    </row>
    <row r="8" spans="1:21">
      <c r="A8" s="24">
        <v>8</v>
      </c>
      <c r="B8" s="979">
        <v>116</v>
      </c>
      <c r="C8" s="9" t="s">
        <v>205</v>
      </c>
      <c r="D8" s="1" t="s">
        <v>65</v>
      </c>
      <c r="E8" s="1" t="s">
        <v>64</v>
      </c>
      <c r="F8" s="3">
        <v>50</v>
      </c>
      <c r="G8" s="3">
        <v>49.999999895999999</v>
      </c>
      <c r="H8" s="2">
        <v>42447</v>
      </c>
      <c r="I8" s="1001" t="s">
        <v>151</v>
      </c>
      <c r="J8" s="11">
        <v>30.36</v>
      </c>
      <c r="K8" s="3">
        <v>11.38</v>
      </c>
      <c r="L8" s="3">
        <f t="shared" si="0"/>
        <v>0.37483530961791833</v>
      </c>
      <c r="M8" s="3">
        <v>19.8</v>
      </c>
      <c r="N8" s="10">
        <f t="shared" si="1"/>
        <v>0.65217391304347827</v>
      </c>
      <c r="O8" s="1002">
        <v>7</v>
      </c>
      <c r="P8" s="1004">
        <v>42842</v>
      </c>
      <c r="Q8" s="1003">
        <v>11.4</v>
      </c>
      <c r="R8" s="18">
        <f t="shared" si="2"/>
        <v>1.1641414141414141</v>
      </c>
      <c r="S8" s="979" t="s">
        <v>264</v>
      </c>
      <c r="T8" s="22" t="str">
        <f t="shared" si="3"/>
        <v>10</v>
      </c>
      <c r="U8" s="23" t="str">
        <f t="shared" si="4"/>
        <v>2.5</v>
      </c>
    </row>
    <row r="9" spans="1:21">
      <c r="A9" s="24">
        <v>8</v>
      </c>
      <c r="B9" s="979">
        <v>120</v>
      </c>
      <c r="C9" s="9" t="s">
        <v>206</v>
      </c>
      <c r="D9" s="1" t="s">
        <v>57</v>
      </c>
      <c r="E9" s="1" t="s">
        <v>56</v>
      </c>
      <c r="F9" s="3">
        <v>3</v>
      </c>
      <c r="G9" s="3">
        <v>2.9999999312000001</v>
      </c>
      <c r="H9" s="2">
        <v>42444</v>
      </c>
      <c r="I9" s="1001" t="s">
        <v>151</v>
      </c>
      <c r="J9" s="11">
        <v>28</v>
      </c>
      <c r="K9" s="3">
        <v>24.03</v>
      </c>
      <c r="L9" s="3">
        <f t="shared" si="0"/>
        <v>0.85821428571428571</v>
      </c>
      <c r="M9" s="3">
        <v>27.98</v>
      </c>
      <c r="N9" s="10">
        <f t="shared" si="1"/>
        <v>0.99928571428571433</v>
      </c>
      <c r="O9" s="1002">
        <v>2</v>
      </c>
      <c r="P9" s="1004">
        <v>42479</v>
      </c>
      <c r="Q9" s="1003">
        <v>35.76</v>
      </c>
      <c r="R9" s="18">
        <f t="shared" si="2"/>
        <v>1.2780557541100785</v>
      </c>
      <c r="S9" s="979" t="s">
        <v>223</v>
      </c>
      <c r="T9" s="22">
        <f t="shared" si="3"/>
        <v>0</v>
      </c>
      <c r="U9" s="23">
        <f t="shared" si="4"/>
        <v>0</v>
      </c>
    </row>
    <row r="10" spans="1:21">
      <c r="A10" s="24">
        <v>8</v>
      </c>
      <c r="B10" s="979">
        <v>121</v>
      </c>
      <c r="C10" s="9" t="s">
        <v>207</v>
      </c>
      <c r="D10" s="1" t="s">
        <v>91</v>
      </c>
      <c r="E10" s="1" t="s">
        <v>90</v>
      </c>
      <c r="F10" s="3">
        <v>9.3614280000000001</v>
      </c>
      <c r="G10" s="3">
        <v>9.3614279048999993</v>
      </c>
      <c r="H10" s="2">
        <v>42443</v>
      </c>
      <c r="I10" s="1001" t="s">
        <v>151</v>
      </c>
      <c r="J10" s="11">
        <v>33.92</v>
      </c>
      <c r="K10" s="3">
        <v>23.67</v>
      </c>
      <c r="L10" s="3">
        <f t="shared" si="0"/>
        <v>0.69781839622641506</v>
      </c>
      <c r="M10" s="3">
        <v>26.01</v>
      </c>
      <c r="N10" s="10">
        <f t="shared" si="1"/>
        <v>0.76680424528301883</v>
      </c>
      <c r="O10" s="1002">
        <v>7</v>
      </c>
      <c r="P10" s="1004">
        <v>42844</v>
      </c>
      <c r="Q10" s="1003">
        <v>20.350000000000001</v>
      </c>
      <c r="R10" s="18">
        <f t="shared" si="2"/>
        <v>0.78354479046520575</v>
      </c>
      <c r="S10" s="11" t="s">
        <v>256</v>
      </c>
      <c r="T10" s="22">
        <f t="shared" si="3"/>
        <v>0</v>
      </c>
      <c r="U10" s="23" t="str">
        <f t="shared" si="4"/>
        <v>0.3</v>
      </c>
    </row>
    <row r="12" spans="1:21">
      <c r="A12" s="24">
        <v>1</v>
      </c>
      <c r="B12" s="12" t="s">
        <v>106</v>
      </c>
      <c r="C12" s="12" t="s">
        <v>126</v>
      </c>
      <c r="D12" s="12" t="s">
        <v>107</v>
      </c>
      <c r="E12" s="12" t="s">
        <v>4</v>
      </c>
      <c r="F12" s="13" t="s">
        <v>108</v>
      </c>
      <c r="G12" s="13" t="s">
        <v>109</v>
      </c>
      <c r="H12" s="12" t="s">
        <v>274</v>
      </c>
      <c r="I12" s="12" t="s">
        <v>273</v>
      </c>
      <c r="J12" s="12" t="s">
        <v>116</v>
      </c>
      <c r="K12" s="14" t="s">
        <v>110</v>
      </c>
      <c r="L12" s="14" t="s">
        <v>276</v>
      </c>
      <c r="M12" s="14" t="s">
        <v>117</v>
      </c>
      <c r="N12" s="15" t="s">
        <v>275</v>
      </c>
      <c r="O12" s="12" t="s">
        <v>111</v>
      </c>
      <c r="P12" s="8" t="s">
        <v>12</v>
      </c>
      <c r="Q12" s="8" t="s">
        <v>190</v>
      </c>
      <c r="R12" s="15" t="s">
        <v>129</v>
      </c>
      <c r="S12" s="14" t="s">
        <v>220</v>
      </c>
    </row>
    <row r="13" spans="1:21">
      <c r="A13" s="24">
        <v>8</v>
      </c>
      <c r="B13" s="979">
        <v>31</v>
      </c>
      <c r="C13" s="11" t="s">
        <v>195</v>
      </c>
      <c r="D13" s="1" t="s">
        <v>75</v>
      </c>
      <c r="E13" s="1" t="s">
        <v>74</v>
      </c>
      <c r="F13" s="3">
        <v>2.5</v>
      </c>
      <c r="G13" s="3">
        <v>2.4999996686000001</v>
      </c>
      <c r="H13" s="2">
        <v>42445</v>
      </c>
      <c r="I13" s="1001" t="s">
        <v>151</v>
      </c>
      <c r="J13" s="11">
        <v>44.67</v>
      </c>
      <c r="K13" s="3">
        <v>39.770000000000003</v>
      </c>
      <c r="L13" s="3">
        <f t="shared" ref="L13" si="5">K13/J13</f>
        <v>0.89030669353033365</v>
      </c>
      <c r="M13" s="3">
        <v>41.29</v>
      </c>
      <c r="N13" s="10">
        <f t="shared" ref="N13" si="6">M13/J13</f>
        <v>0.9243340049250055</v>
      </c>
      <c r="O13" s="1002">
        <v>4</v>
      </c>
      <c r="P13" s="2">
        <v>42832</v>
      </c>
      <c r="Q13" s="1003">
        <v>24.08</v>
      </c>
      <c r="R13" s="18">
        <f t="shared" ref="R13" si="7">(Q13*(1+T13/10)+U13/10)/M13</f>
        <v>1.1681411368583383</v>
      </c>
      <c r="S13" s="11" t="s">
        <v>259</v>
      </c>
      <c r="T13" s="22" t="str">
        <f t="shared" ref="T13" si="8">IFERROR(RIGHT(LEFT(S13,FIND("股",S13)-1),(FIND("股",S13)-1-FIND("转",S13))),0)</f>
        <v>9.9229858426</v>
      </c>
      <c r="U13" s="23" t="str">
        <f t="shared" ref="U13" si="9">IFERROR(RIGHT(LEFT(S13,FIND("元",S13)-1),(FIND("元",S13)-1-FIND("派",S13))),0)</f>
        <v>2.579976319</v>
      </c>
    </row>
    <row r="14" spans="1:21">
      <c r="B14" s="125"/>
      <c r="C14" s="129"/>
      <c r="D14" s="128"/>
      <c r="E14" s="128"/>
      <c r="F14" s="127"/>
      <c r="G14" s="127"/>
      <c r="H14" s="126"/>
      <c r="I14" s="125"/>
      <c r="K14" s="130"/>
      <c r="L14" s="130"/>
      <c r="M14" s="130"/>
      <c r="N14" s="5"/>
      <c r="O14" s="120"/>
      <c r="P14" s="124"/>
      <c r="Q14" s="5"/>
      <c r="R14" s="123"/>
      <c r="T14" s="28"/>
      <c r="U14" s="122"/>
    </row>
    <row r="15" spans="1:21" ht="16">
      <c r="C15" s="27" t="s">
        <v>118</v>
      </c>
      <c r="D15" s="16" t="s">
        <v>112</v>
      </c>
      <c r="E15" s="16" t="s">
        <v>113</v>
      </c>
      <c r="F15" s="16" t="s">
        <v>288</v>
      </c>
      <c r="G15" s="17" t="s">
        <v>287</v>
      </c>
      <c r="H15" s="16" t="s">
        <v>289</v>
      </c>
      <c r="J15" s="1021" t="s">
        <v>293</v>
      </c>
      <c r="K15" s="1021" t="s">
        <v>313</v>
      </c>
      <c r="L15" s="1007" t="s">
        <v>695</v>
      </c>
      <c r="M15" s="1007" t="s">
        <v>694</v>
      </c>
      <c r="N15" s="492"/>
      <c r="O15" s="1008" t="s">
        <v>349</v>
      </c>
      <c r="P15" s="1009" t="s">
        <v>350</v>
      </c>
      <c r="Q15" s="1007"/>
    </row>
    <row r="16" spans="1:21" ht="15.5">
      <c r="C16" s="24">
        <f t="shared" ref="C16:D26" si="10">IF(J16=0,"",J16)</f>
        <v>1</v>
      </c>
      <c r="D16" s="11" t="str">
        <f t="shared" si="10"/>
        <v>财通基金管理有限公司</v>
      </c>
      <c r="E16" s="21">
        <f t="shared" ref="E16:E26" si="11">L16</f>
        <v>44.5</v>
      </c>
      <c r="F16" s="21">
        <f>M16/10000</f>
        <v>0.71</v>
      </c>
      <c r="G16" s="19">
        <f t="shared" ref="G16:G26" si="12">IFERROR(VLOOKUP(D16,O$15:Q$26,2,FALSE)/10000,"")</f>
        <v>171.95439999999999</v>
      </c>
      <c r="H16" s="21">
        <f t="shared" ref="H16:H26" si="13">IFERROR(G16*M$13/10000,"")</f>
        <v>0.70999971760000002</v>
      </c>
      <c r="J16" s="1030">
        <v>1</v>
      </c>
      <c r="K16" s="1121" t="s">
        <v>115</v>
      </c>
      <c r="L16" s="1122">
        <v>44.5</v>
      </c>
      <c r="M16" s="1123">
        <v>7100</v>
      </c>
      <c r="N16" s="492"/>
      <c r="O16" s="1124" t="s">
        <v>693</v>
      </c>
      <c r="P16" s="1194">
        <v>2421893</v>
      </c>
      <c r="Q16" s="1118"/>
    </row>
    <row r="17" spans="1:21" ht="15.5">
      <c r="C17" s="24" t="str">
        <f t="shared" si="10"/>
        <v/>
      </c>
      <c r="D17" s="11" t="str">
        <f t="shared" si="10"/>
        <v/>
      </c>
      <c r="E17" s="21">
        <f t="shared" si="11"/>
        <v>40</v>
      </c>
      <c r="F17" s="21">
        <f t="shared" ref="F17:F26" si="14">M17/10000</f>
        <v>1.5</v>
      </c>
      <c r="G17" s="19" t="str">
        <f t="shared" si="12"/>
        <v/>
      </c>
      <c r="H17" s="21" t="str">
        <f t="shared" si="13"/>
        <v/>
      </c>
      <c r="J17" s="1030"/>
      <c r="K17" s="1121"/>
      <c r="L17" s="1122">
        <v>40</v>
      </c>
      <c r="M17" s="1123">
        <v>15000</v>
      </c>
      <c r="N17" s="492"/>
      <c r="O17" s="1124" t="s">
        <v>115</v>
      </c>
      <c r="P17" s="1194">
        <v>1719544</v>
      </c>
      <c r="Q17" s="1118"/>
    </row>
    <row r="18" spans="1:21" ht="15" customHeight="1">
      <c r="C18" s="24">
        <f t="shared" si="10"/>
        <v>2</v>
      </c>
      <c r="D18" s="11" t="str">
        <f t="shared" si="10"/>
        <v>第一创业证券股份有限公司</v>
      </c>
      <c r="E18" s="21">
        <f t="shared" si="11"/>
        <v>44.1</v>
      </c>
      <c r="F18" s="21">
        <f t="shared" si="14"/>
        <v>0.5</v>
      </c>
      <c r="G18" s="19">
        <f t="shared" si="12"/>
        <v>121.0946</v>
      </c>
      <c r="H18" s="21">
        <f t="shared" si="13"/>
        <v>0.49999960339999999</v>
      </c>
      <c r="J18" s="1024">
        <v>2</v>
      </c>
      <c r="K18" s="1124" t="s">
        <v>127</v>
      </c>
      <c r="L18" s="1122">
        <v>44.1</v>
      </c>
      <c r="M18" s="1123">
        <v>5000</v>
      </c>
      <c r="N18" s="492"/>
      <c r="O18" s="1124" t="s">
        <v>127</v>
      </c>
      <c r="P18" s="1194">
        <v>1210946</v>
      </c>
      <c r="Q18" s="1118"/>
    </row>
    <row r="19" spans="1:21" ht="15.5">
      <c r="C19" s="24">
        <f t="shared" si="10"/>
        <v>3</v>
      </c>
      <c r="D19" s="11" t="str">
        <f t="shared" si="10"/>
        <v>广发基金管理有限公司</v>
      </c>
      <c r="E19" s="21">
        <f t="shared" si="11"/>
        <v>41.29</v>
      </c>
      <c r="F19" s="21">
        <f t="shared" si="14"/>
        <v>0.4</v>
      </c>
      <c r="G19" s="19">
        <f t="shared" si="12"/>
        <v>70.235100000000003</v>
      </c>
      <c r="H19" s="21">
        <f t="shared" si="13"/>
        <v>0.29000072789999998</v>
      </c>
      <c r="J19" s="1024">
        <v>3</v>
      </c>
      <c r="K19" s="1124" t="s">
        <v>363</v>
      </c>
      <c r="L19" s="1122">
        <v>41.29</v>
      </c>
      <c r="M19" s="1123">
        <v>4000</v>
      </c>
      <c r="N19" s="492"/>
      <c r="O19" s="1124" t="s">
        <v>363</v>
      </c>
      <c r="P19" s="1194">
        <v>702351</v>
      </c>
      <c r="Q19" s="492"/>
    </row>
    <row r="20" spans="1:21" ht="15.5">
      <c r="C20" s="24">
        <f t="shared" si="10"/>
        <v>4</v>
      </c>
      <c r="D20" s="11" t="str">
        <f t="shared" si="10"/>
        <v>九泰基金管理有限公司</v>
      </c>
      <c r="E20" s="21">
        <f t="shared" si="11"/>
        <v>40.65</v>
      </c>
      <c r="F20" s="21">
        <f t="shared" si="14"/>
        <v>0.5</v>
      </c>
      <c r="G20" s="19" t="str">
        <f t="shared" si="12"/>
        <v/>
      </c>
      <c r="H20" s="21" t="str">
        <f t="shared" si="13"/>
        <v/>
      </c>
      <c r="J20" s="1030">
        <v>4</v>
      </c>
      <c r="K20" s="1121" t="s">
        <v>666</v>
      </c>
      <c r="L20" s="1122">
        <v>40.65</v>
      </c>
      <c r="M20" s="1123">
        <v>5000</v>
      </c>
      <c r="N20" s="492"/>
      <c r="O20" s="1005"/>
      <c r="P20" s="1195"/>
      <c r="Q20" s="492"/>
    </row>
    <row r="21" spans="1:21" ht="15.5">
      <c r="C21" s="24" t="str">
        <f t="shared" si="10"/>
        <v/>
      </c>
      <c r="D21" s="11" t="str">
        <f t="shared" si="10"/>
        <v/>
      </c>
      <c r="E21" s="21">
        <f t="shared" si="11"/>
        <v>40.21</v>
      </c>
      <c r="F21" s="21">
        <f t="shared" si="14"/>
        <v>0.55000000000000004</v>
      </c>
      <c r="G21" s="19" t="str">
        <f t="shared" si="12"/>
        <v/>
      </c>
      <c r="H21" s="21" t="str">
        <f t="shared" si="13"/>
        <v/>
      </c>
      <c r="J21" s="1030"/>
      <c r="K21" s="1121"/>
      <c r="L21" s="1122">
        <v>40.21</v>
      </c>
      <c r="M21" s="1123">
        <v>5500</v>
      </c>
      <c r="N21" s="492"/>
      <c r="O21" s="1007"/>
      <c r="P21" s="1007"/>
      <c r="Q21" s="492"/>
    </row>
    <row r="22" spans="1:21" ht="15.5">
      <c r="C22" s="24" t="str">
        <f t="shared" si="10"/>
        <v/>
      </c>
      <c r="D22" s="11" t="str">
        <f t="shared" si="10"/>
        <v/>
      </c>
      <c r="E22" s="21">
        <f t="shared" si="11"/>
        <v>39.770000000000003</v>
      </c>
      <c r="F22" s="21">
        <f t="shared" si="14"/>
        <v>0.6</v>
      </c>
      <c r="G22" s="19" t="str">
        <f t="shared" si="12"/>
        <v/>
      </c>
      <c r="H22" s="21" t="str">
        <f t="shared" si="13"/>
        <v/>
      </c>
      <c r="J22" s="1030"/>
      <c r="K22" s="1121"/>
      <c r="L22" s="1122">
        <v>39.770000000000003</v>
      </c>
      <c r="M22" s="1123">
        <v>6000</v>
      </c>
      <c r="N22" s="492"/>
      <c r="O22" s="1007"/>
      <c r="P22" s="1007"/>
      <c r="Q22" s="492"/>
    </row>
    <row r="23" spans="1:21" ht="15.5">
      <c r="C23" s="24">
        <f t="shared" si="10"/>
        <v>5</v>
      </c>
      <c r="D23" s="11" t="str">
        <f t="shared" si="10"/>
        <v>建信基金管理有限责任公司</v>
      </c>
      <c r="E23" s="21">
        <f t="shared" si="11"/>
        <v>39.770000000000003</v>
      </c>
      <c r="F23" s="21">
        <f t="shared" si="14"/>
        <v>0.375</v>
      </c>
      <c r="G23" s="19" t="str">
        <f t="shared" si="12"/>
        <v/>
      </c>
      <c r="H23" s="21" t="str">
        <f t="shared" si="13"/>
        <v/>
      </c>
      <c r="J23" s="1024">
        <v>5</v>
      </c>
      <c r="K23" s="1124" t="s">
        <v>130</v>
      </c>
      <c r="L23" s="1122">
        <v>39.770000000000003</v>
      </c>
      <c r="M23" s="1123">
        <v>3750</v>
      </c>
      <c r="N23" s="492"/>
      <c r="O23" s="492"/>
      <c r="P23" s="492"/>
      <c r="Q23" s="492"/>
    </row>
    <row r="24" spans="1:21" ht="15.5">
      <c r="C24" s="24">
        <f t="shared" si="10"/>
        <v>6</v>
      </c>
      <c r="D24" s="11" t="str">
        <f t="shared" si="10"/>
        <v>东海基金管理有限责任公司</v>
      </c>
      <c r="E24" s="21">
        <f t="shared" si="11"/>
        <v>40.01</v>
      </c>
      <c r="F24" s="21">
        <f t="shared" si="14"/>
        <v>0.75</v>
      </c>
      <c r="G24" s="19" t="str">
        <f t="shared" si="12"/>
        <v/>
      </c>
      <c r="H24" s="21" t="str">
        <f t="shared" si="13"/>
        <v/>
      </c>
      <c r="J24" s="1024">
        <v>6</v>
      </c>
      <c r="K24" s="1124" t="s">
        <v>128</v>
      </c>
      <c r="L24" s="1122">
        <v>40.01</v>
      </c>
      <c r="M24" s="1123">
        <v>7500</v>
      </c>
      <c r="N24" s="492"/>
      <c r="O24" s="492"/>
      <c r="P24" s="492"/>
      <c r="Q24" s="492"/>
    </row>
    <row r="25" spans="1:21" ht="15.5">
      <c r="C25" s="24">
        <f t="shared" si="10"/>
        <v>7</v>
      </c>
      <c r="D25" s="11" t="str">
        <f t="shared" si="10"/>
        <v>宝盈基金管理有限公司</v>
      </c>
      <c r="E25" s="21">
        <f t="shared" si="11"/>
        <v>39.799999999999997</v>
      </c>
      <c r="F25" s="21">
        <f t="shared" si="14"/>
        <v>0.38</v>
      </c>
      <c r="G25" s="19" t="str">
        <f t="shared" si="12"/>
        <v/>
      </c>
      <c r="H25" s="21" t="str">
        <f t="shared" si="13"/>
        <v/>
      </c>
      <c r="J25" s="1024">
        <v>7</v>
      </c>
      <c r="K25" s="1124" t="s">
        <v>332</v>
      </c>
      <c r="L25" s="1122">
        <v>39.799999999999997</v>
      </c>
      <c r="M25" s="1123">
        <v>3800</v>
      </c>
      <c r="N25" s="492"/>
      <c r="O25" s="492"/>
      <c r="P25" s="492"/>
      <c r="Q25" s="492"/>
    </row>
    <row r="26" spans="1:21" ht="15.5">
      <c r="C26" s="24">
        <f t="shared" si="10"/>
        <v>8</v>
      </c>
      <c r="D26" s="11" t="str">
        <f t="shared" si="10"/>
        <v>长城证券股份有限公司</v>
      </c>
      <c r="E26" s="21">
        <f t="shared" si="11"/>
        <v>41.26</v>
      </c>
      <c r="F26" s="21">
        <f t="shared" si="14"/>
        <v>0.375</v>
      </c>
      <c r="G26" s="19" t="str">
        <f t="shared" si="12"/>
        <v/>
      </c>
      <c r="H26" s="21" t="str">
        <f t="shared" si="13"/>
        <v/>
      </c>
      <c r="J26" s="1024">
        <v>8</v>
      </c>
      <c r="K26" s="1124" t="s">
        <v>529</v>
      </c>
      <c r="L26" s="1122">
        <v>41.26</v>
      </c>
      <c r="M26" s="1123">
        <v>3750</v>
      </c>
      <c r="N26" s="492"/>
      <c r="O26" s="492"/>
      <c r="P26" s="492"/>
      <c r="Q26" s="492"/>
    </row>
    <row r="27" spans="1:21">
      <c r="J27" s="28"/>
    </row>
    <row r="28" spans="1:21">
      <c r="A28" s="24">
        <v>2</v>
      </c>
      <c r="B28" s="12" t="s">
        <v>106</v>
      </c>
      <c r="C28" s="12" t="s">
        <v>126</v>
      </c>
      <c r="D28" s="12" t="s">
        <v>107</v>
      </c>
      <c r="E28" s="12" t="s">
        <v>4</v>
      </c>
      <c r="F28" s="13" t="s">
        <v>108</v>
      </c>
      <c r="G28" s="13" t="s">
        <v>109</v>
      </c>
      <c r="H28" s="12" t="s">
        <v>274</v>
      </c>
      <c r="I28" s="12" t="s">
        <v>273</v>
      </c>
      <c r="J28" s="12" t="s">
        <v>116</v>
      </c>
      <c r="K28" s="14" t="s">
        <v>110</v>
      </c>
      <c r="L28" s="14" t="s">
        <v>276</v>
      </c>
      <c r="M28" s="14" t="s">
        <v>117</v>
      </c>
      <c r="N28" s="15" t="s">
        <v>275</v>
      </c>
      <c r="O28" s="12" t="s">
        <v>111</v>
      </c>
      <c r="P28" s="8" t="s">
        <v>12</v>
      </c>
      <c r="Q28" s="8" t="s">
        <v>190</v>
      </c>
      <c r="R28" s="15" t="s">
        <v>129</v>
      </c>
      <c r="S28" s="14" t="s">
        <v>220</v>
      </c>
    </row>
    <row r="29" spans="1:21">
      <c r="A29" s="24">
        <v>8</v>
      </c>
      <c r="B29" s="979">
        <v>32</v>
      </c>
      <c r="C29" s="9" t="s">
        <v>196</v>
      </c>
      <c r="D29" s="1" t="s">
        <v>97</v>
      </c>
      <c r="E29" s="1" t="s">
        <v>96</v>
      </c>
      <c r="F29" s="3">
        <v>5.1660000000000004</v>
      </c>
      <c r="G29" s="3">
        <v>5.0999992560000003</v>
      </c>
      <c r="H29" s="2">
        <v>42444</v>
      </c>
      <c r="I29" s="1001" t="s">
        <v>151</v>
      </c>
      <c r="J29" s="11">
        <v>41.72</v>
      </c>
      <c r="K29" s="3">
        <v>35.97</v>
      </c>
      <c r="L29" s="3">
        <f t="shared" ref="L29" si="15">K29/J29</f>
        <v>0.86217641418983704</v>
      </c>
      <c r="M29" s="3">
        <v>35.97</v>
      </c>
      <c r="N29" s="10">
        <f t="shared" ref="N29" si="16">M29/J29</f>
        <v>0.86217641418983704</v>
      </c>
      <c r="O29" s="1002">
        <v>9</v>
      </c>
      <c r="P29" s="1004">
        <v>42835</v>
      </c>
      <c r="Q29" s="1003">
        <v>25.81</v>
      </c>
      <c r="R29" s="18">
        <f t="shared" ref="R29" si="17">(Q29*(1+T29/10)+U29/10)/M29</f>
        <v>1.448985265499027</v>
      </c>
      <c r="S29" s="11" t="s">
        <v>260</v>
      </c>
      <c r="T29" s="22" t="str">
        <f t="shared" ref="T29" si="18">IFERROR(RIGHT(LEFT(S29,FIND("股",S29)-1),(FIND("股",S29)-1-FIND("转",S29))),0)</f>
        <v>10</v>
      </c>
      <c r="U29" s="23" t="str">
        <f t="shared" ref="U29" si="19">IFERROR(RIGHT(LEFT(S29,FIND("元",S29)-1),(FIND("元",S29)-1-FIND("派",S29))),0)</f>
        <v>5</v>
      </c>
    </row>
    <row r="30" spans="1:21">
      <c r="B30" s="125"/>
      <c r="C30" s="129"/>
      <c r="D30" s="128"/>
      <c r="E30" s="128"/>
      <c r="F30" s="127"/>
      <c r="G30" s="127"/>
      <c r="H30" s="126"/>
      <c r="I30" s="125"/>
      <c r="K30" s="130"/>
      <c r="L30" s="130"/>
      <c r="M30" s="130"/>
      <c r="N30" s="5"/>
      <c r="O30" s="120"/>
      <c r="P30" s="124"/>
      <c r="Q30" s="5"/>
      <c r="R30" s="123"/>
      <c r="T30" s="28"/>
      <c r="U30" s="122"/>
    </row>
    <row r="31" spans="1:21">
      <c r="C31" s="27" t="s">
        <v>118</v>
      </c>
      <c r="D31" s="16" t="s">
        <v>112</v>
      </c>
      <c r="E31" s="16" t="s">
        <v>113</v>
      </c>
      <c r="F31" s="16" t="s">
        <v>288</v>
      </c>
      <c r="G31" s="17" t="s">
        <v>287</v>
      </c>
      <c r="H31" s="16" t="s">
        <v>289</v>
      </c>
      <c r="J31" s="1005" t="s">
        <v>298</v>
      </c>
      <c r="K31" s="1005" t="s">
        <v>692</v>
      </c>
      <c r="L31" s="1007" t="s">
        <v>691</v>
      </c>
      <c r="M31" s="1096" t="s">
        <v>690</v>
      </c>
      <c r="N31" s="492"/>
      <c r="O31" s="1096" t="s">
        <v>421</v>
      </c>
      <c r="P31" s="1096" t="s">
        <v>377</v>
      </c>
      <c r="Q31" s="1033"/>
    </row>
    <row r="32" spans="1:21">
      <c r="C32" s="28">
        <f t="shared" ref="C32:D47" si="20">IF(J32=0,"",J32)</f>
        <v>1</v>
      </c>
      <c r="D32" s="11" t="str">
        <f t="shared" si="20"/>
        <v>九泰基金管理有限公司</v>
      </c>
      <c r="E32" s="21">
        <f t="shared" ref="E32:E43" si="21">L32</f>
        <v>38.049999999999997</v>
      </c>
      <c r="F32" s="21">
        <f t="shared" ref="F32:F43" si="22">M32/10000</f>
        <v>0.6</v>
      </c>
      <c r="G32" s="19">
        <f t="shared" ref="G32:G34" si="23">IFERROR(VLOOKUP(D32,O$31:Q$40,2,FALSE)/10000,"")</f>
        <v>191.82650000000001</v>
      </c>
      <c r="H32" s="21">
        <f t="shared" ref="H32:H43" si="24">IFERROR(G32*M$29/10000,"")</f>
        <v>0.68999992050000003</v>
      </c>
      <c r="J32" s="1086">
        <v>1</v>
      </c>
      <c r="K32" s="1090" t="s">
        <v>666</v>
      </c>
      <c r="L32" s="1088">
        <v>38.049999999999997</v>
      </c>
      <c r="M32" s="1118">
        <v>6000</v>
      </c>
      <c r="N32" s="492"/>
      <c r="O32" s="1090" t="s">
        <v>689</v>
      </c>
      <c r="P32" s="1089">
        <v>2502085</v>
      </c>
      <c r="Q32" s="492"/>
    </row>
    <row r="33" spans="3:17">
      <c r="C33" s="28" t="str">
        <f t="shared" si="20"/>
        <v/>
      </c>
      <c r="D33" s="11" t="str">
        <f t="shared" si="20"/>
        <v/>
      </c>
      <c r="E33" s="21">
        <f t="shared" si="21"/>
        <v>37.1</v>
      </c>
      <c r="F33" s="21">
        <f t="shared" si="22"/>
        <v>0.65</v>
      </c>
      <c r="G33" s="19" t="str">
        <f t="shared" si="23"/>
        <v/>
      </c>
      <c r="H33" s="21" t="str">
        <f t="shared" si="24"/>
        <v/>
      </c>
      <c r="J33" s="1086"/>
      <c r="K33" s="1087"/>
      <c r="L33" s="1088">
        <v>37.1</v>
      </c>
      <c r="M33" s="1118">
        <v>6500</v>
      </c>
      <c r="N33" s="492"/>
      <c r="O33" s="1090" t="s">
        <v>688</v>
      </c>
      <c r="P33" s="1089">
        <v>834028</v>
      </c>
      <c r="Q33" s="492"/>
    </row>
    <row r="34" spans="3:17">
      <c r="C34" s="28" t="str">
        <f t="shared" si="20"/>
        <v/>
      </c>
      <c r="D34" s="11" t="str">
        <f t="shared" si="20"/>
        <v/>
      </c>
      <c r="E34" s="21">
        <f t="shared" si="21"/>
        <v>36.11</v>
      </c>
      <c r="F34" s="21">
        <f t="shared" si="22"/>
        <v>0.69</v>
      </c>
      <c r="G34" s="19" t="str">
        <f t="shared" si="23"/>
        <v/>
      </c>
      <c r="H34" s="21" t="str">
        <f t="shared" si="24"/>
        <v/>
      </c>
      <c r="J34" s="1086"/>
      <c r="K34" s="1087"/>
      <c r="L34" s="1088">
        <v>36.11</v>
      </c>
      <c r="M34" s="1118">
        <v>6900</v>
      </c>
      <c r="N34" s="492"/>
      <c r="O34" s="1090" t="s">
        <v>687</v>
      </c>
      <c r="P34" s="1089">
        <v>1390047</v>
      </c>
      <c r="Q34" s="492"/>
    </row>
    <row r="35" spans="3:17">
      <c r="C35" s="28">
        <f t="shared" si="20"/>
        <v>2</v>
      </c>
      <c r="D35" s="11" t="str">
        <f t="shared" si="20"/>
        <v>深圳天风天成资产管理有限公司</v>
      </c>
      <c r="E35" s="21">
        <f t="shared" si="21"/>
        <v>38.28</v>
      </c>
      <c r="F35" s="21">
        <f t="shared" si="22"/>
        <v>0.5</v>
      </c>
      <c r="G35" s="19">
        <f>IFERROR(VLOOKUP(D35,O$31:Q$40,2,FALSE)/10000,"")</f>
        <v>139.00470000000001</v>
      </c>
      <c r="H35" s="21">
        <f t="shared" si="24"/>
        <v>0.49999990590000004</v>
      </c>
      <c r="J35" s="1093">
        <v>2</v>
      </c>
      <c r="K35" s="1090" t="s">
        <v>560</v>
      </c>
      <c r="L35" s="1088">
        <v>38.28</v>
      </c>
      <c r="M35" s="1118">
        <v>5000</v>
      </c>
      <c r="N35" s="492"/>
      <c r="O35" s="1090" t="s">
        <v>684</v>
      </c>
      <c r="P35" s="1089">
        <v>1390047</v>
      </c>
      <c r="Q35" s="492"/>
    </row>
    <row r="36" spans="3:17">
      <c r="C36" s="28">
        <f t="shared" si="20"/>
        <v>3</v>
      </c>
      <c r="D36" s="11" t="str">
        <f t="shared" si="20"/>
        <v>叶本瑜</v>
      </c>
      <c r="E36" s="21">
        <f t="shared" si="21"/>
        <v>39.799999999999997</v>
      </c>
      <c r="F36" s="21">
        <f t="shared" si="22"/>
        <v>0.5</v>
      </c>
      <c r="G36" s="19">
        <f t="shared" ref="G36:G42" si="25">IFERROR(VLOOKUP(D36,O$31:Q$40,2,FALSE)/10000,"")</f>
        <v>139.00470000000001</v>
      </c>
      <c r="H36" s="21">
        <f t="shared" si="24"/>
        <v>0.49999990590000004</v>
      </c>
      <c r="J36" s="1093">
        <v>3</v>
      </c>
      <c r="K36" s="1090" t="s">
        <v>687</v>
      </c>
      <c r="L36" s="1088">
        <v>39.799999999999997</v>
      </c>
      <c r="M36" s="1118">
        <v>5000</v>
      </c>
      <c r="N36" s="492"/>
      <c r="O36" s="1090" t="s">
        <v>560</v>
      </c>
      <c r="P36" s="1089">
        <v>1390047</v>
      </c>
      <c r="Q36" s="492"/>
    </row>
    <row r="37" spans="3:17">
      <c r="C37" s="28">
        <f t="shared" si="20"/>
        <v>4</v>
      </c>
      <c r="D37" s="11" t="str">
        <f t="shared" si="20"/>
        <v>常州市新发展实业公司</v>
      </c>
      <c r="E37" s="21">
        <f t="shared" si="21"/>
        <v>37.799999999999997</v>
      </c>
      <c r="F37" s="21">
        <f t="shared" si="22"/>
        <v>0.5</v>
      </c>
      <c r="G37" s="19">
        <f t="shared" si="25"/>
        <v>139.00470000000001</v>
      </c>
      <c r="H37" s="21">
        <f t="shared" si="24"/>
        <v>0.49999990590000004</v>
      </c>
      <c r="J37" s="1093">
        <v>4</v>
      </c>
      <c r="K37" s="1090" t="s">
        <v>686</v>
      </c>
      <c r="L37" s="1088">
        <v>37.799999999999997</v>
      </c>
      <c r="M37" s="1118">
        <v>5000</v>
      </c>
      <c r="N37" s="492"/>
      <c r="O37" s="1090" t="s">
        <v>686</v>
      </c>
      <c r="P37" s="1089">
        <v>1390047</v>
      </c>
      <c r="Q37" s="492"/>
    </row>
    <row r="38" spans="3:17">
      <c r="C38" s="28">
        <f t="shared" si="20"/>
        <v>5</v>
      </c>
      <c r="D38" s="11" t="str">
        <f t="shared" si="20"/>
        <v>江苏虎甲投资有限公司</v>
      </c>
      <c r="E38" s="21">
        <f t="shared" si="21"/>
        <v>36.299999999999997</v>
      </c>
      <c r="F38" s="21">
        <f t="shared" si="22"/>
        <v>0.51</v>
      </c>
      <c r="G38" s="19">
        <f t="shared" si="25"/>
        <v>141.78479999999999</v>
      </c>
      <c r="H38" s="21">
        <f t="shared" si="24"/>
        <v>0.50999992559999996</v>
      </c>
      <c r="J38" s="1086">
        <v>5</v>
      </c>
      <c r="K38" s="1090" t="s">
        <v>685</v>
      </c>
      <c r="L38" s="1088">
        <v>36.299999999999997</v>
      </c>
      <c r="M38" s="1118">
        <v>5100</v>
      </c>
      <c r="N38" s="492"/>
      <c r="O38" s="1090" t="s">
        <v>666</v>
      </c>
      <c r="P38" s="1089">
        <v>1918265</v>
      </c>
      <c r="Q38" s="492"/>
    </row>
    <row r="39" spans="3:17">
      <c r="C39" s="28" t="str">
        <f t="shared" si="20"/>
        <v/>
      </c>
      <c r="D39" s="11" t="str">
        <f t="shared" si="20"/>
        <v/>
      </c>
      <c r="E39" s="21">
        <f t="shared" si="21"/>
        <v>36.200000000000003</v>
      </c>
      <c r="F39" s="21">
        <f t="shared" si="22"/>
        <v>0.51</v>
      </c>
      <c r="G39" s="19" t="str">
        <f t="shared" si="25"/>
        <v/>
      </c>
      <c r="H39" s="21" t="str">
        <f t="shared" si="24"/>
        <v/>
      </c>
      <c r="J39" s="1086"/>
      <c r="K39" s="1087"/>
      <c r="L39" s="1088">
        <v>36.200000000000003</v>
      </c>
      <c r="M39" s="1118">
        <v>5100</v>
      </c>
      <c r="N39" s="492"/>
      <c r="O39" s="1090" t="s">
        <v>685</v>
      </c>
      <c r="P39" s="1089">
        <v>1417848</v>
      </c>
      <c r="Q39" s="492"/>
    </row>
    <row r="40" spans="3:17">
      <c r="C40" s="28" t="str">
        <f t="shared" si="20"/>
        <v/>
      </c>
      <c r="D40" s="11" t="str">
        <f t="shared" si="20"/>
        <v/>
      </c>
      <c r="E40" s="21">
        <f t="shared" si="21"/>
        <v>36.1</v>
      </c>
      <c r="F40" s="21">
        <f t="shared" si="22"/>
        <v>0.51</v>
      </c>
      <c r="G40" s="19" t="str">
        <f t="shared" si="25"/>
        <v/>
      </c>
      <c r="H40" s="21" t="str">
        <f t="shared" si="24"/>
        <v/>
      </c>
      <c r="J40" s="1086"/>
      <c r="K40" s="1087"/>
      <c r="L40" s="1088">
        <v>36.1</v>
      </c>
      <c r="M40" s="1118">
        <v>5100</v>
      </c>
      <c r="N40" s="492"/>
      <c r="O40" s="1090" t="s">
        <v>115</v>
      </c>
      <c r="P40" s="1089">
        <v>1946066</v>
      </c>
      <c r="Q40" s="492"/>
    </row>
    <row r="41" spans="3:17">
      <c r="C41" s="28">
        <f t="shared" si="20"/>
        <v>6</v>
      </c>
      <c r="D41" s="11" t="str">
        <f t="shared" si="20"/>
        <v>财通基金管理有限公司</v>
      </c>
      <c r="E41" s="21">
        <f t="shared" si="21"/>
        <v>36</v>
      </c>
      <c r="F41" s="21">
        <f t="shared" si="22"/>
        <v>0.7</v>
      </c>
      <c r="G41" s="19">
        <f t="shared" si="25"/>
        <v>194.60659999999999</v>
      </c>
      <c r="H41" s="21">
        <f t="shared" si="24"/>
        <v>0.69999994019999989</v>
      </c>
      <c r="J41" s="1086">
        <v>6</v>
      </c>
      <c r="K41" s="1087" t="s">
        <v>115</v>
      </c>
      <c r="L41" s="1088">
        <v>36</v>
      </c>
      <c r="M41" s="1118">
        <v>7000</v>
      </c>
      <c r="N41" s="492"/>
      <c r="O41" s="492"/>
      <c r="P41" s="492"/>
      <c r="Q41" s="492"/>
    </row>
    <row r="42" spans="3:17">
      <c r="C42" s="28" t="str">
        <f t="shared" si="20"/>
        <v/>
      </c>
      <c r="D42" s="11" t="str">
        <f t="shared" si="20"/>
        <v/>
      </c>
      <c r="E42" s="21">
        <f t="shared" si="21"/>
        <v>35.97</v>
      </c>
      <c r="F42" s="21">
        <f t="shared" si="22"/>
        <v>0.7</v>
      </c>
      <c r="G42" s="19" t="str">
        <f t="shared" si="25"/>
        <v/>
      </c>
      <c r="H42" s="21" t="str">
        <f t="shared" si="24"/>
        <v/>
      </c>
      <c r="J42" s="1086"/>
      <c r="K42" s="1087"/>
      <c r="L42" s="1088">
        <v>35.97</v>
      </c>
      <c r="M42" s="1118">
        <v>7000</v>
      </c>
      <c r="N42" s="492"/>
      <c r="O42" s="492"/>
      <c r="P42" s="492"/>
      <c r="Q42" s="492"/>
    </row>
    <row r="43" spans="3:17">
      <c r="C43" s="28">
        <f t="shared" si="20"/>
        <v>7</v>
      </c>
      <c r="D43" s="11" t="str">
        <f t="shared" si="20"/>
        <v>徐海英</v>
      </c>
      <c r="E43" s="21">
        <f t="shared" si="21"/>
        <v>39</v>
      </c>
      <c r="F43" s="21">
        <f t="shared" si="22"/>
        <v>0.5</v>
      </c>
      <c r="G43" s="19">
        <f>IFERROR(VLOOKUP(D43,O$31:Q$40,2,FALSE)/10000,"")</f>
        <v>139.00470000000001</v>
      </c>
      <c r="H43" s="21">
        <f t="shared" si="24"/>
        <v>0.49999990590000004</v>
      </c>
      <c r="J43" s="1093">
        <v>7</v>
      </c>
      <c r="K43" s="1090" t="s">
        <v>684</v>
      </c>
      <c r="L43" s="1088">
        <v>39</v>
      </c>
      <c r="M43" s="1118">
        <v>5000</v>
      </c>
      <c r="N43" s="492"/>
      <c r="O43" s="492"/>
      <c r="P43" s="492"/>
      <c r="Q43" s="492"/>
    </row>
    <row r="44" spans="3:17">
      <c r="C44" s="28" t="str">
        <f t="shared" si="20"/>
        <v/>
      </c>
      <c r="J44" s="492"/>
      <c r="K44" s="492"/>
      <c r="L44" s="492"/>
      <c r="M44" s="492"/>
      <c r="N44" s="492"/>
      <c r="O44" s="492"/>
      <c r="P44" s="492"/>
      <c r="Q44" s="492"/>
    </row>
    <row r="45" spans="3:17">
      <c r="C45" s="28" t="str">
        <f t="shared" si="20"/>
        <v/>
      </c>
      <c r="D45" s="16" t="s">
        <v>327</v>
      </c>
      <c r="E45" s="16"/>
      <c r="F45" s="16"/>
      <c r="G45" s="17" t="s">
        <v>287</v>
      </c>
      <c r="H45" s="16" t="s">
        <v>289</v>
      </c>
      <c r="J45" s="492"/>
      <c r="K45" s="492"/>
      <c r="L45" s="492"/>
      <c r="M45" s="492"/>
      <c r="N45" s="492"/>
      <c r="O45" s="492"/>
      <c r="P45" s="492"/>
      <c r="Q45" s="492"/>
    </row>
    <row r="46" spans="3:17">
      <c r="C46" s="28" t="str">
        <f t="shared" si="20"/>
        <v/>
      </c>
      <c r="D46" s="37" t="s">
        <v>683</v>
      </c>
      <c r="E46" s="21"/>
      <c r="F46" s="21"/>
      <c r="G46" s="19">
        <f>IFERROR(VLOOKUP(D46,O$31:Q$37,2,FALSE)/10000,"")</f>
        <v>250.20849999999999</v>
      </c>
      <c r="H46" s="21">
        <f>IFERROR(G46*M$29/10000,"")</f>
        <v>0.89999997449999991</v>
      </c>
    </row>
    <row r="47" spans="3:17">
      <c r="C47" s="28" t="str">
        <f t="shared" si="20"/>
        <v/>
      </c>
      <c r="D47" s="37" t="s">
        <v>682</v>
      </c>
      <c r="E47" s="21"/>
      <c r="F47" s="21"/>
      <c r="G47" s="19">
        <f>IFERROR(VLOOKUP(D47,O$31:Q$37,2,FALSE)/10000,"")</f>
        <v>83.402799999999999</v>
      </c>
      <c r="H47" s="21">
        <f>IFERROR(G47*M$29/10000,"")</f>
        <v>0.29999987160000002</v>
      </c>
    </row>
    <row r="48" spans="3:17">
      <c r="J48" s="111"/>
      <c r="K48" s="108"/>
      <c r="L48" s="110"/>
      <c r="M48" s="109"/>
      <c r="N48" s="108"/>
    </row>
    <row r="49" spans="1:21">
      <c r="A49" s="24">
        <v>3</v>
      </c>
      <c r="B49" s="12" t="s">
        <v>106</v>
      </c>
      <c r="C49" s="12" t="s">
        <v>126</v>
      </c>
      <c r="D49" s="12" t="s">
        <v>107</v>
      </c>
      <c r="E49" s="12" t="s">
        <v>4</v>
      </c>
      <c r="F49" s="13" t="s">
        <v>108</v>
      </c>
      <c r="G49" s="13" t="s">
        <v>109</v>
      </c>
      <c r="H49" s="12" t="s">
        <v>274</v>
      </c>
      <c r="I49" s="12" t="s">
        <v>273</v>
      </c>
      <c r="J49" s="12" t="s">
        <v>116</v>
      </c>
      <c r="K49" s="14" t="s">
        <v>110</v>
      </c>
      <c r="L49" s="14" t="s">
        <v>276</v>
      </c>
      <c r="M49" s="14" t="s">
        <v>117</v>
      </c>
      <c r="N49" s="15" t="s">
        <v>275</v>
      </c>
      <c r="O49" s="12" t="s">
        <v>111</v>
      </c>
      <c r="P49" s="8" t="s">
        <v>12</v>
      </c>
      <c r="Q49" s="8" t="s">
        <v>190</v>
      </c>
      <c r="R49" s="15" t="s">
        <v>129</v>
      </c>
      <c r="S49" s="14" t="s">
        <v>220</v>
      </c>
    </row>
    <row r="50" spans="1:21">
      <c r="A50" s="24">
        <v>8</v>
      </c>
      <c r="B50" s="979">
        <v>33</v>
      </c>
      <c r="C50" s="9" t="s">
        <v>197</v>
      </c>
      <c r="D50" s="1" t="s">
        <v>99</v>
      </c>
      <c r="E50" s="1" t="s">
        <v>98</v>
      </c>
      <c r="F50" s="3">
        <v>29.2</v>
      </c>
      <c r="G50" s="3">
        <v>20.855999620799999</v>
      </c>
      <c r="H50" s="2">
        <v>42443</v>
      </c>
      <c r="I50" s="1001" t="s">
        <v>151</v>
      </c>
      <c r="J50" s="11">
        <v>58.3</v>
      </c>
      <c r="K50" s="3">
        <v>50.8</v>
      </c>
      <c r="L50" s="3">
        <f t="shared" ref="L50" si="26">K50/J50</f>
        <v>0.8713550600343053</v>
      </c>
      <c r="M50" s="3">
        <v>56.88</v>
      </c>
      <c r="N50" s="10">
        <f t="shared" ref="N50" si="27">M50/J50</f>
        <v>0.97564322469982856</v>
      </c>
      <c r="O50" s="1002">
        <v>5</v>
      </c>
      <c r="P50" s="1004">
        <v>42468</v>
      </c>
      <c r="Q50" s="1003">
        <v>83.65</v>
      </c>
      <c r="R50" s="18">
        <v>1.47</v>
      </c>
      <c r="S50" s="11" t="str">
        <f>S3</f>
        <v>不分配不转增</v>
      </c>
      <c r="T50" s="22">
        <f t="shared" ref="T50" si="28">IFERROR(RIGHT(LEFT(S50,FIND("股",S50)-1),(FIND("股",S50)-1-FIND("转",S50))),0)</f>
        <v>0</v>
      </c>
      <c r="U50" s="23">
        <f t="shared" ref="U50" si="29">IFERROR(RIGHT(LEFT(S50,FIND("元",S50)-1),(FIND("元",S50)-1-FIND("派",S50))),0)</f>
        <v>0</v>
      </c>
    </row>
    <row r="51" spans="1:21">
      <c r="B51" s="125"/>
      <c r="C51" s="129"/>
      <c r="D51" s="128"/>
      <c r="E51" s="128"/>
      <c r="F51" s="127"/>
      <c r="G51" s="127"/>
      <c r="H51" s="126"/>
      <c r="I51" s="125"/>
      <c r="K51" s="130"/>
      <c r="L51" s="130"/>
      <c r="M51" s="130"/>
      <c r="N51" s="5"/>
      <c r="O51" s="120"/>
      <c r="P51" s="124"/>
      <c r="Q51" s="5"/>
      <c r="R51" s="123"/>
      <c r="T51" s="28"/>
      <c r="U51" s="122"/>
    </row>
    <row r="52" spans="1:21" ht="14.5">
      <c r="C52" s="27" t="s">
        <v>118</v>
      </c>
      <c r="D52" s="16" t="s">
        <v>112</v>
      </c>
      <c r="E52" s="16" t="s">
        <v>113</v>
      </c>
      <c r="F52" s="16" t="s">
        <v>288</v>
      </c>
      <c r="G52" s="17" t="s">
        <v>287</v>
      </c>
      <c r="H52" s="16" t="s">
        <v>289</v>
      </c>
      <c r="J52" s="1075" t="s">
        <v>290</v>
      </c>
      <c r="K52" s="1075" t="s">
        <v>681</v>
      </c>
      <c r="L52" s="1006" t="s">
        <v>680</v>
      </c>
      <c r="M52" s="1006" t="s">
        <v>679</v>
      </c>
      <c r="N52" s="1033"/>
      <c r="O52" s="1096" t="s">
        <v>421</v>
      </c>
      <c r="P52" s="1006" t="s">
        <v>303</v>
      </c>
      <c r="Q52" s="1033"/>
    </row>
    <row r="53" spans="1:21">
      <c r="C53" s="28">
        <f t="shared" ref="C53:D59" si="30">IF(J53=0,"",J53)</f>
        <v>1</v>
      </c>
      <c r="D53" s="11" t="str">
        <f t="shared" si="30"/>
        <v>深圳新华富时资产管理有限公司</v>
      </c>
      <c r="E53" s="21">
        <f t="shared" ref="E53:E56" si="31">L53</f>
        <v>57.1</v>
      </c>
      <c r="F53" s="21">
        <f t="shared" ref="F53:F56" si="32">M53/10000</f>
        <v>3.9969999999999999</v>
      </c>
      <c r="G53" s="19">
        <f t="shared" ref="G53:G59" si="33">IFERROR(VLOOKUP(D53,O$52:Q$58,2,FALSE)/10000,"")</f>
        <v>700</v>
      </c>
      <c r="H53" s="21">
        <f t="shared" ref="H53:H59" si="34">IFERROR(G53*M$50/10000,"")</f>
        <v>3.9815999999999998</v>
      </c>
      <c r="J53" s="1093">
        <v>1</v>
      </c>
      <c r="K53" s="1090" t="s">
        <v>677</v>
      </c>
      <c r="L53" s="1088">
        <v>57.1</v>
      </c>
      <c r="M53" s="1118">
        <v>39970</v>
      </c>
      <c r="N53" s="492"/>
      <c r="O53" s="1014" t="s">
        <v>678</v>
      </c>
      <c r="P53" s="1089">
        <v>3666666</v>
      </c>
      <c r="Q53" s="492"/>
    </row>
    <row r="54" spans="1:21">
      <c r="C54" s="28">
        <f t="shared" si="30"/>
        <v>2</v>
      </c>
      <c r="D54" s="11" t="str">
        <f t="shared" si="30"/>
        <v>华富基金管理有限公司</v>
      </c>
      <c r="E54" s="21">
        <f t="shared" si="31"/>
        <v>56.88</v>
      </c>
      <c r="F54" s="21">
        <f t="shared" si="32"/>
        <v>3.9815999999999998</v>
      </c>
      <c r="G54" s="19">
        <f t="shared" si="33"/>
        <v>700</v>
      </c>
      <c r="H54" s="21">
        <f t="shared" si="34"/>
        <v>3.9815999999999998</v>
      </c>
      <c r="J54" s="1093">
        <v>2</v>
      </c>
      <c r="K54" s="1090" t="s">
        <v>314</v>
      </c>
      <c r="L54" s="1088">
        <v>56.88</v>
      </c>
      <c r="M54" s="1118">
        <v>39816</v>
      </c>
      <c r="N54" s="492"/>
      <c r="O54" s="1014" t="s">
        <v>148</v>
      </c>
      <c r="P54" s="1089">
        <v>12000000</v>
      </c>
      <c r="Q54" s="492"/>
    </row>
    <row r="55" spans="1:21">
      <c r="C55" s="28">
        <f t="shared" si="30"/>
        <v>3</v>
      </c>
      <c r="D55" s="11" t="str">
        <f t="shared" si="30"/>
        <v>泰达宏利基金管理有限公司</v>
      </c>
      <c r="E55" s="21">
        <f t="shared" si="31"/>
        <v>57.2</v>
      </c>
      <c r="F55" s="21">
        <f t="shared" si="32"/>
        <v>6.8639999999999999</v>
      </c>
      <c r="G55" s="19">
        <f t="shared" si="33"/>
        <v>1200</v>
      </c>
      <c r="H55" s="21">
        <f t="shared" si="34"/>
        <v>6.8255999999999997</v>
      </c>
      <c r="J55" s="1093">
        <v>3</v>
      </c>
      <c r="K55" s="1090" t="s">
        <v>148</v>
      </c>
      <c r="L55" s="1088">
        <v>57.2</v>
      </c>
      <c r="M55" s="1118">
        <v>68640</v>
      </c>
      <c r="N55" s="492"/>
      <c r="O55" s="1014" t="s">
        <v>417</v>
      </c>
      <c r="P55" s="1089">
        <v>7000000</v>
      </c>
      <c r="Q55" s="492"/>
    </row>
    <row r="56" spans="1:21">
      <c r="C56" s="28">
        <f t="shared" si="30"/>
        <v>4</v>
      </c>
      <c r="D56" s="11" t="str">
        <f t="shared" si="30"/>
        <v>民生加银基金管理有限公司</v>
      </c>
      <c r="E56" s="21">
        <f t="shared" si="31"/>
        <v>57.18</v>
      </c>
      <c r="F56" s="21">
        <f t="shared" si="32"/>
        <v>4.0026000000000002</v>
      </c>
      <c r="G56" s="19">
        <f t="shared" si="33"/>
        <v>700</v>
      </c>
      <c r="H56" s="21">
        <f t="shared" si="34"/>
        <v>3.9815999999999998</v>
      </c>
      <c r="J56" s="1093">
        <v>4</v>
      </c>
      <c r="K56" s="1090" t="s">
        <v>417</v>
      </c>
      <c r="L56" s="1088">
        <v>57.18</v>
      </c>
      <c r="M56" s="1118">
        <v>40026</v>
      </c>
      <c r="N56" s="492"/>
      <c r="O56" s="1090" t="s">
        <v>677</v>
      </c>
      <c r="P56" s="1196">
        <v>7000000</v>
      </c>
      <c r="Q56" s="492"/>
    </row>
    <row r="57" spans="1:21">
      <c r="C57" s="28" t="str">
        <f t="shared" si="30"/>
        <v/>
      </c>
      <c r="J57" s="492"/>
      <c r="K57" s="492"/>
      <c r="L57" s="492"/>
      <c r="M57" s="492"/>
      <c r="N57" s="492"/>
      <c r="O57" s="1014" t="s">
        <v>314</v>
      </c>
      <c r="P57" s="1089">
        <v>7000000</v>
      </c>
      <c r="Q57" s="492"/>
    </row>
    <row r="58" spans="1:21">
      <c r="C58" s="28" t="str">
        <f t="shared" si="30"/>
        <v/>
      </c>
      <c r="D58" s="16" t="s">
        <v>327</v>
      </c>
      <c r="E58" s="16"/>
      <c r="F58" s="16"/>
      <c r="G58" s="17" t="s">
        <v>287</v>
      </c>
      <c r="H58" s="16" t="s">
        <v>289</v>
      </c>
      <c r="J58" s="492"/>
      <c r="K58" s="492"/>
      <c r="L58" s="492"/>
      <c r="M58" s="492"/>
      <c r="N58" s="492"/>
      <c r="O58" s="492"/>
      <c r="P58" s="492"/>
      <c r="Q58" s="492"/>
    </row>
    <row r="59" spans="1:21">
      <c r="C59" s="28" t="str">
        <f t="shared" si="30"/>
        <v/>
      </c>
      <c r="D59" s="137" t="s">
        <v>676</v>
      </c>
      <c r="E59" s="21"/>
      <c r="F59" s="21"/>
      <c r="G59" s="19">
        <f t="shared" si="33"/>
        <v>366.66660000000002</v>
      </c>
      <c r="H59" s="21">
        <f t="shared" si="34"/>
        <v>2.0855996208000001</v>
      </c>
    </row>
    <row r="61" spans="1:21">
      <c r="A61" s="24">
        <v>4</v>
      </c>
      <c r="B61" s="12" t="s">
        <v>106</v>
      </c>
      <c r="C61" s="12" t="s">
        <v>126</v>
      </c>
      <c r="D61" s="12" t="s">
        <v>107</v>
      </c>
      <c r="E61" s="12" t="s">
        <v>4</v>
      </c>
      <c r="F61" s="13" t="s">
        <v>108</v>
      </c>
      <c r="G61" s="13" t="s">
        <v>109</v>
      </c>
      <c r="H61" s="12" t="s">
        <v>274</v>
      </c>
      <c r="I61" s="12" t="s">
        <v>273</v>
      </c>
      <c r="J61" s="12" t="s">
        <v>116</v>
      </c>
      <c r="K61" s="14" t="s">
        <v>110</v>
      </c>
      <c r="L61" s="14" t="s">
        <v>276</v>
      </c>
      <c r="M61" s="14" t="s">
        <v>117</v>
      </c>
      <c r="N61" s="15" t="s">
        <v>275</v>
      </c>
      <c r="O61" s="12" t="s">
        <v>111</v>
      </c>
      <c r="P61" s="8" t="s">
        <v>12</v>
      </c>
      <c r="Q61" s="8" t="s">
        <v>190</v>
      </c>
      <c r="R61" s="15" t="s">
        <v>129</v>
      </c>
      <c r="S61" s="14" t="s">
        <v>220</v>
      </c>
    </row>
    <row r="62" spans="1:21">
      <c r="A62" s="24">
        <v>8</v>
      </c>
      <c r="B62" s="979">
        <v>34</v>
      </c>
      <c r="C62" s="9" t="s">
        <v>198</v>
      </c>
      <c r="D62" s="1" t="s">
        <v>85</v>
      </c>
      <c r="E62" s="1" t="s">
        <v>84</v>
      </c>
      <c r="F62" s="3">
        <v>3.71</v>
      </c>
      <c r="G62" s="3">
        <v>3.7099997385000001</v>
      </c>
      <c r="H62" s="2">
        <v>42437</v>
      </c>
      <c r="I62" s="1001" t="s">
        <v>151</v>
      </c>
      <c r="J62" s="11">
        <v>77.64</v>
      </c>
      <c r="K62" s="3">
        <v>72.56</v>
      </c>
      <c r="L62" s="3">
        <f t="shared" ref="L62" si="35">K62/J62</f>
        <v>0.93456980937661005</v>
      </c>
      <c r="M62" s="3">
        <v>72.569999999999993</v>
      </c>
      <c r="N62" s="10">
        <f t="shared" ref="N62" si="36">M62/J62</f>
        <v>0.93469860896445123</v>
      </c>
      <c r="O62" s="1002">
        <v>2</v>
      </c>
      <c r="P62" s="1004">
        <v>42881</v>
      </c>
      <c r="Q62" s="1003">
        <v>26.38</v>
      </c>
      <c r="R62" s="18">
        <f t="shared" ref="R62" si="37">(Q62*(1+T62/10)+U62/10)/M62</f>
        <v>0.82548551054154617</v>
      </c>
      <c r="S62" s="11" t="s">
        <v>261</v>
      </c>
      <c r="T62" s="22" t="str">
        <f t="shared" ref="T62" si="38">IFERROR(RIGHT(LEFT(S62,FIND("股",S62)-1),(FIND("股",S62)-1-FIND("转",S62))),0)</f>
        <v>12.6167</v>
      </c>
      <c r="U62" s="23" t="str">
        <f t="shared" ref="U62" si="39">IFERROR(RIGHT(LEFT(S62,FIND("元",S62)-1),(FIND("元",S62)-1-FIND("派",S62))),0)</f>
        <v>2.426289</v>
      </c>
    </row>
    <row r="63" spans="1:21">
      <c r="B63" s="125"/>
      <c r="C63" s="129"/>
      <c r="D63" s="128"/>
      <c r="E63" s="128"/>
      <c r="F63" s="127"/>
      <c r="G63" s="127"/>
      <c r="H63" s="126"/>
      <c r="I63" s="125"/>
      <c r="K63" s="130"/>
      <c r="L63" s="130"/>
      <c r="M63" s="130"/>
      <c r="N63" s="5"/>
      <c r="O63" s="120"/>
      <c r="P63" s="124"/>
      <c r="Q63" s="5"/>
      <c r="R63" s="123"/>
      <c r="T63" s="28"/>
      <c r="U63" s="122"/>
    </row>
    <row r="64" spans="1:21" ht="17" customHeight="1">
      <c r="C64" s="16" t="s">
        <v>118</v>
      </c>
      <c r="D64" s="16" t="s">
        <v>112</v>
      </c>
      <c r="E64" s="16" t="s">
        <v>113</v>
      </c>
      <c r="F64" s="16" t="s">
        <v>288</v>
      </c>
      <c r="G64" s="17" t="s">
        <v>287</v>
      </c>
      <c r="H64" s="16" t="s">
        <v>289</v>
      </c>
      <c r="J64" s="1140"/>
      <c r="K64" s="1140" t="s">
        <v>675</v>
      </c>
      <c r="L64" s="1140" t="s">
        <v>674</v>
      </c>
      <c r="M64" s="1140" t="s">
        <v>364</v>
      </c>
      <c r="N64" s="1009"/>
      <c r="O64" s="1197" t="s">
        <v>331</v>
      </c>
      <c r="P64" s="1197" t="s">
        <v>673</v>
      </c>
      <c r="Q64" s="492"/>
    </row>
    <row r="65" spans="1:21" ht="15" customHeight="1">
      <c r="C65" s="24">
        <f t="shared" ref="C65:D67" si="40">IF(J65=0,"",J65)</f>
        <v>1</v>
      </c>
      <c r="D65" s="11" t="str">
        <f t="shared" si="40"/>
        <v>易方达基金管理有限公司</v>
      </c>
      <c r="E65" s="21">
        <f t="shared" ref="E65:E67" si="41">L65</f>
        <v>72.66</v>
      </c>
      <c r="F65" s="21">
        <f>M65/100000000</f>
        <v>3.7085283216000002</v>
      </c>
      <c r="G65" s="19">
        <f>IFERROR(VLOOKUP(D65,O$65:Q$67,2,FALSE)/10000,"")</f>
        <v>510.9905</v>
      </c>
      <c r="H65" s="1198">
        <f t="shared" ref="H65:H67" si="42">IFERROR(G65*M$62/10000,"")</f>
        <v>3.7082580584999998</v>
      </c>
      <c r="J65" s="1086">
        <v>1</v>
      </c>
      <c r="K65" s="1054" t="s">
        <v>225</v>
      </c>
      <c r="L65" s="1133">
        <v>72.66</v>
      </c>
      <c r="M65" s="1114">
        <v>370852832.16000003</v>
      </c>
      <c r="N65" s="492"/>
      <c r="O65" s="1199" t="s">
        <v>225</v>
      </c>
      <c r="P65" s="1055">
        <v>5109905</v>
      </c>
      <c r="Q65" s="492"/>
    </row>
    <row r="66" spans="1:21" ht="15" customHeight="1">
      <c r="C66" s="24" t="str">
        <f t="shared" si="40"/>
        <v/>
      </c>
      <c r="D66" s="11" t="str">
        <f t="shared" si="40"/>
        <v/>
      </c>
      <c r="E66" s="21">
        <f t="shared" si="41"/>
        <v>72.569999999999993</v>
      </c>
      <c r="F66" s="21">
        <f t="shared" ref="F66:F67" si="43">M66/100000000</f>
        <v>3.7082283048</v>
      </c>
      <c r="G66" s="19" t="str">
        <f>IFERROR(VLOOKUP(D66,O$65:Q$67,2,FALSE)/10000,"")</f>
        <v/>
      </c>
      <c r="H66" s="21" t="str">
        <f t="shared" si="42"/>
        <v/>
      </c>
      <c r="J66" s="1086"/>
      <c r="K66" s="1054"/>
      <c r="L66" s="1133">
        <v>72.569999999999993</v>
      </c>
      <c r="M66" s="1114">
        <v>370822830.48000002</v>
      </c>
      <c r="N66" s="492"/>
      <c r="O66" s="1199" t="s">
        <v>139</v>
      </c>
      <c r="P66" s="1055">
        <v>2400</v>
      </c>
      <c r="Q66" s="492"/>
    </row>
    <row r="67" spans="1:21" ht="15" customHeight="1">
      <c r="C67" s="24">
        <f t="shared" si="40"/>
        <v>2</v>
      </c>
      <c r="D67" s="11" t="str">
        <f t="shared" si="40"/>
        <v>汇添富基金管理股份有限公司</v>
      </c>
      <c r="E67" s="21">
        <f t="shared" si="41"/>
        <v>72.569999999999993</v>
      </c>
      <c r="F67" s="21">
        <f t="shared" si="43"/>
        <v>0.74199999999999999</v>
      </c>
      <c r="G67" s="1200">
        <f>IFERROR(VLOOKUP(D67,O$65:Q$67,2,FALSE)/10000,"")</f>
        <v>0.24</v>
      </c>
      <c r="H67" s="1198">
        <f t="shared" si="42"/>
        <v>1.7416799999999998E-3</v>
      </c>
      <c r="J67" s="1094">
        <v>2</v>
      </c>
      <c r="K67" s="1054" t="s">
        <v>139</v>
      </c>
      <c r="L67" s="1133">
        <v>72.569999999999993</v>
      </c>
      <c r="M67" s="1114">
        <v>74200000</v>
      </c>
      <c r="N67" s="492"/>
      <c r="O67" s="492"/>
      <c r="P67" s="492"/>
      <c r="Q67" s="492"/>
    </row>
    <row r="69" spans="1:21">
      <c r="A69" s="24">
        <v>5</v>
      </c>
      <c r="B69" s="12" t="s">
        <v>106</v>
      </c>
      <c r="C69" s="12" t="s">
        <v>126</v>
      </c>
      <c r="D69" s="12" t="s">
        <v>107</v>
      </c>
      <c r="E69" s="12" t="s">
        <v>4</v>
      </c>
      <c r="F69" s="13" t="s">
        <v>108</v>
      </c>
      <c r="G69" s="13" t="s">
        <v>109</v>
      </c>
      <c r="H69" s="12" t="s">
        <v>274</v>
      </c>
      <c r="I69" s="12" t="s">
        <v>273</v>
      </c>
      <c r="J69" s="12" t="s">
        <v>116</v>
      </c>
      <c r="K69" s="14" t="s">
        <v>110</v>
      </c>
      <c r="L69" s="14" t="s">
        <v>276</v>
      </c>
      <c r="M69" s="14" t="s">
        <v>117</v>
      </c>
      <c r="N69" s="15" t="s">
        <v>275</v>
      </c>
      <c r="O69" s="12" t="s">
        <v>111</v>
      </c>
      <c r="P69" s="8" t="s">
        <v>12</v>
      </c>
      <c r="Q69" s="8" t="s">
        <v>190</v>
      </c>
      <c r="R69" s="15" t="s">
        <v>129</v>
      </c>
      <c r="S69" s="14" t="s">
        <v>220</v>
      </c>
    </row>
    <row r="70" spans="1:21">
      <c r="A70" s="24">
        <v>8</v>
      </c>
      <c r="B70" s="979">
        <v>35</v>
      </c>
      <c r="C70" s="9" t="s">
        <v>199</v>
      </c>
      <c r="D70" s="1" t="s">
        <v>29</v>
      </c>
      <c r="E70" s="1" t="s">
        <v>28</v>
      </c>
      <c r="F70" s="3">
        <v>50</v>
      </c>
      <c r="G70" s="3">
        <v>49.999999888799998</v>
      </c>
      <c r="H70" s="2">
        <v>42461</v>
      </c>
      <c r="I70" s="979" t="s">
        <v>200</v>
      </c>
      <c r="J70" s="11">
        <v>15.04</v>
      </c>
      <c r="K70" s="3">
        <v>15.08</v>
      </c>
      <c r="L70" s="3">
        <f t="shared" ref="L70" si="44">K70/J70</f>
        <v>1.0026595744680851</v>
      </c>
      <c r="M70" s="3">
        <v>15.08</v>
      </c>
      <c r="N70" s="10">
        <f t="shared" ref="N70" si="45">M70/J70</f>
        <v>1.0026595744680851</v>
      </c>
      <c r="O70" s="1002">
        <v>1</v>
      </c>
      <c r="P70" s="1004">
        <v>42838</v>
      </c>
      <c r="Q70" s="1003">
        <v>13.92</v>
      </c>
      <c r="R70" s="18">
        <f t="shared" ref="R70" si="46">(Q70*(1+T70/10)+U70/10)/M70</f>
        <v>0.97612732095490717</v>
      </c>
      <c r="S70" s="11" t="s">
        <v>262</v>
      </c>
      <c r="T70" s="22">
        <f t="shared" ref="T70" si="47">IFERROR(RIGHT(LEFT(S70,FIND("股",S70)-1),(FIND("股",S70)-1-FIND("转",S70))),0)</f>
        <v>0</v>
      </c>
      <c r="U70" s="23" t="str">
        <f t="shared" ref="U70" si="48">IFERROR(RIGHT(LEFT(S70,FIND("元",S70)-1),(FIND("元",S70)-1-FIND("派",S70))),0)</f>
        <v>8.00</v>
      </c>
    </row>
    <row r="71" spans="1:21">
      <c r="B71" s="125"/>
      <c r="C71" s="129"/>
      <c r="D71" s="128"/>
      <c r="E71" s="128"/>
      <c r="F71" s="127"/>
      <c r="G71" s="127"/>
      <c r="H71" s="126"/>
      <c r="I71" s="125"/>
      <c r="K71" s="130"/>
      <c r="L71" s="130"/>
      <c r="M71" s="130"/>
      <c r="N71" s="5"/>
      <c r="O71" s="120"/>
      <c r="P71" s="124"/>
      <c r="Q71" s="5"/>
      <c r="R71" s="123"/>
      <c r="T71" s="28"/>
      <c r="U71" s="122"/>
    </row>
    <row r="72" spans="1:21" ht="18" customHeight="1">
      <c r="C72" s="27" t="s">
        <v>118</v>
      </c>
      <c r="D72" s="16" t="s">
        <v>112</v>
      </c>
      <c r="E72" s="16" t="s">
        <v>113</v>
      </c>
      <c r="F72" s="16" t="s">
        <v>288</v>
      </c>
      <c r="G72" s="17" t="s">
        <v>287</v>
      </c>
      <c r="H72" s="16" t="s">
        <v>289</v>
      </c>
      <c r="J72" s="1005" t="s">
        <v>118</v>
      </c>
      <c r="K72" s="1110" t="s">
        <v>340</v>
      </c>
      <c r="L72" s="1112" t="s">
        <v>672</v>
      </c>
      <c r="M72" s="1197" t="s">
        <v>330</v>
      </c>
      <c r="N72" s="1197"/>
      <c r="O72" s="1075" t="s">
        <v>291</v>
      </c>
      <c r="P72" s="1006" t="s">
        <v>374</v>
      </c>
      <c r="Q72" s="1033"/>
    </row>
    <row r="73" spans="1:21" ht="21" customHeight="1">
      <c r="C73" s="28" t="str">
        <f t="shared" ref="C73:D73" si="49">IF(J73=0,"",J73)</f>
        <v/>
      </c>
      <c r="D73" s="11" t="str">
        <f t="shared" si="49"/>
        <v>申万宏源证券有限公司</v>
      </c>
      <c r="E73" s="21">
        <f t="shared" ref="E73" si="50">L73</f>
        <v>15.08</v>
      </c>
      <c r="F73" s="21">
        <f>M73/100000000</f>
        <v>49.999999888799998</v>
      </c>
      <c r="G73" s="19">
        <f>IFERROR(VLOOKUP(D73,O$73:Q$78,2,FALSE)/10000,"")</f>
        <v>33156.498599999999</v>
      </c>
      <c r="H73" s="21">
        <f t="shared" ref="H73" si="51">IFERROR(G73*M$70/10000,"")</f>
        <v>49.999999888799998</v>
      </c>
      <c r="J73" s="492"/>
      <c r="K73" s="1201" t="s">
        <v>552</v>
      </c>
      <c r="L73" s="1202">
        <v>15.08</v>
      </c>
      <c r="M73" s="1203">
        <v>4999999988.8800001</v>
      </c>
      <c r="N73" s="1203"/>
      <c r="O73" s="1201" t="s">
        <v>552</v>
      </c>
      <c r="P73" s="492">
        <v>331564986</v>
      </c>
      <c r="Q73" s="492"/>
    </row>
    <row r="74" spans="1:21">
      <c r="J74" s="33"/>
      <c r="K74" s="34"/>
      <c r="L74" s="35"/>
      <c r="M74" s="36"/>
    </row>
    <row r="75" spans="1:21">
      <c r="A75" s="24">
        <v>6</v>
      </c>
      <c r="B75" s="12" t="s">
        <v>106</v>
      </c>
      <c r="C75" s="12" t="s">
        <v>126</v>
      </c>
      <c r="D75" s="12" t="s">
        <v>107</v>
      </c>
      <c r="E75" s="12" t="s">
        <v>4</v>
      </c>
      <c r="F75" s="13" t="s">
        <v>108</v>
      </c>
      <c r="G75" s="13" t="s">
        <v>109</v>
      </c>
      <c r="H75" s="12" t="s">
        <v>274</v>
      </c>
      <c r="I75" s="12" t="s">
        <v>273</v>
      </c>
      <c r="J75" s="12" t="s">
        <v>116</v>
      </c>
      <c r="K75" s="14" t="s">
        <v>110</v>
      </c>
      <c r="L75" s="14" t="s">
        <v>276</v>
      </c>
      <c r="M75" s="14" t="s">
        <v>117</v>
      </c>
      <c r="N75" s="15" t="s">
        <v>275</v>
      </c>
      <c r="O75" s="29" t="s">
        <v>111</v>
      </c>
      <c r="P75" s="30" t="s">
        <v>12</v>
      </c>
      <c r="Q75" s="8" t="s">
        <v>190</v>
      </c>
      <c r="R75" s="15" t="s">
        <v>129</v>
      </c>
      <c r="S75" s="14" t="s">
        <v>220</v>
      </c>
    </row>
    <row r="76" spans="1:21">
      <c r="A76" s="24">
        <v>8</v>
      </c>
      <c r="B76" s="979">
        <v>36</v>
      </c>
      <c r="C76" s="9" t="s">
        <v>201</v>
      </c>
      <c r="D76" s="1" t="s">
        <v>79</v>
      </c>
      <c r="E76" s="1" t="s">
        <v>78</v>
      </c>
      <c r="F76" s="3">
        <v>16.5</v>
      </c>
      <c r="G76" s="3">
        <v>16.499999942399999</v>
      </c>
      <c r="H76" s="2">
        <v>42446</v>
      </c>
      <c r="I76" s="979" t="s">
        <v>202</v>
      </c>
      <c r="J76" s="11">
        <v>6.7</v>
      </c>
      <c r="K76" s="3">
        <v>6.06</v>
      </c>
      <c r="L76" s="3">
        <f t="shared" ref="L76" si="52">K76/J76</f>
        <v>0.90447761194029841</v>
      </c>
      <c r="M76" s="3">
        <v>6.08</v>
      </c>
      <c r="N76" s="10">
        <f t="shared" ref="N76" si="53">M76/J76</f>
        <v>0.90746268656716411</v>
      </c>
      <c r="O76" s="1002">
        <v>6</v>
      </c>
      <c r="P76" s="1004">
        <v>42838</v>
      </c>
      <c r="Q76" s="1003">
        <v>6.7</v>
      </c>
      <c r="R76" s="18">
        <f t="shared" ref="R76" si="54">(Q76*(1+T76/10)+U76/10)/M76</f>
        <v>1.1019736842105263</v>
      </c>
      <c r="S76" s="11" t="s">
        <v>223</v>
      </c>
      <c r="T76" s="22">
        <f t="shared" ref="T76" si="55">IFERROR(RIGHT(LEFT(S76,FIND("股",S76)-1),(FIND("股",S76)-1-FIND("转",S76))),0)</f>
        <v>0</v>
      </c>
      <c r="U76" s="23">
        <f t="shared" ref="U76" si="56">IFERROR(RIGHT(LEFT(S76,FIND("元",S76)-1),(FIND("元",S76)-1-FIND("派",S76))),0)</f>
        <v>0</v>
      </c>
    </row>
    <row r="77" spans="1:21">
      <c r="B77" s="125"/>
      <c r="C77" s="129"/>
      <c r="D77" s="128"/>
      <c r="E77" s="128"/>
      <c r="F77" s="127"/>
      <c r="G77" s="127"/>
      <c r="H77" s="126"/>
      <c r="I77" s="125"/>
      <c r="K77" s="130"/>
      <c r="L77" s="130"/>
      <c r="M77" s="130"/>
      <c r="N77" s="5"/>
      <c r="O77" s="120"/>
      <c r="P77" s="124"/>
      <c r="Q77" s="5"/>
      <c r="R77" s="123"/>
      <c r="T77" s="28"/>
      <c r="U77" s="122"/>
    </row>
    <row r="78" spans="1:21" ht="14.5">
      <c r="C78" s="27" t="s">
        <v>118</v>
      </c>
      <c r="D78" s="16" t="s">
        <v>112</v>
      </c>
      <c r="E78" s="16" t="s">
        <v>113</v>
      </c>
      <c r="F78" s="16" t="s">
        <v>288</v>
      </c>
      <c r="G78" s="17" t="s">
        <v>287</v>
      </c>
      <c r="H78" s="16" t="s">
        <v>289</v>
      </c>
      <c r="J78" s="1007" t="s">
        <v>671</v>
      </c>
      <c r="K78" s="1140" t="s">
        <v>345</v>
      </c>
      <c r="L78" s="1007" t="s">
        <v>341</v>
      </c>
      <c r="M78" s="1007" t="s">
        <v>308</v>
      </c>
      <c r="N78" s="1033"/>
      <c r="O78" s="1075" t="s">
        <v>291</v>
      </c>
      <c r="P78" s="1108" t="s">
        <v>374</v>
      </c>
      <c r="Q78" s="1108"/>
    </row>
    <row r="79" spans="1:21" ht="15.5">
      <c r="C79" s="28">
        <f t="shared" ref="C79:D88" si="57">IF(J79=0,"",J79)</f>
        <v>1</v>
      </c>
      <c r="D79" s="11" t="str">
        <f t="shared" si="57"/>
        <v>华安未来资产管理（上海）有限公司</v>
      </c>
      <c r="E79" s="21">
        <f t="shared" ref="E79:E88" si="58">L79</f>
        <v>6.08</v>
      </c>
      <c r="F79" s="21">
        <f t="shared" ref="F79:F88" si="59">M79/10000</f>
        <v>3</v>
      </c>
      <c r="G79" s="19">
        <f t="shared" ref="G79:G88" si="60">IFERROR(VLOOKUP(D79,O$79:R$88,2,FALSE)/10000,"")</f>
        <v>2319.0792000000001</v>
      </c>
      <c r="H79" s="21">
        <f t="shared" ref="H79:H88" si="61">IFERROR(G79*M$76/10000,"")</f>
        <v>1.4100001536000002</v>
      </c>
      <c r="J79" s="1024">
        <v>1</v>
      </c>
      <c r="K79" s="1204" t="s">
        <v>358</v>
      </c>
      <c r="L79" s="1122">
        <v>6.08</v>
      </c>
      <c r="M79" s="1123">
        <v>30000</v>
      </c>
      <c r="N79" s="492"/>
      <c r="O79" s="1073" t="s">
        <v>670</v>
      </c>
      <c r="P79" s="1205">
        <v>91282894</v>
      </c>
      <c r="Q79" s="1205"/>
    </row>
    <row r="80" spans="1:21" ht="15.5">
      <c r="C80" s="28">
        <f t="shared" si="57"/>
        <v>2</v>
      </c>
      <c r="D80" s="11" t="str">
        <f t="shared" si="57"/>
        <v>东海基金管理有限责任公司</v>
      </c>
      <c r="E80" s="21">
        <f t="shared" si="58"/>
        <v>6.08</v>
      </c>
      <c r="F80" s="21">
        <f t="shared" si="59"/>
        <v>3.3</v>
      </c>
      <c r="G80" s="19">
        <f t="shared" si="60"/>
        <v>5427.6315000000004</v>
      </c>
      <c r="H80" s="21">
        <f t="shared" si="61"/>
        <v>3.2999999520000003</v>
      </c>
      <c r="J80" s="1024">
        <v>2</v>
      </c>
      <c r="K80" s="1204" t="s">
        <v>128</v>
      </c>
      <c r="L80" s="1122">
        <v>6.08</v>
      </c>
      <c r="M80" s="1123">
        <v>33000</v>
      </c>
      <c r="N80" s="492"/>
      <c r="O80" s="1073" t="s">
        <v>664</v>
      </c>
      <c r="P80" s="1205">
        <v>27302631</v>
      </c>
      <c r="Q80" s="1205"/>
    </row>
    <row r="81" spans="1:21" ht="15.5">
      <c r="C81" s="28">
        <f t="shared" si="57"/>
        <v>3</v>
      </c>
      <c r="D81" s="11" t="str">
        <f t="shared" si="57"/>
        <v>深圳市创新投资集团有限公司</v>
      </c>
      <c r="E81" s="21">
        <f t="shared" si="58"/>
        <v>6.2</v>
      </c>
      <c r="F81" s="21">
        <f t="shared" si="59"/>
        <v>1.66</v>
      </c>
      <c r="G81" s="19">
        <f t="shared" si="60"/>
        <v>2730.2631000000001</v>
      </c>
      <c r="H81" s="21">
        <f t="shared" si="61"/>
        <v>1.6599999648000001</v>
      </c>
      <c r="J81" s="1024">
        <v>3</v>
      </c>
      <c r="K81" s="1204" t="s">
        <v>664</v>
      </c>
      <c r="L81" s="1122">
        <v>6.2</v>
      </c>
      <c r="M81" s="1123">
        <v>16600</v>
      </c>
      <c r="N81" s="492"/>
      <c r="O81" s="1073" t="s">
        <v>285</v>
      </c>
      <c r="P81" s="1205">
        <v>27138157</v>
      </c>
      <c r="Q81" s="1205"/>
    </row>
    <row r="82" spans="1:21" ht="15.5">
      <c r="C82" s="28">
        <f t="shared" si="57"/>
        <v>4</v>
      </c>
      <c r="D82" s="11" t="str">
        <f t="shared" si="57"/>
        <v>财通基金管理有限公司</v>
      </c>
      <c r="E82" s="21">
        <f t="shared" si="58"/>
        <v>6.1</v>
      </c>
      <c r="F82" s="21">
        <f t="shared" si="59"/>
        <v>2.93</v>
      </c>
      <c r="G82" s="19">
        <f t="shared" si="60"/>
        <v>4819.0789000000004</v>
      </c>
      <c r="H82" s="21">
        <f t="shared" si="61"/>
        <v>2.9299999712000004</v>
      </c>
      <c r="J82" s="1030">
        <v>4</v>
      </c>
      <c r="K82" s="1121" t="s">
        <v>115</v>
      </c>
      <c r="L82" s="1122">
        <v>6.1</v>
      </c>
      <c r="M82" s="1123">
        <v>29300</v>
      </c>
      <c r="N82" s="492"/>
      <c r="O82" s="1073" t="s">
        <v>115</v>
      </c>
      <c r="P82" s="1205">
        <v>48190789</v>
      </c>
      <c r="Q82" s="1205"/>
    </row>
    <row r="83" spans="1:21" ht="15.5">
      <c r="C83" s="28" t="str">
        <f t="shared" si="57"/>
        <v/>
      </c>
      <c r="D83" s="11" t="str">
        <f t="shared" si="57"/>
        <v/>
      </c>
      <c r="E83" s="21">
        <f t="shared" si="58"/>
        <v>6.07</v>
      </c>
      <c r="F83" s="21">
        <f t="shared" si="59"/>
        <v>2.96</v>
      </c>
      <c r="G83" s="19" t="str">
        <f t="shared" si="60"/>
        <v/>
      </c>
      <c r="H83" s="21" t="str">
        <f t="shared" si="61"/>
        <v/>
      </c>
      <c r="J83" s="1030"/>
      <c r="K83" s="1121"/>
      <c r="L83" s="1122">
        <v>6.07</v>
      </c>
      <c r="M83" s="1123">
        <v>29600</v>
      </c>
      <c r="N83" s="492"/>
      <c r="O83" s="1073" t="s">
        <v>128</v>
      </c>
      <c r="P83" s="1205">
        <v>54276315</v>
      </c>
      <c r="Q83" s="1205"/>
    </row>
    <row r="84" spans="1:21" ht="15.5">
      <c r="C84" s="28" t="str">
        <f t="shared" si="57"/>
        <v/>
      </c>
      <c r="D84" s="11" t="str">
        <f t="shared" si="57"/>
        <v/>
      </c>
      <c r="E84" s="21">
        <f t="shared" si="58"/>
        <v>6.06</v>
      </c>
      <c r="F84" s="21">
        <f t="shared" si="59"/>
        <v>2.96</v>
      </c>
      <c r="G84" s="19" t="str">
        <f t="shared" si="60"/>
        <v/>
      </c>
      <c r="H84" s="21" t="str">
        <f t="shared" si="61"/>
        <v/>
      </c>
      <c r="J84" s="1030"/>
      <c r="K84" s="1121"/>
      <c r="L84" s="1122">
        <v>6.06</v>
      </c>
      <c r="M84" s="1123">
        <v>29600</v>
      </c>
      <c r="N84" s="492"/>
      <c r="O84" s="1073" t="s">
        <v>358</v>
      </c>
      <c r="P84" s="1205">
        <v>23190792</v>
      </c>
      <c r="Q84" s="1205"/>
    </row>
    <row r="85" spans="1:21" ht="15.5">
      <c r="C85" s="28">
        <f t="shared" si="57"/>
        <v>5</v>
      </c>
      <c r="D85" s="11" t="str">
        <f t="shared" si="57"/>
        <v>鹏华资产管理（深圳）有限公司</v>
      </c>
      <c r="E85" s="21">
        <f t="shared" si="58"/>
        <v>6.18</v>
      </c>
      <c r="F85" s="21">
        <f t="shared" si="59"/>
        <v>1.65</v>
      </c>
      <c r="G85" s="19">
        <f t="shared" si="60"/>
        <v>2713.8157000000001</v>
      </c>
      <c r="H85" s="21">
        <f t="shared" si="61"/>
        <v>1.6499999456000001</v>
      </c>
      <c r="J85" s="1030">
        <v>5</v>
      </c>
      <c r="K85" s="1121" t="s">
        <v>285</v>
      </c>
      <c r="L85" s="1122">
        <v>6.18</v>
      </c>
      <c r="M85" s="1123">
        <v>16500</v>
      </c>
      <c r="N85" s="492"/>
      <c r="O85" s="492"/>
      <c r="P85" s="492"/>
      <c r="Q85" s="492"/>
    </row>
    <row r="86" spans="1:21" ht="15.5">
      <c r="C86" s="28" t="str">
        <f t="shared" si="57"/>
        <v/>
      </c>
      <c r="D86" s="11" t="str">
        <f t="shared" si="57"/>
        <v/>
      </c>
      <c r="E86" s="21">
        <f t="shared" si="58"/>
        <v>6.13</v>
      </c>
      <c r="F86" s="21">
        <f t="shared" si="59"/>
        <v>1.65</v>
      </c>
      <c r="G86" s="19" t="str">
        <f t="shared" si="60"/>
        <v/>
      </c>
      <c r="H86" s="21" t="str">
        <f t="shared" si="61"/>
        <v/>
      </c>
      <c r="J86" s="1030"/>
      <c r="K86" s="1121"/>
      <c r="L86" s="1122">
        <v>6.13</v>
      </c>
      <c r="M86" s="1123">
        <v>16500</v>
      </c>
      <c r="N86" s="492"/>
      <c r="O86" s="492"/>
      <c r="P86" s="492"/>
      <c r="Q86" s="492"/>
    </row>
    <row r="87" spans="1:21" ht="15.5">
      <c r="C87" s="28" t="str">
        <f t="shared" si="57"/>
        <v/>
      </c>
      <c r="D87" s="11" t="str">
        <f t="shared" si="57"/>
        <v/>
      </c>
      <c r="E87" s="21">
        <f t="shared" si="58"/>
        <v>6.08</v>
      </c>
      <c r="F87" s="21">
        <f t="shared" si="59"/>
        <v>1.65</v>
      </c>
      <c r="G87" s="19" t="str">
        <f t="shared" si="60"/>
        <v/>
      </c>
      <c r="H87" s="21" t="str">
        <f t="shared" si="61"/>
        <v/>
      </c>
      <c r="J87" s="1030"/>
      <c r="K87" s="1121"/>
      <c r="L87" s="1122">
        <v>6.08</v>
      </c>
      <c r="M87" s="1123">
        <v>16500</v>
      </c>
      <c r="N87" s="492"/>
      <c r="O87" s="492"/>
      <c r="P87" s="492"/>
      <c r="Q87" s="492"/>
    </row>
    <row r="88" spans="1:21" ht="15.5">
      <c r="C88" s="28">
        <f t="shared" si="57"/>
        <v>6</v>
      </c>
      <c r="D88" s="11" t="str">
        <f t="shared" si="57"/>
        <v>祥源控股集团有限责任公司</v>
      </c>
      <c r="E88" s="21">
        <f t="shared" si="58"/>
        <v>6.06</v>
      </c>
      <c r="F88" s="21">
        <f t="shared" si="59"/>
        <v>1.65</v>
      </c>
      <c r="G88" s="19" t="str">
        <f t="shared" si="60"/>
        <v/>
      </c>
      <c r="H88" s="21" t="str">
        <f t="shared" si="61"/>
        <v/>
      </c>
      <c r="J88" s="1024">
        <v>6</v>
      </c>
      <c r="K88" s="1204" t="s">
        <v>669</v>
      </c>
      <c r="L88" s="1122">
        <v>6.06</v>
      </c>
      <c r="M88" s="1123">
        <v>16500</v>
      </c>
      <c r="N88" s="492"/>
      <c r="O88" s="492"/>
      <c r="P88" s="492"/>
      <c r="Q88" s="492"/>
    </row>
    <row r="89" spans="1:21" ht="15.5">
      <c r="C89" s="28"/>
      <c r="D89" s="1496" t="s">
        <v>327</v>
      </c>
      <c r="E89" s="1497"/>
      <c r="F89" s="1497"/>
      <c r="G89" s="1497"/>
      <c r="H89" s="1498"/>
      <c r="J89" s="1024"/>
      <c r="K89" s="1204"/>
      <c r="L89" s="1122"/>
      <c r="M89" s="1123"/>
      <c r="N89" s="492"/>
      <c r="O89" s="492"/>
      <c r="P89" s="492"/>
      <c r="Q89" s="492"/>
    </row>
    <row r="90" spans="1:21" ht="15.5">
      <c r="C90" s="28"/>
      <c r="D90" s="11" t="str">
        <f>O79</f>
        <v>罗牛山集团有限公司</v>
      </c>
      <c r="E90" s="21"/>
      <c r="F90" s="21"/>
      <c r="G90" s="19">
        <f t="shared" ref="G90" si="62">IFERROR(VLOOKUP(D90,O$79:R$88,2,FALSE)/10000,"")</f>
        <v>9128.2893999999997</v>
      </c>
      <c r="H90" s="21">
        <f t="shared" ref="H90" si="63">IFERROR(G90*M$76/10000,"")</f>
        <v>5.5499999552000006</v>
      </c>
      <c r="J90" s="1024"/>
      <c r="K90" s="1204"/>
      <c r="L90" s="1122"/>
      <c r="M90" s="1123"/>
      <c r="N90" s="492"/>
      <c r="O90" s="492"/>
      <c r="P90" s="492"/>
      <c r="Q90" s="492"/>
    </row>
    <row r="92" spans="1:21">
      <c r="A92" s="24">
        <v>7</v>
      </c>
      <c r="B92" s="12" t="s">
        <v>106</v>
      </c>
      <c r="C92" s="12" t="s">
        <v>126</v>
      </c>
      <c r="D92" s="12" t="s">
        <v>107</v>
      </c>
      <c r="E92" s="12" t="s">
        <v>4</v>
      </c>
      <c r="F92" s="13" t="s">
        <v>108</v>
      </c>
      <c r="G92" s="13" t="s">
        <v>109</v>
      </c>
      <c r="H92" s="12" t="s">
        <v>274</v>
      </c>
      <c r="I92" s="12" t="s">
        <v>273</v>
      </c>
      <c r="J92" s="12" t="s">
        <v>116</v>
      </c>
      <c r="K92" s="14" t="s">
        <v>110</v>
      </c>
      <c r="L92" s="14" t="s">
        <v>276</v>
      </c>
      <c r="M92" s="14" t="s">
        <v>117</v>
      </c>
      <c r="N92" s="15" t="s">
        <v>275</v>
      </c>
      <c r="O92" s="12" t="s">
        <v>111</v>
      </c>
      <c r="P92" s="8" t="s">
        <v>12</v>
      </c>
      <c r="Q92" s="8" t="s">
        <v>190</v>
      </c>
      <c r="R92" s="15" t="s">
        <v>129</v>
      </c>
      <c r="S92" s="14" t="s">
        <v>220</v>
      </c>
    </row>
    <row r="93" spans="1:21">
      <c r="A93" s="24">
        <v>8</v>
      </c>
      <c r="B93" s="979">
        <v>37</v>
      </c>
      <c r="C93" s="9" t="s">
        <v>203</v>
      </c>
      <c r="D93" s="1" t="s">
        <v>43</v>
      </c>
      <c r="E93" s="1" t="s">
        <v>42</v>
      </c>
      <c r="F93" s="3">
        <v>5.9749999999999996</v>
      </c>
      <c r="G93" s="3">
        <v>5.9749998770000001</v>
      </c>
      <c r="H93" s="2">
        <v>42452</v>
      </c>
      <c r="I93" s="979" t="s">
        <v>204</v>
      </c>
      <c r="J93" s="11">
        <v>18.46</v>
      </c>
      <c r="K93" s="3">
        <v>15.2</v>
      </c>
      <c r="L93" s="3">
        <f t="shared" ref="L93" si="64">K93/J93</f>
        <v>0.8234019501625135</v>
      </c>
      <c r="M93" s="3">
        <v>16.66</v>
      </c>
      <c r="N93" s="10">
        <f t="shared" ref="N93" si="65">M93/J93</f>
        <v>0.90249187432286015</v>
      </c>
      <c r="O93" s="1002">
        <v>7</v>
      </c>
      <c r="P93" s="1004">
        <v>42839</v>
      </c>
      <c r="Q93" s="1003">
        <v>13.24</v>
      </c>
      <c r="R93" s="18">
        <f t="shared" ref="R93" si="66">(Q93*(1+T93/10)+U93/10)/M93</f>
        <v>1.201080432172869</v>
      </c>
      <c r="S93" s="11" t="s">
        <v>263</v>
      </c>
      <c r="T93" s="22" t="str">
        <f t="shared" ref="T93" si="67">IFERROR(RIGHT(LEFT(S93,FIND("股",S93)-1),(FIND("股",S93)-1-FIND("转",S93))),0)</f>
        <v>5</v>
      </c>
      <c r="U93" s="23" t="str">
        <f t="shared" ref="U93" si="68">IFERROR(RIGHT(LEFT(S93,FIND("元",S93)-1),(FIND("元",S93)-1-FIND("派",S93))),0)</f>
        <v>1.5</v>
      </c>
    </row>
    <row r="94" spans="1:21">
      <c r="B94" s="125"/>
      <c r="C94" s="129"/>
      <c r="D94" s="128"/>
      <c r="E94" s="128"/>
      <c r="F94" s="127"/>
      <c r="G94" s="127"/>
      <c r="H94" s="126"/>
      <c r="I94" s="125"/>
      <c r="K94" s="130"/>
      <c r="L94" s="130"/>
      <c r="M94" s="130"/>
      <c r="N94" s="5"/>
      <c r="O94" s="120"/>
      <c r="P94" s="124"/>
      <c r="Q94" s="5"/>
      <c r="R94" s="123"/>
      <c r="T94" s="28"/>
      <c r="U94" s="122"/>
    </row>
    <row r="95" spans="1:21" ht="14.5">
      <c r="C95" s="27" t="s">
        <v>118</v>
      </c>
      <c r="D95" s="16" t="s">
        <v>112</v>
      </c>
      <c r="E95" s="16" t="s">
        <v>113</v>
      </c>
      <c r="F95" s="16" t="s">
        <v>288</v>
      </c>
      <c r="G95" s="17" t="s">
        <v>287</v>
      </c>
      <c r="H95" s="16" t="s">
        <v>289</v>
      </c>
      <c r="J95" s="1206" t="s">
        <v>343</v>
      </c>
      <c r="K95" s="1206" t="s">
        <v>375</v>
      </c>
      <c r="L95" s="1007" t="s">
        <v>668</v>
      </c>
      <c r="M95" s="1007" t="s">
        <v>667</v>
      </c>
      <c r="N95" s="1033" t="s">
        <v>536</v>
      </c>
      <c r="O95" s="1075" t="s">
        <v>553</v>
      </c>
      <c r="P95" s="1075" t="s">
        <v>326</v>
      </c>
      <c r="Q95" s="1033"/>
      <c r="R95" s="492"/>
    </row>
    <row r="96" spans="1:21">
      <c r="C96" s="28">
        <f t="shared" ref="C96:D111" si="69">IF(J96=0,"",J96)</f>
        <v>1</v>
      </c>
      <c r="D96" s="11" t="str">
        <f t="shared" si="69"/>
        <v>九泰基金管理有限公司</v>
      </c>
      <c r="E96" s="21">
        <f t="shared" ref="E96:E123" si="70">L96</f>
        <v>15.75</v>
      </c>
      <c r="F96" s="21">
        <f>N96/10000</f>
        <v>0.63</v>
      </c>
      <c r="G96" s="19" t="str">
        <f t="shared" ref="G96:G123" si="71">IFERROR(VLOOKUP(D96,O$95:Q$123,2,FALSE)/10000,"")</f>
        <v/>
      </c>
      <c r="H96" s="21" t="str">
        <f t="shared" ref="H96:H123" si="72">IFERROR(G96*M$93/10000,"")</f>
        <v/>
      </c>
      <c r="J96" s="1207">
        <v>1</v>
      </c>
      <c r="K96" s="1017" t="s">
        <v>666</v>
      </c>
      <c r="L96" s="1208">
        <v>15.75</v>
      </c>
      <c r="M96" s="1207">
        <v>400</v>
      </c>
      <c r="N96" s="1045">
        <f>L96*M96</f>
        <v>6300</v>
      </c>
      <c r="O96" s="1073" t="s">
        <v>147</v>
      </c>
      <c r="P96" s="1080">
        <v>4000000</v>
      </c>
      <c r="Q96" s="492"/>
      <c r="R96" s="492"/>
    </row>
    <row r="97" spans="3:18">
      <c r="C97" s="28">
        <f t="shared" si="69"/>
        <v>2</v>
      </c>
      <c r="D97" s="11" t="str">
        <f t="shared" si="69"/>
        <v>东莞证券股份有限公司</v>
      </c>
      <c r="E97" s="21">
        <f t="shared" si="70"/>
        <v>15.83</v>
      </c>
      <c r="F97" s="21">
        <f t="shared" ref="F97:F123" si="73">N97/10000</f>
        <v>0.63319999999999999</v>
      </c>
      <c r="G97" s="19" t="str">
        <f t="shared" si="71"/>
        <v/>
      </c>
      <c r="H97" s="21" t="str">
        <f t="shared" si="72"/>
        <v/>
      </c>
      <c r="J97" s="1207">
        <v>2</v>
      </c>
      <c r="K97" s="1017" t="s">
        <v>384</v>
      </c>
      <c r="L97" s="1208">
        <v>15.83</v>
      </c>
      <c r="M97" s="1207">
        <v>400</v>
      </c>
      <c r="N97" s="1045">
        <f t="shared" ref="N97:N123" si="74">L97*M97</f>
        <v>6332</v>
      </c>
      <c r="O97" s="1006" t="s">
        <v>665</v>
      </c>
      <c r="P97" s="1080">
        <v>4000000</v>
      </c>
      <c r="Q97" s="492"/>
      <c r="R97" s="492"/>
    </row>
    <row r="98" spans="3:18">
      <c r="C98" s="28">
        <f t="shared" si="69"/>
        <v>3</v>
      </c>
      <c r="D98" s="11" t="str">
        <f t="shared" si="69"/>
        <v>第一创业证券股份有限公司</v>
      </c>
      <c r="E98" s="21">
        <f t="shared" si="70"/>
        <v>16.760000000000002</v>
      </c>
      <c r="F98" s="21">
        <f t="shared" si="73"/>
        <v>0.68715999999999999</v>
      </c>
      <c r="G98" s="19">
        <f t="shared" si="71"/>
        <v>410</v>
      </c>
      <c r="H98" s="21">
        <f t="shared" si="72"/>
        <v>0.68306</v>
      </c>
      <c r="J98" s="1209">
        <v>3</v>
      </c>
      <c r="K98" s="1210" t="s">
        <v>127</v>
      </c>
      <c r="L98" s="1208">
        <v>16.760000000000002</v>
      </c>
      <c r="M98" s="1211">
        <v>410</v>
      </c>
      <c r="N98" s="1045">
        <f t="shared" si="74"/>
        <v>6871.6</v>
      </c>
      <c r="O98" s="1073" t="s">
        <v>664</v>
      </c>
      <c r="P98" s="1080">
        <v>4700000</v>
      </c>
      <c r="Q98" s="492"/>
      <c r="R98" s="492"/>
    </row>
    <row r="99" spans="3:18">
      <c r="C99" s="28" t="str">
        <f t="shared" si="69"/>
        <v/>
      </c>
      <c r="D99" s="11" t="str">
        <f t="shared" si="69"/>
        <v/>
      </c>
      <c r="E99" s="21">
        <f t="shared" si="70"/>
        <v>15.83</v>
      </c>
      <c r="F99" s="21">
        <f t="shared" si="73"/>
        <v>1.2505700000000002</v>
      </c>
      <c r="G99" s="19" t="str">
        <f t="shared" si="71"/>
        <v/>
      </c>
      <c r="H99" s="21" t="str">
        <f t="shared" si="72"/>
        <v/>
      </c>
      <c r="J99" s="1209"/>
      <c r="K99" s="1210"/>
      <c r="L99" s="1208">
        <v>15.83</v>
      </c>
      <c r="M99" s="1211">
        <v>790</v>
      </c>
      <c r="N99" s="1045">
        <f t="shared" si="74"/>
        <v>12505.7</v>
      </c>
      <c r="O99" s="1073" t="s">
        <v>134</v>
      </c>
      <c r="P99" s="1080">
        <v>13700000</v>
      </c>
      <c r="Q99" s="492"/>
      <c r="R99" s="492"/>
    </row>
    <row r="100" spans="3:18">
      <c r="C100" s="28">
        <f t="shared" si="69"/>
        <v>4</v>
      </c>
      <c r="D100" s="11" t="str">
        <f t="shared" si="69"/>
        <v>招商财富资产管理有限公司</v>
      </c>
      <c r="E100" s="21">
        <f t="shared" si="70"/>
        <v>15.2</v>
      </c>
      <c r="F100" s="21">
        <f t="shared" si="73"/>
        <v>0.60799999999999998</v>
      </c>
      <c r="G100" s="19" t="str">
        <f t="shared" si="71"/>
        <v/>
      </c>
      <c r="H100" s="21" t="str">
        <f t="shared" si="72"/>
        <v/>
      </c>
      <c r="J100" s="1211">
        <v>4</v>
      </c>
      <c r="K100" s="1017" t="s">
        <v>142</v>
      </c>
      <c r="L100" s="1208">
        <v>15.2</v>
      </c>
      <c r="M100" s="1211">
        <v>400</v>
      </c>
      <c r="N100" s="1045">
        <f t="shared" si="74"/>
        <v>6080</v>
      </c>
      <c r="O100" s="1073" t="s">
        <v>336</v>
      </c>
      <c r="P100" s="1080">
        <v>4700000</v>
      </c>
      <c r="Q100" s="492"/>
      <c r="R100" s="492"/>
    </row>
    <row r="101" spans="3:18">
      <c r="C101" s="28">
        <f t="shared" si="69"/>
        <v>5</v>
      </c>
      <c r="D101" s="11" t="str">
        <f t="shared" si="69"/>
        <v>国机财务有限责任公司</v>
      </c>
      <c r="E101" s="21">
        <f t="shared" si="70"/>
        <v>15.6</v>
      </c>
      <c r="F101" s="21">
        <f t="shared" si="73"/>
        <v>0.624</v>
      </c>
      <c r="G101" s="19" t="str">
        <f t="shared" si="71"/>
        <v/>
      </c>
      <c r="H101" s="21" t="str">
        <f t="shared" si="72"/>
        <v/>
      </c>
      <c r="J101" s="1211">
        <v>5</v>
      </c>
      <c r="K101" s="1017" t="s">
        <v>542</v>
      </c>
      <c r="L101" s="1208">
        <v>15.6</v>
      </c>
      <c r="M101" s="1211">
        <v>400</v>
      </c>
      <c r="N101" s="1045">
        <f t="shared" si="74"/>
        <v>6240</v>
      </c>
      <c r="O101" s="1073" t="s">
        <v>127</v>
      </c>
      <c r="P101" s="1080">
        <v>4100000</v>
      </c>
      <c r="Q101" s="492"/>
      <c r="R101" s="492"/>
    </row>
    <row r="102" spans="3:18">
      <c r="C102" s="28">
        <f t="shared" si="69"/>
        <v>6</v>
      </c>
      <c r="D102" s="11" t="str">
        <f t="shared" si="69"/>
        <v>深圳市创新投资集团有限公司</v>
      </c>
      <c r="E102" s="21">
        <f t="shared" si="70"/>
        <v>17.02</v>
      </c>
      <c r="F102" s="21">
        <f t="shared" si="73"/>
        <v>0.79993999999999998</v>
      </c>
      <c r="G102" s="19">
        <f t="shared" si="71"/>
        <v>470</v>
      </c>
      <c r="H102" s="21">
        <f t="shared" si="72"/>
        <v>0.78301999999999994</v>
      </c>
      <c r="J102" s="1212">
        <v>6</v>
      </c>
      <c r="K102" s="1011" t="s">
        <v>664</v>
      </c>
      <c r="L102" s="1208">
        <v>17.02</v>
      </c>
      <c r="M102" s="1211">
        <v>470</v>
      </c>
      <c r="N102" s="1045">
        <f t="shared" si="74"/>
        <v>7999.4</v>
      </c>
      <c r="O102" s="1073" t="s">
        <v>121</v>
      </c>
      <c r="P102" s="1080">
        <v>664345</v>
      </c>
      <c r="Q102" s="492"/>
      <c r="R102" s="492"/>
    </row>
    <row r="103" spans="3:18">
      <c r="C103" s="28" t="str">
        <f t="shared" si="69"/>
        <v/>
      </c>
      <c r="D103" s="11" t="str">
        <f t="shared" si="69"/>
        <v/>
      </c>
      <c r="E103" s="21">
        <f t="shared" si="70"/>
        <v>16</v>
      </c>
      <c r="F103" s="21">
        <f t="shared" si="73"/>
        <v>0.8</v>
      </c>
      <c r="G103" s="19" t="str">
        <f t="shared" si="71"/>
        <v/>
      </c>
      <c r="H103" s="21" t="str">
        <f t="shared" si="72"/>
        <v/>
      </c>
      <c r="J103" s="1212"/>
      <c r="K103" s="1011"/>
      <c r="L103" s="1208">
        <v>16</v>
      </c>
      <c r="M103" s="1211">
        <v>500</v>
      </c>
      <c r="N103" s="1045">
        <f t="shared" si="74"/>
        <v>8000</v>
      </c>
      <c r="O103" s="1045"/>
      <c r="P103" s="1045"/>
      <c r="Q103" s="492"/>
      <c r="R103" s="492"/>
    </row>
    <row r="104" spans="3:18">
      <c r="C104" s="28" t="str">
        <f t="shared" si="69"/>
        <v/>
      </c>
      <c r="D104" s="11" t="str">
        <f t="shared" si="69"/>
        <v/>
      </c>
      <c r="E104" s="21">
        <f t="shared" si="70"/>
        <v>15.68</v>
      </c>
      <c r="F104" s="21">
        <f t="shared" si="73"/>
        <v>0.79968000000000006</v>
      </c>
      <c r="G104" s="19" t="str">
        <f t="shared" si="71"/>
        <v/>
      </c>
      <c r="H104" s="21" t="str">
        <f t="shared" si="72"/>
        <v/>
      </c>
      <c r="J104" s="1212"/>
      <c r="K104" s="1011"/>
      <c r="L104" s="1208">
        <v>15.68</v>
      </c>
      <c r="M104" s="1211">
        <v>510</v>
      </c>
      <c r="N104" s="1045">
        <f t="shared" si="74"/>
        <v>7996.8</v>
      </c>
      <c r="O104" s="1045"/>
      <c r="P104" s="1045"/>
      <c r="Q104" s="492"/>
      <c r="R104" s="492"/>
    </row>
    <row r="105" spans="3:18">
      <c r="C105" s="28">
        <f t="shared" si="69"/>
        <v>7</v>
      </c>
      <c r="D105" s="11" t="str">
        <f t="shared" si="69"/>
        <v>泰达宏利基金管理有限公司</v>
      </c>
      <c r="E105" s="21">
        <f t="shared" si="70"/>
        <v>16.61</v>
      </c>
      <c r="F105" s="21">
        <f t="shared" si="73"/>
        <v>0.94676999999999989</v>
      </c>
      <c r="G105" s="19" t="str">
        <f t="shared" si="71"/>
        <v/>
      </c>
      <c r="H105" s="21" t="str">
        <f t="shared" si="72"/>
        <v/>
      </c>
      <c r="J105" s="1212">
        <v>7</v>
      </c>
      <c r="K105" s="1011" t="s">
        <v>148</v>
      </c>
      <c r="L105" s="1208">
        <v>16.61</v>
      </c>
      <c r="M105" s="1211">
        <v>570</v>
      </c>
      <c r="N105" s="1045">
        <f t="shared" si="74"/>
        <v>9467.6999999999989</v>
      </c>
      <c r="O105" s="1045"/>
      <c r="P105" s="1045"/>
      <c r="Q105" s="492"/>
      <c r="R105" s="492"/>
    </row>
    <row r="106" spans="3:18">
      <c r="C106" s="28" t="str">
        <f t="shared" si="69"/>
        <v/>
      </c>
      <c r="D106" s="11" t="str">
        <f t="shared" si="69"/>
        <v/>
      </c>
      <c r="E106" s="21">
        <f t="shared" si="70"/>
        <v>16.2</v>
      </c>
      <c r="F106" s="21">
        <f t="shared" si="73"/>
        <v>0.93959999999999999</v>
      </c>
      <c r="G106" s="19" t="str">
        <f t="shared" si="71"/>
        <v/>
      </c>
      <c r="H106" s="21" t="str">
        <f t="shared" si="72"/>
        <v/>
      </c>
      <c r="J106" s="1212"/>
      <c r="K106" s="1011"/>
      <c r="L106" s="1208">
        <v>16.2</v>
      </c>
      <c r="M106" s="1211">
        <v>580</v>
      </c>
      <c r="N106" s="1045">
        <f t="shared" si="74"/>
        <v>9396</v>
      </c>
      <c r="O106" s="1045"/>
      <c r="P106" s="1045"/>
      <c r="Q106" s="492"/>
      <c r="R106" s="492"/>
    </row>
    <row r="107" spans="3:18">
      <c r="C107" s="28" t="str">
        <f t="shared" si="69"/>
        <v/>
      </c>
      <c r="D107" s="11" t="str">
        <f t="shared" si="69"/>
        <v/>
      </c>
      <c r="E107" s="21">
        <f t="shared" si="70"/>
        <v>15.8</v>
      </c>
      <c r="F107" s="21">
        <f t="shared" si="73"/>
        <v>0.93220000000000003</v>
      </c>
      <c r="G107" s="19" t="str">
        <f t="shared" si="71"/>
        <v/>
      </c>
      <c r="H107" s="21" t="str">
        <f t="shared" si="72"/>
        <v/>
      </c>
      <c r="J107" s="1212"/>
      <c r="K107" s="1011"/>
      <c r="L107" s="1208">
        <v>15.8</v>
      </c>
      <c r="M107" s="1211">
        <v>590</v>
      </c>
      <c r="N107" s="1045">
        <f t="shared" si="74"/>
        <v>9322</v>
      </c>
      <c r="O107" s="1045"/>
      <c r="P107" s="1045"/>
      <c r="Q107" s="492"/>
      <c r="R107" s="492"/>
    </row>
    <row r="108" spans="3:18">
      <c r="C108" s="28">
        <f t="shared" si="69"/>
        <v>8</v>
      </c>
      <c r="D108" s="11" t="str">
        <f t="shared" si="69"/>
        <v>华安基金管理有限公司</v>
      </c>
      <c r="E108" s="21">
        <f t="shared" si="70"/>
        <v>16</v>
      </c>
      <c r="F108" s="21">
        <f t="shared" si="73"/>
        <v>0.65600000000000003</v>
      </c>
      <c r="G108" s="19" t="str">
        <f t="shared" si="71"/>
        <v/>
      </c>
      <c r="H108" s="21" t="str">
        <f t="shared" si="72"/>
        <v/>
      </c>
      <c r="J108" s="1211">
        <v>8</v>
      </c>
      <c r="K108" s="1017" t="s">
        <v>136</v>
      </c>
      <c r="L108" s="1208">
        <v>16</v>
      </c>
      <c r="M108" s="1211">
        <v>410</v>
      </c>
      <c r="N108" s="1045">
        <f t="shared" si="74"/>
        <v>6560</v>
      </c>
      <c r="O108" s="1045"/>
      <c r="P108" s="1045"/>
      <c r="Q108" s="492"/>
      <c r="R108" s="492"/>
    </row>
    <row r="109" spans="3:18">
      <c r="C109" s="28">
        <f t="shared" si="69"/>
        <v>9</v>
      </c>
      <c r="D109" s="11" t="str">
        <f t="shared" si="69"/>
        <v>财通基金管理有限公司</v>
      </c>
      <c r="E109" s="21">
        <f t="shared" si="70"/>
        <v>16.3</v>
      </c>
      <c r="F109" s="21">
        <f t="shared" si="73"/>
        <v>2.282</v>
      </c>
      <c r="G109" s="19" t="str">
        <f t="shared" si="71"/>
        <v/>
      </c>
      <c r="H109" s="21" t="str">
        <f t="shared" si="72"/>
        <v/>
      </c>
      <c r="J109" s="1211">
        <v>9</v>
      </c>
      <c r="K109" s="1017" t="s">
        <v>115</v>
      </c>
      <c r="L109" s="1208">
        <v>16.3</v>
      </c>
      <c r="M109" s="1211">
        <v>1400</v>
      </c>
      <c r="N109" s="1045">
        <f t="shared" si="74"/>
        <v>22820</v>
      </c>
      <c r="O109" s="1045"/>
      <c r="P109" s="1045"/>
      <c r="Q109" s="492"/>
      <c r="R109" s="492"/>
    </row>
    <row r="110" spans="3:18">
      <c r="C110" s="28">
        <f t="shared" si="69"/>
        <v>10</v>
      </c>
      <c r="D110" s="11" t="str">
        <f t="shared" si="69"/>
        <v>申万宏源证券有限公司</v>
      </c>
      <c r="E110" s="21">
        <f t="shared" si="70"/>
        <v>16.100000000000001</v>
      </c>
      <c r="F110" s="21">
        <f t="shared" si="73"/>
        <v>0.64400000000000013</v>
      </c>
      <c r="G110" s="19" t="str">
        <f t="shared" si="71"/>
        <v/>
      </c>
      <c r="H110" s="21" t="str">
        <f t="shared" si="72"/>
        <v/>
      </c>
      <c r="J110" s="1211">
        <v>10</v>
      </c>
      <c r="K110" s="1017" t="s">
        <v>552</v>
      </c>
      <c r="L110" s="1208">
        <v>16.100000000000001</v>
      </c>
      <c r="M110" s="1211">
        <v>400</v>
      </c>
      <c r="N110" s="1045">
        <f t="shared" si="74"/>
        <v>6440.0000000000009</v>
      </c>
      <c r="O110" s="1045"/>
      <c r="P110" s="1045"/>
      <c r="Q110" s="492"/>
      <c r="R110" s="492"/>
    </row>
    <row r="111" spans="3:18">
      <c r="C111" s="28">
        <f t="shared" si="69"/>
        <v>11</v>
      </c>
      <c r="D111" s="11" t="str">
        <f t="shared" si="69"/>
        <v>珠海中兵广发投资基金合伙企业
（有限合伙）</v>
      </c>
      <c r="E111" s="21">
        <f t="shared" si="70"/>
        <v>17.690000000000001</v>
      </c>
      <c r="F111" s="21">
        <f t="shared" si="73"/>
        <v>0.70760000000000012</v>
      </c>
      <c r="G111" s="19">
        <f t="shared" si="71"/>
        <v>400</v>
      </c>
      <c r="H111" s="21">
        <f t="shared" si="72"/>
        <v>0.66639999999999999</v>
      </c>
      <c r="J111" s="1211">
        <v>11</v>
      </c>
      <c r="K111" s="1006" t="s">
        <v>663</v>
      </c>
      <c r="L111" s="1208">
        <v>17.690000000000001</v>
      </c>
      <c r="M111" s="1211">
        <v>400</v>
      </c>
      <c r="N111" s="1045">
        <f t="shared" si="74"/>
        <v>7076.0000000000009</v>
      </c>
      <c r="O111" s="1045"/>
      <c r="P111" s="1045"/>
      <c r="Q111" s="492"/>
      <c r="R111" s="492"/>
    </row>
    <row r="112" spans="3:18">
      <c r="C112" s="28">
        <f t="shared" ref="C112:D123" si="75">IF(J112=0,"",J112)</f>
        <v>12</v>
      </c>
      <c r="D112" s="11" t="str">
        <f t="shared" si="75"/>
        <v>东海基金管理有限责任公司</v>
      </c>
      <c r="E112" s="21">
        <f t="shared" si="70"/>
        <v>16.100000000000001</v>
      </c>
      <c r="F112" s="21">
        <f t="shared" si="73"/>
        <v>0.64400000000000013</v>
      </c>
      <c r="G112" s="19" t="str">
        <f t="shared" si="71"/>
        <v/>
      </c>
      <c r="H112" s="21" t="str">
        <f t="shared" si="72"/>
        <v/>
      </c>
      <c r="J112" s="1209">
        <v>12</v>
      </c>
      <c r="K112" s="1210" t="s">
        <v>128</v>
      </c>
      <c r="L112" s="1208">
        <v>16.100000000000001</v>
      </c>
      <c r="M112" s="1211">
        <v>400</v>
      </c>
      <c r="N112" s="1045">
        <f t="shared" si="74"/>
        <v>6440.0000000000009</v>
      </c>
      <c r="O112" s="1045"/>
      <c r="P112" s="1045"/>
      <c r="Q112" s="492"/>
      <c r="R112" s="492"/>
    </row>
    <row r="113" spans="1:21">
      <c r="C113" s="28" t="str">
        <f t="shared" si="75"/>
        <v/>
      </c>
      <c r="D113" s="11" t="str">
        <f t="shared" si="75"/>
        <v/>
      </c>
      <c r="E113" s="21">
        <f t="shared" si="70"/>
        <v>15.51</v>
      </c>
      <c r="F113" s="21">
        <f t="shared" si="73"/>
        <v>1.2407999999999999</v>
      </c>
      <c r="G113" s="19" t="str">
        <f t="shared" si="71"/>
        <v/>
      </c>
      <c r="H113" s="21" t="str">
        <f t="shared" si="72"/>
        <v/>
      </c>
      <c r="J113" s="1209"/>
      <c r="K113" s="1210"/>
      <c r="L113" s="1208">
        <v>15.51</v>
      </c>
      <c r="M113" s="1211">
        <v>800</v>
      </c>
      <c r="N113" s="1045">
        <f t="shared" si="74"/>
        <v>12408</v>
      </c>
      <c r="O113" s="1045"/>
      <c r="P113" s="1045"/>
      <c r="Q113" s="492"/>
      <c r="R113" s="492"/>
    </row>
    <row r="114" spans="1:21">
      <c r="C114" s="28">
        <f t="shared" si="75"/>
        <v>13</v>
      </c>
      <c r="D114" s="11" t="str">
        <f t="shared" si="75"/>
        <v>北信瑞丰基金管理有限公司</v>
      </c>
      <c r="E114" s="21">
        <f t="shared" si="70"/>
        <v>16.760000000000002</v>
      </c>
      <c r="F114" s="21">
        <f t="shared" si="73"/>
        <v>0.78772000000000009</v>
      </c>
      <c r="G114" s="19">
        <f t="shared" si="71"/>
        <v>470</v>
      </c>
      <c r="H114" s="21">
        <f t="shared" si="72"/>
        <v>0.78301999999999994</v>
      </c>
      <c r="J114" s="1211">
        <v>13</v>
      </c>
      <c r="K114" s="1017" t="s">
        <v>336</v>
      </c>
      <c r="L114" s="1208">
        <v>16.760000000000002</v>
      </c>
      <c r="M114" s="1211">
        <v>470</v>
      </c>
      <c r="N114" s="1045">
        <f t="shared" si="74"/>
        <v>7877.2000000000007</v>
      </c>
      <c r="O114" s="1045"/>
      <c r="P114" s="1045"/>
      <c r="Q114" s="492"/>
      <c r="R114" s="492"/>
    </row>
    <row r="115" spans="1:21">
      <c r="C115" s="28">
        <f t="shared" si="75"/>
        <v>14</v>
      </c>
      <c r="D115" s="11" t="str">
        <f t="shared" si="75"/>
        <v>诺安基金管理有限公司</v>
      </c>
      <c r="E115" s="21">
        <f t="shared" si="70"/>
        <v>18.399999999999999</v>
      </c>
      <c r="F115" s="21">
        <f t="shared" si="73"/>
        <v>0.73599999999999988</v>
      </c>
      <c r="G115" s="19">
        <f t="shared" si="71"/>
        <v>400</v>
      </c>
      <c r="H115" s="21">
        <f t="shared" si="72"/>
        <v>0.66639999999999999</v>
      </c>
      <c r="J115" s="1212">
        <v>14</v>
      </c>
      <c r="K115" s="1011" t="s">
        <v>147</v>
      </c>
      <c r="L115" s="1208">
        <v>18.399999999999999</v>
      </c>
      <c r="M115" s="1211">
        <v>400</v>
      </c>
      <c r="N115" s="1045">
        <f t="shared" si="74"/>
        <v>7359.9999999999991</v>
      </c>
      <c r="O115" s="1045"/>
      <c r="P115" s="1045"/>
      <c r="Q115" s="492"/>
      <c r="R115" s="492"/>
    </row>
    <row r="116" spans="1:21">
      <c r="C116" s="28" t="str">
        <f t="shared" si="75"/>
        <v/>
      </c>
      <c r="D116" s="11" t="str">
        <f t="shared" si="75"/>
        <v/>
      </c>
      <c r="E116" s="21">
        <f t="shared" si="70"/>
        <v>16.5</v>
      </c>
      <c r="F116" s="21">
        <f t="shared" si="73"/>
        <v>2.0129999999999999</v>
      </c>
      <c r="G116" s="19" t="str">
        <f t="shared" si="71"/>
        <v/>
      </c>
      <c r="H116" s="21" t="str">
        <f t="shared" si="72"/>
        <v/>
      </c>
      <c r="J116" s="1212"/>
      <c r="K116" s="1011"/>
      <c r="L116" s="1208">
        <v>16.5</v>
      </c>
      <c r="M116" s="1211">
        <v>1220</v>
      </c>
      <c r="N116" s="1045">
        <f t="shared" si="74"/>
        <v>20130</v>
      </c>
      <c r="O116" s="1045"/>
      <c r="P116" s="1045"/>
      <c r="Q116" s="492"/>
      <c r="R116" s="492"/>
    </row>
    <row r="117" spans="1:21">
      <c r="C117" s="28" t="str">
        <f t="shared" si="75"/>
        <v/>
      </c>
      <c r="D117" s="11" t="str">
        <f t="shared" si="75"/>
        <v/>
      </c>
      <c r="E117" s="21">
        <f t="shared" si="70"/>
        <v>15.46</v>
      </c>
      <c r="F117" s="21">
        <f t="shared" si="73"/>
        <v>2.1644000000000001</v>
      </c>
      <c r="G117" s="19" t="str">
        <f t="shared" si="71"/>
        <v/>
      </c>
      <c r="H117" s="21" t="str">
        <f t="shared" si="72"/>
        <v/>
      </c>
      <c r="J117" s="1212"/>
      <c r="K117" s="1011"/>
      <c r="L117" s="1208">
        <v>15.46</v>
      </c>
      <c r="M117" s="1211">
        <v>1400</v>
      </c>
      <c r="N117" s="1045">
        <f t="shared" si="74"/>
        <v>21644</v>
      </c>
      <c r="O117" s="1045"/>
      <c r="P117" s="1045"/>
      <c r="Q117" s="492"/>
      <c r="R117" s="492"/>
    </row>
    <row r="118" spans="1:21">
      <c r="C118" s="28">
        <f t="shared" si="75"/>
        <v>15</v>
      </c>
      <c r="D118" s="11" t="str">
        <f t="shared" si="75"/>
        <v>申万菱信基金管理有限公司</v>
      </c>
      <c r="E118" s="21">
        <f t="shared" si="70"/>
        <v>16.66</v>
      </c>
      <c r="F118" s="21">
        <f t="shared" si="73"/>
        <v>0.66639999999999999</v>
      </c>
      <c r="G118" s="19">
        <f t="shared" si="71"/>
        <v>66.4345</v>
      </c>
      <c r="H118" s="21">
        <f t="shared" si="72"/>
        <v>0.11067987700000001</v>
      </c>
      <c r="J118" s="1212">
        <v>15</v>
      </c>
      <c r="K118" s="1011" t="s">
        <v>121</v>
      </c>
      <c r="L118" s="1208">
        <v>16.66</v>
      </c>
      <c r="M118" s="1211">
        <v>400</v>
      </c>
      <c r="N118" s="1045">
        <f t="shared" si="74"/>
        <v>6664</v>
      </c>
      <c r="O118" s="1045"/>
      <c r="P118" s="1045"/>
      <c r="Q118" s="492"/>
      <c r="R118" s="492"/>
    </row>
    <row r="119" spans="1:21">
      <c r="C119" s="28" t="str">
        <f t="shared" si="75"/>
        <v/>
      </c>
      <c r="D119" s="11" t="str">
        <f t="shared" si="75"/>
        <v/>
      </c>
      <c r="E119" s="21">
        <f t="shared" si="70"/>
        <v>16.05</v>
      </c>
      <c r="F119" s="21">
        <f t="shared" si="73"/>
        <v>1.284</v>
      </c>
      <c r="G119" s="19" t="str">
        <f t="shared" si="71"/>
        <v/>
      </c>
      <c r="H119" s="21" t="str">
        <f t="shared" si="72"/>
        <v/>
      </c>
      <c r="J119" s="1212"/>
      <c r="K119" s="1011"/>
      <c r="L119" s="1208">
        <v>16.05</v>
      </c>
      <c r="M119" s="1211">
        <v>800</v>
      </c>
      <c r="N119" s="1045">
        <f t="shared" si="74"/>
        <v>12840</v>
      </c>
      <c r="O119" s="1045"/>
      <c r="P119" s="1045"/>
      <c r="Q119" s="492"/>
      <c r="R119" s="492"/>
    </row>
    <row r="120" spans="1:21">
      <c r="C120" s="28" t="str">
        <f t="shared" si="75"/>
        <v/>
      </c>
      <c r="D120" s="11" t="str">
        <f t="shared" si="75"/>
        <v/>
      </c>
      <c r="E120" s="21">
        <f t="shared" si="70"/>
        <v>15.31</v>
      </c>
      <c r="F120" s="21">
        <f t="shared" si="73"/>
        <v>1.6840999999999999</v>
      </c>
      <c r="G120" s="19" t="str">
        <f t="shared" si="71"/>
        <v/>
      </c>
      <c r="H120" s="21" t="str">
        <f t="shared" si="72"/>
        <v/>
      </c>
      <c r="J120" s="1212"/>
      <c r="K120" s="1011"/>
      <c r="L120" s="1208">
        <v>15.31</v>
      </c>
      <c r="M120" s="1211">
        <v>1100</v>
      </c>
      <c r="N120" s="1045">
        <f t="shared" si="74"/>
        <v>16841</v>
      </c>
      <c r="O120" s="1045"/>
      <c r="P120" s="1045"/>
      <c r="Q120" s="492"/>
      <c r="R120" s="492"/>
    </row>
    <row r="121" spans="1:21">
      <c r="C121" s="28">
        <f t="shared" si="75"/>
        <v>16</v>
      </c>
      <c r="D121" s="11" t="str">
        <f t="shared" si="75"/>
        <v>金鹰基金管理有限公司</v>
      </c>
      <c r="E121" s="21">
        <f t="shared" si="70"/>
        <v>16</v>
      </c>
      <c r="F121" s="21">
        <f t="shared" si="73"/>
        <v>0.73599999999999999</v>
      </c>
      <c r="G121" s="19" t="str">
        <f t="shared" si="71"/>
        <v/>
      </c>
      <c r="H121" s="21" t="str">
        <f t="shared" si="72"/>
        <v/>
      </c>
      <c r="J121" s="1209">
        <v>16</v>
      </c>
      <c r="K121" s="1210" t="s">
        <v>278</v>
      </c>
      <c r="L121" s="1208">
        <v>16</v>
      </c>
      <c r="M121" s="1211">
        <v>460</v>
      </c>
      <c r="N121" s="1045">
        <f t="shared" si="74"/>
        <v>7360</v>
      </c>
      <c r="O121" s="1045"/>
      <c r="P121" s="1045"/>
      <c r="Q121" s="492"/>
      <c r="R121" s="492"/>
    </row>
    <row r="122" spans="1:21">
      <c r="C122" s="28" t="str">
        <f t="shared" si="75"/>
        <v/>
      </c>
      <c r="D122" s="11" t="str">
        <f t="shared" si="75"/>
        <v/>
      </c>
      <c r="E122" s="21">
        <f t="shared" si="70"/>
        <v>15.21</v>
      </c>
      <c r="F122" s="21">
        <f t="shared" si="73"/>
        <v>0.74529000000000001</v>
      </c>
      <c r="G122" s="19" t="str">
        <f t="shared" si="71"/>
        <v/>
      </c>
      <c r="H122" s="21" t="str">
        <f t="shared" si="72"/>
        <v/>
      </c>
      <c r="J122" s="1209"/>
      <c r="K122" s="1210"/>
      <c r="L122" s="1208">
        <v>15.21</v>
      </c>
      <c r="M122" s="1211">
        <v>490</v>
      </c>
      <c r="N122" s="1045">
        <f t="shared" si="74"/>
        <v>7452.9000000000005</v>
      </c>
      <c r="O122" s="1045"/>
      <c r="P122" s="1045"/>
      <c r="Q122" s="492"/>
      <c r="R122" s="492"/>
    </row>
    <row r="123" spans="1:21">
      <c r="C123" s="28">
        <f t="shared" si="75"/>
        <v>17</v>
      </c>
      <c r="D123" s="11" t="str">
        <f t="shared" si="75"/>
        <v>创金合信基金管理有限公司</v>
      </c>
      <c r="E123" s="21">
        <f t="shared" si="70"/>
        <v>17.600000000000001</v>
      </c>
      <c r="F123" s="21">
        <f t="shared" si="73"/>
        <v>1.4080000000000001</v>
      </c>
      <c r="G123" s="19">
        <f t="shared" si="71"/>
        <v>1370</v>
      </c>
      <c r="H123" s="21">
        <f t="shared" si="72"/>
        <v>2.2824200000000001</v>
      </c>
      <c r="J123" s="1211">
        <v>17</v>
      </c>
      <c r="K123" s="1017" t="s">
        <v>134</v>
      </c>
      <c r="L123" s="1208">
        <v>17.600000000000001</v>
      </c>
      <c r="M123" s="1211">
        <v>800</v>
      </c>
      <c r="N123" s="1045">
        <f t="shared" si="74"/>
        <v>14080.000000000002</v>
      </c>
      <c r="O123" s="1045"/>
      <c r="P123" s="1045"/>
      <c r="Q123" s="492"/>
      <c r="R123" s="492"/>
    </row>
    <row r="125" spans="1:21">
      <c r="A125" s="24">
        <v>8</v>
      </c>
      <c r="B125" s="12" t="s">
        <v>106</v>
      </c>
      <c r="C125" s="12" t="s">
        <v>126</v>
      </c>
      <c r="D125" s="12" t="s">
        <v>107</v>
      </c>
      <c r="E125" s="12" t="s">
        <v>4</v>
      </c>
      <c r="F125" s="13" t="s">
        <v>108</v>
      </c>
      <c r="G125" s="13" t="s">
        <v>109</v>
      </c>
      <c r="H125" s="12" t="s">
        <v>274</v>
      </c>
      <c r="I125" s="12" t="s">
        <v>273</v>
      </c>
      <c r="J125" s="12" t="s">
        <v>116</v>
      </c>
      <c r="K125" s="14" t="s">
        <v>110</v>
      </c>
      <c r="L125" s="14" t="s">
        <v>276</v>
      </c>
      <c r="M125" s="14" t="s">
        <v>117</v>
      </c>
      <c r="N125" s="15" t="s">
        <v>275</v>
      </c>
      <c r="O125" s="12" t="s">
        <v>111</v>
      </c>
      <c r="P125" s="8" t="s">
        <v>12</v>
      </c>
      <c r="Q125" s="8" t="s">
        <v>190</v>
      </c>
      <c r="R125" s="15" t="s">
        <v>129</v>
      </c>
      <c r="S125" s="14" t="s">
        <v>220</v>
      </c>
    </row>
    <row r="126" spans="1:21">
      <c r="A126" s="24">
        <v>8</v>
      </c>
      <c r="B126" s="979">
        <v>38</v>
      </c>
      <c r="C126" s="9" t="s">
        <v>205</v>
      </c>
      <c r="D126" s="1" t="s">
        <v>65</v>
      </c>
      <c r="E126" s="1" t="s">
        <v>64</v>
      </c>
      <c r="F126" s="3">
        <v>50</v>
      </c>
      <c r="G126" s="3">
        <v>49.999999895999999</v>
      </c>
      <c r="H126" s="2">
        <v>42447</v>
      </c>
      <c r="I126" s="1001" t="s">
        <v>151</v>
      </c>
      <c r="J126" s="11">
        <v>30.36</v>
      </c>
      <c r="K126" s="3">
        <v>11.38</v>
      </c>
      <c r="L126" s="3">
        <f t="shared" ref="L126" si="76">K126/J126</f>
        <v>0.37483530961791833</v>
      </c>
      <c r="M126" s="3">
        <v>19.8</v>
      </c>
      <c r="N126" s="10">
        <f t="shared" ref="N126" si="77">M126/J126</f>
        <v>0.65217391304347827</v>
      </c>
      <c r="O126" s="1002">
        <v>7</v>
      </c>
      <c r="P126" s="1004">
        <v>42842</v>
      </c>
      <c r="Q126" s="1003">
        <v>11.4</v>
      </c>
      <c r="R126" s="18">
        <f t="shared" ref="R126" si="78">(Q126*(1+T126/10)+U126/10)/M126</f>
        <v>1.1641414141414141</v>
      </c>
      <c r="S126" s="979" t="s">
        <v>264</v>
      </c>
      <c r="T126" s="22" t="str">
        <f t="shared" ref="T126" si="79">IFERROR(RIGHT(LEFT(S126,FIND("股",S126)-1),(FIND("股",S126)-1-FIND("转",S126))),0)</f>
        <v>10</v>
      </c>
      <c r="U126" s="23" t="str">
        <f t="shared" ref="U126" si="80">IFERROR(RIGHT(LEFT(S126,FIND("元",S126)-1),(FIND("元",S126)-1-FIND("派",S126))),0)</f>
        <v>2.5</v>
      </c>
    </row>
    <row r="128" spans="1:21" ht="14.5">
      <c r="C128" s="27" t="s">
        <v>118</v>
      </c>
      <c r="D128" s="16" t="s">
        <v>112</v>
      </c>
      <c r="E128" s="16" t="s">
        <v>113</v>
      </c>
      <c r="F128" s="16" t="s">
        <v>288</v>
      </c>
      <c r="G128" s="17" t="s">
        <v>287</v>
      </c>
      <c r="H128" s="16" t="s">
        <v>289</v>
      </c>
      <c r="J128" s="1096" t="s">
        <v>118</v>
      </c>
      <c r="K128" s="1005" t="s">
        <v>7</v>
      </c>
      <c r="L128" s="1033" t="s">
        <v>394</v>
      </c>
      <c r="M128" s="1033" t="s">
        <v>662</v>
      </c>
      <c r="N128" s="1045"/>
      <c r="O128" s="1075" t="s">
        <v>335</v>
      </c>
      <c r="P128" s="1213" t="s">
        <v>661</v>
      </c>
      <c r="Q128" s="1112"/>
    </row>
    <row r="129" spans="3:17">
      <c r="C129" s="28">
        <f t="shared" ref="C129:D144" si="81">IF(J129=0,"",J129)</f>
        <v>1</v>
      </c>
      <c r="D129" s="11" t="str">
        <f t="shared" si="81"/>
        <v>广州越秀诺成六号实业投资合伙
企业（有限合伙）</v>
      </c>
      <c r="E129" s="21">
        <f t="shared" ref="E129:E155" si="82">L129</f>
        <v>16</v>
      </c>
      <c r="F129" s="21">
        <f t="shared" ref="F129:F155" si="83">M129/10000</f>
        <v>5</v>
      </c>
      <c r="G129" s="19" t="str">
        <f t="shared" ref="G129:G155" si="84">IFERROR(VLOOKUP(D129,O$129:Q$155,2,FALSE)/10000,"")</f>
        <v/>
      </c>
      <c r="H129" s="21" t="str">
        <f t="shared" ref="H129:H155" si="85">IFERROR(G129*$M$126/10000,"")</f>
        <v/>
      </c>
      <c r="J129" s="1141">
        <v>1</v>
      </c>
      <c r="K129" s="1022" t="s">
        <v>660</v>
      </c>
      <c r="L129" s="1214">
        <v>16</v>
      </c>
      <c r="M129" s="1215">
        <v>50000</v>
      </c>
      <c r="N129" s="492"/>
      <c r="O129" s="1073" t="s">
        <v>320</v>
      </c>
      <c r="P129" s="1216">
        <v>30303030</v>
      </c>
      <c r="Q129" s="492"/>
    </row>
    <row r="130" spans="3:17">
      <c r="C130" s="28">
        <f t="shared" si="81"/>
        <v>2</v>
      </c>
      <c r="D130" s="11" t="str">
        <f t="shared" si="81"/>
        <v>博时基金管理有限公司</v>
      </c>
      <c r="E130" s="21">
        <f t="shared" si="82"/>
        <v>22.51</v>
      </c>
      <c r="F130" s="21">
        <f t="shared" si="83"/>
        <v>5.29</v>
      </c>
      <c r="G130" s="19">
        <f t="shared" si="84"/>
        <v>2671.7170999999998</v>
      </c>
      <c r="H130" s="21">
        <f t="shared" si="85"/>
        <v>5.2899998579999998</v>
      </c>
      <c r="J130" s="1217">
        <v>2</v>
      </c>
      <c r="K130" s="1218" t="s">
        <v>173</v>
      </c>
      <c r="L130" s="1219">
        <v>22.51</v>
      </c>
      <c r="M130" s="1220">
        <v>52900</v>
      </c>
      <c r="N130" s="492"/>
      <c r="O130" s="1073" t="s">
        <v>505</v>
      </c>
      <c r="P130" s="1216">
        <v>25757575</v>
      </c>
      <c r="Q130" s="492"/>
    </row>
    <row r="131" spans="3:17">
      <c r="C131" s="28">
        <f t="shared" si="81"/>
        <v>3</v>
      </c>
      <c r="D131" s="11" t="str">
        <f t="shared" si="81"/>
        <v>阳光资产管理股份有限公司</v>
      </c>
      <c r="E131" s="21">
        <f t="shared" si="82"/>
        <v>18</v>
      </c>
      <c r="F131" s="21">
        <f t="shared" si="83"/>
        <v>5</v>
      </c>
      <c r="G131" s="19" t="str">
        <f t="shared" si="84"/>
        <v/>
      </c>
      <c r="H131" s="21" t="str">
        <f t="shared" si="85"/>
        <v/>
      </c>
      <c r="J131" s="1146">
        <v>3</v>
      </c>
      <c r="K131" s="1054" t="s">
        <v>457</v>
      </c>
      <c r="L131" s="1221">
        <v>18</v>
      </c>
      <c r="M131" s="1222">
        <v>50000</v>
      </c>
      <c r="N131" s="492"/>
      <c r="O131" s="1073" t="s">
        <v>147</v>
      </c>
      <c r="P131" s="1216">
        <v>29494949</v>
      </c>
      <c r="Q131" s="492"/>
    </row>
    <row r="132" spans="3:17">
      <c r="C132" s="28" t="str">
        <f t="shared" si="81"/>
        <v/>
      </c>
      <c r="D132" s="11" t="str">
        <f t="shared" si="81"/>
        <v/>
      </c>
      <c r="E132" s="21">
        <f t="shared" si="82"/>
        <v>15</v>
      </c>
      <c r="F132" s="21">
        <f t="shared" si="83"/>
        <v>10</v>
      </c>
      <c r="G132" s="19" t="str">
        <f t="shared" si="84"/>
        <v/>
      </c>
      <c r="H132" s="21" t="str">
        <f t="shared" si="85"/>
        <v/>
      </c>
      <c r="J132" s="1146"/>
      <c r="K132" s="1054"/>
      <c r="L132" s="1221">
        <v>15</v>
      </c>
      <c r="M132" s="1222">
        <v>100000</v>
      </c>
      <c r="N132" s="492"/>
      <c r="O132" s="1073" t="s">
        <v>173</v>
      </c>
      <c r="P132" s="1216">
        <v>26717171</v>
      </c>
      <c r="Q132" s="492"/>
    </row>
    <row r="133" spans="3:17">
      <c r="C133" s="28">
        <f t="shared" si="81"/>
        <v>4</v>
      </c>
      <c r="D133" s="11" t="str">
        <f t="shared" si="81"/>
        <v>耿晓菲</v>
      </c>
      <c r="E133" s="21">
        <f t="shared" si="82"/>
        <v>17.5</v>
      </c>
      <c r="F133" s="21">
        <f t="shared" si="83"/>
        <v>5</v>
      </c>
      <c r="G133" s="19" t="str">
        <f t="shared" si="84"/>
        <v/>
      </c>
      <c r="H133" s="21" t="str">
        <f t="shared" si="85"/>
        <v/>
      </c>
      <c r="J133" s="1223">
        <v>4</v>
      </c>
      <c r="K133" s="1116" t="s">
        <v>370</v>
      </c>
      <c r="L133" s="1214">
        <v>17.5</v>
      </c>
      <c r="M133" s="1215">
        <v>50000</v>
      </c>
      <c r="N133" s="492"/>
      <c r="O133" s="1073" t="s">
        <v>115</v>
      </c>
      <c r="P133" s="1216">
        <v>96868686</v>
      </c>
      <c r="Q133" s="492"/>
    </row>
    <row r="134" spans="3:17">
      <c r="C134" s="28">
        <f t="shared" si="81"/>
        <v>5</v>
      </c>
      <c r="D134" s="11" t="str">
        <f t="shared" si="81"/>
        <v>北京京泰阳光投资有限公司</v>
      </c>
      <c r="E134" s="21">
        <f t="shared" si="82"/>
        <v>19.8</v>
      </c>
      <c r="F134" s="21">
        <f t="shared" si="83"/>
        <v>5.94</v>
      </c>
      <c r="G134" s="19">
        <f t="shared" si="84"/>
        <v>1813.1315999999999</v>
      </c>
      <c r="H134" s="21">
        <f t="shared" si="85"/>
        <v>3.5900005680000002</v>
      </c>
      <c r="J134" s="1145">
        <v>5</v>
      </c>
      <c r="K134" s="1087" t="s">
        <v>594</v>
      </c>
      <c r="L134" s="1221">
        <v>19.8</v>
      </c>
      <c r="M134" s="1222">
        <v>59400</v>
      </c>
      <c r="N134" s="492"/>
      <c r="O134" s="1087" t="s">
        <v>658</v>
      </c>
      <c r="P134" s="1216">
        <v>25252525</v>
      </c>
      <c r="Q134" s="492"/>
    </row>
    <row r="135" spans="3:17">
      <c r="C135" s="28" t="str">
        <f t="shared" si="81"/>
        <v/>
      </c>
      <c r="D135" s="11" t="str">
        <f t="shared" si="81"/>
        <v/>
      </c>
      <c r="E135" s="21">
        <f t="shared" si="82"/>
        <v>16.8</v>
      </c>
      <c r="F135" s="21">
        <f t="shared" si="83"/>
        <v>8.4</v>
      </c>
      <c r="G135" s="19" t="str">
        <f t="shared" si="84"/>
        <v/>
      </c>
      <c r="H135" s="21" t="str">
        <f t="shared" si="85"/>
        <v/>
      </c>
      <c r="J135" s="1145"/>
      <c r="K135" s="1087"/>
      <c r="L135" s="1221">
        <v>16.8</v>
      </c>
      <c r="M135" s="1222">
        <v>84000</v>
      </c>
      <c r="N135" s="492"/>
      <c r="O135" s="1073" t="s">
        <v>594</v>
      </c>
      <c r="P135" s="1216">
        <v>18131316</v>
      </c>
      <c r="Q135" s="492"/>
    </row>
    <row r="136" spans="3:17">
      <c r="C136" s="28" t="str">
        <f t="shared" si="81"/>
        <v/>
      </c>
      <c r="D136" s="11" t="str">
        <f t="shared" si="81"/>
        <v/>
      </c>
      <c r="E136" s="21">
        <f t="shared" si="82"/>
        <v>15.8</v>
      </c>
      <c r="F136" s="21">
        <f t="shared" si="83"/>
        <v>15.8</v>
      </c>
      <c r="G136" s="19" t="str">
        <f t="shared" si="84"/>
        <v/>
      </c>
      <c r="H136" s="21" t="str">
        <f t="shared" si="85"/>
        <v/>
      </c>
      <c r="J136" s="1145"/>
      <c r="K136" s="1087"/>
      <c r="L136" s="1221">
        <v>15.8</v>
      </c>
      <c r="M136" s="1222">
        <v>158000</v>
      </c>
      <c r="N136" s="492"/>
      <c r="O136" s="492"/>
      <c r="P136" s="492"/>
      <c r="Q136" s="492"/>
    </row>
    <row r="137" spans="3:17">
      <c r="C137" s="28">
        <f t="shared" si="81"/>
        <v>6</v>
      </c>
      <c r="D137" s="11" t="str">
        <f t="shared" si="81"/>
        <v>青岛城投金融控股集团有限公司</v>
      </c>
      <c r="E137" s="21">
        <f t="shared" si="82"/>
        <v>18.89</v>
      </c>
      <c r="F137" s="21">
        <f t="shared" si="83"/>
        <v>5</v>
      </c>
      <c r="G137" s="19" t="str">
        <f t="shared" si="84"/>
        <v/>
      </c>
      <c r="H137" s="21" t="str">
        <f t="shared" si="85"/>
        <v/>
      </c>
      <c r="J137" s="1223">
        <v>6</v>
      </c>
      <c r="K137" s="1116" t="s">
        <v>125</v>
      </c>
      <c r="L137" s="1214">
        <v>18.89</v>
      </c>
      <c r="M137" s="1215">
        <v>50000</v>
      </c>
      <c r="N137" s="492"/>
      <c r="O137" s="492"/>
      <c r="P137" s="492"/>
      <c r="Q137" s="492"/>
    </row>
    <row r="138" spans="3:17">
      <c r="C138" s="28">
        <f t="shared" si="81"/>
        <v>7</v>
      </c>
      <c r="D138" s="11" t="str">
        <f t="shared" si="81"/>
        <v>华鑫证券有限责任公司</v>
      </c>
      <c r="E138" s="21">
        <f t="shared" si="82"/>
        <v>23.52</v>
      </c>
      <c r="F138" s="21">
        <f t="shared" si="83"/>
        <v>5.0999999999999996</v>
      </c>
      <c r="G138" s="19">
        <f t="shared" si="84"/>
        <v>2575.7575000000002</v>
      </c>
      <c r="H138" s="21">
        <f t="shared" si="85"/>
        <v>5.0999998500000006</v>
      </c>
      <c r="J138" s="1224">
        <v>7</v>
      </c>
      <c r="K138" s="1218" t="s">
        <v>505</v>
      </c>
      <c r="L138" s="1219">
        <v>23.52</v>
      </c>
      <c r="M138" s="1220">
        <v>51000</v>
      </c>
      <c r="N138" s="492"/>
      <c r="O138" s="492"/>
      <c r="P138" s="492"/>
      <c r="Q138" s="492"/>
    </row>
    <row r="139" spans="3:17">
      <c r="C139" s="28">
        <f t="shared" si="81"/>
        <v>8</v>
      </c>
      <c r="D139" s="11" t="str">
        <f t="shared" si="81"/>
        <v>兴业全球基金管理有限公司</v>
      </c>
      <c r="E139" s="21">
        <f t="shared" si="82"/>
        <v>14.28</v>
      </c>
      <c r="F139" s="21">
        <f t="shared" si="83"/>
        <v>5.07</v>
      </c>
      <c r="G139" s="19" t="str">
        <f t="shared" si="84"/>
        <v/>
      </c>
      <c r="H139" s="21" t="str">
        <f t="shared" si="85"/>
        <v/>
      </c>
      <c r="J139" s="1224">
        <v>8</v>
      </c>
      <c r="K139" s="1218" t="s">
        <v>131</v>
      </c>
      <c r="L139" s="1219">
        <v>14.28</v>
      </c>
      <c r="M139" s="1220">
        <v>50700</v>
      </c>
      <c r="N139" s="492"/>
      <c r="O139" s="492"/>
      <c r="P139" s="492"/>
      <c r="Q139" s="492"/>
    </row>
    <row r="140" spans="3:17">
      <c r="C140" s="28">
        <f t="shared" si="81"/>
        <v>9</v>
      </c>
      <c r="D140" s="11" t="str">
        <f t="shared" si="81"/>
        <v>国华人寿保险股份有限公司</v>
      </c>
      <c r="E140" s="21">
        <f t="shared" si="82"/>
        <v>26.53</v>
      </c>
      <c r="F140" s="21">
        <f t="shared" si="83"/>
        <v>6</v>
      </c>
      <c r="G140" s="19">
        <f t="shared" si="84"/>
        <v>3030.3029999999999</v>
      </c>
      <c r="H140" s="21">
        <f t="shared" si="85"/>
        <v>5.9999999400000004</v>
      </c>
      <c r="J140" s="1224">
        <v>9</v>
      </c>
      <c r="K140" s="1218" t="s">
        <v>320</v>
      </c>
      <c r="L140" s="1219">
        <v>26.53</v>
      </c>
      <c r="M140" s="1220">
        <v>60000</v>
      </c>
      <c r="N140" s="492"/>
      <c r="O140" s="492"/>
      <c r="P140" s="492"/>
      <c r="Q140" s="492"/>
    </row>
    <row r="141" spans="3:17">
      <c r="C141" s="28">
        <f t="shared" si="81"/>
        <v>10</v>
      </c>
      <c r="D141" s="11" t="str">
        <f t="shared" si="81"/>
        <v>兴证证券资产管理有限公司</v>
      </c>
      <c r="E141" s="21">
        <f t="shared" si="82"/>
        <v>15.2</v>
      </c>
      <c r="F141" s="21">
        <f t="shared" si="83"/>
        <v>5.0030000000000001</v>
      </c>
      <c r="G141" s="19" t="str">
        <f t="shared" si="84"/>
        <v/>
      </c>
      <c r="H141" s="21" t="str">
        <f t="shared" si="85"/>
        <v/>
      </c>
      <c r="J141" s="1146">
        <v>10</v>
      </c>
      <c r="K141" s="1054" t="s">
        <v>150</v>
      </c>
      <c r="L141" s="1221">
        <v>15.2</v>
      </c>
      <c r="M141" s="1222">
        <v>50030</v>
      </c>
      <c r="N141" s="492"/>
      <c r="O141" s="492"/>
      <c r="P141" s="492"/>
      <c r="Q141" s="492"/>
    </row>
    <row r="142" spans="3:17">
      <c r="C142" s="28" t="str">
        <f t="shared" si="81"/>
        <v/>
      </c>
      <c r="D142" s="11" t="str">
        <f t="shared" si="81"/>
        <v/>
      </c>
      <c r="E142" s="21">
        <f t="shared" si="82"/>
        <v>15</v>
      </c>
      <c r="F142" s="21">
        <f t="shared" si="83"/>
        <v>5.1029999999999998</v>
      </c>
      <c r="G142" s="19" t="str">
        <f t="shared" si="84"/>
        <v/>
      </c>
      <c r="H142" s="21" t="str">
        <f t="shared" si="85"/>
        <v/>
      </c>
      <c r="J142" s="1146"/>
      <c r="K142" s="1054"/>
      <c r="L142" s="1221">
        <v>15</v>
      </c>
      <c r="M142" s="1222">
        <v>51030</v>
      </c>
      <c r="N142" s="492"/>
      <c r="O142" s="492"/>
      <c r="P142" s="492"/>
      <c r="Q142" s="492"/>
    </row>
    <row r="143" spans="3:17">
      <c r="C143" s="28">
        <f t="shared" si="81"/>
        <v>11</v>
      </c>
      <c r="D143" s="11" t="str">
        <f t="shared" si="81"/>
        <v>汇添富基金管理股份有限公司</v>
      </c>
      <c r="E143" s="21">
        <f t="shared" si="82"/>
        <v>13.6</v>
      </c>
      <c r="F143" s="21">
        <f t="shared" si="83"/>
        <v>5</v>
      </c>
      <c r="G143" s="19" t="str">
        <f t="shared" si="84"/>
        <v/>
      </c>
      <c r="H143" s="21" t="str">
        <f t="shared" si="85"/>
        <v/>
      </c>
      <c r="J143" s="1223">
        <v>11</v>
      </c>
      <c r="K143" s="1116" t="s">
        <v>139</v>
      </c>
      <c r="L143" s="1214">
        <v>13.6</v>
      </c>
      <c r="M143" s="1215">
        <v>50000</v>
      </c>
      <c r="N143" s="492"/>
      <c r="O143" s="492"/>
      <c r="P143" s="492"/>
      <c r="Q143" s="492"/>
    </row>
    <row r="144" spans="3:17">
      <c r="C144" s="28">
        <f t="shared" si="81"/>
        <v>12</v>
      </c>
      <c r="D144" s="11" t="str">
        <f t="shared" si="81"/>
        <v>仲黎</v>
      </c>
      <c r="E144" s="21">
        <f t="shared" si="82"/>
        <v>15.5</v>
      </c>
      <c r="F144" s="21">
        <f t="shared" si="83"/>
        <v>5</v>
      </c>
      <c r="G144" s="19" t="str">
        <f t="shared" si="84"/>
        <v/>
      </c>
      <c r="H144" s="21" t="str">
        <f t="shared" si="85"/>
        <v/>
      </c>
      <c r="J144" s="1223">
        <v>12</v>
      </c>
      <c r="K144" s="1116" t="s">
        <v>659</v>
      </c>
      <c r="L144" s="1214">
        <v>15.5</v>
      </c>
      <c r="M144" s="1215">
        <v>50000</v>
      </c>
      <c r="N144" s="492"/>
      <c r="O144" s="492"/>
      <c r="P144" s="492"/>
      <c r="Q144" s="492"/>
    </row>
    <row r="145" spans="1:21">
      <c r="C145" s="28">
        <f t="shared" ref="C145:D155" si="86">IF(J145=0,"",J145)</f>
        <v>13</v>
      </c>
      <c r="D145" s="11" t="str">
        <f t="shared" si="86"/>
        <v>上海积誉投资中心（有限合伙）</v>
      </c>
      <c r="E145" s="21">
        <f t="shared" si="82"/>
        <v>21</v>
      </c>
      <c r="F145" s="21">
        <f t="shared" si="83"/>
        <v>5</v>
      </c>
      <c r="G145" s="19">
        <f t="shared" si="84"/>
        <v>2525.2525000000001</v>
      </c>
      <c r="H145" s="21">
        <f t="shared" si="85"/>
        <v>4.9999999500000003</v>
      </c>
      <c r="J145" s="1145">
        <v>13</v>
      </c>
      <c r="K145" s="1087" t="s">
        <v>658</v>
      </c>
      <c r="L145" s="1221">
        <v>21</v>
      </c>
      <c r="M145" s="1222">
        <v>50000</v>
      </c>
      <c r="N145" s="492"/>
      <c r="O145" s="492"/>
      <c r="P145" s="492"/>
      <c r="Q145" s="492"/>
    </row>
    <row r="146" spans="1:21">
      <c r="C146" s="28" t="str">
        <f t="shared" si="86"/>
        <v/>
      </c>
      <c r="D146" s="11" t="str">
        <f t="shared" si="86"/>
        <v/>
      </c>
      <c r="E146" s="21">
        <f t="shared" si="82"/>
        <v>20.5</v>
      </c>
      <c r="F146" s="21">
        <f t="shared" si="83"/>
        <v>5</v>
      </c>
      <c r="G146" s="19" t="str">
        <f t="shared" si="84"/>
        <v/>
      </c>
      <c r="H146" s="21" t="str">
        <f t="shared" si="85"/>
        <v/>
      </c>
      <c r="J146" s="1145"/>
      <c r="K146" s="1087"/>
      <c r="L146" s="1221">
        <v>20.5</v>
      </c>
      <c r="M146" s="1222">
        <v>50000</v>
      </c>
      <c r="N146" s="492"/>
      <c r="O146" s="492"/>
      <c r="P146" s="492"/>
      <c r="Q146" s="492"/>
    </row>
    <row r="147" spans="1:21">
      <c r="C147" s="28" t="str">
        <f t="shared" si="86"/>
        <v/>
      </c>
      <c r="D147" s="11" t="str">
        <f t="shared" si="86"/>
        <v/>
      </c>
      <c r="E147" s="21">
        <f t="shared" si="82"/>
        <v>20</v>
      </c>
      <c r="F147" s="21">
        <f t="shared" si="83"/>
        <v>5</v>
      </c>
      <c r="G147" s="19" t="str">
        <f t="shared" si="84"/>
        <v/>
      </c>
      <c r="H147" s="21" t="str">
        <f t="shared" si="85"/>
        <v/>
      </c>
      <c r="J147" s="1145"/>
      <c r="K147" s="1087"/>
      <c r="L147" s="1221">
        <v>20</v>
      </c>
      <c r="M147" s="1222">
        <v>50000</v>
      </c>
      <c r="N147" s="492"/>
      <c r="O147" s="492"/>
      <c r="P147" s="492"/>
      <c r="Q147" s="492"/>
    </row>
    <row r="148" spans="1:21">
      <c r="C148" s="28">
        <f t="shared" si="86"/>
        <v>14</v>
      </c>
      <c r="D148" s="11" t="str">
        <f t="shared" si="86"/>
        <v>财通基金管理有限公司</v>
      </c>
      <c r="E148" s="21">
        <f t="shared" si="82"/>
        <v>22.02</v>
      </c>
      <c r="F148" s="21">
        <f t="shared" si="83"/>
        <v>9.94</v>
      </c>
      <c r="G148" s="19">
        <f t="shared" si="84"/>
        <v>9686.8685999999998</v>
      </c>
      <c r="H148" s="21">
        <f t="shared" si="85"/>
        <v>19.179999828</v>
      </c>
      <c r="J148" s="1145">
        <v>14</v>
      </c>
      <c r="K148" s="1087" t="s">
        <v>115</v>
      </c>
      <c r="L148" s="1221">
        <v>22.02</v>
      </c>
      <c r="M148" s="1222">
        <v>99400</v>
      </c>
      <c r="N148" s="492"/>
      <c r="O148" s="492"/>
      <c r="P148" s="492"/>
      <c r="Q148" s="492"/>
    </row>
    <row r="149" spans="1:21">
      <c r="C149" s="28" t="str">
        <f t="shared" si="86"/>
        <v/>
      </c>
      <c r="D149" s="11" t="str">
        <f t="shared" si="86"/>
        <v/>
      </c>
      <c r="E149" s="21">
        <f t="shared" si="82"/>
        <v>19.88</v>
      </c>
      <c r="F149" s="21">
        <f t="shared" si="83"/>
        <v>19.18</v>
      </c>
      <c r="G149" s="19" t="str">
        <f t="shared" si="84"/>
        <v/>
      </c>
      <c r="H149" s="21" t="str">
        <f t="shared" si="85"/>
        <v/>
      </c>
      <c r="J149" s="1145"/>
      <c r="K149" s="1087"/>
      <c r="L149" s="1221">
        <v>19.88</v>
      </c>
      <c r="M149" s="1222">
        <v>191800</v>
      </c>
      <c r="N149" s="492"/>
      <c r="O149" s="492"/>
      <c r="P149" s="492"/>
      <c r="Q149" s="492"/>
    </row>
    <row r="150" spans="1:21">
      <c r="C150" s="28" t="str">
        <f t="shared" si="86"/>
        <v/>
      </c>
      <c r="D150" s="11" t="str">
        <f t="shared" si="86"/>
        <v/>
      </c>
      <c r="E150" s="21">
        <f t="shared" si="82"/>
        <v>18</v>
      </c>
      <c r="F150" s="21">
        <f t="shared" si="83"/>
        <v>24.18</v>
      </c>
      <c r="G150" s="19" t="str">
        <f t="shared" si="84"/>
        <v/>
      </c>
      <c r="H150" s="21" t="str">
        <f t="shared" si="85"/>
        <v/>
      </c>
      <c r="J150" s="1145"/>
      <c r="K150" s="1087"/>
      <c r="L150" s="1221">
        <v>18</v>
      </c>
      <c r="M150" s="1222">
        <v>241800</v>
      </c>
      <c r="N150" s="492"/>
      <c r="O150" s="492"/>
      <c r="P150" s="492"/>
      <c r="Q150" s="492"/>
    </row>
    <row r="151" spans="1:21">
      <c r="C151" s="28">
        <f t="shared" si="86"/>
        <v>15</v>
      </c>
      <c r="D151" s="11" t="str">
        <f t="shared" si="86"/>
        <v>赖宗阳</v>
      </c>
      <c r="E151" s="21">
        <f t="shared" si="82"/>
        <v>12.57</v>
      </c>
      <c r="F151" s="21">
        <f t="shared" si="83"/>
        <v>5.01</v>
      </c>
      <c r="G151" s="19" t="str">
        <f t="shared" si="84"/>
        <v/>
      </c>
      <c r="H151" s="21" t="str">
        <f t="shared" si="85"/>
        <v/>
      </c>
      <c r="J151" s="1223">
        <v>15</v>
      </c>
      <c r="K151" s="1116" t="s">
        <v>137</v>
      </c>
      <c r="L151" s="1214">
        <v>12.57</v>
      </c>
      <c r="M151" s="1215">
        <v>50100</v>
      </c>
      <c r="N151" s="492"/>
      <c r="O151" s="492"/>
      <c r="P151" s="492"/>
      <c r="Q151" s="492"/>
    </row>
    <row r="152" spans="1:21">
      <c r="C152" s="28">
        <f t="shared" si="86"/>
        <v>16</v>
      </c>
      <c r="D152" s="11" t="str">
        <f t="shared" si="86"/>
        <v>诺安基金管理有限公司</v>
      </c>
      <c r="E152" s="21">
        <f t="shared" si="82"/>
        <v>22.76</v>
      </c>
      <c r="F152" s="21">
        <f t="shared" si="83"/>
        <v>5.84</v>
      </c>
      <c r="G152" s="19">
        <f t="shared" si="84"/>
        <v>2949.4949000000001</v>
      </c>
      <c r="H152" s="21">
        <f t="shared" si="85"/>
        <v>5.8399999020000006</v>
      </c>
      <c r="J152" s="1223">
        <v>16</v>
      </c>
      <c r="K152" s="1116" t="s">
        <v>147</v>
      </c>
      <c r="L152" s="1214">
        <v>22.76</v>
      </c>
      <c r="M152" s="1215">
        <v>58400</v>
      </c>
      <c r="N152" s="492"/>
      <c r="O152" s="492"/>
      <c r="P152" s="492"/>
      <c r="Q152" s="492"/>
    </row>
    <row r="153" spans="1:21">
      <c r="C153" s="28">
        <f t="shared" si="86"/>
        <v>17</v>
      </c>
      <c r="D153" s="11" t="str">
        <f t="shared" si="86"/>
        <v>创金合信基金管理有限公司</v>
      </c>
      <c r="E153" s="21">
        <f t="shared" si="82"/>
        <v>12.8</v>
      </c>
      <c r="F153" s="21">
        <f t="shared" si="83"/>
        <v>5.0999999999999996</v>
      </c>
      <c r="G153" s="19" t="str">
        <f t="shared" si="84"/>
        <v/>
      </c>
      <c r="H153" s="21" t="str">
        <f t="shared" si="85"/>
        <v/>
      </c>
      <c r="J153" s="1223">
        <v>17</v>
      </c>
      <c r="K153" s="1116" t="s">
        <v>134</v>
      </c>
      <c r="L153" s="1214">
        <v>12.8</v>
      </c>
      <c r="M153" s="1215">
        <v>51000</v>
      </c>
      <c r="N153" s="492"/>
      <c r="O153" s="492"/>
      <c r="P153" s="492"/>
      <c r="Q153" s="492"/>
    </row>
    <row r="154" spans="1:21">
      <c r="C154" s="28">
        <f t="shared" si="86"/>
        <v>18</v>
      </c>
      <c r="D154" s="11" t="str">
        <f t="shared" si="86"/>
        <v>申万菱信（上海）资产管理有限
公司</v>
      </c>
      <c r="E154" s="21">
        <f t="shared" si="82"/>
        <v>16.52</v>
      </c>
      <c r="F154" s="21">
        <f t="shared" si="83"/>
        <v>5.0999999999999996</v>
      </c>
      <c r="G154" s="19" t="str">
        <f t="shared" si="84"/>
        <v/>
      </c>
      <c r="H154" s="21" t="str">
        <f t="shared" si="85"/>
        <v/>
      </c>
      <c r="J154" s="1146">
        <v>18</v>
      </c>
      <c r="K154" s="1225" t="s">
        <v>578</v>
      </c>
      <c r="L154" s="1221">
        <v>16.52</v>
      </c>
      <c r="M154" s="1222">
        <v>51000</v>
      </c>
      <c r="N154" s="492"/>
      <c r="O154" s="492"/>
      <c r="P154" s="492"/>
      <c r="Q154" s="492"/>
    </row>
    <row r="155" spans="1:21">
      <c r="C155" s="28" t="str">
        <f t="shared" si="86"/>
        <v/>
      </c>
      <c r="D155" s="11" t="str">
        <f t="shared" si="86"/>
        <v/>
      </c>
      <c r="E155" s="21">
        <f t="shared" si="82"/>
        <v>14.28</v>
      </c>
      <c r="F155" s="21">
        <f t="shared" si="83"/>
        <v>7.5</v>
      </c>
      <c r="G155" s="19" t="str">
        <f t="shared" si="84"/>
        <v/>
      </c>
      <c r="H155" s="21" t="str">
        <f t="shared" si="85"/>
        <v/>
      </c>
      <c r="J155" s="1146"/>
      <c r="K155" s="1225"/>
      <c r="L155" s="1221">
        <v>14.28</v>
      </c>
      <c r="M155" s="1222">
        <v>75000</v>
      </c>
      <c r="N155" s="492"/>
      <c r="O155" s="492"/>
      <c r="P155" s="492"/>
      <c r="Q155" s="492"/>
    </row>
    <row r="157" spans="1:21">
      <c r="A157" s="24">
        <v>9</v>
      </c>
      <c r="B157" s="12" t="s">
        <v>106</v>
      </c>
      <c r="C157" s="12" t="s">
        <v>126</v>
      </c>
      <c r="D157" s="12" t="s">
        <v>107</v>
      </c>
      <c r="E157" s="12" t="s">
        <v>4</v>
      </c>
      <c r="F157" s="13" t="s">
        <v>108</v>
      </c>
      <c r="G157" s="13" t="s">
        <v>109</v>
      </c>
      <c r="H157" s="12" t="s">
        <v>274</v>
      </c>
      <c r="I157" s="12" t="s">
        <v>273</v>
      </c>
      <c r="J157" s="12" t="s">
        <v>116</v>
      </c>
      <c r="K157" s="14" t="s">
        <v>110</v>
      </c>
      <c r="L157" s="14" t="s">
        <v>276</v>
      </c>
      <c r="M157" s="14" t="s">
        <v>117</v>
      </c>
      <c r="N157" s="15" t="s">
        <v>275</v>
      </c>
      <c r="O157" s="12" t="s">
        <v>111</v>
      </c>
      <c r="P157" s="8" t="s">
        <v>12</v>
      </c>
      <c r="Q157" s="8" t="s">
        <v>190</v>
      </c>
      <c r="R157" s="15" t="s">
        <v>129</v>
      </c>
      <c r="S157" s="14" t="s">
        <v>220</v>
      </c>
    </row>
    <row r="158" spans="1:21">
      <c r="A158" s="24">
        <v>8</v>
      </c>
      <c r="B158" s="979">
        <v>39</v>
      </c>
      <c r="C158" s="9" t="s">
        <v>206</v>
      </c>
      <c r="D158" s="1" t="s">
        <v>57</v>
      </c>
      <c r="E158" s="1" t="s">
        <v>56</v>
      </c>
      <c r="F158" s="3">
        <v>3</v>
      </c>
      <c r="G158" s="3">
        <v>2.9999999312000001</v>
      </c>
      <c r="H158" s="2">
        <v>42444</v>
      </c>
      <c r="I158" s="1001" t="s">
        <v>151</v>
      </c>
      <c r="J158" s="11">
        <v>28</v>
      </c>
      <c r="K158" s="3">
        <v>24.03</v>
      </c>
      <c r="L158" s="3">
        <f t="shared" ref="L158" si="87">K158/J158</f>
        <v>0.85821428571428571</v>
      </c>
      <c r="M158" s="3">
        <v>27.98</v>
      </c>
      <c r="N158" s="10">
        <f t="shared" ref="N158" si="88">M158/J158</f>
        <v>0.99928571428571433</v>
      </c>
      <c r="O158" s="1002">
        <v>2</v>
      </c>
      <c r="P158" s="1004">
        <v>42479</v>
      </c>
      <c r="Q158" s="1003">
        <v>35.76</v>
      </c>
      <c r="R158" s="18">
        <f t="shared" ref="R158" si="89">(Q158*(1+T158/10)+U158/10)/M158</f>
        <v>1.2780557541100785</v>
      </c>
      <c r="S158" s="979" t="s">
        <v>223</v>
      </c>
      <c r="T158" s="22">
        <f t="shared" ref="T158" si="90">IFERROR(RIGHT(LEFT(S158,FIND("股",S158)-1),(FIND("股",S158)-1-FIND("转",S158))),0)</f>
        <v>0</v>
      </c>
      <c r="U158" s="23">
        <f t="shared" ref="U158" si="91">IFERROR(RIGHT(LEFT(S158,FIND("元",S158)-1),(FIND("元",S158)-1-FIND("派",S158))),0)</f>
        <v>0</v>
      </c>
    </row>
    <row r="160" spans="1:21" ht="16">
      <c r="C160" s="27" t="s">
        <v>118</v>
      </c>
      <c r="D160" s="16" t="s">
        <v>112</v>
      </c>
      <c r="E160" s="16" t="s">
        <v>113</v>
      </c>
      <c r="F160" s="16" t="s">
        <v>288</v>
      </c>
      <c r="G160" s="17" t="s">
        <v>287</v>
      </c>
      <c r="H160" s="16" t="s">
        <v>289</v>
      </c>
      <c r="J160" s="1106" t="s">
        <v>293</v>
      </c>
      <c r="K160" s="1106" t="s">
        <v>657</v>
      </c>
      <c r="L160" s="1108" t="s">
        <v>656</v>
      </c>
      <c r="M160" s="1106" t="s">
        <v>655</v>
      </c>
      <c r="N160" s="1033"/>
      <c r="O160" s="492"/>
      <c r="P160" s="492"/>
    </row>
    <row r="161" spans="1:21" ht="15">
      <c r="C161" s="28">
        <f t="shared" ref="C161:D168" si="92">IF(J161=0,"",J161)</f>
        <v>1</v>
      </c>
      <c r="D161" s="11" t="str">
        <f t="shared" si="92"/>
        <v>巨杉（上海）资产管理有限公司</v>
      </c>
      <c r="E161" s="21">
        <f t="shared" ref="E161:E168" si="93">L161</f>
        <v>28.01</v>
      </c>
      <c r="F161" s="21">
        <f>M161/100000000</f>
        <v>0.6</v>
      </c>
      <c r="G161" s="19">
        <f t="shared" ref="G161:G168" si="94">IFERROR(VLOOKUP(D161,O$161:Q$169,2,FALSE)/1,"")</f>
        <v>214.43879999999999</v>
      </c>
      <c r="H161" s="21">
        <f t="shared" ref="H161:H168" si="95">IFERROR(G161*$M$158/10000,"")</f>
        <v>0.59999976239999997</v>
      </c>
      <c r="J161" s="1226">
        <v>1</v>
      </c>
      <c r="K161" s="1121" t="s">
        <v>654</v>
      </c>
      <c r="L161" s="1227">
        <v>28.01</v>
      </c>
      <c r="M161" s="1228">
        <v>60000000</v>
      </c>
      <c r="N161" s="492"/>
      <c r="O161" s="1005" t="s">
        <v>322</v>
      </c>
      <c r="P161" s="1022" t="s">
        <v>360</v>
      </c>
    </row>
    <row r="162" spans="1:21" ht="15">
      <c r="C162" s="28" t="str">
        <f t="shared" si="92"/>
        <v/>
      </c>
      <c r="D162" s="11" t="str">
        <f t="shared" si="92"/>
        <v/>
      </c>
      <c r="E162" s="21">
        <f t="shared" si="93"/>
        <v>26.98</v>
      </c>
      <c r="F162" s="21">
        <f t="shared" ref="F162:F168" si="96">M162/100000000</f>
        <v>0.6</v>
      </c>
      <c r="G162" s="19" t="str">
        <f t="shared" si="94"/>
        <v/>
      </c>
      <c r="H162" s="21" t="str">
        <f t="shared" si="95"/>
        <v/>
      </c>
      <c r="J162" s="1226"/>
      <c r="K162" s="1121"/>
      <c r="L162" s="1227">
        <v>26.98</v>
      </c>
      <c r="M162" s="1228">
        <v>60000000</v>
      </c>
      <c r="N162" s="492"/>
      <c r="O162" s="1121" t="s">
        <v>654</v>
      </c>
      <c r="P162" s="1229">
        <v>214.43879999999999</v>
      </c>
    </row>
    <row r="163" spans="1:21" ht="15">
      <c r="C163" s="28" t="str">
        <f t="shared" si="92"/>
        <v/>
      </c>
      <c r="D163" s="11" t="str">
        <f t="shared" si="92"/>
        <v/>
      </c>
      <c r="E163" s="21">
        <f t="shared" si="93"/>
        <v>26.71</v>
      </c>
      <c r="F163" s="21">
        <f t="shared" si="96"/>
        <v>0.6</v>
      </c>
      <c r="G163" s="19" t="str">
        <f t="shared" si="94"/>
        <v/>
      </c>
      <c r="H163" s="21" t="str">
        <f t="shared" si="95"/>
        <v/>
      </c>
      <c r="J163" s="1226"/>
      <c r="K163" s="1121"/>
      <c r="L163" s="1227">
        <v>26.71</v>
      </c>
      <c r="M163" s="1228">
        <v>60000000</v>
      </c>
      <c r="N163" s="492"/>
      <c r="O163" s="1204" t="s">
        <v>127</v>
      </c>
      <c r="P163" s="1229">
        <v>0</v>
      </c>
    </row>
    <row r="164" spans="1:21" ht="15">
      <c r="C164" s="28">
        <f t="shared" si="92"/>
        <v>2</v>
      </c>
      <c r="D164" s="11" t="str">
        <f t="shared" si="92"/>
        <v>深圳中植产投科技投资合伙企
业（有限合伙）</v>
      </c>
      <c r="E164" s="21">
        <f t="shared" si="93"/>
        <v>27.98</v>
      </c>
      <c r="F164" s="21">
        <f t="shared" si="96"/>
        <v>2.6</v>
      </c>
      <c r="G164" s="19">
        <f t="shared" si="94"/>
        <v>857.75559999999996</v>
      </c>
      <c r="H164" s="21">
        <f t="shared" si="95"/>
        <v>2.4000001688000001</v>
      </c>
      <c r="J164" s="1230">
        <v>2</v>
      </c>
      <c r="K164" s="1108" t="s">
        <v>653</v>
      </c>
      <c r="L164" s="1227">
        <v>27.98</v>
      </c>
      <c r="M164" s="1228">
        <v>260000000</v>
      </c>
      <c r="N164" s="492"/>
      <c r="O164" s="1108" t="s">
        <v>653</v>
      </c>
      <c r="P164" s="1229">
        <v>857.75559999999996</v>
      </c>
    </row>
    <row r="165" spans="1:21" ht="15">
      <c r="C165" s="28">
        <f t="shared" si="92"/>
        <v>3</v>
      </c>
      <c r="D165" s="11" t="str">
        <f t="shared" si="92"/>
        <v>余佳伟</v>
      </c>
      <c r="E165" s="21">
        <f t="shared" si="93"/>
        <v>27.1</v>
      </c>
      <c r="F165" s="21">
        <f t="shared" si="96"/>
        <v>0.6</v>
      </c>
      <c r="G165" s="19" t="str">
        <f t="shared" si="94"/>
        <v/>
      </c>
      <c r="H165" s="21" t="str">
        <f t="shared" si="95"/>
        <v/>
      </c>
      <c r="J165" s="1230">
        <v>3</v>
      </c>
      <c r="K165" s="1204" t="s">
        <v>652</v>
      </c>
      <c r="L165" s="1227">
        <v>27.1</v>
      </c>
      <c r="M165" s="1228">
        <v>60000000</v>
      </c>
      <c r="N165" s="492"/>
      <c r="O165" s="492"/>
      <c r="P165" s="492"/>
    </row>
    <row r="166" spans="1:21" ht="15">
      <c r="C166" s="28">
        <f t="shared" si="92"/>
        <v>4</v>
      </c>
      <c r="D166" s="11" t="str">
        <f t="shared" si="92"/>
        <v>财通基金管理有限公司</v>
      </c>
      <c r="E166" s="21">
        <f t="shared" si="93"/>
        <v>26.71</v>
      </c>
      <c r="F166" s="21">
        <f t="shared" si="96"/>
        <v>1.6</v>
      </c>
      <c r="G166" s="19" t="str">
        <f t="shared" si="94"/>
        <v/>
      </c>
      <c r="H166" s="21" t="str">
        <f t="shared" si="95"/>
        <v/>
      </c>
      <c r="J166" s="1231">
        <v>4</v>
      </c>
      <c r="K166" s="1204" t="s">
        <v>115</v>
      </c>
      <c r="L166" s="1227">
        <v>26.71</v>
      </c>
      <c r="M166" s="1228">
        <v>160000000</v>
      </c>
      <c r="N166" s="492"/>
      <c r="O166" s="492"/>
      <c r="P166" s="492"/>
    </row>
    <row r="167" spans="1:21" ht="15">
      <c r="C167" s="28" t="str">
        <f t="shared" si="92"/>
        <v/>
      </c>
      <c r="D167" s="11" t="str">
        <f t="shared" si="92"/>
        <v/>
      </c>
      <c r="E167" s="21">
        <f t="shared" si="93"/>
        <v>25</v>
      </c>
      <c r="F167" s="21">
        <f t="shared" si="96"/>
        <v>1.6</v>
      </c>
      <c r="G167" s="19" t="str">
        <f t="shared" si="94"/>
        <v/>
      </c>
      <c r="H167" s="21" t="str">
        <f t="shared" si="95"/>
        <v/>
      </c>
      <c r="J167" s="1231"/>
      <c r="K167" s="1204"/>
      <c r="L167" s="1227">
        <v>25</v>
      </c>
      <c r="M167" s="1228">
        <v>160000000</v>
      </c>
      <c r="N167" s="492"/>
      <c r="O167" s="492"/>
      <c r="P167" s="492"/>
    </row>
    <row r="168" spans="1:21" ht="15">
      <c r="C168" s="28">
        <f t="shared" si="92"/>
        <v>5</v>
      </c>
      <c r="D168" s="11" t="str">
        <f t="shared" si="92"/>
        <v>第一创业证券股份有限公司</v>
      </c>
      <c r="E168" s="21">
        <f t="shared" si="93"/>
        <v>25.2</v>
      </c>
      <c r="F168" s="21">
        <f t="shared" si="96"/>
        <v>0.7</v>
      </c>
      <c r="G168" s="19">
        <f t="shared" si="94"/>
        <v>0</v>
      </c>
      <c r="H168" s="21">
        <f t="shared" si="95"/>
        <v>0</v>
      </c>
      <c r="J168" s="1230">
        <v>5</v>
      </c>
      <c r="K168" s="1204" t="s">
        <v>127</v>
      </c>
      <c r="L168" s="1227">
        <v>25.2</v>
      </c>
      <c r="M168" s="1228">
        <v>70000000</v>
      </c>
      <c r="N168" s="492"/>
      <c r="O168" s="492"/>
      <c r="P168" s="492"/>
    </row>
    <row r="169" spans="1:21">
      <c r="J169" s="120"/>
      <c r="K169" s="120"/>
      <c r="L169" s="119"/>
      <c r="M169" s="119"/>
    </row>
    <row r="170" spans="1:21">
      <c r="A170" s="24">
        <v>10</v>
      </c>
      <c r="B170" s="12" t="s">
        <v>106</v>
      </c>
      <c r="C170" s="12" t="s">
        <v>126</v>
      </c>
      <c r="D170" s="12" t="s">
        <v>107</v>
      </c>
      <c r="E170" s="12" t="s">
        <v>4</v>
      </c>
      <c r="F170" s="13" t="s">
        <v>108</v>
      </c>
      <c r="G170" s="13" t="s">
        <v>109</v>
      </c>
      <c r="H170" s="12" t="s">
        <v>274</v>
      </c>
      <c r="I170" s="12" t="s">
        <v>273</v>
      </c>
      <c r="J170" s="12" t="s">
        <v>116</v>
      </c>
      <c r="K170" s="14" t="s">
        <v>110</v>
      </c>
      <c r="L170" s="14" t="s">
        <v>276</v>
      </c>
      <c r="M170" s="14" t="s">
        <v>117</v>
      </c>
      <c r="N170" s="15" t="s">
        <v>275</v>
      </c>
      <c r="O170" s="12" t="s">
        <v>111</v>
      </c>
      <c r="P170" s="8" t="s">
        <v>12</v>
      </c>
      <c r="Q170" s="8" t="s">
        <v>190</v>
      </c>
      <c r="R170" s="15" t="s">
        <v>129</v>
      </c>
      <c r="S170" s="14" t="s">
        <v>220</v>
      </c>
    </row>
    <row r="171" spans="1:21">
      <c r="A171" s="24">
        <v>8</v>
      </c>
      <c r="B171" s="979">
        <v>40</v>
      </c>
      <c r="C171" s="9" t="s">
        <v>207</v>
      </c>
      <c r="D171" s="1" t="s">
        <v>91</v>
      </c>
      <c r="E171" s="1" t="s">
        <v>90</v>
      </c>
      <c r="F171" s="3">
        <v>9.3614280000000001</v>
      </c>
      <c r="G171" s="3">
        <v>9.3614279048999993</v>
      </c>
      <c r="H171" s="2">
        <v>42443</v>
      </c>
      <c r="I171" s="1001" t="s">
        <v>151</v>
      </c>
      <c r="J171" s="11">
        <v>33.92</v>
      </c>
      <c r="K171" s="3">
        <v>23.67</v>
      </c>
      <c r="L171" s="3">
        <f t="shared" ref="L171" si="97">K171/J171</f>
        <v>0.69781839622641506</v>
      </c>
      <c r="M171" s="3">
        <v>26.01</v>
      </c>
      <c r="N171" s="10">
        <f t="shared" ref="N171" si="98">M171/J171</f>
        <v>0.76680424528301883</v>
      </c>
      <c r="O171" s="1002">
        <v>7</v>
      </c>
      <c r="P171" s="1004">
        <v>42844</v>
      </c>
      <c r="Q171" s="1003">
        <v>20.350000000000001</v>
      </c>
      <c r="R171" s="18">
        <f t="shared" ref="R171" si="99">(Q171*(1+T171/10)+U171/10)/M171</f>
        <v>0.78354479046520575</v>
      </c>
      <c r="S171" s="11" t="s">
        <v>256</v>
      </c>
      <c r="T171" s="22">
        <f t="shared" ref="T171" si="100">IFERROR(RIGHT(LEFT(S171,FIND("股",S171)-1),(FIND("股",S171)-1-FIND("转",S171))),0)</f>
        <v>0</v>
      </c>
      <c r="U171" s="23" t="str">
        <f t="shared" ref="U171" si="101">IFERROR(RIGHT(LEFT(S171,FIND("元",S171)-1),(FIND("元",S171)-1-FIND("派",S171))),0)</f>
        <v>0.3</v>
      </c>
    </row>
    <row r="172" spans="1:21">
      <c r="J172" s="119"/>
      <c r="K172" s="119"/>
      <c r="L172" s="119"/>
      <c r="M172" s="119"/>
    </row>
    <row r="173" spans="1:21" ht="20" customHeight="1">
      <c r="C173" s="27" t="s">
        <v>118</v>
      </c>
      <c r="D173" s="16" t="s">
        <v>112</v>
      </c>
      <c r="E173" s="16" t="s">
        <v>113</v>
      </c>
      <c r="F173" s="16" t="s">
        <v>288</v>
      </c>
      <c r="G173" s="17" t="s">
        <v>287</v>
      </c>
      <c r="H173" s="16" t="s">
        <v>289</v>
      </c>
      <c r="J173" s="1096" t="s">
        <v>298</v>
      </c>
      <c r="K173" s="1096" t="s">
        <v>369</v>
      </c>
      <c r="L173" s="1111" t="s">
        <v>651</v>
      </c>
      <c r="M173" s="1111" t="s">
        <v>308</v>
      </c>
      <c r="N173" s="1033"/>
      <c r="O173" s="1110" t="s">
        <v>338</v>
      </c>
      <c r="P173" s="1232" t="s">
        <v>334</v>
      </c>
    </row>
    <row r="174" spans="1:21">
      <c r="C174" s="28">
        <f t="shared" ref="C174:D189" si="102">IF(J174=0,"",J174)</f>
        <v>1</v>
      </c>
      <c r="D174" s="11" t="str">
        <f t="shared" si="102"/>
        <v>第一创业证券股份
有限公司</v>
      </c>
      <c r="E174" s="21">
        <f t="shared" ref="E174:E191" si="103">L174</f>
        <v>25.52</v>
      </c>
      <c r="F174" s="21">
        <f t="shared" ref="F174:F191" si="104">M174/10000</f>
        <v>1.1000000000000001</v>
      </c>
      <c r="G174" s="19" t="str">
        <f>IFERROR(VLOOKUP(D174,O$174:Q$183,2,FALSE)/10000,"")</f>
        <v/>
      </c>
      <c r="H174" s="21" t="str">
        <f t="shared" ref="H174:H191" si="105">IFERROR(G174*$M$171/10000,"")</f>
        <v/>
      </c>
      <c r="J174" s="1094">
        <v>1</v>
      </c>
      <c r="K174" s="1108" t="s">
        <v>650</v>
      </c>
      <c r="L174" s="1088">
        <v>25.52</v>
      </c>
      <c r="M174" s="1118">
        <v>11000</v>
      </c>
      <c r="N174" s="1045"/>
      <c r="O174" s="1090" t="s">
        <v>146</v>
      </c>
      <c r="P174" s="1089">
        <v>7689350</v>
      </c>
      <c r="R174" s="31"/>
      <c r="S174" s="31"/>
    </row>
    <row r="175" spans="1:21">
      <c r="C175" s="28" t="str">
        <f t="shared" si="102"/>
        <v/>
      </c>
      <c r="D175" s="11" t="str">
        <f t="shared" si="102"/>
        <v/>
      </c>
      <c r="E175" s="21">
        <f t="shared" si="103"/>
        <v>23.76</v>
      </c>
      <c r="F175" s="21">
        <f t="shared" si="104"/>
        <v>1.6</v>
      </c>
      <c r="G175" s="19" t="str">
        <f t="shared" ref="G175:G191" si="106">IFERROR(VLOOKUP(D175,O$174:Q$183,2,FALSE)/10000,"")</f>
        <v/>
      </c>
      <c r="H175" s="21" t="str">
        <f t="shared" si="105"/>
        <v/>
      </c>
      <c r="J175" s="1094"/>
      <c r="K175" s="1108"/>
      <c r="L175" s="1088">
        <v>23.76</v>
      </c>
      <c r="M175" s="1118">
        <v>16000</v>
      </c>
      <c r="N175" s="1045"/>
      <c r="O175" s="1090" t="s">
        <v>115</v>
      </c>
      <c r="P175" s="1089">
        <v>7689350</v>
      </c>
      <c r="R175" s="6"/>
    </row>
    <row r="176" spans="1:21">
      <c r="C176" s="28">
        <f t="shared" si="102"/>
        <v>2</v>
      </c>
      <c r="D176" s="11" t="str">
        <f t="shared" si="102"/>
        <v>申万菱信（上海）资产管理有限公司</v>
      </c>
      <c r="E176" s="21">
        <f t="shared" si="103"/>
        <v>26.51</v>
      </c>
      <c r="F176" s="21">
        <f t="shared" si="104"/>
        <v>1.1000000000000001</v>
      </c>
      <c r="G176" s="19">
        <f t="shared" si="106"/>
        <v>422.91419999999999</v>
      </c>
      <c r="H176" s="21">
        <f t="shared" si="105"/>
        <v>1.0999998342000001</v>
      </c>
      <c r="J176" s="1093">
        <v>2</v>
      </c>
      <c r="K176" s="1090" t="s">
        <v>138</v>
      </c>
      <c r="L176" s="1088">
        <v>26.51</v>
      </c>
      <c r="M176" s="1118">
        <v>11000</v>
      </c>
      <c r="N176" s="1045"/>
      <c r="O176" s="1090" t="s">
        <v>121</v>
      </c>
      <c r="P176" s="1089">
        <v>3844675</v>
      </c>
      <c r="R176" s="6"/>
    </row>
    <row r="177" spans="3:18">
      <c r="C177" s="28">
        <f t="shared" si="102"/>
        <v>3</v>
      </c>
      <c r="D177" s="11" t="str">
        <f t="shared" si="102"/>
        <v>申万菱信基金管理有限公司</v>
      </c>
      <c r="E177" s="21">
        <f t="shared" si="103"/>
        <v>27.11</v>
      </c>
      <c r="F177" s="21">
        <f t="shared" si="104"/>
        <v>1</v>
      </c>
      <c r="G177" s="19">
        <f t="shared" si="106"/>
        <v>384.46749999999997</v>
      </c>
      <c r="H177" s="21">
        <f t="shared" si="105"/>
        <v>0.99999996749999986</v>
      </c>
      <c r="J177" s="1094">
        <v>3</v>
      </c>
      <c r="K177" s="1090" t="s">
        <v>121</v>
      </c>
      <c r="L177" s="1088">
        <v>27.11</v>
      </c>
      <c r="M177" s="1118">
        <v>10000</v>
      </c>
      <c r="N177" s="1045"/>
      <c r="O177" s="1090" t="s">
        <v>173</v>
      </c>
      <c r="P177" s="1089">
        <v>5767012</v>
      </c>
      <c r="R177" s="6"/>
    </row>
    <row r="178" spans="3:18">
      <c r="C178" s="28" t="str">
        <f t="shared" si="102"/>
        <v/>
      </c>
      <c r="D178" s="11" t="str">
        <f t="shared" si="102"/>
        <v/>
      </c>
      <c r="E178" s="21">
        <f t="shared" si="103"/>
        <v>24.16</v>
      </c>
      <c r="F178" s="21">
        <f t="shared" si="104"/>
        <v>1.6</v>
      </c>
      <c r="G178" s="19" t="str">
        <f t="shared" si="106"/>
        <v/>
      </c>
      <c r="H178" s="21" t="str">
        <f t="shared" si="105"/>
        <v/>
      </c>
      <c r="J178" s="1094"/>
      <c r="K178" s="1108"/>
      <c r="L178" s="1088">
        <v>24.16</v>
      </c>
      <c r="M178" s="1118">
        <v>16000</v>
      </c>
      <c r="N178" s="1045"/>
      <c r="O178" s="1090" t="s">
        <v>351</v>
      </c>
      <c r="P178" s="1089">
        <v>3844675</v>
      </c>
      <c r="R178" s="6"/>
    </row>
    <row r="179" spans="3:18">
      <c r="C179" s="28">
        <f t="shared" si="102"/>
        <v>4</v>
      </c>
      <c r="D179" s="11" t="str">
        <f t="shared" si="102"/>
        <v>泰康资产管理有限
责任公司</v>
      </c>
      <c r="E179" s="21">
        <f t="shared" si="103"/>
        <v>25</v>
      </c>
      <c r="F179" s="21">
        <f t="shared" si="104"/>
        <v>1.17</v>
      </c>
      <c r="G179" s="19" t="str">
        <f t="shared" si="106"/>
        <v/>
      </c>
      <c r="H179" s="21" t="str">
        <f t="shared" si="105"/>
        <v/>
      </c>
      <c r="J179" s="1093">
        <v>4</v>
      </c>
      <c r="K179" s="1007" t="s">
        <v>649</v>
      </c>
      <c r="L179" s="1088">
        <v>25</v>
      </c>
      <c r="M179" s="1118">
        <v>11700</v>
      </c>
      <c r="N179" s="1045"/>
      <c r="O179" s="1090" t="s">
        <v>138</v>
      </c>
      <c r="P179" s="1089">
        <v>4229142</v>
      </c>
      <c r="R179" s="6"/>
    </row>
    <row r="180" spans="3:18">
      <c r="C180" s="28">
        <f t="shared" si="102"/>
        <v>5</v>
      </c>
      <c r="D180" s="11" t="str">
        <f t="shared" si="102"/>
        <v>北京众和成长投资
中心（有限合伙）</v>
      </c>
      <c r="E180" s="21">
        <f t="shared" si="103"/>
        <v>23.88</v>
      </c>
      <c r="F180" s="21">
        <f t="shared" si="104"/>
        <v>1.01</v>
      </c>
      <c r="G180" s="19" t="str">
        <f t="shared" si="106"/>
        <v/>
      </c>
      <c r="H180" s="21" t="str">
        <f t="shared" si="105"/>
        <v/>
      </c>
      <c r="J180" s="1093">
        <v>5</v>
      </c>
      <c r="K180" s="1007" t="s">
        <v>648</v>
      </c>
      <c r="L180" s="1088">
        <v>23.88</v>
      </c>
      <c r="M180" s="1118">
        <v>10100</v>
      </c>
      <c r="N180" s="1233"/>
      <c r="O180" s="1090" t="s">
        <v>128</v>
      </c>
      <c r="P180" s="1089">
        <v>2927445</v>
      </c>
      <c r="R180" s="6"/>
    </row>
    <row r="181" spans="3:18">
      <c r="C181" s="28">
        <f t="shared" si="102"/>
        <v>6</v>
      </c>
      <c r="D181" s="11" t="str">
        <f t="shared" si="102"/>
        <v>东海基金管理有限责任公司</v>
      </c>
      <c r="E181" s="21">
        <f t="shared" si="103"/>
        <v>26.01</v>
      </c>
      <c r="F181" s="21">
        <f t="shared" si="104"/>
        <v>1</v>
      </c>
      <c r="G181" s="19">
        <f t="shared" si="106"/>
        <v>292.74450000000002</v>
      </c>
      <c r="H181" s="21">
        <f t="shared" si="105"/>
        <v>0.76142844450000013</v>
      </c>
      <c r="J181" s="1093">
        <v>6</v>
      </c>
      <c r="K181" s="1090" t="s">
        <v>128</v>
      </c>
      <c r="L181" s="1088">
        <v>26.01</v>
      </c>
      <c r="M181" s="1118">
        <v>10000</v>
      </c>
      <c r="N181" s="1234"/>
      <c r="O181" s="492"/>
      <c r="P181" s="492"/>
    </row>
    <row r="182" spans="3:18">
      <c r="C182" s="28">
        <f t="shared" si="102"/>
        <v>7</v>
      </c>
      <c r="D182" s="11" t="str">
        <f t="shared" si="102"/>
        <v>长城证券股份有限</v>
      </c>
      <c r="E182" s="21">
        <f t="shared" si="103"/>
        <v>23.67</v>
      </c>
      <c r="F182" s="21">
        <f t="shared" si="104"/>
        <v>1</v>
      </c>
      <c r="G182" s="19" t="str">
        <f t="shared" si="106"/>
        <v/>
      </c>
      <c r="H182" s="21" t="str">
        <f t="shared" si="105"/>
        <v/>
      </c>
      <c r="J182" s="1093">
        <v>7</v>
      </c>
      <c r="K182" s="1090" t="s">
        <v>647</v>
      </c>
      <c r="L182" s="1088">
        <v>23.67</v>
      </c>
      <c r="M182" s="1118">
        <v>10000</v>
      </c>
      <c r="N182" s="1234"/>
      <c r="O182" s="492"/>
      <c r="P182" s="492"/>
    </row>
    <row r="183" spans="3:18">
      <c r="C183" s="28" t="str">
        <f t="shared" si="102"/>
        <v/>
      </c>
      <c r="D183" s="11" t="str">
        <f t="shared" si="102"/>
        <v>公司</v>
      </c>
      <c r="E183" s="21">
        <f t="shared" si="103"/>
        <v>0</v>
      </c>
      <c r="F183" s="21">
        <f t="shared" si="104"/>
        <v>0</v>
      </c>
      <c r="G183" s="19" t="str">
        <f t="shared" si="106"/>
        <v/>
      </c>
      <c r="H183" s="21" t="str">
        <f t="shared" si="105"/>
        <v/>
      </c>
      <c r="J183" s="1032"/>
      <c r="K183" s="1090" t="s">
        <v>646</v>
      </c>
      <c r="L183" s="1235"/>
      <c r="M183" s="1235"/>
      <c r="N183" s="492"/>
      <c r="O183" s="492"/>
      <c r="P183" s="492"/>
    </row>
    <row r="184" spans="3:18">
      <c r="C184" s="28">
        <f t="shared" si="102"/>
        <v>8</v>
      </c>
      <c r="D184" s="11" t="str">
        <f t="shared" si="102"/>
        <v>博时基金管理有限公司</v>
      </c>
      <c r="E184" s="21">
        <f t="shared" si="103"/>
        <v>27.11</v>
      </c>
      <c r="F184" s="21">
        <f t="shared" si="104"/>
        <v>1.5</v>
      </c>
      <c r="G184" s="19">
        <f t="shared" si="106"/>
        <v>576.70119999999997</v>
      </c>
      <c r="H184" s="21">
        <f t="shared" si="105"/>
        <v>1.4999998212000001</v>
      </c>
      <c r="J184" s="1093">
        <v>8</v>
      </c>
      <c r="K184" s="1090" t="s">
        <v>173</v>
      </c>
      <c r="L184" s="1088">
        <v>27.11</v>
      </c>
      <c r="M184" s="1118">
        <v>15000</v>
      </c>
      <c r="N184" s="492"/>
      <c r="O184" s="492"/>
      <c r="P184" s="492"/>
    </row>
    <row r="185" spans="3:18">
      <c r="C185" s="28">
        <f t="shared" si="102"/>
        <v>9</v>
      </c>
      <c r="D185" s="11" t="str">
        <f t="shared" si="102"/>
        <v>诺安基金管理有限
公司</v>
      </c>
      <c r="E185" s="21">
        <f t="shared" si="103"/>
        <v>25.86</v>
      </c>
      <c r="F185" s="21">
        <f t="shared" si="104"/>
        <v>1.86</v>
      </c>
      <c r="G185" s="19" t="str">
        <f t="shared" si="106"/>
        <v/>
      </c>
      <c r="H185" s="21" t="str">
        <f t="shared" si="105"/>
        <v/>
      </c>
      <c r="J185" s="1093">
        <v>9</v>
      </c>
      <c r="K185" s="1007" t="s">
        <v>645</v>
      </c>
      <c r="L185" s="1088">
        <v>25.86</v>
      </c>
      <c r="M185" s="1118">
        <v>18600</v>
      </c>
      <c r="N185" s="492"/>
      <c r="O185" s="492"/>
      <c r="P185" s="492"/>
    </row>
    <row r="186" spans="3:18">
      <c r="C186" s="28">
        <f t="shared" si="102"/>
        <v>10</v>
      </c>
      <c r="D186" s="11" t="str">
        <f t="shared" si="102"/>
        <v>华安基金管理有限
公司</v>
      </c>
      <c r="E186" s="21">
        <f t="shared" si="103"/>
        <v>25.86</v>
      </c>
      <c r="F186" s="21">
        <f t="shared" si="104"/>
        <v>1</v>
      </c>
      <c r="G186" s="19" t="str">
        <f t="shared" si="106"/>
        <v/>
      </c>
      <c r="H186" s="21" t="str">
        <f t="shared" si="105"/>
        <v/>
      </c>
      <c r="J186" s="1094">
        <v>10</v>
      </c>
      <c r="K186" s="1108" t="s">
        <v>644</v>
      </c>
      <c r="L186" s="1088">
        <v>25.86</v>
      </c>
      <c r="M186" s="1118">
        <v>10000</v>
      </c>
      <c r="N186" s="492"/>
      <c r="O186" s="492"/>
      <c r="P186" s="492"/>
    </row>
    <row r="187" spans="3:18">
      <c r="C187" s="28" t="str">
        <f t="shared" si="102"/>
        <v/>
      </c>
      <c r="D187" s="11" t="str">
        <f t="shared" si="102"/>
        <v/>
      </c>
      <c r="E187" s="21">
        <f t="shared" si="103"/>
        <v>24.66</v>
      </c>
      <c r="F187" s="21">
        <f t="shared" si="104"/>
        <v>1.02</v>
      </c>
      <c r="G187" s="19" t="str">
        <f t="shared" si="106"/>
        <v/>
      </c>
      <c r="H187" s="21" t="str">
        <f t="shared" si="105"/>
        <v/>
      </c>
      <c r="J187" s="1094"/>
      <c r="K187" s="1108"/>
      <c r="L187" s="1088">
        <v>24.66</v>
      </c>
      <c r="M187" s="1118">
        <v>10200</v>
      </c>
      <c r="N187" s="492"/>
      <c r="O187" s="492"/>
      <c r="P187" s="492"/>
    </row>
    <row r="188" spans="3:18">
      <c r="C188" s="28">
        <f t="shared" si="102"/>
        <v>11</v>
      </c>
      <c r="D188" s="11" t="str">
        <f t="shared" si="102"/>
        <v>平安大华基金管理有限公司</v>
      </c>
      <c r="E188" s="21">
        <f t="shared" si="103"/>
        <v>28.3</v>
      </c>
      <c r="F188" s="21">
        <f t="shared" si="104"/>
        <v>2</v>
      </c>
      <c r="G188" s="19">
        <f t="shared" si="106"/>
        <v>768.93499999999995</v>
      </c>
      <c r="H188" s="21">
        <f t="shared" si="105"/>
        <v>1.9999999349999997</v>
      </c>
      <c r="J188" s="1093">
        <v>11</v>
      </c>
      <c r="K188" s="1090" t="s">
        <v>146</v>
      </c>
      <c r="L188" s="1088">
        <v>28.3</v>
      </c>
      <c r="M188" s="1118">
        <v>20000</v>
      </c>
      <c r="N188" s="492"/>
      <c r="O188" s="492"/>
      <c r="P188" s="492"/>
    </row>
    <row r="189" spans="3:18">
      <c r="C189" s="28">
        <f t="shared" si="102"/>
        <v>12</v>
      </c>
      <c r="D189" s="11" t="str">
        <f t="shared" si="102"/>
        <v>民生通惠资产管理有限公司</v>
      </c>
      <c r="E189" s="21">
        <f t="shared" si="103"/>
        <v>26.54</v>
      </c>
      <c r="F189" s="21">
        <f t="shared" si="104"/>
        <v>1</v>
      </c>
      <c r="G189" s="19">
        <f t="shared" si="106"/>
        <v>384.46749999999997</v>
      </c>
      <c r="H189" s="21">
        <f t="shared" si="105"/>
        <v>0.99999996749999986</v>
      </c>
      <c r="J189" s="1093">
        <v>12</v>
      </c>
      <c r="K189" s="1090" t="s">
        <v>351</v>
      </c>
      <c r="L189" s="1088">
        <v>26.54</v>
      </c>
      <c r="M189" s="1118">
        <v>10000</v>
      </c>
      <c r="N189" s="492"/>
      <c r="O189" s="492"/>
      <c r="P189" s="492"/>
    </row>
    <row r="190" spans="3:18">
      <c r="C190" s="28">
        <f t="shared" ref="C190:D192" si="107">IF(J190=0,"",J190)</f>
        <v>13</v>
      </c>
      <c r="D190" s="11" t="str">
        <f t="shared" si="107"/>
        <v>财通基金管理有限公司</v>
      </c>
      <c r="E190" s="21">
        <f t="shared" si="103"/>
        <v>27.34</v>
      </c>
      <c r="F190" s="21">
        <f t="shared" si="104"/>
        <v>2</v>
      </c>
      <c r="G190" s="19">
        <f t="shared" si="106"/>
        <v>768.93499999999995</v>
      </c>
      <c r="H190" s="21">
        <f t="shared" si="105"/>
        <v>1.9999999349999997</v>
      </c>
      <c r="J190" s="1093">
        <v>13</v>
      </c>
      <c r="K190" s="1090" t="s">
        <v>115</v>
      </c>
      <c r="L190" s="1088">
        <v>27.34</v>
      </c>
      <c r="M190" s="1118">
        <v>20000</v>
      </c>
      <c r="N190" s="492"/>
      <c r="O190" s="492"/>
      <c r="P190" s="492"/>
    </row>
    <row r="191" spans="3:18">
      <c r="C191" s="28">
        <f t="shared" si="107"/>
        <v>14</v>
      </c>
      <c r="D191" s="11" t="str">
        <f t="shared" si="107"/>
        <v>华夏人寿保险股份
有限公司</v>
      </c>
      <c r="E191" s="21">
        <f t="shared" si="103"/>
        <v>25</v>
      </c>
      <c r="F191" s="21">
        <f t="shared" si="104"/>
        <v>1</v>
      </c>
      <c r="G191" s="19" t="str">
        <f t="shared" si="106"/>
        <v/>
      </c>
      <c r="H191" s="21" t="str">
        <f t="shared" si="105"/>
        <v/>
      </c>
      <c r="J191" s="1093">
        <v>14</v>
      </c>
      <c r="K191" s="1007" t="s">
        <v>643</v>
      </c>
      <c r="L191" s="1088">
        <v>25</v>
      </c>
      <c r="M191" s="1118">
        <v>10000</v>
      </c>
      <c r="N191" s="492"/>
      <c r="O191" s="492"/>
      <c r="P191" s="492"/>
    </row>
    <row r="192" spans="3:18">
      <c r="C192" s="28" t="str">
        <f t="shared" si="107"/>
        <v/>
      </c>
      <c r="J192" s="1108"/>
      <c r="K192" s="1108"/>
      <c r="L192" s="1007"/>
      <c r="M192" s="1007"/>
      <c r="N192" s="492"/>
      <c r="O192" s="492"/>
      <c r="P192" s="492"/>
    </row>
    <row r="193" spans="10:16">
      <c r="J193" s="1108"/>
      <c r="K193" s="1108"/>
      <c r="L193" s="1007"/>
      <c r="M193" s="1007"/>
      <c r="N193" s="492"/>
      <c r="O193" s="492"/>
      <c r="P193" s="492"/>
    </row>
    <row r="194" spans="10:16">
      <c r="J194" s="1108"/>
      <c r="K194" s="1108"/>
      <c r="L194" s="1007"/>
      <c r="M194" s="1007"/>
      <c r="N194" s="492"/>
      <c r="O194" s="492"/>
      <c r="P194" s="492"/>
    </row>
    <row r="195" spans="10:16">
      <c r="J195" s="119"/>
      <c r="K195" s="119"/>
      <c r="L195" s="119"/>
      <c r="M195" s="119"/>
    </row>
    <row r="196" spans="10:16">
      <c r="J196" s="119"/>
      <c r="K196" s="119"/>
      <c r="L196" s="119"/>
      <c r="M196" s="119"/>
    </row>
    <row r="197" spans="10:16">
      <c r="J197" s="120"/>
      <c r="K197" s="120"/>
      <c r="L197" s="119"/>
      <c r="M197" s="119"/>
    </row>
    <row r="198" spans="10:16">
      <c r="J198" s="120"/>
      <c r="K198" s="120"/>
      <c r="L198" s="119"/>
      <c r="M198" s="119"/>
    </row>
    <row r="199" spans="10:16">
      <c r="J199" s="120"/>
      <c r="K199" s="120"/>
      <c r="L199" s="119"/>
      <c r="M199" s="119"/>
    </row>
    <row r="200" spans="10:16">
      <c r="J200" s="119"/>
      <c r="K200" s="119"/>
      <c r="L200" s="119"/>
      <c r="M200" s="119"/>
    </row>
  </sheetData>
  <mergeCells count="1">
    <mergeCell ref="D89:H89"/>
  </mergeCells>
  <phoneticPr fontId="139" type="noConversion"/>
  <hyperlinks>
    <hyperlink ref="C3" r:id="rId1" xr:uid="{00000000-0004-0000-0500-000000000000}"/>
    <hyperlink ref="C4" r:id="rId2" xr:uid="{00000000-0004-0000-0500-000001000000}"/>
    <hyperlink ref="C5" r:id="rId3" xr:uid="{00000000-0004-0000-0500-000002000000}"/>
    <hyperlink ref="C7" r:id="rId4" xr:uid="{00000000-0004-0000-0500-000003000000}"/>
    <hyperlink ref="C8" r:id="rId5" xr:uid="{00000000-0004-0000-0500-000004000000}"/>
    <hyperlink ref="C10" r:id="rId6" xr:uid="{00000000-0004-0000-0500-000005000000}"/>
    <hyperlink ref="C9" r:id="rId7" xr:uid="{00000000-0004-0000-0500-000006000000}"/>
    <hyperlink ref="C50" r:id="rId8" xr:uid="{00000000-0004-0000-0500-000007000000}"/>
    <hyperlink ref="C62" r:id="rId9" xr:uid="{00000000-0004-0000-0500-000008000000}"/>
    <hyperlink ref="C70" r:id="rId10" xr:uid="{00000000-0004-0000-0500-000009000000}"/>
    <hyperlink ref="C93" r:id="rId11" xr:uid="{00000000-0004-0000-0500-00000A000000}"/>
    <hyperlink ref="C126" r:id="rId12" xr:uid="{00000000-0004-0000-0500-00000B000000}"/>
    <hyperlink ref="C158" r:id="rId13" xr:uid="{00000000-0004-0000-0500-00000C000000}"/>
    <hyperlink ref="C171" r:id="rId14" xr:uid="{00000000-0004-0000-0500-00000D000000}"/>
    <hyperlink ref="C1" r:id="rId15" xr:uid="{00000000-0004-0000-0500-00000E000000}"/>
    <hyperlink ref="C2" r:id="rId16" xr:uid="{00000000-0004-0000-0500-00000F000000}"/>
    <hyperlink ref="C6" r:id="rId17" xr:uid="{00000000-0004-0000-0500-000010000000}"/>
    <hyperlink ref="C29" r:id="rId18" xr:uid="{00000000-0004-0000-0500-000011000000}"/>
    <hyperlink ref="C76" r:id="rId19" xr:uid="{00000000-0004-0000-0500-000012000000}"/>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04"/>
  <sheetViews>
    <sheetView topLeftCell="A11" workbookViewId="0">
      <selection activeCell="J207" sqref="J207"/>
    </sheetView>
  </sheetViews>
  <sheetFormatPr defaultColWidth="10.83203125" defaultRowHeight="14"/>
  <cols>
    <col min="1" max="1" width="0.33203125" style="24" customWidth="1"/>
    <col min="2" max="3" width="10.83203125" style="24"/>
    <col min="4" max="4" width="23.83203125" style="24" customWidth="1"/>
    <col min="5" max="9" width="10.83203125" style="24"/>
    <col min="10" max="10" width="11" style="24" bestFit="1" customWidth="1"/>
    <col min="11" max="11" width="10.83203125" style="24"/>
    <col min="12" max="12" width="11.1640625" style="24" bestFit="1" customWidth="1"/>
    <col min="13" max="13" width="15.1640625" style="24" bestFit="1" customWidth="1"/>
    <col min="14" max="14" width="13.6640625" style="24" bestFit="1" customWidth="1"/>
    <col min="15" max="15" width="10.83203125" style="24"/>
    <col min="16" max="16" width="12" style="24" bestFit="1" customWidth="1"/>
    <col min="17" max="18" width="10.83203125" style="24"/>
    <col min="19" max="19" width="17" style="24" customWidth="1"/>
    <col min="20" max="21" width="0.33203125" style="24" customWidth="1"/>
    <col min="22" max="16384" width="10.83203125" style="24"/>
  </cols>
  <sheetData>
    <row r="1" spans="1:21">
      <c r="A1" s="24">
        <v>9</v>
      </c>
      <c r="B1" s="979">
        <v>41</v>
      </c>
      <c r="C1" s="9" t="s">
        <v>208</v>
      </c>
      <c r="D1" s="1" t="s">
        <v>41</v>
      </c>
      <c r="E1" s="1" t="s">
        <v>40</v>
      </c>
      <c r="F1" s="3">
        <v>13.185600000000001</v>
      </c>
      <c r="G1" s="3">
        <v>13.185599997500001</v>
      </c>
      <c r="H1" s="2">
        <v>42453</v>
      </c>
      <c r="I1" s="1001" t="s">
        <v>204</v>
      </c>
      <c r="J1" s="11">
        <v>22.25</v>
      </c>
      <c r="K1" s="3">
        <v>16.760000000000002</v>
      </c>
      <c r="L1" s="3">
        <f t="shared" ref="L1:L9" si="0">K1/J1</f>
        <v>0.75325842696629219</v>
      </c>
      <c r="M1" s="3">
        <v>18.25</v>
      </c>
      <c r="N1" s="10">
        <f t="shared" ref="N1:N9" si="1">M1/J1</f>
        <v>0.8202247191011236</v>
      </c>
      <c r="O1" s="1002">
        <v>8</v>
      </c>
      <c r="P1" s="1004">
        <v>42850</v>
      </c>
      <c r="Q1" s="1003">
        <v>13.6</v>
      </c>
      <c r="R1" s="18">
        <f t="shared" ref="R1:R10" si="2">(Q1*(1+T1/10)+U1/10)/M1</f>
        <v>1.2690410958904108</v>
      </c>
      <c r="S1" s="11" t="s">
        <v>265</v>
      </c>
      <c r="T1" s="22" t="str">
        <f t="shared" ref="T1:T10" si="3">IFERROR(RIGHT(LEFT(S1,FIND("股",S1)-1),(FIND("股",S1)-1-FIND("转",S1))),0)</f>
        <v>7</v>
      </c>
      <c r="U1" s="23" t="str">
        <f t="shared" ref="U1:U10" si="4">IFERROR(RIGHT(LEFT(S1,FIND("元",S1)-1),(FIND("元",S1)-1-FIND("派",S1))),0)</f>
        <v>0.4</v>
      </c>
    </row>
    <row r="2" spans="1:21">
      <c r="A2" s="24">
        <v>9</v>
      </c>
      <c r="B2" s="979">
        <v>42</v>
      </c>
      <c r="C2" s="9" t="s">
        <v>210</v>
      </c>
      <c r="D2" s="1" t="s">
        <v>81</v>
      </c>
      <c r="E2" s="1" t="s">
        <v>80</v>
      </c>
      <c r="F2" s="3">
        <v>47</v>
      </c>
      <c r="G2" s="3">
        <v>46.399999812399997</v>
      </c>
      <c r="H2" s="2">
        <v>42452</v>
      </c>
      <c r="I2" s="1001" t="s">
        <v>209</v>
      </c>
      <c r="J2" s="11">
        <v>15.79</v>
      </c>
      <c r="K2" s="3">
        <v>14.68</v>
      </c>
      <c r="L2" s="3">
        <f t="shared" si="0"/>
        <v>0.92970234325522483</v>
      </c>
      <c r="M2" s="3">
        <v>14.68</v>
      </c>
      <c r="N2" s="10">
        <f t="shared" si="1"/>
        <v>0.92970234325522483</v>
      </c>
      <c r="O2" s="1002">
        <v>5</v>
      </c>
      <c r="P2" s="1004">
        <v>42845</v>
      </c>
      <c r="Q2" s="1003">
        <v>6.98</v>
      </c>
      <c r="R2" s="18">
        <f t="shared" si="2"/>
        <v>1.1886920980926432</v>
      </c>
      <c r="S2" s="11" t="s">
        <v>266</v>
      </c>
      <c r="T2" s="22" t="str">
        <f t="shared" si="3"/>
        <v>15</v>
      </c>
      <c r="U2" s="23">
        <f t="shared" si="4"/>
        <v>0</v>
      </c>
    </row>
    <row r="3" spans="1:21">
      <c r="A3" s="24">
        <v>9</v>
      </c>
      <c r="B3" s="979">
        <v>43</v>
      </c>
      <c r="C3" s="9" t="s">
        <v>211</v>
      </c>
      <c r="D3" s="1" t="s">
        <v>73</v>
      </c>
      <c r="E3" s="1" t="s">
        <v>72</v>
      </c>
      <c r="F3" s="3">
        <v>5</v>
      </c>
      <c r="G3" s="3">
        <v>5.2293598384999997</v>
      </c>
      <c r="H3" s="2">
        <v>42459</v>
      </c>
      <c r="I3" s="1001" t="s">
        <v>151</v>
      </c>
      <c r="J3" s="11">
        <v>23.5</v>
      </c>
      <c r="K3" s="3">
        <v>20.37</v>
      </c>
      <c r="L3" s="3">
        <f t="shared" si="0"/>
        <v>0.86680851063829789</v>
      </c>
      <c r="M3" s="3">
        <v>20.51</v>
      </c>
      <c r="N3" s="10">
        <f t="shared" si="1"/>
        <v>0.87276595744680863</v>
      </c>
      <c r="O3" s="1002">
        <v>3</v>
      </c>
      <c r="P3" s="1004">
        <v>42845</v>
      </c>
      <c r="Q3" s="1003">
        <v>20.399999999999999</v>
      </c>
      <c r="R3" s="18">
        <f t="shared" si="2"/>
        <v>0.99707459775719154</v>
      </c>
      <c r="S3" s="11" t="s">
        <v>267</v>
      </c>
      <c r="T3" s="22">
        <f t="shared" si="3"/>
        <v>0</v>
      </c>
      <c r="U3" s="23" t="str">
        <f t="shared" si="4"/>
        <v>0.5</v>
      </c>
    </row>
    <row r="4" spans="1:21">
      <c r="A4" s="24">
        <v>9</v>
      </c>
      <c r="B4" s="979">
        <v>44</v>
      </c>
      <c r="C4" s="9" t="s">
        <v>212</v>
      </c>
      <c r="D4" s="1" t="s">
        <v>89</v>
      </c>
      <c r="E4" s="1" t="s">
        <v>88</v>
      </c>
      <c r="F4" s="3">
        <v>5.5</v>
      </c>
      <c r="G4" s="3">
        <v>5.4999999400000004</v>
      </c>
      <c r="H4" s="2">
        <v>42458</v>
      </c>
      <c r="I4" s="1001" t="s">
        <v>151</v>
      </c>
      <c r="J4" s="11">
        <v>24.5</v>
      </c>
      <c r="K4" s="3">
        <v>18.82</v>
      </c>
      <c r="L4" s="3">
        <f t="shared" si="0"/>
        <v>0.76816326530612244</v>
      </c>
      <c r="M4" s="3">
        <v>20.5</v>
      </c>
      <c r="N4" s="10">
        <f t="shared" si="1"/>
        <v>0.83673469387755106</v>
      </c>
      <c r="O4" s="1002">
        <v>5</v>
      </c>
      <c r="P4" s="1004">
        <v>42846</v>
      </c>
      <c r="Q4" s="1003">
        <v>10.08</v>
      </c>
      <c r="R4" s="18">
        <f t="shared" si="2"/>
        <v>0.50146341463414634</v>
      </c>
      <c r="S4" s="11" t="s">
        <v>237</v>
      </c>
      <c r="T4" s="22">
        <f t="shared" si="3"/>
        <v>0</v>
      </c>
      <c r="U4" s="23" t="str">
        <f t="shared" si="4"/>
        <v>2</v>
      </c>
    </row>
    <row r="5" spans="1:21">
      <c r="A5" s="24">
        <v>9</v>
      </c>
      <c r="B5" s="979">
        <v>45</v>
      </c>
      <c r="C5" s="9" t="s">
        <v>213</v>
      </c>
      <c r="D5" s="1" t="s">
        <v>103</v>
      </c>
      <c r="E5" s="1" t="s">
        <v>102</v>
      </c>
      <c r="F5" s="3">
        <v>13.5</v>
      </c>
      <c r="G5" s="3">
        <v>13.499999989599999</v>
      </c>
      <c r="H5" s="2">
        <v>42459</v>
      </c>
      <c r="I5" s="1001" t="s">
        <v>151</v>
      </c>
      <c r="J5" s="11">
        <v>15.77</v>
      </c>
      <c r="K5" s="3">
        <v>8.9600000000000009</v>
      </c>
      <c r="L5" s="3">
        <f t="shared" si="0"/>
        <v>0.56816740646797725</v>
      </c>
      <c r="M5" s="3">
        <v>10.51</v>
      </c>
      <c r="N5" s="10">
        <f t="shared" si="1"/>
        <v>0.66645529486366517</v>
      </c>
      <c r="O5" s="1002">
        <v>6</v>
      </c>
      <c r="P5" s="1004">
        <v>42849</v>
      </c>
      <c r="Q5" s="1003">
        <v>6.37</v>
      </c>
      <c r="R5" s="18">
        <f>(Q5*(1+T5/10)+U5/10)/M5</f>
        <v>0.6060894386298763</v>
      </c>
      <c r="S5" s="11" t="s">
        <v>223</v>
      </c>
      <c r="T5" s="22">
        <f t="shared" si="3"/>
        <v>0</v>
      </c>
      <c r="U5" s="23">
        <f t="shared" si="4"/>
        <v>0</v>
      </c>
    </row>
    <row r="6" spans="1:21">
      <c r="A6" s="24">
        <v>9</v>
      </c>
      <c r="B6" s="979">
        <v>46</v>
      </c>
      <c r="C6" s="9" t="s">
        <v>214</v>
      </c>
      <c r="D6" s="1" t="s">
        <v>105</v>
      </c>
      <c r="E6" s="1" t="s">
        <v>104</v>
      </c>
      <c r="F6" s="3">
        <v>31</v>
      </c>
      <c r="G6" s="3">
        <v>30.999999978000002</v>
      </c>
      <c r="H6" s="2">
        <v>42461</v>
      </c>
      <c r="I6" s="1001" t="s">
        <v>151</v>
      </c>
      <c r="J6" s="11">
        <v>7.87</v>
      </c>
      <c r="K6" s="3">
        <v>6.9</v>
      </c>
      <c r="L6" s="3">
        <f t="shared" si="0"/>
        <v>0.87674714104193141</v>
      </c>
      <c r="M6" s="3">
        <v>6.9</v>
      </c>
      <c r="N6" s="10">
        <f t="shared" si="1"/>
        <v>0.87674714104193141</v>
      </c>
      <c r="O6" s="1002">
        <v>9</v>
      </c>
      <c r="P6" s="1004">
        <v>42851</v>
      </c>
      <c r="Q6" s="1003">
        <v>6.86</v>
      </c>
      <c r="R6" s="18">
        <f t="shared" si="2"/>
        <v>1.0231884057971015</v>
      </c>
      <c r="S6" s="11" t="s">
        <v>268</v>
      </c>
      <c r="T6" s="22">
        <f t="shared" si="3"/>
        <v>0</v>
      </c>
      <c r="U6" s="23" t="str">
        <f t="shared" si="4"/>
        <v>2.00</v>
      </c>
    </row>
    <row r="7" spans="1:21">
      <c r="A7" s="24">
        <v>9</v>
      </c>
      <c r="B7" s="979">
        <v>47</v>
      </c>
      <c r="C7" s="9" t="s">
        <v>215</v>
      </c>
      <c r="D7" s="1" t="s">
        <v>10</v>
      </c>
      <c r="E7" s="1" t="s">
        <v>1</v>
      </c>
      <c r="F7" s="3">
        <v>12.288435</v>
      </c>
      <c r="G7" s="3">
        <v>12.2883976</v>
      </c>
      <c r="H7" s="2">
        <v>42465</v>
      </c>
      <c r="I7" s="1001" t="s">
        <v>151</v>
      </c>
      <c r="J7" s="11">
        <v>86.21</v>
      </c>
      <c r="K7" s="3">
        <v>66.47</v>
      </c>
      <c r="L7" s="3">
        <f t="shared" si="0"/>
        <v>0.77102424312724749</v>
      </c>
      <c r="M7" s="3">
        <v>69.2</v>
      </c>
      <c r="N7" s="10">
        <f t="shared" si="1"/>
        <v>0.8026911031202878</v>
      </c>
      <c r="O7" s="1002">
        <v>3</v>
      </c>
      <c r="P7" s="1004">
        <v>42864</v>
      </c>
      <c r="Q7" s="1003">
        <v>18.05</v>
      </c>
      <c r="R7" s="18">
        <f t="shared" si="2"/>
        <v>0.96799132947976896</v>
      </c>
      <c r="S7" s="11" t="s">
        <v>269</v>
      </c>
      <c r="T7" s="22" t="str">
        <f t="shared" si="3"/>
        <v>27</v>
      </c>
      <c r="U7" s="23" t="str">
        <f t="shared" si="4"/>
        <v>2</v>
      </c>
    </row>
    <row r="8" spans="1:21">
      <c r="A8" s="24">
        <v>9</v>
      </c>
      <c r="B8" s="979">
        <v>48</v>
      </c>
      <c r="C8" s="9" t="s">
        <v>216</v>
      </c>
      <c r="D8" s="1" t="s">
        <v>49</v>
      </c>
      <c r="E8" s="1" t="s">
        <v>48</v>
      </c>
      <c r="F8" s="3">
        <v>22.45</v>
      </c>
      <c r="G8" s="3">
        <v>22.44999348</v>
      </c>
      <c r="H8" s="2">
        <v>42461</v>
      </c>
      <c r="I8" s="1001" t="s">
        <v>151</v>
      </c>
      <c r="J8" s="11">
        <v>13.4</v>
      </c>
      <c r="K8" s="3">
        <v>10.94</v>
      </c>
      <c r="L8" s="3">
        <f t="shared" si="0"/>
        <v>0.81641791044776113</v>
      </c>
      <c r="M8" s="3">
        <v>10.98</v>
      </c>
      <c r="N8" s="10">
        <f t="shared" si="1"/>
        <v>0.81940298507462683</v>
      </c>
      <c r="O8" s="1002">
        <v>5</v>
      </c>
      <c r="P8" s="1004">
        <v>42865</v>
      </c>
      <c r="Q8" s="1003">
        <v>8.92</v>
      </c>
      <c r="R8" s="18">
        <f t="shared" si="2"/>
        <v>0.814936247723133</v>
      </c>
      <c r="S8" s="11" t="s">
        <v>270</v>
      </c>
      <c r="T8" s="22">
        <f t="shared" si="3"/>
        <v>0</v>
      </c>
      <c r="U8" s="23" t="str">
        <f t="shared" si="4"/>
        <v>0.28</v>
      </c>
    </row>
    <row r="9" spans="1:21">
      <c r="A9" s="24">
        <v>9</v>
      </c>
      <c r="B9" s="979">
        <v>49</v>
      </c>
      <c r="C9" s="9" t="s">
        <v>217</v>
      </c>
      <c r="D9" s="1" t="s">
        <v>71</v>
      </c>
      <c r="E9" s="1" t="s">
        <v>70</v>
      </c>
      <c r="F9" s="3">
        <v>19.1678</v>
      </c>
      <c r="G9" s="3">
        <v>19.592399937500002</v>
      </c>
      <c r="H9" s="2">
        <v>42472</v>
      </c>
      <c r="I9" s="1236" t="s">
        <v>151</v>
      </c>
      <c r="J9" s="11">
        <v>21.92</v>
      </c>
      <c r="K9" s="3">
        <v>16.23</v>
      </c>
      <c r="L9" s="3">
        <f t="shared" si="0"/>
        <v>0.74041970802919699</v>
      </c>
      <c r="M9" s="3">
        <v>19.75</v>
      </c>
      <c r="N9" s="10">
        <f t="shared" si="1"/>
        <v>0.90100364963503643</v>
      </c>
      <c r="O9" s="1002">
        <v>7</v>
      </c>
      <c r="P9" s="1004">
        <v>42863</v>
      </c>
      <c r="Q9" s="1003">
        <v>19.88</v>
      </c>
      <c r="R9" s="18">
        <f t="shared" si="2"/>
        <v>1.0106329113924049</v>
      </c>
      <c r="S9" s="11" t="s">
        <v>271</v>
      </c>
      <c r="T9" s="22">
        <f t="shared" si="3"/>
        <v>0</v>
      </c>
      <c r="U9" s="23" t="str">
        <f t="shared" si="4"/>
        <v>0.8</v>
      </c>
    </row>
    <row r="10" spans="1:21">
      <c r="A10" s="24">
        <v>9</v>
      </c>
      <c r="B10" s="979">
        <v>50</v>
      </c>
      <c r="C10" s="9" t="s">
        <v>218</v>
      </c>
      <c r="D10" s="1" t="s">
        <v>101</v>
      </c>
      <c r="E10" s="1" t="s">
        <v>100</v>
      </c>
      <c r="F10" s="3">
        <v>30.96</v>
      </c>
      <c r="G10" s="3">
        <v>23.699000000000002</v>
      </c>
      <c r="H10" s="2">
        <v>42473</v>
      </c>
      <c r="I10" s="1236" t="s">
        <v>151</v>
      </c>
      <c r="J10" s="11">
        <v>18.16</v>
      </c>
      <c r="K10" s="3">
        <v>16.399999999999999</v>
      </c>
      <c r="L10" s="3">
        <f>K10/J10</f>
        <v>0.90308370044052855</v>
      </c>
      <c r="M10" s="3">
        <v>18.23</v>
      </c>
      <c r="N10" s="10">
        <f>M10/J10</f>
        <v>1.0038546255506609</v>
      </c>
      <c r="O10" s="1002">
        <v>4</v>
      </c>
      <c r="P10" s="1004">
        <v>42494</v>
      </c>
      <c r="Q10" s="1003">
        <v>18.38</v>
      </c>
      <c r="R10" s="18">
        <f t="shared" si="2"/>
        <v>1.0090510148107514</v>
      </c>
      <c r="S10" s="11" t="s">
        <v>272</v>
      </c>
      <c r="T10" s="22">
        <f t="shared" si="3"/>
        <v>0</v>
      </c>
      <c r="U10" s="23" t="str">
        <f t="shared" si="4"/>
        <v>0.15</v>
      </c>
    </row>
    <row r="12" spans="1:21">
      <c r="A12" s="24">
        <v>1</v>
      </c>
      <c r="B12" s="12" t="s">
        <v>106</v>
      </c>
      <c r="C12" s="12" t="s">
        <v>126</v>
      </c>
      <c r="D12" s="12" t="s">
        <v>107</v>
      </c>
      <c r="E12" s="12" t="s">
        <v>4</v>
      </c>
      <c r="F12" s="13" t="s">
        <v>108</v>
      </c>
      <c r="G12" s="13" t="s">
        <v>109</v>
      </c>
      <c r="H12" s="12" t="s">
        <v>274</v>
      </c>
      <c r="I12" s="12" t="s">
        <v>273</v>
      </c>
      <c r="J12" s="12" t="s">
        <v>116</v>
      </c>
      <c r="K12" s="14" t="s">
        <v>110</v>
      </c>
      <c r="L12" s="14" t="s">
        <v>276</v>
      </c>
      <c r="M12" s="14" t="s">
        <v>117</v>
      </c>
      <c r="N12" s="15" t="s">
        <v>275</v>
      </c>
      <c r="O12" s="12" t="s">
        <v>111</v>
      </c>
      <c r="P12" s="8" t="s">
        <v>12</v>
      </c>
      <c r="Q12" s="8" t="s">
        <v>190</v>
      </c>
      <c r="R12" s="15" t="s">
        <v>129</v>
      </c>
      <c r="S12" s="14" t="s">
        <v>220</v>
      </c>
    </row>
    <row r="13" spans="1:21">
      <c r="A13" s="24">
        <v>9</v>
      </c>
      <c r="B13" s="979">
        <v>41</v>
      </c>
      <c r="C13" s="9" t="s">
        <v>208</v>
      </c>
      <c r="D13" s="1" t="s">
        <v>41</v>
      </c>
      <c r="E13" s="1" t="s">
        <v>40</v>
      </c>
      <c r="F13" s="3">
        <v>13.185600000000001</v>
      </c>
      <c r="G13" s="3">
        <v>13.185599997500001</v>
      </c>
      <c r="H13" s="2">
        <v>42453</v>
      </c>
      <c r="I13" s="1001" t="s">
        <v>204</v>
      </c>
      <c r="J13" s="11">
        <v>22.25</v>
      </c>
      <c r="K13" s="3">
        <v>16.760000000000002</v>
      </c>
      <c r="L13" s="3">
        <f t="shared" ref="L13" si="5">K13/J13</f>
        <v>0.75325842696629219</v>
      </c>
      <c r="M13" s="3">
        <v>18.25</v>
      </c>
      <c r="N13" s="10">
        <f t="shared" ref="N13" si="6">M13/J13</f>
        <v>0.8202247191011236</v>
      </c>
      <c r="O13" s="1002">
        <v>8</v>
      </c>
      <c r="P13" s="1004">
        <v>42850</v>
      </c>
      <c r="Q13" s="1003">
        <v>13.6</v>
      </c>
      <c r="R13" s="18">
        <f t="shared" ref="R13" si="7">(Q13*(1+T13/10)+U13/10)/M13</f>
        <v>1.2690410958904108</v>
      </c>
      <c r="S13" s="11" t="s">
        <v>265</v>
      </c>
      <c r="T13" s="22" t="str">
        <f t="shared" ref="T13" si="8">IFERROR(RIGHT(LEFT(S13,FIND("股",S13)-1),(FIND("股",S13)-1-FIND("转",S13))),0)</f>
        <v>7</v>
      </c>
      <c r="U13" s="23" t="str">
        <f t="shared" ref="U13" si="9">IFERROR(RIGHT(LEFT(S13,FIND("元",S13)-1),(FIND("元",S13)-1-FIND("派",S13))),0)</f>
        <v>0.4</v>
      </c>
    </row>
    <row r="14" spans="1:21">
      <c r="B14" s="125"/>
      <c r="C14" s="129"/>
      <c r="D14" s="128"/>
      <c r="E14" s="128"/>
      <c r="F14" s="127"/>
      <c r="G14" s="127"/>
      <c r="H14" s="126"/>
      <c r="I14" s="125"/>
      <c r="K14" s="130"/>
      <c r="L14" s="130"/>
      <c r="M14" s="130"/>
      <c r="N14" s="5"/>
      <c r="O14" s="120"/>
      <c r="P14" s="124"/>
      <c r="Q14" s="5"/>
      <c r="R14" s="123"/>
      <c r="T14" s="28"/>
      <c r="U14" s="122"/>
    </row>
    <row r="15" spans="1:21" ht="14.5">
      <c r="C15" s="27" t="s">
        <v>118</v>
      </c>
      <c r="D15" s="16" t="s">
        <v>112</v>
      </c>
      <c r="E15" s="16" t="s">
        <v>113</v>
      </c>
      <c r="F15" s="16" t="s">
        <v>288</v>
      </c>
      <c r="G15" s="17" t="s">
        <v>287</v>
      </c>
      <c r="H15" s="16" t="s">
        <v>289</v>
      </c>
      <c r="J15" s="1007" t="s">
        <v>746</v>
      </c>
      <c r="K15" s="1075" t="s">
        <v>745</v>
      </c>
      <c r="L15" s="1007" t="s">
        <v>744</v>
      </c>
      <c r="M15" s="1007" t="s">
        <v>743</v>
      </c>
      <c r="N15" s="1006" t="s">
        <v>742</v>
      </c>
      <c r="O15" s="1075" t="s">
        <v>553</v>
      </c>
      <c r="P15" s="1075" t="s">
        <v>326</v>
      </c>
      <c r="Q15" s="119"/>
    </row>
    <row r="16" spans="1:21">
      <c r="C16" s="24">
        <f t="shared" ref="C16:D31" si="10">IF(J16=0,"",J16)</f>
        <v>1</v>
      </c>
      <c r="D16" s="11" t="str">
        <f t="shared" si="10"/>
        <v>第一创业证券股份有限公司</v>
      </c>
      <c r="E16" s="21">
        <f t="shared" ref="E16:E34" si="11">L16</f>
        <v>17.53</v>
      </c>
      <c r="F16" s="21">
        <f>M16/10000</f>
        <v>1.3185</v>
      </c>
      <c r="G16" s="19" t="str">
        <f t="shared" ref="G16:G34" si="12">IFERROR(VLOOKUP(D16,O$15:Q$34,2,FALSE)/10000,"")</f>
        <v/>
      </c>
      <c r="H16" s="21" t="str">
        <f t="shared" ref="H16:H34" si="13">IFERROR(G16*M$13/10000,"")</f>
        <v/>
      </c>
      <c r="J16" s="1237">
        <v>1</v>
      </c>
      <c r="K16" s="1073" t="s">
        <v>127</v>
      </c>
      <c r="L16" s="1238">
        <v>17.53</v>
      </c>
      <c r="M16" s="1080">
        <v>13185</v>
      </c>
      <c r="N16" s="1073" t="s">
        <v>378</v>
      </c>
      <c r="O16" s="1073" t="s">
        <v>115</v>
      </c>
      <c r="P16" s="1080">
        <v>7224657</v>
      </c>
      <c r="Q16" s="131"/>
    </row>
    <row r="17" spans="3:17">
      <c r="C17" s="24">
        <f t="shared" si="10"/>
        <v>2</v>
      </c>
      <c r="D17" s="11" t="str">
        <f t="shared" si="10"/>
        <v>华鑫证券有限责任公司</v>
      </c>
      <c r="E17" s="21">
        <f t="shared" si="11"/>
        <v>18.239999999999998</v>
      </c>
      <c r="F17" s="21">
        <f t="shared" ref="F17:F34" si="14">M17/10000</f>
        <v>1.3185</v>
      </c>
      <c r="G17" s="19" t="str">
        <f t="shared" si="12"/>
        <v/>
      </c>
      <c r="H17" s="21" t="str">
        <f t="shared" si="13"/>
        <v/>
      </c>
      <c r="J17" s="1237">
        <v>2</v>
      </c>
      <c r="K17" s="1073" t="s">
        <v>505</v>
      </c>
      <c r="L17" s="1238">
        <v>18.239999999999998</v>
      </c>
      <c r="M17" s="1080">
        <v>13185</v>
      </c>
      <c r="N17" s="1073" t="s">
        <v>378</v>
      </c>
      <c r="O17" s="1073" t="s">
        <v>147</v>
      </c>
      <c r="P17" s="1080">
        <v>7224657</v>
      </c>
      <c r="Q17" s="131"/>
    </row>
    <row r="18" spans="3:17">
      <c r="C18" s="24">
        <f t="shared" si="10"/>
        <v>3</v>
      </c>
      <c r="D18" s="11" t="str">
        <f t="shared" si="10"/>
        <v>财通基金管理有限公司</v>
      </c>
      <c r="E18" s="21">
        <f t="shared" si="11"/>
        <v>19</v>
      </c>
      <c r="F18" s="21">
        <f t="shared" si="14"/>
        <v>1.3185</v>
      </c>
      <c r="G18" s="19">
        <f t="shared" si="12"/>
        <v>722.46569999999997</v>
      </c>
      <c r="H18" s="21">
        <f t="shared" si="13"/>
        <v>1.3184999024999999</v>
      </c>
      <c r="J18" s="1078">
        <v>3</v>
      </c>
      <c r="K18" s="1066" t="s">
        <v>115</v>
      </c>
      <c r="L18" s="1238">
        <v>19</v>
      </c>
      <c r="M18" s="1080">
        <v>13185</v>
      </c>
      <c r="N18" s="1066" t="s">
        <v>380</v>
      </c>
      <c r="O18" s="1006" t="s">
        <v>741</v>
      </c>
      <c r="P18" s="1080">
        <v>7224657</v>
      </c>
      <c r="Q18" s="131"/>
    </row>
    <row r="19" spans="3:17">
      <c r="C19" s="24" t="str">
        <f t="shared" si="10"/>
        <v/>
      </c>
      <c r="D19" s="11" t="str">
        <f t="shared" si="10"/>
        <v/>
      </c>
      <c r="E19" s="21">
        <f t="shared" si="11"/>
        <v>18.16</v>
      </c>
      <c r="F19" s="21">
        <f t="shared" si="14"/>
        <v>3.9554999999999998</v>
      </c>
      <c r="G19" s="19" t="str">
        <f t="shared" si="12"/>
        <v/>
      </c>
      <c r="H19" s="21" t="str">
        <f t="shared" si="13"/>
        <v/>
      </c>
      <c r="J19" s="1078"/>
      <c r="K19" s="1066"/>
      <c r="L19" s="1238">
        <v>18.16</v>
      </c>
      <c r="M19" s="1080">
        <v>39555</v>
      </c>
      <c r="N19" s="1066"/>
      <c r="O19" s="1073" t="s">
        <v>285</v>
      </c>
      <c r="P19" s="1080">
        <v>14449315</v>
      </c>
      <c r="Q19" s="131"/>
    </row>
    <row r="20" spans="3:17">
      <c r="C20" s="24" t="str">
        <f t="shared" si="10"/>
        <v/>
      </c>
      <c r="D20" s="11" t="str">
        <f t="shared" si="10"/>
        <v/>
      </c>
      <c r="E20" s="21">
        <f t="shared" si="11"/>
        <v>17.05</v>
      </c>
      <c r="F20" s="21">
        <f t="shared" si="14"/>
        <v>5.274</v>
      </c>
      <c r="G20" s="19" t="str">
        <f t="shared" si="12"/>
        <v/>
      </c>
      <c r="H20" s="21" t="str">
        <f t="shared" si="13"/>
        <v/>
      </c>
      <c r="J20" s="1078"/>
      <c r="K20" s="1066"/>
      <c r="L20" s="1238">
        <v>17.05</v>
      </c>
      <c r="M20" s="1080">
        <v>52740</v>
      </c>
      <c r="N20" s="1066"/>
      <c r="O20" s="1073" t="s">
        <v>352</v>
      </c>
      <c r="P20" s="1080">
        <v>7224657</v>
      </c>
      <c r="Q20" s="131"/>
    </row>
    <row r="21" spans="3:17">
      <c r="C21" s="24">
        <f t="shared" si="10"/>
        <v>4</v>
      </c>
      <c r="D21" s="11" t="str">
        <f t="shared" si="10"/>
        <v>鹏华资产管理（深圳）有限公司</v>
      </c>
      <c r="E21" s="21">
        <f t="shared" si="11"/>
        <v>18.61</v>
      </c>
      <c r="F21" s="21">
        <f t="shared" si="14"/>
        <v>2.637</v>
      </c>
      <c r="G21" s="19">
        <f t="shared" si="12"/>
        <v>1444.9314999999999</v>
      </c>
      <c r="H21" s="21">
        <f t="shared" si="13"/>
        <v>2.6369999874999999</v>
      </c>
      <c r="J21" s="1078">
        <v>4</v>
      </c>
      <c r="K21" s="1066" t="s">
        <v>285</v>
      </c>
      <c r="L21" s="1238">
        <v>18.61</v>
      </c>
      <c r="M21" s="1080">
        <v>26370</v>
      </c>
      <c r="N21" s="1066" t="s">
        <v>378</v>
      </c>
      <c r="O21" s="1073" t="s">
        <v>371</v>
      </c>
      <c r="P21" s="1080">
        <v>14449315</v>
      </c>
      <c r="Q21" s="131"/>
    </row>
    <row r="22" spans="3:17">
      <c r="C22" s="24" t="str">
        <f t="shared" si="10"/>
        <v/>
      </c>
      <c r="D22" s="11" t="str">
        <f t="shared" si="10"/>
        <v/>
      </c>
      <c r="E22" s="21">
        <f t="shared" si="11"/>
        <v>18.32</v>
      </c>
      <c r="F22" s="21">
        <f t="shared" si="14"/>
        <v>2.637</v>
      </c>
      <c r="G22" s="19" t="str">
        <f t="shared" si="12"/>
        <v/>
      </c>
      <c r="H22" s="21" t="str">
        <f t="shared" si="13"/>
        <v/>
      </c>
      <c r="J22" s="1078"/>
      <c r="K22" s="1066"/>
      <c r="L22" s="1238">
        <v>18.32</v>
      </c>
      <c r="M22" s="1080">
        <v>26370</v>
      </c>
      <c r="N22" s="1066"/>
      <c r="O22" s="1006" t="s">
        <v>740</v>
      </c>
      <c r="P22" s="1080">
        <v>7224657</v>
      </c>
      <c r="Q22" s="131"/>
    </row>
    <row r="23" spans="3:17">
      <c r="C23" s="24">
        <f t="shared" si="10"/>
        <v>5</v>
      </c>
      <c r="D23" s="11" t="str">
        <f t="shared" si="10"/>
        <v>博时资本管理有限公司</v>
      </c>
      <c r="E23" s="21">
        <f t="shared" si="11"/>
        <v>18.52</v>
      </c>
      <c r="F23" s="21">
        <f t="shared" si="14"/>
        <v>2.637</v>
      </c>
      <c r="G23" s="19" t="str">
        <f t="shared" si="12"/>
        <v/>
      </c>
      <c r="H23" s="21" t="str">
        <f t="shared" si="13"/>
        <v/>
      </c>
      <c r="J23" s="1078">
        <v>5</v>
      </c>
      <c r="K23" s="1066" t="s">
        <v>315</v>
      </c>
      <c r="L23" s="1238">
        <v>18.52</v>
      </c>
      <c r="M23" s="1080">
        <v>26370</v>
      </c>
      <c r="N23" s="1066" t="s">
        <v>381</v>
      </c>
      <c r="O23" s="1073" t="s">
        <v>739</v>
      </c>
      <c r="P23" s="1080">
        <v>7227948</v>
      </c>
      <c r="Q23" s="131"/>
    </row>
    <row r="24" spans="3:17">
      <c r="C24" s="24" t="str">
        <f t="shared" si="10"/>
        <v/>
      </c>
      <c r="D24" s="11" t="str">
        <f t="shared" si="10"/>
        <v/>
      </c>
      <c r="E24" s="21">
        <f t="shared" si="11"/>
        <v>18.260000000000002</v>
      </c>
      <c r="F24" s="21">
        <f t="shared" si="14"/>
        <v>2.637</v>
      </c>
      <c r="G24" s="19" t="str">
        <f t="shared" si="12"/>
        <v/>
      </c>
      <c r="H24" s="21" t="str">
        <f t="shared" si="13"/>
        <v/>
      </c>
      <c r="J24" s="1078"/>
      <c r="K24" s="1066"/>
      <c r="L24" s="1238">
        <v>18.260000000000002</v>
      </c>
      <c r="M24" s="1080">
        <v>26370</v>
      </c>
      <c r="N24" s="1066"/>
      <c r="O24" s="492"/>
      <c r="P24" s="492"/>
      <c r="Q24" s="131"/>
    </row>
    <row r="25" spans="3:17">
      <c r="C25" s="24">
        <f t="shared" si="10"/>
        <v>6</v>
      </c>
      <c r="D25" s="11" t="str">
        <f t="shared" si="10"/>
        <v>安信基金管理有限责任公司</v>
      </c>
      <c r="E25" s="21">
        <f t="shared" si="11"/>
        <v>18.55</v>
      </c>
      <c r="F25" s="21">
        <f t="shared" si="14"/>
        <v>2.637</v>
      </c>
      <c r="G25" s="19">
        <f t="shared" si="12"/>
        <v>1444.9314999999999</v>
      </c>
      <c r="H25" s="21">
        <f t="shared" si="13"/>
        <v>2.6369999874999999</v>
      </c>
      <c r="J25" s="1078">
        <v>6</v>
      </c>
      <c r="K25" s="1066" t="s">
        <v>371</v>
      </c>
      <c r="L25" s="1238">
        <v>18.55</v>
      </c>
      <c r="M25" s="1080">
        <v>26370</v>
      </c>
      <c r="N25" s="1066" t="s">
        <v>380</v>
      </c>
      <c r="O25" s="492"/>
      <c r="P25" s="492"/>
      <c r="Q25" s="131"/>
    </row>
    <row r="26" spans="3:17">
      <c r="C26" s="24" t="str">
        <f t="shared" si="10"/>
        <v/>
      </c>
      <c r="D26" s="11" t="str">
        <f t="shared" si="10"/>
        <v/>
      </c>
      <c r="E26" s="21">
        <f t="shared" si="11"/>
        <v>18.28</v>
      </c>
      <c r="F26" s="21">
        <f t="shared" si="14"/>
        <v>2.637</v>
      </c>
      <c r="G26" s="19" t="str">
        <f t="shared" si="12"/>
        <v/>
      </c>
      <c r="H26" s="21" t="str">
        <f t="shared" si="13"/>
        <v/>
      </c>
      <c r="J26" s="1078"/>
      <c r="K26" s="1066"/>
      <c r="L26" s="1238">
        <v>18.28</v>
      </c>
      <c r="M26" s="1080">
        <v>26370</v>
      </c>
      <c r="N26" s="1066"/>
      <c r="O26" s="492"/>
      <c r="P26" s="492"/>
      <c r="Q26" s="131"/>
    </row>
    <row r="27" spans="3:17">
      <c r="C27" s="24">
        <f t="shared" si="10"/>
        <v>7</v>
      </c>
      <c r="D27" s="11" t="str">
        <f t="shared" si="10"/>
        <v>兴业财富资产管理有限公司</v>
      </c>
      <c r="E27" s="21">
        <f t="shared" si="11"/>
        <v>18.579999999999998</v>
      </c>
      <c r="F27" s="21">
        <f t="shared" si="14"/>
        <v>1.3185</v>
      </c>
      <c r="G27" s="19">
        <f t="shared" si="12"/>
        <v>722.46569999999997</v>
      </c>
      <c r="H27" s="21">
        <f t="shared" si="13"/>
        <v>1.3184999024999999</v>
      </c>
      <c r="J27" s="1078">
        <v>7</v>
      </c>
      <c r="K27" s="1066" t="s">
        <v>352</v>
      </c>
      <c r="L27" s="1238">
        <v>18.579999999999998</v>
      </c>
      <c r="M27" s="1080">
        <v>13185</v>
      </c>
      <c r="N27" s="1066" t="s">
        <v>378</v>
      </c>
      <c r="O27" s="492"/>
      <c r="P27" s="492"/>
      <c r="Q27" s="131"/>
    </row>
    <row r="28" spans="3:17">
      <c r="C28" s="24" t="str">
        <f t="shared" si="10"/>
        <v/>
      </c>
      <c r="D28" s="11" t="str">
        <f t="shared" si="10"/>
        <v/>
      </c>
      <c r="E28" s="21">
        <f t="shared" si="11"/>
        <v>18.3</v>
      </c>
      <c r="F28" s="21">
        <f t="shared" si="14"/>
        <v>1.3185</v>
      </c>
      <c r="G28" s="19" t="str">
        <f t="shared" si="12"/>
        <v/>
      </c>
      <c r="H28" s="21" t="str">
        <f t="shared" si="13"/>
        <v/>
      </c>
      <c r="J28" s="1078"/>
      <c r="K28" s="1066"/>
      <c r="L28" s="1238">
        <v>18.3</v>
      </c>
      <c r="M28" s="1080">
        <v>13185</v>
      </c>
      <c r="N28" s="1066"/>
      <c r="O28" s="492"/>
      <c r="P28" s="492"/>
      <c r="Q28" s="131"/>
    </row>
    <row r="29" spans="3:17" ht="15" customHeight="1">
      <c r="C29" s="24" t="str">
        <f t="shared" si="10"/>
        <v/>
      </c>
      <c r="D29" s="11" t="str">
        <f t="shared" si="10"/>
        <v/>
      </c>
      <c r="E29" s="21">
        <f t="shared" si="11"/>
        <v>17.600000000000001</v>
      </c>
      <c r="F29" s="21">
        <f t="shared" si="14"/>
        <v>1.3185</v>
      </c>
      <c r="G29" s="19" t="str">
        <f t="shared" si="12"/>
        <v/>
      </c>
      <c r="H29" s="21" t="str">
        <f t="shared" si="13"/>
        <v/>
      </c>
      <c r="J29" s="1078"/>
      <c r="K29" s="1066"/>
      <c r="L29" s="1238">
        <v>17.600000000000001</v>
      </c>
      <c r="M29" s="1080">
        <v>13185</v>
      </c>
      <c r="N29" s="1066"/>
      <c r="O29" s="492"/>
      <c r="P29" s="492"/>
      <c r="Q29" s="131"/>
    </row>
    <row r="30" spans="3:17">
      <c r="C30" s="24">
        <f t="shared" si="10"/>
        <v>8</v>
      </c>
      <c r="D30" s="11" t="str">
        <f t="shared" si="10"/>
        <v>诺安基金管理有限公司</v>
      </c>
      <c r="E30" s="21">
        <f t="shared" si="11"/>
        <v>18.48</v>
      </c>
      <c r="F30" s="21">
        <f t="shared" si="14"/>
        <v>1.3185</v>
      </c>
      <c r="G30" s="19">
        <f t="shared" si="12"/>
        <v>722.46569999999997</v>
      </c>
      <c r="H30" s="21">
        <f t="shared" si="13"/>
        <v>1.3184999024999999</v>
      </c>
      <c r="J30" s="1078">
        <v>8</v>
      </c>
      <c r="K30" s="1066" t="s">
        <v>147</v>
      </c>
      <c r="L30" s="1238">
        <v>18.48</v>
      </c>
      <c r="M30" s="1080">
        <v>13185</v>
      </c>
      <c r="N30" s="1066" t="s">
        <v>380</v>
      </c>
      <c r="O30" s="492"/>
      <c r="P30" s="492"/>
    </row>
    <row r="31" spans="3:17">
      <c r="C31" s="24" t="str">
        <f t="shared" si="10"/>
        <v/>
      </c>
      <c r="D31" s="11" t="str">
        <f t="shared" si="10"/>
        <v/>
      </c>
      <c r="E31" s="21">
        <f t="shared" si="11"/>
        <v>17.7</v>
      </c>
      <c r="F31" s="21">
        <f t="shared" si="14"/>
        <v>2.637</v>
      </c>
      <c r="G31" s="19" t="str">
        <f t="shared" si="12"/>
        <v/>
      </c>
      <c r="H31" s="21" t="str">
        <f t="shared" si="13"/>
        <v/>
      </c>
      <c r="J31" s="1078"/>
      <c r="K31" s="1066"/>
      <c r="L31" s="1238">
        <v>17.7</v>
      </c>
      <c r="M31" s="1080">
        <v>26370</v>
      </c>
      <c r="N31" s="1066"/>
      <c r="O31" s="492"/>
      <c r="P31" s="492"/>
    </row>
    <row r="32" spans="3:17">
      <c r="C32" s="24">
        <f t="shared" ref="C32:D34" si="15">IF(J32=0,"",J32)</f>
        <v>9</v>
      </c>
      <c r="D32" s="11" t="str">
        <f t="shared" si="15"/>
        <v>银河金汇证券资产管理有限公司（银
河嘉汇 8 号集合资产管理计划）</v>
      </c>
      <c r="E32" s="21">
        <f t="shared" si="11"/>
        <v>17.54</v>
      </c>
      <c r="F32" s="21">
        <f t="shared" si="14"/>
        <v>1.3185</v>
      </c>
      <c r="G32" s="19" t="str">
        <f t="shared" si="12"/>
        <v/>
      </c>
      <c r="H32" s="21" t="str">
        <f t="shared" si="13"/>
        <v/>
      </c>
      <c r="J32" s="1237">
        <v>9</v>
      </c>
      <c r="K32" s="1006" t="s">
        <v>738</v>
      </c>
      <c r="L32" s="1238">
        <v>17.54</v>
      </c>
      <c r="M32" s="1080">
        <v>13185</v>
      </c>
      <c r="N32" s="1073" t="s">
        <v>378</v>
      </c>
      <c r="O32" s="492"/>
      <c r="P32" s="492"/>
    </row>
    <row r="33" spans="1:21">
      <c r="C33" s="24">
        <f t="shared" si="15"/>
        <v>10</v>
      </c>
      <c r="D33" s="11" t="str">
        <f t="shared" si="15"/>
        <v>银河金汇证券资产管理有限公司（银
河嘉汇 9 号集合资产管理计划）</v>
      </c>
      <c r="E33" s="21">
        <f t="shared" si="11"/>
        <v>18.25</v>
      </c>
      <c r="F33" s="21">
        <f t="shared" si="14"/>
        <v>1.3185</v>
      </c>
      <c r="G33" s="19">
        <f t="shared" si="12"/>
        <v>722.46569999999997</v>
      </c>
      <c r="H33" s="21">
        <f t="shared" si="13"/>
        <v>1.3184999024999999</v>
      </c>
      <c r="J33" s="1237">
        <v>10</v>
      </c>
      <c r="K33" s="1006" t="s">
        <v>737</v>
      </c>
      <c r="L33" s="1238">
        <v>18.25</v>
      </c>
      <c r="M33" s="1080">
        <v>13185</v>
      </c>
      <c r="N33" s="1073" t="s">
        <v>378</v>
      </c>
      <c r="O33" s="492"/>
      <c r="P33" s="492"/>
    </row>
    <row r="34" spans="1:21">
      <c r="C34" s="24">
        <f t="shared" si="15"/>
        <v>11</v>
      </c>
      <c r="D34" s="11" t="str">
        <f t="shared" si="15"/>
        <v>银河金汇证券资产管理有限公司（银
河嘉汇 7 号集合资产管理计划）</v>
      </c>
      <c r="E34" s="21">
        <f t="shared" si="11"/>
        <v>18.38</v>
      </c>
      <c r="F34" s="21">
        <f t="shared" si="14"/>
        <v>1.3185</v>
      </c>
      <c r="G34" s="19">
        <f t="shared" si="12"/>
        <v>722.46569999999997</v>
      </c>
      <c r="H34" s="21">
        <f t="shared" si="13"/>
        <v>1.3184999024999999</v>
      </c>
      <c r="J34" s="1237">
        <v>11</v>
      </c>
      <c r="K34" s="1006" t="s">
        <v>736</v>
      </c>
      <c r="L34" s="1238">
        <v>18.38</v>
      </c>
      <c r="M34" s="1080">
        <v>13185</v>
      </c>
      <c r="N34" s="1073" t="s">
        <v>378</v>
      </c>
      <c r="O34" s="492"/>
      <c r="P34" s="492"/>
    </row>
    <row r="35" spans="1:21">
      <c r="D35" s="1496" t="s">
        <v>3612</v>
      </c>
      <c r="E35" s="1497"/>
      <c r="F35" s="1497"/>
      <c r="G35" s="1497"/>
      <c r="H35" s="1498"/>
      <c r="J35" s="1237"/>
      <c r="K35" s="1006"/>
      <c r="L35" s="1238"/>
      <c r="M35" s="1080"/>
      <c r="N35" s="1073"/>
      <c r="O35" s="492"/>
      <c r="P35" s="492"/>
    </row>
    <row r="36" spans="1:21">
      <c r="D36" s="11" t="str">
        <f>O23</f>
        <v>露笑集团有限公司</v>
      </c>
      <c r="E36" s="21"/>
      <c r="F36" s="21"/>
      <c r="G36" s="19">
        <f t="shared" ref="G36" si="16">IFERROR(VLOOKUP(D36,O$15:Q$34,2,FALSE)/10000,"")</f>
        <v>722.79480000000001</v>
      </c>
      <c r="H36" s="21">
        <f t="shared" ref="H36" si="17">IFERROR(G36*M$13/10000,"")</f>
        <v>1.3191005099999999</v>
      </c>
      <c r="J36" s="1237"/>
      <c r="K36" s="1006"/>
      <c r="L36" s="1238"/>
      <c r="M36" s="1080"/>
      <c r="N36" s="1073"/>
      <c r="O36" s="492"/>
      <c r="P36" s="492"/>
    </row>
    <row r="37" spans="1:21">
      <c r="J37" s="28"/>
    </row>
    <row r="38" spans="1:21">
      <c r="A38" s="24">
        <v>2</v>
      </c>
      <c r="B38" s="12" t="s">
        <v>106</v>
      </c>
      <c r="C38" s="12" t="s">
        <v>126</v>
      </c>
      <c r="D38" s="12" t="s">
        <v>107</v>
      </c>
      <c r="E38" s="12" t="s">
        <v>4</v>
      </c>
      <c r="F38" s="13" t="s">
        <v>108</v>
      </c>
      <c r="G38" s="13" t="s">
        <v>109</v>
      </c>
      <c r="H38" s="12" t="s">
        <v>274</v>
      </c>
      <c r="I38" s="12" t="s">
        <v>273</v>
      </c>
      <c r="J38" s="12" t="s">
        <v>116</v>
      </c>
      <c r="K38" s="14" t="s">
        <v>110</v>
      </c>
      <c r="L38" s="14" t="s">
        <v>276</v>
      </c>
      <c r="M38" s="14" t="s">
        <v>117</v>
      </c>
      <c r="N38" s="15" t="s">
        <v>275</v>
      </c>
      <c r="O38" s="12" t="s">
        <v>111</v>
      </c>
      <c r="P38" s="8" t="s">
        <v>12</v>
      </c>
      <c r="Q38" s="8" t="s">
        <v>190</v>
      </c>
      <c r="R38" s="15" t="s">
        <v>129</v>
      </c>
      <c r="S38" s="14" t="s">
        <v>220</v>
      </c>
    </row>
    <row r="39" spans="1:21">
      <c r="A39" s="24">
        <v>9</v>
      </c>
      <c r="B39" s="979">
        <v>42</v>
      </c>
      <c r="C39" s="9" t="s">
        <v>210</v>
      </c>
      <c r="D39" s="1" t="s">
        <v>81</v>
      </c>
      <c r="E39" s="1" t="s">
        <v>80</v>
      </c>
      <c r="F39" s="3">
        <v>47</v>
      </c>
      <c r="G39" s="3">
        <v>46.399999812399997</v>
      </c>
      <c r="H39" s="2">
        <v>42452</v>
      </c>
      <c r="I39" s="1001" t="s">
        <v>209</v>
      </c>
      <c r="J39" s="11">
        <v>15.79</v>
      </c>
      <c r="K39" s="3">
        <v>14.68</v>
      </c>
      <c r="L39" s="3">
        <f t="shared" ref="L39" si="18">K39/J39</f>
        <v>0.92970234325522483</v>
      </c>
      <c r="M39" s="3">
        <v>14.68</v>
      </c>
      <c r="N39" s="10">
        <f t="shared" ref="N39" si="19">M39/J39</f>
        <v>0.92970234325522483</v>
      </c>
      <c r="O39" s="1002">
        <v>5</v>
      </c>
      <c r="P39" s="1004">
        <v>42845</v>
      </c>
      <c r="Q39" s="1003">
        <v>6.98</v>
      </c>
      <c r="R39" s="18">
        <f t="shared" ref="R39" si="20">(Q39*(1+T39/10)+U39/10)/M39</f>
        <v>1.1886920980926432</v>
      </c>
      <c r="S39" s="11" t="s">
        <v>266</v>
      </c>
      <c r="T39" s="22" t="str">
        <f t="shared" ref="T39" si="21">IFERROR(RIGHT(LEFT(S39,FIND("股",S39)-1),(FIND("股",S39)-1-FIND("转",S39))),0)</f>
        <v>15</v>
      </c>
      <c r="U39" s="23">
        <f t="shared" ref="U39" si="22">IFERROR(RIGHT(LEFT(S39,FIND("元",S39)-1),(FIND("元",S39)-1-FIND("派",S39))),0)</f>
        <v>0</v>
      </c>
    </row>
    <row r="40" spans="1:21">
      <c r="B40" s="125"/>
      <c r="C40" s="129"/>
      <c r="D40" s="128"/>
      <c r="E40" s="128"/>
      <c r="F40" s="127"/>
      <c r="G40" s="127"/>
      <c r="H40" s="126"/>
      <c r="I40" s="125"/>
      <c r="K40" s="130"/>
      <c r="L40" s="130"/>
      <c r="M40" s="130"/>
      <c r="N40" s="5"/>
      <c r="O40" s="120"/>
      <c r="P40" s="124"/>
      <c r="Q40" s="5"/>
      <c r="R40" s="123"/>
      <c r="T40" s="28"/>
      <c r="U40" s="122"/>
    </row>
    <row r="41" spans="1:21" ht="14.5">
      <c r="C41" s="27" t="s">
        <v>118</v>
      </c>
      <c r="D41" s="16" t="s">
        <v>112</v>
      </c>
      <c r="E41" s="16" t="s">
        <v>113</v>
      </c>
      <c r="F41" s="16" t="s">
        <v>288</v>
      </c>
      <c r="G41" s="17" t="s">
        <v>287</v>
      </c>
      <c r="H41" s="16" t="s">
        <v>289</v>
      </c>
      <c r="J41" s="1149" t="s">
        <v>298</v>
      </c>
      <c r="K41" s="1149" t="s">
        <v>331</v>
      </c>
      <c r="L41" s="1159" t="s">
        <v>735</v>
      </c>
      <c r="M41" s="1239" t="s">
        <v>364</v>
      </c>
      <c r="N41" s="1158"/>
      <c r="O41" s="1240" t="s">
        <v>734</v>
      </c>
      <c r="P41" s="1241" t="s">
        <v>733</v>
      </c>
      <c r="Q41" s="1158"/>
    </row>
    <row r="42" spans="1:21">
      <c r="C42" s="28">
        <f t="shared" ref="C42:D46" si="23">IF(J42=0,"",J42)</f>
        <v>1</v>
      </c>
      <c r="D42" s="11" t="str">
        <f t="shared" si="23"/>
        <v>方正富邦基金管理有限公司</v>
      </c>
      <c r="E42" s="21">
        <f t="shared" ref="E42:E46" si="24">L42</f>
        <v>14.68</v>
      </c>
      <c r="F42" s="21">
        <f>M42/100000000</f>
        <v>10</v>
      </c>
      <c r="G42" s="19">
        <f>IFERROR(VLOOKUP(D42,O$41:Q$46,2,FALSE)/10000,"")</f>
        <v>6811.9890999999998</v>
      </c>
      <c r="H42" s="21">
        <f t="shared" ref="H42:H46" si="25">IFERROR(G42*M$39/10000,"")</f>
        <v>9.9999999987999999</v>
      </c>
      <c r="J42" s="1242">
        <v>1</v>
      </c>
      <c r="K42" s="1163" t="s">
        <v>706</v>
      </c>
      <c r="L42" s="1243">
        <v>14.68</v>
      </c>
      <c r="M42" s="1244">
        <v>1000000000</v>
      </c>
      <c r="N42" s="492"/>
      <c r="O42" s="1155" t="s">
        <v>706</v>
      </c>
      <c r="P42" s="1245">
        <v>68119891</v>
      </c>
      <c r="Q42" s="1158"/>
    </row>
    <row r="43" spans="1:21">
      <c r="C43" s="28">
        <f t="shared" si="23"/>
        <v>2</v>
      </c>
      <c r="D43" s="11" t="str">
        <f t="shared" si="23"/>
        <v>建信基金管理有限责任公司</v>
      </c>
      <c r="E43" s="21">
        <f t="shared" si="24"/>
        <v>14.68</v>
      </c>
      <c r="F43" s="21">
        <f t="shared" ref="F43:F46" si="26">M43/100000000</f>
        <v>10</v>
      </c>
      <c r="G43" s="19">
        <f>IFERROR(VLOOKUP(D43,O$41:Q$46,2,FALSE)/10000,"")</f>
        <v>6811.9890999999998</v>
      </c>
      <c r="H43" s="21">
        <f t="shared" si="25"/>
        <v>9.9999999987999999</v>
      </c>
      <c r="J43" s="1242">
        <v>2</v>
      </c>
      <c r="K43" s="1163" t="s">
        <v>130</v>
      </c>
      <c r="L43" s="1243">
        <v>14.68</v>
      </c>
      <c r="M43" s="1244">
        <v>1000000000</v>
      </c>
      <c r="N43" s="1158"/>
      <c r="O43" s="1155" t="s">
        <v>130</v>
      </c>
      <c r="P43" s="1245">
        <v>68119891</v>
      </c>
      <c r="Q43" s="1158"/>
    </row>
    <row r="44" spans="1:21">
      <c r="C44" s="28">
        <f t="shared" si="23"/>
        <v>3</v>
      </c>
      <c r="D44" s="11" t="str">
        <f t="shared" si="23"/>
        <v>泰达宏利基金管理有限公司</v>
      </c>
      <c r="E44" s="21">
        <f t="shared" si="24"/>
        <v>14.68</v>
      </c>
      <c r="F44" s="21">
        <f t="shared" si="26"/>
        <v>10</v>
      </c>
      <c r="G44" s="19">
        <f>IFERROR(VLOOKUP(D44,O$41:Q$46,2,FALSE)/10000,"")</f>
        <v>6811.9890999999998</v>
      </c>
      <c r="H44" s="21">
        <f t="shared" si="25"/>
        <v>9.9999999987999999</v>
      </c>
      <c r="J44" s="1242">
        <v>3</v>
      </c>
      <c r="K44" s="1163" t="s">
        <v>148</v>
      </c>
      <c r="L44" s="1243">
        <v>14.68</v>
      </c>
      <c r="M44" s="1244">
        <v>1000000000</v>
      </c>
      <c r="N44" s="1158"/>
      <c r="O44" s="1155" t="s">
        <v>148</v>
      </c>
      <c r="P44" s="1245">
        <v>68119891</v>
      </c>
      <c r="Q44" s="1158"/>
    </row>
    <row r="45" spans="1:21">
      <c r="C45" s="28">
        <f t="shared" si="23"/>
        <v>4</v>
      </c>
      <c r="D45" s="11" t="str">
        <f t="shared" si="23"/>
        <v>华融证券股份有限公司</v>
      </c>
      <c r="E45" s="21">
        <f t="shared" si="24"/>
        <v>14.68</v>
      </c>
      <c r="F45" s="21">
        <f t="shared" si="26"/>
        <v>9.4</v>
      </c>
      <c r="G45" s="19">
        <f>IFERROR(VLOOKUP(D45,O$41:Q$46,2,FALSE)/10000,"")</f>
        <v>6403.2696999999998</v>
      </c>
      <c r="H45" s="21">
        <f t="shared" si="25"/>
        <v>9.399999919599999</v>
      </c>
      <c r="J45" s="1242">
        <v>4</v>
      </c>
      <c r="K45" s="1163" t="s">
        <v>309</v>
      </c>
      <c r="L45" s="1243">
        <v>14.68</v>
      </c>
      <c r="M45" s="1244">
        <v>940000000</v>
      </c>
      <c r="N45" s="1158"/>
      <c r="O45" s="1155" t="s">
        <v>309</v>
      </c>
      <c r="P45" s="1245">
        <v>64032697</v>
      </c>
      <c r="Q45" s="1158"/>
    </row>
    <row r="46" spans="1:21">
      <c r="C46" s="28">
        <f t="shared" si="23"/>
        <v>5</v>
      </c>
      <c r="D46" s="11" t="str">
        <f>IF(K46=0,"",K46)</f>
        <v>华安未来资产管理（上海）有限
公司</v>
      </c>
      <c r="E46" s="21">
        <f t="shared" si="24"/>
        <v>14.68</v>
      </c>
      <c r="F46" s="21">
        <f t="shared" si="26"/>
        <v>7</v>
      </c>
      <c r="G46" s="19">
        <f>IFERROR(VLOOKUP(D46,O$41:Q$46,2,FALSE)/10000,"")</f>
        <v>4768.3923000000004</v>
      </c>
      <c r="H46" s="21">
        <f t="shared" si="25"/>
        <v>6.9999998963999994</v>
      </c>
      <c r="J46" s="1242">
        <v>5</v>
      </c>
      <c r="K46" s="1159" t="s">
        <v>732</v>
      </c>
      <c r="L46" s="1243">
        <v>14.68</v>
      </c>
      <c r="M46" s="1244">
        <v>700000000</v>
      </c>
      <c r="N46" s="1158"/>
      <c r="O46" s="1159" t="s">
        <v>732</v>
      </c>
      <c r="P46" s="1245">
        <v>47683923</v>
      </c>
      <c r="Q46" s="1158"/>
    </row>
    <row r="47" spans="1:21">
      <c r="J47" s="111"/>
      <c r="K47" s="108"/>
      <c r="L47" s="110"/>
      <c r="M47" s="109"/>
      <c r="N47" s="108"/>
    </row>
    <row r="48" spans="1:21">
      <c r="A48" s="24">
        <v>3</v>
      </c>
      <c r="B48" s="12" t="s">
        <v>106</v>
      </c>
      <c r="C48" s="12" t="s">
        <v>126</v>
      </c>
      <c r="D48" s="12" t="s">
        <v>107</v>
      </c>
      <c r="E48" s="12" t="s">
        <v>4</v>
      </c>
      <c r="F48" s="13" t="s">
        <v>108</v>
      </c>
      <c r="G48" s="13" t="s">
        <v>109</v>
      </c>
      <c r="H48" s="12" t="s">
        <v>274</v>
      </c>
      <c r="I48" s="12" t="s">
        <v>273</v>
      </c>
      <c r="J48" s="12" t="s">
        <v>116</v>
      </c>
      <c r="K48" s="14" t="s">
        <v>110</v>
      </c>
      <c r="L48" s="14" t="s">
        <v>276</v>
      </c>
      <c r="M48" s="14" t="s">
        <v>117</v>
      </c>
      <c r="N48" s="15" t="s">
        <v>275</v>
      </c>
      <c r="O48" s="12" t="s">
        <v>111</v>
      </c>
      <c r="P48" s="8" t="s">
        <v>12</v>
      </c>
      <c r="Q48" s="8" t="s">
        <v>190</v>
      </c>
      <c r="R48" s="15" t="s">
        <v>129</v>
      </c>
      <c r="S48" s="14" t="s">
        <v>220</v>
      </c>
    </row>
    <row r="49" spans="1:21">
      <c r="A49" s="24">
        <v>9</v>
      </c>
      <c r="B49" s="979">
        <v>43</v>
      </c>
      <c r="C49" s="9" t="s">
        <v>211</v>
      </c>
      <c r="D49" s="1" t="s">
        <v>73</v>
      </c>
      <c r="E49" s="1" t="s">
        <v>72</v>
      </c>
      <c r="F49" s="3">
        <v>5</v>
      </c>
      <c r="G49" s="3">
        <v>5.2293598384999997</v>
      </c>
      <c r="H49" s="2">
        <v>42459</v>
      </c>
      <c r="I49" s="1001" t="s">
        <v>151</v>
      </c>
      <c r="J49" s="11">
        <v>23.5</v>
      </c>
      <c r="K49" s="3">
        <v>20.37</v>
      </c>
      <c r="L49" s="3">
        <f t="shared" ref="L49" si="27">K49/J49</f>
        <v>0.86680851063829789</v>
      </c>
      <c r="M49" s="3">
        <v>20.51</v>
      </c>
      <c r="N49" s="10">
        <f t="shared" ref="N49" si="28">M49/J49</f>
        <v>0.87276595744680863</v>
      </c>
      <c r="O49" s="1002">
        <v>3</v>
      </c>
      <c r="P49" s="1004">
        <v>42845</v>
      </c>
      <c r="Q49" s="1003">
        <v>20.399999999999999</v>
      </c>
      <c r="R49" s="18">
        <f t="shared" ref="R49" si="29">(Q49*(1+T49/10)+U49/10)/M49</f>
        <v>0.99707459775719154</v>
      </c>
      <c r="S49" s="11" t="s">
        <v>267</v>
      </c>
      <c r="T49" s="22">
        <f t="shared" ref="T49" si="30">IFERROR(RIGHT(LEFT(S49,FIND("股",S49)-1),(FIND("股",S49)-1-FIND("转",S49))),0)</f>
        <v>0</v>
      </c>
      <c r="U49" s="23" t="str">
        <f t="shared" ref="U49" si="31">IFERROR(RIGHT(LEFT(S49,FIND("元",S49)-1),(FIND("元",S49)-1-FIND("派",S49))),0)</f>
        <v>0.5</v>
      </c>
    </row>
    <row r="50" spans="1:21">
      <c r="B50" s="125"/>
      <c r="C50" s="129"/>
      <c r="D50" s="128"/>
      <c r="E50" s="128"/>
      <c r="F50" s="127"/>
      <c r="G50" s="127"/>
      <c r="H50" s="126"/>
      <c r="I50" s="125"/>
      <c r="K50" s="130"/>
      <c r="L50" s="130"/>
      <c r="M50" s="130"/>
      <c r="N50" s="5"/>
      <c r="O50" s="120"/>
      <c r="P50" s="124"/>
      <c r="Q50" s="5"/>
      <c r="R50" s="123"/>
      <c r="T50" s="28"/>
      <c r="U50" s="122"/>
    </row>
    <row r="51" spans="1:21">
      <c r="C51" s="27" t="s">
        <v>118</v>
      </c>
      <c r="D51" s="16" t="s">
        <v>112</v>
      </c>
      <c r="E51" s="16" t="s">
        <v>113</v>
      </c>
      <c r="F51" s="16" t="s">
        <v>288</v>
      </c>
      <c r="G51" s="17" t="s">
        <v>287</v>
      </c>
      <c r="H51" s="16" t="s">
        <v>289</v>
      </c>
      <c r="J51" s="1153" t="s">
        <v>298</v>
      </c>
      <c r="K51" s="1150" t="s">
        <v>345</v>
      </c>
      <c r="L51" s="1151" t="s">
        <v>731</v>
      </c>
      <c r="M51" s="1246" t="s">
        <v>730</v>
      </c>
      <c r="N51" s="1152"/>
      <c r="O51" s="1150" t="s">
        <v>703</v>
      </c>
      <c r="P51" s="1150" t="s">
        <v>729</v>
      </c>
      <c r="Q51" s="1150"/>
      <c r="R51" s="1158"/>
    </row>
    <row r="52" spans="1:21" ht="15" customHeight="1">
      <c r="C52" s="28">
        <f t="shared" ref="C52:D57" si="32">IF(J52=0,"",J52)</f>
        <v>1</v>
      </c>
      <c r="D52" s="11" t="str">
        <f t="shared" si="32"/>
        <v>方正富邦基金管理有限公司</v>
      </c>
      <c r="E52" s="21">
        <f t="shared" ref="E52:E57" si="33">L52</f>
        <v>21.2</v>
      </c>
      <c r="F52" s="21">
        <f>M52/10000</f>
        <v>3.01</v>
      </c>
      <c r="G52" s="19">
        <f>IFERROR(VLOOKUP(D52,O$51:Q$57,2,FALSE)/10000,"")</f>
        <v>1467.5767000000001</v>
      </c>
      <c r="H52" s="21">
        <f t="shared" ref="H52:H57" si="34">IFERROR(G52*M$49/10000,"")</f>
        <v>3.0099998117000002</v>
      </c>
      <c r="J52" s="1247">
        <v>1</v>
      </c>
      <c r="K52" s="1248" t="s">
        <v>706</v>
      </c>
      <c r="L52" s="1249">
        <v>21.2</v>
      </c>
      <c r="M52" s="1250">
        <v>30100</v>
      </c>
      <c r="N52" s="1158"/>
      <c r="O52" s="1155" t="s">
        <v>706</v>
      </c>
      <c r="P52" s="1251">
        <v>14675767</v>
      </c>
      <c r="Q52" s="1251"/>
      <c r="R52" s="1158"/>
    </row>
    <row r="53" spans="1:21" ht="15" customHeight="1">
      <c r="C53" s="28">
        <f t="shared" si="32"/>
        <v>2</v>
      </c>
      <c r="D53" s="11" t="str">
        <f t="shared" si="32"/>
        <v>中广核财务有限责任公司</v>
      </c>
      <c r="E53" s="21">
        <f t="shared" si="33"/>
        <v>21.15</v>
      </c>
      <c r="F53" s="21">
        <f t="shared" ref="F53:F57" si="35">M53/10000</f>
        <v>1.1000000000000001</v>
      </c>
      <c r="G53" s="19">
        <f t="shared" ref="G53:G57" si="36">IFERROR(VLOOKUP(D53,O$51:Q$57,2,FALSE)/10000,"")</f>
        <v>536.32370000000003</v>
      </c>
      <c r="H53" s="21">
        <f t="shared" si="34"/>
        <v>1.0999999087000003</v>
      </c>
      <c r="J53" s="1247">
        <v>2</v>
      </c>
      <c r="K53" s="1248" t="s">
        <v>724</v>
      </c>
      <c r="L53" s="1249">
        <v>21.15</v>
      </c>
      <c r="M53" s="1250">
        <v>11000</v>
      </c>
      <c r="N53" s="1158"/>
      <c r="O53" s="1155" t="s">
        <v>724</v>
      </c>
      <c r="P53" s="1251">
        <v>5363237</v>
      </c>
      <c r="Q53" s="1251"/>
      <c r="R53" s="1158"/>
    </row>
    <row r="54" spans="1:21" ht="15" customHeight="1">
      <c r="C54" s="28">
        <f t="shared" si="32"/>
        <v>3</v>
      </c>
      <c r="D54" s="11" t="str">
        <f t="shared" si="32"/>
        <v>东海基金管理有限责任公司</v>
      </c>
      <c r="E54" s="21">
        <f t="shared" si="33"/>
        <v>20.51</v>
      </c>
      <c r="F54" s="21">
        <f t="shared" si="35"/>
        <v>1.8</v>
      </c>
      <c r="G54" s="19">
        <f t="shared" si="36"/>
        <v>545.76310000000001</v>
      </c>
      <c r="H54" s="21">
        <f t="shared" si="34"/>
        <v>1.1193601181000001</v>
      </c>
      <c r="J54" s="1247">
        <v>3</v>
      </c>
      <c r="K54" s="1248" t="s">
        <v>128</v>
      </c>
      <c r="L54" s="1249">
        <v>20.51</v>
      </c>
      <c r="M54" s="1250">
        <v>18000</v>
      </c>
      <c r="N54" s="1158"/>
      <c r="O54" s="1155" t="s">
        <v>128</v>
      </c>
      <c r="P54" s="1251">
        <v>5457631</v>
      </c>
      <c r="Q54" s="1251"/>
      <c r="R54" s="1158"/>
    </row>
    <row r="55" spans="1:21">
      <c r="C55" s="28">
        <f t="shared" si="32"/>
        <v>4</v>
      </c>
      <c r="D55" s="11" t="str">
        <f t="shared" si="32"/>
        <v>财通基金管理有限公司</v>
      </c>
      <c r="E55" s="21">
        <f t="shared" si="33"/>
        <v>20.5</v>
      </c>
      <c r="F55" s="21">
        <f t="shared" si="35"/>
        <v>1.39</v>
      </c>
      <c r="G55" s="19" t="str">
        <f t="shared" si="36"/>
        <v/>
      </c>
      <c r="H55" s="21" t="str">
        <f t="shared" si="34"/>
        <v/>
      </c>
      <c r="J55" s="1252">
        <v>4</v>
      </c>
      <c r="K55" s="1155" t="s">
        <v>115</v>
      </c>
      <c r="L55" s="1249">
        <v>20.5</v>
      </c>
      <c r="M55" s="1250">
        <v>13900</v>
      </c>
      <c r="N55" s="1158"/>
      <c r="O55" s="1158"/>
      <c r="P55" s="1158"/>
      <c r="Q55" s="1158"/>
      <c r="R55" s="1158"/>
    </row>
    <row r="56" spans="1:21">
      <c r="C56" s="28" t="str">
        <f t="shared" si="32"/>
        <v/>
      </c>
      <c r="D56" s="11" t="str">
        <f t="shared" si="32"/>
        <v/>
      </c>
      <c r="E56" s="21">
        <f t="shared" si="33"/>
        <v>20.38</v>
      </c>
      <c r="F56" s="21">
        <f t="shared" si="35"/>
        <v>3.27</v>
      </c>
      <c r="G56" s="19" t="str">
        <f t="shared" si="36"/>
        <v/>
      </c>
      <c r="H56" s="21" t="str">
        <f t="shared" si="34"/>
        <v/>
      </c>
      <c r="J56" s="1252"/>
      <c r="K56" s="1155"/>
      <c r="L56" s="1249">
        <v>20.38</v>
      </c>
      <c r="M56" s="1250">
        <v>32700</v>
      </c>
      <c r="N56" s="1158"/>
      <c r="O56" s="1158"/>
      <c r="P56" s="1158"/>
      <c r="Q56" s="1158"/>
      <c r="R56" s="1158"/>
    </row>
    <row r="57" spans="1:21">
      <c r="C57" s="28" t="str">
        <f t="shared" si="32"/>
        <v/>
      </c>
      <c r="D57" s="11" t="str">
        <f t="shared" si="32"/>
        <v/>
      </c>
      <c r="E57" s="21">
        <f t="shared" si="33"/>
        <v>20.37</v>
      </c>
      <c r="F57" s="21">
        <f t="shared" si="35"/>
        <v>3.35</v>
      </c>
      <c r="G57" s="19" t="str">
        <f t="shared" si="36"/>
        <v/>
      </c>
      <c r="H57" s="21" t="str">
        <f t="shared" si="34"/>
        <v/>
      </c>
      <c r="J57" s="1252"/>
      <c r="K57" s="1155"/>
      <c r="L57" s="1249">
        <v>20.37</v>
      </c>
      <c r="M57" s="1250">
        <v>33500</v>
      </c>
      <c r="N57" s="1158"/>
      <c r="O57" s="1158"/>
      <c r="P57" s="1158"/>
      <c r="Q57" s="1158"/>
      <c r="R57" s="1158"/>
    </row>
    <row r="59" spans="1:21">
      <c r="A59" s="24">
        <v>4</v>
      </c>
      <c r="B59" s="12" t="s">
        <v>106</v>
      </c>
      <c r="C59" s="12" t="s">
        <v>126</v>
      </c>
      <c r="D59" s="12" t="s">
        <v>107</v>
      </c>
      <c r="E59" s="12" t="s">
        <v>4</v>
      </c>
      <c r="F59" s="13" t="s">
        <v>108</v>
      </c>
      <c r="G59" s="13" t="s">
        <v>109</v>
      </c>
      <c r="H59" s="12" t="s">
        <v>274</v>
      </c>
      <c r="I59" s="12" t="s">
        <v>273</v>
      </c>
      <c r="J59" s="12" t="s">
        <v>116</v>
      </c>
      <c r="K59" s="14" t="s">
        <v>110</v>
      </c>
      <c r="L59" s="14" t="s">
        <v>276</v>
      </c>
      <c r="M59" s="14" t="s">
        <v>117</v>
      </c>
      <c r="N59" s="15" t="s">
        <v>275</v>
      </c>
      <c r="O59" s="12" t="s">
        <v>111</v>
      </c>
      <c r="P59" s="8" t="s">
        <v>12</v>
      </c>
      <c r="Q59" s="8" t="s">
        <v>190</v>
      </c>
      <c r="R59" s="15" t="s">
        <v>129</v>
      </c>
      <c r="S59" s="14" t="s">
        <v>220</v>
      </c>
    </row>
    <row r="60" spans="1:21">
      <c r="A60" s="24">
        <v>9</v>
      </c>
      <c r="B60" s="979">
        <v>44</v>
      </c>
      <c r="C60" s="9" t="s">
        <v>212</v>
      </c>
      <c r="D60" s="1" t="s">
        <v>89</v>
      </c>
      <c r="E60" s="1" t="s">
        <v>88</v>
      </c>
      <c r="F60" s="3">
        <v>5.5</v>
      </c>
      <c r="G60" s="3">
        <v>5.4999999400000004</v>
      </c>
      <c r="H60" s="2">
        <v>42458</v>
      </c>
      <c r="I60" s="1001" t="s">
        <v>151</v>
      </c>
      <c r="J60" s="11">
        <v>24.5</v>
      </c>
      <c r="K60" s="3">
        <v>18.82</v>
      </c>
      <c r="L60" s="3">
        <f t="shared" ref="L60" si="37">K60/J60</f>
        <v>0.76816326530612244</v>
      </c>
      <c r="M60" s="3">
        <v>20.5</v>
      </c>
      <c r="N60" s="10">
        <f t="shared" ref="N60" si="38">M60/J60</f>
        <v>0.83673469387755106</v>
      </c>
      <c r="O60" s="1002">
        <v>5</v>
      </c>
      <c r="P60" s="1004">
        <v>42846</v>
      </c>
      <c r="Q60" s="1003">
        <v>10.08</v>
      </c>
      <c r="R60" s="18">
        <f t="shared" ref="R60" si="39">(Q60*(1+T60/10)+U60/10)/M60</f>
        <v>0.50146341463414634</v>
      </c>
      <c r="S60" s="11" t="s">
        <v>237</v>
      </c>
      <c r="T60" s="22">
        <f t="shared" ref="T60" si="40">IFERROR(RIGHT(LEFT(S60,FIND("股",S60)-1),(FIND("股",S60)-1-FIND("转",S60))),0)</f>
        <v>0</v>
      </c>
      <c r="U60" s="23" t="str">
        <f t="shared" ref="U60" si="41">IFERROR(RIGHT(LEFT(S60,FIND("元",S60)-1),(FIND("元",S60)-1-FIND("派",S60))),0)</f>
        <v>2</v>
      </c>
    </row>
    <row r="61" spans="1:21">
      <c r="B61" s="125"/>
      <c r="C61" s="129"/>
      <c r="D61" s="128"/>
      <c r="E61" s="128"/>
      <c r="F61" s="127"/>
      <c r="G61" s="127"/>
      <c r="H61" s="126"/>
      <c r="I61" s="125"/>
      <c r="K61" s="130"/>
      <c r="L61" s="130"/>
      <c r="M61" s="130"/>
      <c r="N61" s="5"/>
      <c r="O61" s="120"/>
      <c r="P61" s="124"/>
      <c r="Q61" s="5"/>
      <c r="R61" s="123"/>
      <c r="T61" s="28"/>
      <c r="U61" s="122"/>
    </row>
    <row r="62" spans="1:21" ht="14.5">
      <c r="C62" s="16" t="s">
        <v>118</v>
      </c>
      <c r="D62" s="16" t="s">
        <v>112</v>
      </c>
      <c r="E62" s="16" t="s">
        <v>113</v>
      </c>
      <c r="F62" s="16" t="s">
        <v>288</v>
      </c>
      <c r="G62" s="17" t="s">
        <v>287</v>
      </c>
      <c r="H62" s="16" t="s">
        <v>289</v>
      </c>
      <c r="J62" s="1153" t="s">
        <v>298</v>
      </c>
      <c r="K62" s="1153" t="s">
        <v>369</v>
      </c>
      <c r="L62" s="1166" t="s">
        <v>728</v>
      </c>
      <c r="M62" s="1159" t="s">
        <v>727</v>
      </c>
      <c r="N62" s="1172"/>
      <c r="O62" s="1253" t="s">
        <v>291</v>
      </c>
      <c r="P62" s="1166" t="s">
        <v>374</v>
      </c>
      <c r="Q62" s="1152"/>
      <c r="R62" s="1158"/>
    </row>
    <row r="63" spans="1:21" ht="15" customHeight="1">
      <c r="C63" s="24">
        <f t="shared" ref="C63:D74" si="42">IF(J63=0,"",J63)</f>
        <v>1</v>
      </c>
      <c r="D63" s="11" t="str">
        <f t="shared" si="42"/>
        <v>新华基金管理股份有
限公司</v>
      </c>
      <c r="E63" s="21">
        <f t="shared" ref="E63:E74" si="43">L63</f>
        <v>18.82</v>
      </c>
      <c r="F63" s="21">
        <f t="shared" ref="F63:F73" si="44">M63/10000</f>
        <v>1.1000000000000001</v>
      </c>
      <c r="G63" s="19" t="str">
        <f t="shared" ref="G63:G74" si="45">IFERROR(VLOOKUP(D63,O$63:Q$74,2,FALSE)/10000,"")</f>
        <v/>
      </c>
      <c r="H63" s="21" t="str">
        <f t="shared" ref="H63:H74" si="46">IFERROR(G63*M$60/10000,"")</f>
        <v/>
      </c>
      <c r="J63" s="1154">
        <v>1</v>
      </c>
      <c r="K63" s="1159" t="s">
        <v>726</v>
      </c>
      <c r="L63" s="1187">
        <v>18.82</v>
      </c>
      <c r="M63" s="1160">
        <v>11000</v>
      </c>
      <c r="N63" s="1158"/>
      <c r="O63" s="1155" t="s">
        <v>173</v>
      </c>
      <c r="P63" s="1160">
        <v>5902439</v>
      </c>
      <c r="Q63" s="1155"/>
      <c r="R63" s="1158"/>
    </row>
    <row r="64" spans="1:21" ht="15" customHeight="1">
      <c r="C64" s="24">
        <f t="shared" si="42"/>
        <v>2</v>
      </c>
      <c r="D64" s="11" t="str">
        <f t="shared" si="42"/>
        <v>第一创业证券股份有限公司</v>
      </c>
      <c r="E64" s="21">
        <f t="shared" si="43"/>
        <v>20.53</v>
      </c>
      <c r="F64" s="21">
        <f t="shared" si="44"/>
        <v>1.1000000000000001</v>
      </c>
      <c r="G64" s="19">
        <f t="shared" si="45"/>
        <v>536.58529999999996</v>
      </c>
      <c r="H64" s="21">
        <f t="shared" si="46"/>
        <v>1.099999865</v>
      </c>
      <c r="J64" s="1154">
        <v>2</v>
      </c>
      <c r="K64" s="1155" t="s">
        <v>127</v>
      </c>
      <c r="L64" s="1187">
        <v>20.53</v>
      </c>
      <c r="M64" s="1160">
        <v>11000</v>
      </c>
      <c r="N64" s="1158"/>
      <c r="O64" s="1155" t="s">
        <v>725</v>
      </c>
      <c r="P64" s="1160">
        <v>5365853</v>
      </c>
      <c r="Q64" s="1155"/>
      <c r="R64" s="1158"/>
    </row>
    <row r="65" spans="1:21" ht="15" customHeight="1">
      <c r="C65" s="24">
        <f t="shared" si="42"/>
        <v>3</v>
      </c>
      <c r="D65" s="11" t="str">
        <f t="shared" si="42"/>
        <v>襄垣县永利科技有限公司</v>
      </c>
      <c r="E65" s="21">
        <f t="shared" si="43"/>
        <v>20.61</v>
      </c>
      <c r="F65" s="21">
        <f t="shared" si="44"/>
        <v>1.1000000000000001</v>
      </c>
      <c r="G65" s="19">
        <f t="shared" si="45"/>
        <v>536.58529999999996</v>
      </c>
      <c r="H65" s="21">
        <f t="shared" si="46"/>
        <v>1.099999865</v>
      </c>
      <c r="J65" s="1154">
        <v>3</v>
      </c>
      <c r="K65" s="1155" t="s">
        <v>725</v>
      </c>
      <c r="L65" s="1187">
        <v>20.61</v>
      </c>
      <c r="M65" s="1160">
        <v>11000</v>
      </c>
      <c r="N65" s="1158"/>
      <c r="O65" s="1155" t="s">
        <v>127</v>
      </c>
      <c r="P65" s="1160">
        <v>5365853</v>
      </c>
      <c r="Q65" s="1155"/>
      <c r="R65" s="1158"/>
    </row>
    <row r="66" spans="1:21" ht="15" customHeight="1">
      <c r="C66" s="24">
        <f t="shared" si="42"/>
        <v>4</v>
      </c>
      <c r="D66" s="11" t="str">
        <f t="shared" si="42"/>
        <v>中广核财务有限责任公司</v>
      </c>
      <c r="E66" s="21">
        <f t="shared" si="43"/>
        <v>20.51</v>
      </c>
      <c r="F66" s="21">
        <f t="shared" si="44"/>
        <v>1.1000000000000001</v>
      </c>
      <c r="G66" s="19">
        <f t="shared" si="45"/>
        <v>536.58529999999996</v>
      </c>
      <c r="H66" s="21">
        <f t="shared" si="46"/>
        <v>1.099999865</v>
      </c>
      <c r="J66" s="1154">
        <v>4</v>
      </c>
      <c r="K66" s="1155" t="s">
        <v>724</v>
      </c>
      <c r="L66" s="1187">
        <v>20.51</v>
      </c>
      <c r="M66" s="1160">
        <v>11000</v>
      </c>
      <c r="N66" s="1158"/>
      <c r="O66" s="1155" t="s">
        <v>724</v>
      </c>
      <c r="P66" s="1160">
        <v>5365853</v>
      </c>
      <c r="Q66" s="1155"/>
      <c r="R66" s="1158"/>
    </row>
    <row r="67" spans="1:21" ht="15" customHeight="1">
      <c r="C67" s="24">
        <f t="shared" si="42"/>
        <v>5</v>
      </c>
      <c r="D67" s="11" t="str">
        <f t="shared" si="42"/>
        <v>博时基金管理有限公司</v>
      </c>
      <c r="E67" s="21">
        <f t="shared" si="43"/>
        <v>21.26</v>
      </c>
      <c r="F67" s="21">
        <f t="shared" si="44"/>
        <v>1.21</v>
      </c>
      <c r="G67" s="19">
        <f t="shared" si="45"/>
        <v>590.24390000000005</v>
      </c>
      <c r="H67" s="21">
        <f t="shared" si="46"/>
        <v>1.2099999950000002</v>
      </c>
      <c r="J67" s="1154">
        <v>5</v>
      </c>
      <c r="K67" s="1155" t="s">
        <v>173</v>
      </c>
      <c r="L67" s="1187">
        <v>21.26</v>
      </c>
      <c r="M67" s="1160">
        <v>12100</v>
      </c>
      <c r="N67" s="1158"/>
      <c r="O67" s="1162" t="s">
        <v>115</v>
      </c>
      <c r="P67" s="1254">
        <v>4829270</v>
      </c>
      <c r="Q67" s="1162"/>
      <c r="R67" s="1158"/>
    </row>
    <row r="68" spans="1:21" ht="15" customHeight="1">
      <c r="C68" s="24">
        <f t="shared" si="42"/>
        <v>6</v>
      </c>
      <c r="D68" s="11" t="str">
        <f t="shared" si="42"/>
        <v>兴业全球基金管理有
限公司</v>
      </c>
      <c r="E68" s="21">
        <f t="shared" si="43"/>
        <v>19.02</v>
      </c>
      <c r="F68" s="21">
        <f t="shared" si="44"/>
        <v>1.67</v>
      </c>
      <c r="G68" s="19" t="str">
        <f t="shared" si="45"/>
        <v/>
      </c>
      <c r="H68" s="21" t="str">
        <f t="shared" si="46"/>
        <v/>
      </c>
      <c r="J68" s="1154">
        <v>6</v>
      </c>
      <c r="K68" s="1159" t="s">
        <v>723</v>
      </c>
      <c r="L68" s="1187">
        <v>19.02</v>
      </c>
      <c r="M68" s="1160">
        <v>16700</v>
      </c>
      <c r="N68" s="1158"/>
      <c r="O68" s="1162"/>
      <c r="P68" s="1254"/>
      <c r="Q68" s="1162"/>
      <c r="R68" s="1158"/>
    </row>
    <row r="69" spans="1:21" ht="15" customHeight="1">
      <c r="C69" s="24">
        <f t="shared" si="42"/>
        <v>7</v>
      </c>
      <c r="D69" s="11" t="str">
        <f t="shared" si="42"/>
        <v>财通基金管理有限公司</v>
      </c>
      <c r="E69" s="21">
        <f t="shared" si="43"/>
        <v>20.5</v>
      </c>
      <c r="F69" s="21">
        <f t="shared" si="44"/>
        <v>2.38</v>
      </c>
      <c r="G69" s="19">
        <f t="shared" si="45"/>
        <v>482.92700000000002</v>
      </c>
      <c r="H69" s="21">
        <f t="shared" si="46"/>
        <v>0.99000035000000008</v>
      </c>
      <c r="J69" s="1161">
        <v>7</v>
      </c>
      <c r="K69" s="1162" t="s">
        <v>115</v>
      </c>
      <c r="L69" s="1187">
        <v>20.5</v>
      </c>
      <c r="M69" s="1160">
        <v>23800</v>
      </c>
      <c r="N69" s="1158"/>
      <c r="O69" s="1162"/>
      <c r="P69" s="1254"/>
      <c r="Q69" s="1162"/>
      <c r="R69" s="1158"/>
    </row>
    <row r="70" spans="1:21" ht="15" customHeight="1">
      <c r="C70" s="24" t="str">
        <f t="shared" si="42"/>
        <v/>
      </c>
      <c r="D70" s="11" t="str">
        <f t="shared" si="42"/>
        <v/>
      </c>
      <c r="E70" s="21">
        <f t="shared" si="43"/>
        <v>19.71</v>
      </c>
      <c r="F70" s="21">
        <f t="shared" si="44"/>
        <v>4.3600000000000003</v>
      </c>
      <c r="G70" s="19" t="str">
        <f t="shared" si="45"/>
        <v/>
      </c>
      <c r="H70" s="21" t="str">
        <f t="shared" si="46"/>
        <v/>
      </c>
      <c r="J70" s="1161"/>
      <c r="K70" s="1155"/>
      <c r="L70" s="1187">
        <v>19.71</v>
      </c>
      <c r="M70" s="1160">
        <v>43600</v>
      </c>
      <c r="N70" s="1158"/>
      <c r="O70" s="1158"/>
      <c r="P70" s="1158"/>
      <c r="Q70" s="1158"/>
      <c r="R70" s="1158"/>
    </row>
    <row r="71" spans="1:21" ht="15" customHeight="1">
      <c r="C71" s="24" t="str">
        <f t="shared" si="42"/>
        <v/>
      </c>
      <c r="D71" s="11" t="str">
        <f t="shared" si="42"/>
        <v/>
      </c>
      <c r="E71" s="21">
        <f t="shared" si="43"/>
        <v>18.98</v>
      </c>
      <c r="F71" s="21">
        <f t="shared" si="44"/>
        <v>5.5</v>
      </c>
      <c r="G71" s="19" t="str">
        <f t="shared" si="45"/>
        <v/>
      </c>
      <c r="H71" s="21" t="str">
        <f t="shared" si="46"/>
        <v/>
      </c>
      <c r="J71" s="1161"/>
      <c r="K71" s="1155"/>
      <c r="L71" s="1187">
        <v>18.98</v>
      </c>
      <c r="M71" s="1160">
        <v>55000</v>
      </c>
      <c r="N71" s="1158"/>
      <c r="O71" s="1158"/>
      <c r="P71" s="1158"/>
      <c r="Q71" s="1158"/>
      <c r="R71" s="1158"/>
    </row>
    <row r="72" spans="1:21" ht="15" customHeight="1">
      <c r="C72" s="24">
        <f t="shared" si="42"/>
        <v>8</v>
      </c>
      <c r="D72" s="11" t="str">
        <f t="shared" si="42"/>
        <v>诺安基金管理有限公
司</v>
      </c>
      <c r="E72" s="21">
        <f t="shared" si="43"/>
        <v>18.98</v>
      </c>
      <c r="F72" s="21">
        <f t="shared" si="44"/>
        <v>1.91</v>
      </c>
      <c r="G72" s="19" t="str">
        <f t="shared" si="45"/>
        <v/>
      </c>
      <c r="H72" s="21" t="str">
        <f t="shared" si="46"/>
        <v/>
      </c>
      <c r="J72" s="1154">
        <v>8</v>
      </c>
      <c r="K72" s="1159" t="s">
        <v>722</v>
      </c>
      <c r="L72" s="1187">
        <v>18.98</v>
      </c>
      <c r="M72" s="1160">
        <v>19100</v>
      </c>
      <c r="N72" s="1158"/>
      <c r="O72" s="1158"/>
      <c r="P72" s="1158"/>
      <c r="Q72" s="1158"/>
      <c r="R72" s="1158"/>
    </row>
    <row r="73" spans="1:21" ht="15" customHeight="1">
      <c r="C73" s="24">
        <f t="shared" si="42"/>
        <v>9</v>
      </c>
      <c r="D73" s="11" t="str">
        <f t="shared" si="42"/>
        <v>东海基金管理有限责
任公司</v>
      </c>
      <c r="E73" s="21">
        <f t="shared" si="43"/>
        <v>20.010000000000002</v>
      </c>
      <c r="F73" s="21">
        <f t="shared" si="44"/>
        <v>1.1000000000000001</v>
      </c>
      <c r="G73" s="19" t="str">
        <f t="shared" si="45"/>
        <v/>
      </c>
      <c r="H73" s="21" t="str">
        <f t="shared" si="46"/>
        <v/>
      </c>
      <c r="J73" s="1165">
        <v>9</v>
      </c>
      <c r="K73" s="1255" t="s">
        <v>721</v>
      </c>
      <c r="L73" s="1156">
        <v>20.010000000000002</v>
      </c>
      <c r="M73" s="1190">
        <v>11000</v>
      </c>
      <c r="N73" s="1190"/>
      <c r="O73" s="1190"/>
      <c r="P73" s="1158"/>
      <c r="Q73" s="1158"/>
      <c r="R73" s="1158"/>
    </row>
    <row r="74" spans="1:21" ht="15" customHeight="1">
      <c r="C74" s="24">
        <f t="shared" si="42"/>
        <v>10</v>
      </c>
      <c r="D74" s="11" t="str">
        <f t="shared" si="42"/>
        <v>申万菱信（上海）资
产管理有限公司</v>
      </c>
      <c r="E74" s="21" t="str">
        <f t="shared" si="43"/>
        <v>无效申购</v>
      </c>
      <c r="F74" s="21" t="s">
        <v>294</v>
      </c>
      <c r="G74" s="19" t="str">
        <f t="shared" si="45"/>
        <v/>
      </c>
      <c r="H74" s="21" t="str">
        <f t="shared" si="46"/>
        <v/>
      </c>
      <c r="J74" s="1165">
        <v>10</v>
      </c>
      <c r="K74" s="1255" t="s">
        <v>720</v>
      </c>
      <c r="L74" s="1256" t="s">
        <v>613</v>
      </c>
      <c r="M74" s="1256" t="s">
        <v>613</v>
      </c>
      <c r="N74" s="1256"/>
      <c r="O74" s="1256"/>
      <c r="P74" s="1158"/>
      <c r="Q74" s="1158"/>
      <c r="R74" s="1158"/>
    </row>
    <row r="76" spans="1:21">
      <c r="A76" s="24">
        <v>5</v>
      </c>
      <c r="B76" s="12" t="s">
        <v>106</v>
      </c>
      <c r="C76" s="12" t="s">
        <v>126</v>
      </c>
      <c r="D76" s="12" t="s">
        <v>107</v>
      </c>
      <c r="E76" s="12" t="s">
        <v>4</v>
      </c>
      <c r="F76" s="13" t="s">
        <v>108</v>
      </c>
      <c r="G76" s="13" t="s">
        <v>109</v>
      </c>
      <c r="H76" s="12" t="s">
        <v>274</v>
      </c>
      <c r="I76" s="12" t="s">
        <v>273</v>
      </c>
      <c r="J76" s="12" t="s">
        <v>116</v>
      </c>
      <c r="K76" s="14" t="s">
        <v>110</v>
      </c>
      <c r="L76" s="14" t="s">
        <v>276</v>
      </c>
      <c r="M76" s="14" t="s">
        <v>117</v>
      </c>
      <c r="N76" s="15" t="s">
        <v>275</v>
      </c>
      <c r="O76" s="12" t="s">
        <v>111</v>
      </c>
      <c r="P76" s="8" t="s">
        <v>12</v>
      </c>
      <c r="Q76" s="8" t="s">
        <v>190</v>
      </c>
      <c r="R76" s="15" t="s">
        <v>129</v>
      </c>
      <c r="S76" s="14" t="s">
        <v>220</v>
      </c>
    </row>
    <row r="77" spans="1:21">
      <c r="A77" s="24">
        <v>9</v>
      </c>
      <c r="B77" s="979">
        <v>45</v>
      </c>
      <c r="C77" s="9" t="s">
        <v>213</v>
      </c>
      <c r="D77" s="1" t="s">
        <v>103</v>
      </c>
      <c r="E77" s="1" t="s">
        <v>102</v>
      </c>
      <c r="F77" s="3">
        <v>13.5</v>
      </c>
      <c r="G77" s="3">
        <v>13.499999989599999</v>
      </c>
      <c r="H77" s="2">
        <v>42459</v>
      </c>
      <c r="I77" s="1001" t="s">
        <v>151</v>
      </c>
      <c r="J77" s="11">
        <v>15.77</v>
      </c>
      <c r="K77" s="3">
        <v>8.9600000000000009</v>
      </c>
      <c r="L77" s="3">
        <f t="shared" ref="L77" si="47">K77/J77</f>
        <v>0.56816740646797725</v>
      </c>
      <c r="M77" s="3">
        <v>10.51</v>
      </c>
      <c r="N77" s="10">
        <f t="shared" ref="N77" si="48">M77/J77</f>
        <v>0.66645529486366517</v>
      </c>
      <c r="O77" s="1002">
        <v>6</v>
      </c>
      <c r="P77" s="1004">
        <v>42849</v>
      </c>
      <c r="Q77" s="1003">
        <v>6.37</v>
      </c>
      <c r="R77" s="18">
        <f>(Q77*(1+T77/10)+U77/10)/M77</f>
        <v>0.6060894386298763</v>
      </c>
      <c r="S77" s="11" t="s">
        <v>223</v>
      </c>
      <c r="T77" s="22">
        <f t="shared" ref="T77" si="49">IFERROR(RIGHT(LEFT(S77,FIND("股",S77)-1),(FIND("股",S77)-1-FIND("转",S77))),0)</f>
        <v>0</v>
      </c>
      <c r="U77" s="23">
        <f t="shared" ref="U77" si="50">IFERROR(RIGHT(LEFT(S77,FIND("元",S77)-1),(FIND("元",S77)-1-FIND("派",S77))),0)</f>
        <v>0</v>
      </c>
    </row>
    <row r="78" spans="1:21">
      <c r="B78" s="125"/>
      <c r="C78" s="129"/>
      <c r="D78" s="128"/>
      <c r="E78" s="128"/>
      <c r="F78" s="127"/>
      <c r="G78" s="127"/>
      <c r="H78" s="126"/>
      <c r="I78" s="125"/>
      <c r="K78" s="130"/>
      <c r="L78" s="130"/>
      <c r="M78" s="130"/>
      <c r="N78" s="5"/>
      <c r="O78" s="120"/>
      <c r="P78" s="124"/>
      <c r="Q78" s="5"/>
      <c r="R78" s="123"/>
      <c r="T78" s="28"/>
      <c r="U78" s="122"/>
    </row>
    <row r="79" spans="1:21" ht="15">
      <c r="C79" s="27" t="s">
        <v>118</v>
      </c>
      <c r="D79" s="16" t="s">
        <v>112</v>
      </c>
      <c r="E79" s="16" t="s">
        <v>113</v>
      </c>
      <c r="F79" s="16" t="s">
        <v>288</v>
      </c>
      <c r="G79" s="17" t="s">
        <v>287</v>
      </c>
      <c r="H79" s="16" t="s">
        <v>289</v>
      </c>
      <c r="J79" s="1007" t="s">
        <v>719</v>
      </c>
      <c r="K79" s="1257" t="s">
        <v>716</v>
      </c>
      <c r="L79" s="1007" t="s">
        <v>718</v>
      </c>
      <c r="M79" s="1257" t="s">
        <v>717</v>
      </c>
      <c r="N79" s="1009"/>
      <c r="O79" s="1257" t="s">
        <v>716</v>
      </c>
      <c r="P79" s="1257" t="s">
        <v>715</v>
      </c>
      <c r="Q79" s="1033"/>
    </row>
    <row r="80" spans="1:21" ht="15" customHeight="1">
      <c r="C80" s="28">
        <f t="shared" ref="C80:D97" si="51">IF(J80=0,"",J80)</f>
        <v>1</v>
      </c>
      <c r="D80" s="11" t="str">
        <f t="shared" si="51"/>
        <v>平安大华基金管理有限公司</v>
      </c>
      <c r="E80" s="21">
        <f t="shared" ref="E80:E97" si="52">L80</f>
        <v>13.88</v>
      </c>
      <c r="F80" s="21">
        <f>M80/100000000</f>
        <v>1.41</v>
      </c>
      <c r="G80" s="19">
        <f t="shared" ref="G80:G97" si="53">IFERROR(VLOOKUP(D80,O$80:Q$102,2,FALSE)/10000,"")</f>
        <v>1341.5794000000001</v>
      </c>
      <c r="H80" s="21">
        <f t="shared" ref="H80:H97" si="54">IFERROR(G80*M$77/10000,"")</f>
        <v>1.4099999494</v>
      </c>
      <c r="J80" s="1086">
        <v>1</v>
      </c>
      <c r="K80" s="1147" t="s">
        <v>146</v>
      </c>
      <c r="L80" s="1139">
        <v>13.88</v>
      </c>
      <c r="M80" s="1258">
        <v>141000000</v>
      </c>
      <c r="N80" s="492"/>
      <c r="O80" s="1116" t="s">
        <v>146</v>
      </c>
      <c r="P80" s="1117">
        <v>13415794</v>
      </c>
      <c r="Q80" s="492"/>
    </row>
    <row r="81" spans="3:17">
      <c r="C81" s="28" t="str">
        <f t="shared" si="51"/>
        <v/>
      </c>
      <c r="D81" s="11" t="str">
        <f t="shared" si="51"/>
        <v/>
      </c>
      <c r="E81" s="21">
        <f t="shared" si="52"/>
        <v>12.58</v>
      </c>
      <c r="F81" s="21">
        <f t="shared" ref="F81:F97" si="55">M81/100000000</f>
        <v>1.41</v>
      </c>
      <c r="G81" s="19" t="str">
        <f t="shared" si="53"/>
        <v/>
      </c>
      <c r="H81" s="21" t="str">
        <f t="shared" si="54"/>
        <v/>
      </c>
      <c r="J81" s="1086"/>
      <c r="K81" s="1147"/>
      <c r="L81" s="1139">
        <v>12.58</v>
      </c>
      <c r="M81" s="1258">
        <v>141000000</v>
      </c>
      <c r="N81" s="492"/>
      <c r="O81" s="1116" t="s">
        <v>225</v>
      </c>
      <c r="P81" s="1117">
        <v>12844909</v>
      </c>
      <c r="Q81" s="492"/>
    </row>
    <row r="82" spans="3:17">
      <c r="C82" s="28" t="str">
        <f t="shared" si="51"/>
        <v/>
      </c>
      <c r="D82" s="11" t="str">
        <f t="shared" si="51"/>
        <v/>
      </c>
      <c r="E82" s="21">
        <f t="shared" si="52"/>
        <v>12.18</v>
      </c>
      <c r="F82" s="21">
        <f t="shared" si="55"/>
        <v>1.41</v>
      </c>
      <c r="G82" s="19" t="str">
        <f t="shared" si="53"/>
        <v/>
      </c>
      <c r="H82" s="21" t="str">
        <f t="shared" si="54"/>
        <v/>
      </c>
      <c r="J82" s="1086"/>
      <c r="K82" s="1147"/>
      <c r="L82" s="1139">
        <v>12.18</v>
      </c>
      <c r="M82" s="1258">
        <v>141000000</v>
      </c>
      <c r="N82" s="492"/>
      <c r="O82" s="1116" t="s">
        <v>505</v>
      </c>
      <c r="P82" s="1117">
        <v>14272121</v>
      </c>
      <c r="Q82" s="492"/>
    </row>
    <row r="83" spans="3:17" ht="15" customHeight="1">
      <c r="C83" s="28">
        <f t="shared" si="51"/>
        <v>2</v>
      </c>
      <c r="D83" s="11" t="str">
        <f t="shared" si="51"/>
        <v>易方达基金管理有限公司</v>
      </c>
      <c r="E83" s="21">
        <f t="shared" si="52"/>
        <v>12.54</v>
      </c>
      <c r="F83" s="21">
        <f t="shared" si="55"/>
        <v>1.35</v>
      </c>
      <c r="G83" s="19">
        <f t="shared" si="53"/>
        <v>1284.4909</v>
      </c>
      <c r="H83" s="21">
        <f>IFERROR(G83*M$77/10000,"")</f>
        <v>1.3499999358999999</v>
      </c>
      <c r="J83" s="1086">
        <v>2</v>
      </c>
      <c r="K83" s="1147" t="s">
        <v>225</v>
      </c>
      <c r="L83" s="1139">
        <v>12.54</v>
      </c>
      <c r="M83" s="1258">
        <v>135000000</v>
      </c>
      <c r="N83" s="492"/>
      <c r="O83" s="1116" t="s">
        <v>115</v>
      </c>
      <c r="P83" s="1117">
        <v>61065651</v>
      </c>
      <c r="Q83" s="492"/>
    </row>
    <row r="84" spans="3:17">
      <c r="C84" s="28" t="str">
        <f t="shared" si="51"/>
        <v/>
      </c>
      <c r="D84" s="11" t="str">
        <f t="shared" si="51"/>
        <v/>
      </c>
      <c r="E84" s="21">
        <f t="shared" si="52"/>
        <v>10.02</v>
      </c>
      <c r="F84" s="21">
        <f t="shared" si="55"/>
        <v>1.7094</v>
      </c>
      <c r="G84" s="19" t="str">
        <f t="shared" si="53"/>
        <v/>
      </c>
      <c r="H84" s="21" t="str">
        <f t="shared" si="54"/>
        <v/>
      </c>
      <c r="J84" s="1086"/>
      <c r="K84" s="1147"/>
      <c r="L84" s="1139">
        <v>10.02</v>
      </c>
      <c r="M84" s="1258">
        <v>170940000</v>
      </c>
      <c r="N84" s="492"/>
      <c r="O84" s="1116" t="s">
        <v>128</v>
      </c>
      <c r="P84" s="1117">
        <v>12844909</v>
      </c>
      <c r="Q84" s="492"/>
    </row>
    <row r="85" spans="3:17" ht="15" customHeight="1">
      <c r="C85" s="28">
        <f t="shared" si="51"/>
        <v>3</v>
      </c>
      <c r="D85" s="11" t="str">
        <f t="shared" si="51"/>
        <v>财通基金管理有限公司</v>
      </c>
      <c r="E85" s="21">
        <f t="shared" si="52"/>
        <v>11.76</v>
      </c>
      <c r="F85" s="21">
        <f t="shared" si="55"/>
        <v>2.58</v>
      </c>
      <c r="G85" s="19">
        <f t="shared" si="53"/>
        <v>6106.5650999999998</v>
      </c>
      <c r="H85" s="21">
        <f t="shared" si="54"/>
        <v>6.4179999200999998</v>
      </c>
      <c r="J85" s="1086">
        <v>3</v>
      </c>
      <c r="K85" s="1147" t="s">
        <v>115</v>
      </c>
      <c r="L85" s="1139">
        <v>11.76</v>
      </c>
      <c r="M85" s="1258">
        <v>258000000</v>
      </c>
      <c r="N85" s="492"/>
      <c r="O85" s="1116" t="s">
        <v>138</v>
      </c>
      <c r="P85" s="1117">
        <v>14005712</v>
      </c>
      <c r="Q85" s="492"/>
    </row>
    <row r="86" spans="3:17">
      <c r="C86" s="28" t="str">
        <f t="shared" si="51"/>
        <v/>
      </c>
      <c r="D86" s="11" t="str">
        <f t="shared" si="51"/>
        <v/>
      </c>
      <c r="E86" s="21">
        <f t="shared" si="52"/>
        <v>11.05</v>
      </c>
      <c r="F86" s="21">
        <f t="shared" si="55"/>
        <v>6.4180000000000001</v>
      </c>
      <c r="G86" s="19" t="str">
        <f t="shared" si="53"/>
        <v/>
      </c>
      <c r="H86" s="21" t="str">
        <f t="shared" si="54"/>
        <v/>
      </c>
      <c r="J86" s="1086"/>
      <c r="K86" s="1147"/>
      <c r="L86" s="1139">
        <v>11.05</v>
      </c>
      <c r="M86" s="1258">
        <v>641800000</v>
      </c>
      <c r="N86" s="492"/>
      <c r="O86" s="492"/>
      <c r="P86" s="492"/>
      <c r="Q86" s="492"/>
    </row>
    <row r="87" spans="3:17">
      <c r="C87" s="28" t="str">
        <f t="shared" si="51"/>
        <v/>
      </c>
      <c r="D87" s="11" t="str">
        <f t="shared" si="51"/>
        <v/>
      </c>
      <c r="E87" s="21">
        <f t="shared" si="52"/>
        <v>8.9600000000000009</v>
      </c>
      <c r="F87" s="21">
        <f t="shared" si="55"/>
        <v>9.2230000000000008</v>
      </c>
      <c r="G87" s="19" t="str">
        <f t="shared" si="53"/>
        <v/>
      </c>
      <c r="H87" s="21" t="str">
        <f t="shared" si="54"/>
        <v/>
      </c>
      <c r="J87" s="1086"/>
      <c r="K87" s="1147"/>
      <c r="L87" s="1139">
        <v>8.9600000000000009</v>
      </c>
      <c r="M87" s="1258">
        <v>922300000</v>
      </c>
      <c r="N87" s="492"/>
      <c r="O87" s="492"/>
      <c r="P87" s="492"/>
      <c r="Q87" s="492"/>
    </row>
    <row r="88" spans="3:17">
      <c r="C88" s="28">
        <f t="shared" si="51"/>
        <v>4</v>
      </c>
      <c r="D88" s="11" t="str">
        <f t="shared" si="51"/>
        <v>华鑫证券有限责任公司</v>
      </c>
      <c r="E88" s="21">
        <f t="shared" si="52"/>
        <v>11.18</v>
      </c>
      <c r="F88" s="21">
        <f t="shared" si="55"/>
        <v>1.5</v>
      </c>
      <c r="G88" s="19">
        <f t="shared" si="53"/>
        <v>1427.2121</v>
      </c>
      <c r="H88" s="21">
        <f t="shared" si="54"/>
        <v>1.4999999171</v>
      </c>
      <c r="J88" s="1259">
        <v>4</v>
      </c>
      <c r="K88" s="1116" t="s">
        <v>505</v>
      </c>
      <c r="L88" s="1139">
        <v>11.18</v>
      </c>
      <c r="M88" s="1258">
        <v>150000000</v>
      </c>
      <c r="N88" s="492"/>
      <c r="O88" s="492"/>
      <c r="P88" s="492"/>
      <c r="Q88" s="492"/>
    </row>
    <row r="89" spans="3:17">
      <c r="C89" s="28">
        <f t="shared" si="51"/>
        <v>5</v>
      </c>
      <c r="D89" s="11" t="str">
        <f t="shared" si="51"/>
        <v>东海基金管理有限责任公司</v>
      </c>
      <c r="E89" s="21">
        <f t="shared" si="52"/>
        <v>11.01</v>
      </c>
      <c r="F89" s="21">
        <f t="shared" si="55"/>
        <v>1.35</v>
      </c>
      <c r="G89" s="19">
        <f t="shared" si="53"/>
        <v>1284.4909</v>
      </c>
      <c r="H89" s="21">
        <f t="shared" si="54"/>
        <v>1.3499999358999999</v>
      </c>
      <c r="J89" s="1259">
        <v>5</v>
      </c>
      <c r="K89" s="1116" t="s">
        <v>128</v>
      </c>
      <c r="L89" s="1139">
        <v>11.01</v>
      </c>
      <c r="M89" s="1258">
        <v>135000000</v>
      </c>
      <c r="N89" s="492"/>
      <c r="O89" s="492"/>
      <c r="P89" s="492"/>
      <c r="Q89" s="492"/>
    </row>
    <row r="90" spans="3:17">
      <c r="C90" s="28">
        <f t="shared" si="51"/>
        <v>6</v>
      </c>
      <c r="D90" s="11" t="str">
        <f t="shared" si="51"/>
        <v>申万菱信（上海）资产管理有限公司</v>
      </c>
      <c r="E90" s="21">
        <f t="shared" si="52"/>
        <v>10.51</v>
      </c>
      <c r="F90" s="21">
        <f t="shared" si="55"/>
        <v>1.6</v>
      </c>
      <c r="G90" s="19">
        <f t="shared" si="53"/>
        <v>1400.5712000000001</v>
      </c>
      <c r="H90" s="21">
        <f t="shared" si="54"/>
        <v>1.4720003312000001</v>
      </c>
      <c r="J90" s="1259">
        <v>6</v>
      </c>
      <c r="K90" s="1116" t="s">
        <v>138</v>
      </c>
      <c r="L90" s="1139">
        <v>10.51</v>
      </c>
      <c r="M90" s="1258">
        <v>160000000</v>
      </c>
      <c r="N90" s="492"/>
      <c r="O90" s="492"/>
      <c r="P90" s="492"/>
      <c r="Q90" s="492"/>
    </row>
    <row r="91" spans="3:17" ht="15" customHeight="1">
      <c r="C91" s="28">
        <f t="shared" si="51"/>
        <v>7</v>
      </c>
      <c r="D91" s="11" t="str">
        <f t="shared" si="51"/>
        <v>申万菱信基金管理有限公司</v>
      </c>
      <c r="E91" s="21">
        <f t="shared" si="52"/>
        <v>10.210000000000001</v>
      </c>
      <c r="F91" s="21">
        <f t="shared" si="55"/>
        <v>1.35</v>
      </c>
      <c r="G91" s="19" t="str">
        <f t="shared" si="53"/>
        <v/>
      </c>
      <c r="H91" s="21" t="str">
        <f t="shared" si="54"/>
        <v/>
      </c>
      <c r="J91" s="1086">
        <v>7</v>
      </c>
      <c r="K91" s="1147" t="s">
        <v>121</v>
      </c>
      <c r="L91" s="1139">
        <v>10.210000000000001</v>
      </c>
      <c r="M91" s="1258">
        <v>135000000</v>
      </c>
      <c r="N91" s="492"/>
      <c r="O91" s="492"/>
      <c r="P91" s="492"/>
      <c r="Q91" s="492"/>
    </row>
    <row r="92" spans="3:17">
      <c r="C92" s="28" t="str">
        <f t="shared" si="51"/>
        <v/>
      </c>
      <c r="D92" s="11" t="str">
        <f t="shared" si="51"/>
        <v/>
      </c>
      <c r="E92" s="21">
        <f t="shared" si="52"/>
        <v>10.19</v>
      </c>
      <c r="F92" s="21">
        <f t="shared" si="55"/>
        <v>1.85</v>
      </c>
      <c r="G92" s="19" t="str">
        <f t="shared" si="53"/>
        <v/>
      </c>
      <c r="H92" s="21" t="str">
        <f t="shared" si="54"/>
        <v/>
      </c>
      <c r="J92" s="1086"/>
      <c r="K92" s="1147"/>
      <c r="L92" s="1139">
        <v>10.19</v>
      </c>
      <c r="M92" s="1258">
        <v>185000000</v>
      </c>
      <c r="N92" s="492"/>
      <c r="O92" s="492"/>
      <c r="P92" s="492"/>
      <c r="Q92" s="492"/>
    </row>
    <row r="93" spans="3:17">
      <c r="C93" s="28">
        <f t="shared" si="51"/>
        <v>8</v>
      </c>
      <c r="D93" s="11" t="str">
        <f t="shared" si="51"/>
        <v>诺安基金管理有限公司</v>
      </c>
      <c r="E93" s="21">
        <f t="shared" si="52"/>
        <v>10.18</v>
      </c>
      <c r="F93" s="21">
        <f t="shared" si="55"/>
        <v>2.12</v>
      </c>
      <c r="G93" s="19" t="str">
        <f t="shared" si="53"/>
        <v/>
      </c>
      <c r="H93" s="21" t="str">
        <f t="shared" si="54"/>
        <v/>
      </c>
      <c r="J93" s="1259">
        <v>8</v>
      </c>
      <c r="K93" s="1116" t="s">
        <v>147</v>
      </c>
      <c r="L93" s="1139">
        <v>10.18</v>
      </c>
      <c r="M93" s="1258">
        <v>212000000</v>
      </c>
      <c r="N93" s="492"/>
      <c r="O93" s="492"/>
      <c r="P93" s="492"/>
      <c r="Q93" s="492"/>
    </row>
    <row r="94" spans="3:17" ht="15" customHeight="1">
      <c r="C94" s="28">
        <f t="shared" si="51"/>
        <v>9</v>
      </c>
      <c r="D94" s="11" t="str">
        <f t="shared" si="51"/>
        <v>第一创业证券股份有限公司</v>
      </c>
      <c r="E94" s="21">
        <f t="shared" si="52"/>
        <v>10.119999999999999</v>
      </c>
      <c r="F94" s="21">
        <f t="shared" si="55"/>
        <v>1.36</v>
      </c>
      <c r="G94" s="19" t="str">
        <f t="shared" si="53"/>
        <v/>
      </c>
      <c r="H94" s="21" t="str">
        <f t="shared" si="54"/>
        <v/>
      </c>
      <c r="J94" s="1086">
        <v>9</v>
      </c>
      <c r="K94" s="1147" t="s">
        <v>127</v>
      </c>
      <c r="L94" s="1139">
        <v>10.119999999999999</v>
      </c>
      <c r="M94" s="1258">
        <v>136000000</v>
      </c>
      <c r="N94" s="492"/>
      <c r="O94" s="492"/>
      <c r="P94" s="492"/>
      <c r="Q94" s="492"/>
    </row>
    <row r="95" spans="3:17">
      <c r="C95" s="28" t="str">
        <f t="shared" si="51"/>
        <v/>
      </c>
      <c r="D95" s="11" t="str">
        <f t="shared" si="51"/>
        <v/>
      </c>
      <c r="E95" s="21">
        <f t="shared" si="52"/>
        <v>9.01</v>
      </c>
      <c r="F95" s="21">
        <f t="shared" si="55"/>
        <v>2.0099999999999998</v>
      </c>
      <c r="G95" s="19" t="str">
        <f t="shared" si="53"/>
        <v/>
      </c>
      <c r="H95" s="21" t="str">
        <f t="shared" si="54"/>
        <v/>
      </c>
      <c r="J95" s="1086"/>
      <c r="K95" s="1147"/>
      <c r="L95" s="1139">
        <v>9.01</v>
      </c>
      <c r="M95" s="1258">
        <v>201000000</v>
      </c>
      <c r="N95" s="492"/>
      <c r="O95" s="492"/>
      <c r="P95" s="492"/>
      <c r="Q95" s="492"/>
    </row>
    <row r="96" spans="3:17">
      <c r="C96" s="28">
        <f t="shared" si="51"/>
        <v>10</v>
      </c>
      <c r="D96" s="11" t="str">
        <f t="shared" si="51"/>
        <v>宝盈基金管理有限公司</v>
      </c>
      <c r="E96" s="21">
        <f t="shared" si="52"/>
        <v>9.18</v>
      </c>
      <c r="F96" s="21">
        <f t="shared" si="55"/>
        <v>1.85</v>
      </c>
      <c r="G96" s="19" t="str">
        <f t="shared" si="53"/>
        <v/>
      </c>
      <c r="H96" s="21" t="str">
        <f t="shared" si="54"/>
        <v/>
      </c>
      <c r="J96" s="1259">
        <v>10</v>
      </c>
      <c r="K96" s="1116" t="s">
        <v>332</v>
      </c>
      <c r="L96" s="1139">
        <v>9.18</v>
      </c>
      <c r="M96" s="1258">
        <v>185000000</v>
      </c>
      <c r="N96" s="492"/>
      <c r="O96" s="492"/>
      <c r="P96" s="492"/>
      <c r="Q96" s="492"/>
    </row>
    <row r="97" spans="1:21">
      <c r="C97" s="28">
        <f t="shared" si="51"/>
        <v>11</v>
      </c>
      <c r="D97" s="11" t="str">
        <f t="shared" si="51"/>
        <v>兴业全球基金管理有限公司</v>
      </c>
      <c r="E97" s="21">
        <f t="shared" si="52"/>
        <v>9.08</v>
      </c>
      <c r="F97" s="21">
        <f t="shared" si="55"/>
        <v>2</v>
      </c>
      <c r="G97" s="19" t="str">
        <f t="shared" si="53"/>
        <v/>
      </c>
      <c r="H97" s="21" t="str">
        <f t="shared" si="54"/>
        <v/>
      </c>
      <c r="J97" s="1259">
        <v>11</v>
      </c>
      <c r="K97" s="1116" t="s">
        <v>131</v>
      </c>
      <c r="L97" s="1139">
        <v>9.08</v>
      </c>
      <c r="M97" s="1258">
        <v>200000000</v>
      </c>
      <c r="N97" s="492"/>
      <c r="O97" s="492"/>
      <c r="P97" s="492"/>
      <c r="Q97" s="492"/>
    </row>
    <row r="98" spans="1:21">
      <c r="J98" s="33"/>
      <c r="K98" s="34"/>
      <c r="L98" s="35"/>
      <c r="M98" s="36"/>
    </row>
    <row r="99" spans="1:21">
      <c r="A99" s="24">
        <v>6</v>
      </c>
      <c r="B99" s="12" t="s">
        <v>106</v>
      </c>
      <c r="C99" s="12" t="s">
        <v>126</v>
      </c>
      <c r="D99" s="12" t="s">
        <v>107</v>
      </c>
      <c r="E99" s="12" t="s">
        <v>4</v>
      </c>
      <c r="F99" s="13" t="s">
        <v>108</v>
      </c>
      <c r="G99" s="13" t="s">
        <v>109</v>
      </c>
      <c r="H99" s="12" t="s">
        <v>274</v>
      </c>
      <c r="I99" s="12" t="s">
        <v>273</v>
      </c>
      <c r="J99" s="12" t="s">
        <v>116</v>
      </c>
      <c r="K99" s="14" t="s">
        <v>110</v>
      </c>
      <c r="L99" s="14" t="s">
        <v>276</v>
      </c>
      <c r="M99" s="14" t="s">
        <v>117</v>
      </c>
      <c r="N99" s="15" t="s">
        <v>275</v>
      </c>
      <c r="O99" s="29" t="s">
        <v>111</v>
      </c>
      <c r="P99" s="30" t="s">
        <v>12</v>
      </c>
      <c r="Q99" s="8" t="s">
        <v>190</v>
      </c>
      <c r="R99" s="15" t="s">
        <v>129</v>
      </c>
      <c r="S99" s="14" t="s">
        <v>220</v>
      </c>
    </row>
    <row r="100" spans="1:21">
      <c r="A100" s="24">
        <v>9</v>
      </c>
      <c r="B100" s="979">
        <v>46</v>
      </c>
      <c r="C100" s="9" t="s">
        <v>214</v>
      </c>
      <c r="D100" s="1" t="s">
        <v>105</v>
      </c>
      <c r="E100" s="1" t="s">
        <v>104</v>
      </c>
      <c r="F100" s="3">
        <v>31</v>
      </c>
      <c r="G100" s="3">
        <v>30.999999978000002</v>
      </c>
      <c r="H100" s="2">
        <v>42461</v>
      </c>
      <c r="I100" s="1001" t="s">
        <v>151</v>
      </c>
      <c r="J100" s="11">
        <v>7.87</v>
      </c>
      <c r="K100" s="3">
        <v>6.9</v>
      </c>
      <c r="L100" s="3">
        <f t="shared" ref="L100" si="56">K100/J100</f>
        <v>0.87674714104193141</v>
      </c>
      <c r="M100" s="3">
        <v>6.9</v>
      </c>
      <c r="N100" s="10">
        <f t="shared" ref="N100" si="57">M100/J100</f>
        <v>0.87674714104193141</v>
      </c>
      <c r="O100" s="1002">
        <v>9</v>
      </c>
      <c r="P100" s="1004">
        <v>42851</v>
      </c>
      <c r="Q100" s="1003">
        <v>6.86</v>
      </c>
      <c r="R100" s="18">
        <f t="shared" ref="R100" si="58">(Q100*(1+T100/10)+U100/10)/M100</f>
        <v>1.0231884057971015</v>
      </c>
      <c r="S100" s="11" t="s">
        <v>268</v>
      </c>
      <c r="T100" s="22">
        <f t="shared" ref="T100" si="59">IFERROR(RIGHT(LEFT(S100,FIND("股",S100)-1),(FIND("股",S100)-1-FIND("转",S100))),0)</f>
        <v>0</v>
      </c>
      <c r="U100" s="23" t="str">
        <f t="shared" ref="U100" si="60">IFERROR(RIGHT(LEFT(S100,FIND("元",S100)-1),(FIND("元",S100)-1-FIND("派",S100))),0)</f>
        <v>2.00</v>
      </c>
    </row>
    <row r="101" spans="1:21">
      <c r="B101" s="125"/>
      <c r="C101" s="129"/>
      <c r="D101" s="128"/>
      <c r="E101" s="128"/>
      <c r="F101" s="127"/>
      <c r="G101" s="127"/>
      <c r="H101" s="126"/>
      <c r="I101" s="125"/>
      <c r="K101" s="130"/>
      <c r="L101" s="130"/>
      <c r="M101" s="130"/>
      <c r="N101" s="5"/>
      <c r="O101" s="120"/>
      <c r="P101" s="124"/>
      <c r="Q101" s="5"/>
      <c r="R101" s="123"/>
      <c r="T101" s="28"/>
      <c r="U101" s="122"/>
    </row>
    <row r="102" spans="1:21">
      <c r="C102" s="27" t="s">
        <v>118</v>
      </c>
      <c r="D102" s="16" t="s">
        <v>112</v>
      </c>
      <c r="E102" s="16" t="s">
        <v>113</v>
      </c>
      <c r="F102" s="16" t="s">
        <v>288</v>
      </c>
      <c r="G102" s="17" t="s">
        <v>287</v>
      </c>
      <c r="H102" s="16" t="s">
        <v>289</v>
      </c>
      <c r="J102" s="1096" t="s">
        <v>346</v>
      </c>
      <c r="K102" s="1005" t="s">
        <v>714</v>
      </c>
      <c r="L102" s="1096" t="s">
        <v>713</v>
      </c>
      <c r="M102" s="1023" t="s">
        <v>475</v>
      </c>
      <c r="N102" s="1033"/>
      <c r="O102" s="1008" t="s">
        <v>340</v>
      </c>
      <c r="P102" s="1008" t="s">
        <v>377</v>
      </c>
      <c r="Q102" s="32"/>
    </row>
    <row r="103" spans="1:21" ht="15" customHeight="1">
      <c r="C103" s="28">
        <f t="shared" ref="C103:D115" si="61">IF(J103=0,"",J103)</f>
        <v>1</v>
      </c>
      <c r="D103" s="11" t="str">
        <f t="shared" si="61"/>
        <v>嘉实基金管理有限公司</v>
      </c>
      <c r="E103" s="21">
        <f t="shared" ref="E103:E115" si="62">L103</f>
        <v>7.6</v>
      </c>
      <c r="F103" s="21">
        <f>M103/100000000</f>
        <v>3.1</v>
      </c>
      <c r="G103" s="19">
        <f t="shared" ref="G103:G115" si="63">IFERROR(VLOOKUP(D103,O$103:R$115,2,FALSE)/10000,"")</f>
        <v>6811.5941999999995</v>
      </c>
      <c r="H103" s="21">
        <f t="shared" ref="H103:H115" si="64">IFERROR(G103*M$100/10000,"")</f>
        <v>4.699999998</v>
      </c>
      <c r="J103" s="1094">
        <v>1</v>
      </c>
      <c r="K103" s="1054" t="s">
        <v>228</v>
      </c>
      <c r="L103" s="1088">
        <v>7.6</v>
      </c>
      <c r="M103" s="1118">
        <v>310000000</v>
      </c>
      <c r="N103" s="492"/>
      <c r="O103" s="1116" t="s">
        <v>712</v>
      </c>
      <c r="P103" s="1117">
        <v>44927536</v>
      </c>
    </row>
    <row r="104" spans="1:21">
      <c r="C104" s="28" t="str">
        <f t="shared" si="61"/>
        <v/>
      </c>
      <c r="D104" s="11" t="str">
        <f t="shared" si="61"/>
        <v/>
      </c>
      <c r="E104" s="21">
        <f t="shared" si="62"/>
        <v>7</v>
      </c>
      <c r="F104" s="21">
        <f t="shared" ref="F104:F115" si="65">M104/100000000</f>
        <v>4.7</v>
      </c>
      <c r="G104" s="19" t="str">
        <f t="shared" si="63"/>
        <v/>
      </c>
      <c r="H104" s="21" t="str">
        <f t="shared" si="64"/>
        <v/>
      </c>
      <c r="J104" s="1094"/>
      <c r="K104" s="1054"/>
      <c r="L104" s="1088">
        <v>7</v>
      </c>
      <c r="M104" s="1118">
        <v>470000000</v>
      </c>
      <c r="N104" s="492"/>
      <c r="O104" s="1116" t="s">
        <v>228</v>
      </c>
      <c r="P104" s="1117">
        <v>68115942</v>
      </c>
    </row>
    <row r="105" spans="1:21" ht="15" customHeight="1">
      <c r="C105" s="28">
        <f t="shared" si="61"/>
        <v>2</v>
      </c>
      <c r="D105" s="11" t="str">
        <f t="shared" si="61"/>
        <v>财通基金管理有限公司</v>
      </c>
      <c r="E105" s="21">
        <f t="shared" si="62"/>
        <v>7.03</v>
      </c>
      <c r="F105" s="21">
        <f t="shared" si="65"/>
        <v>4.0229999999999997</v>
      </c>
      <c r="G105" s="19">
        <f t="shared" si="63"/>
        <v>6765.2173000000003</v>
      </c>
      <c r="H105" s="21">
        <f t="shared" si="64"/>
        <v>4.6679999370000003</v>
      </c>
      <c r="J105" s="1094">
        <v>2</v>
      </c>
      <c r="K105" s="1054" t="s">
        <v>115</v>
      </c>
      <c r="L105" s="1088">
        <v>7.03</v>
      </c>
      <c r="M105" s="1118">
        <v>402300000</v>
      </c>
      <c r="N105" s="492"/>
      <c r="O105" s="1116" t="s">
        <v>115</v>
      </c>
      <c r="P105" s="1117">
        <v>67652173</v>
      </c>
    </row>
    <row r="106" spans="1:21">
      <c r="C106" s="28" t="str">
        <f t="shared" si="61"/>
        <v/>
      </c>
      <c r="D106" s="11" t="str">
        <f t="shared" si="61"/>
        <v/>
      </c>
      <c r="E106" s="21">
        <f t="shared" si="62"/>
        <v>6.96</v>
      </c>
      <c r="F106" s="21">
        <f t="shared" si="65"/>
        <v>4.4580000000000002</v>
      </c>
      <c r="G106" s="19" t="str">
        <f t="shared" si="63"/>
        <v/>
      </c>
      <c r="H106" s="21" t="str">
        <f t="shared" si="64"/>
        <v/>
      </c>
      <c r="J106" s="1094"/>
      <c r="K106" s="1054"/>
      <c r="L106" s="1088">
        <v>6.96</v>
      </c>
      <c r="M106" s="1118">
        <v>445800000</v>
      </c>
      <c r="N106" s="492"/>
      <c r="O106" s="1116" t="s">
        <v>147</v>
      </c>
      <c r="P106" s="1117">
        <v>54927536</v>
      </c>
    </row>
    <row r="107" spans="1:21">
      <c r="C107" s="28" t="str">
        <f t="shared" si="61"/>
        <v/>
      </c>
      <c r="D107" s="11" t="str">
        <f t="shared" si="61"/>
        <v/>
      </c>
      <c r="E107" s="21">
        <f t="shared" si="62"/>
        <v>6.9</v>
      </c>
      <c r="F107" s="21">
        <f t="shared" si="65"/>
        <v>4.6680000000000001</v>
      </c>
      <c r="G107" s="19" t="str">
        <f t="shared" si="63"/>
        <v/>
      </c>
      <c r="H107" s="21" t="str">
        <f t="shared" si="64"/>
        <v/>
      </c>
      <c r="J107" s="1260"/>
      <c r="K107" s="1260"/>
      <c r="L107" s="1088">
        <v>6.9</v>
      </c>
      <c r="M107" s="1118">
        <v>466800000</v>
      </c>
      <c r="N107" s="492"/>
      <c r="O107" s="1116" t="s">
        <v>505</v>
      </c>
      <c r="P107" s="1117">
        <v>47826086</v>
      </c>
    </row>
    <row r="108" spans="1:21" ht="15" customHeight="1">
      <c r="C108" s="28">
        <f t="shared" si="61"/>
        <v>3</v>
      </c>
      <c r="D108" s="11" t="str">
        <f t="shared" si="61"/>
        <v>诺安基金管理有限公司</v>
      </c>
      <c r="E108" s="21">
        <f t="shared" si="62"/>
        <v>7.01</v>
      </c>
      <c r="F108" s="21">
        <f t="shared" si="65"/>
        <v>3.79</v>
      </c>
      <c r="G108" s="19">
        <f t="shared" si="63"/>
        <v>5492.7536</v>
      </c>
      <c r="H108" s="21">
        <f t="shared" si="64"/>
        <v>3.7899999840000005</v>
      </c>
      <c r="J108" s="1094">
        <v>3</v>
      </c>
      <c r="K108" s="1054" t="s">
        <v>147</v>
      </c>
      <c r="L108" s="1088">
        <v>7.01</v>
      </c>
      <c r="M108" s="1118">
        <v>379000000</v>
      </c>
      <c r="N108" s="492"/>
      <c r="O108" s="1116" t="s">
        <v>131</v>
      </c>
      <c r="P108" s="1117">
        <v>45144927</v>
      </c>
    </row>
    <row r="109" spans="1:21">
      <c r="C109" s="28" t="str">
        <f t="shared" si="61"/>
        <v/>
      </c>
      <c r="D109" s="11" t="str">
        <f t="shared" si="61"/>
        <v/>
      </c>
      <c r="E109" s="21">
        <f t="shared" si="62"/>
        <v>6.9</v>
      </c>
      <c r="F109" s="21">
        <f t="shared" si="65"/>
        <v>3.79</v>
      </c>
      <c r="G109" s="19" t="str">
        <f t="shared" si="63"/>
        <v/>
      </c>
      <c r="H109" s="21" t="str">
        <f t="shared" si="64"/>
        <v/>
      </c>
      <c r="J109" s="1094"/>
      <c r="K109" s="1054"/>
      <c r="L109" s="1088">
        <v>6.9</v>
      </c>
      <c r="M109" s="1118">
        <v>379000000</v>
      </c>
      <c r="N109" s="492"/>
      <c r="O109" s="1006" t="s">
        <v>711</v>
      </c>
      <c r="P109" s="1117">
        <v>54637681</v>
      </c>
    </row>
    <row r="110" spans="1:21">
      <c r="C110" s="28">
        <f t="shared" si="61"/>
        <v>4</v>
      </c>
      <c r="D110" s="11" t="str">
        <f t="shared" si="61"/>
        <v>华鑫证券有限责任公司</v>
      </c>
      <c r="E110" s="21">
        <f t="shared" si="62"/>
        <v>6.98</v>
      </c>
      <c r="F110" s="21">
        <f t="shared" si="65"/>
        <v>3.3</v>
      </c>
      <c r="G110" s="19">
        <f t="shared" si="63"/>
        <v>4782.6085999999996</v>
      </c>
      <c r="H110" s="21">
        <f t="shared" si="64"/>
        <v>3.2999999340000001</v>
      </c>
      <c r="J110" s="1261">
        <v>4</v>
      </c>
      <c r="K110" s="1116" t="s">
        <v>505</v>
      </c>
      <c r="L110" s="1088">
        <v>6.98</v>
      </c>
      <c r="M110" s="1118">
        <v>330000000</v>
      </c>
      <c r="N110" s="492"/>
      <c r="O110" s="1116" t="s">
        <v>119</v>
      </c>
      <c r="P110" s="1117">
        <v>44927536</v>
      </c>
    </row>
    <row r="111" spans="1:21">
      <c r="C111" s="28">
        <f t="shared" si="61"/>
        <v>5</v>
      </c>
      <c r="D111" s="11" t="str">
        <f t="shared" si="61"/>
        <v>兴业全球基金管理有限公司</v>
      </c>
      <c r="E111" s="21">
        <f t="shared" si="62"/>
        <v>6.92</v>
      </c>
      <c r="F111" s="21">
        <f t="shared" si="65"/>
        <v>3.1150000000000002</v>
      </c>
      <c r="G111" s="19">
        <f t="shared" si="63"/>
        <v>4514.4926999999998</v>
      </c>
      <c r="H111" s="21">
        <f t="shared" si="64"/>
        <v>3.1149999629999998</v>
      </c>
      <c r="J111" s="1261">
        <v>5</v>
      </c>
      <c r="K111" s="1116" t="s">
        <v>131</v>
      </c>
      <c r="L111" s="1088">
        <v>6.92</v>
      </c>
      <c r="M111" s="1118">
        <v>311500000</v>
      </c>
      <c r="N111" s="492"/>
      <c r="O111" s="1116" t="s">
        <v>709</v>
      </c>
      <c r="P111" s="1117">
        <v>21115945</v>
      </c>
    </row>
    <row r="112" spans="1:21">
      <c r="C112" s="28">
        <f t="shared" si="61"/>
        <v>6</v>
      </c>
      <c r="D112" s="11" t="str">
        <f t="shared" si="61"/>
        <v>深圳市综彩绿色投资管理合伙企业（有限合伙）</v>
      </c>
      <c r="E112" s="21">
        <f t="shared" si="62"/>
        <v>6.9</v>
      </c>
      <c r="F112" s="21">
        <f t="shared" si="65"/>
        <v>3.77</v>
      </c>
      <c r="G112" s="19" t="str">
        <f t="shared" si="63"/>
        <v/>
      </c>
      <c r="H112" s="21" t="str">
        <f t="shared" si="64"/>
        <v/>
      </c>
      <c r="J112" s="1261">
        <v>6</v>
      </c>
      <c r="K112" s="1116" t="s">
        <v>710</v>
      </c>
      <c r="L112" s="1088">
        <v>6.9</v>
      </c>
      <c r="M112" s="1118">
        <v>377000000</v>
      </c>
      <c r="N112" s="492"/>
      <c r="O112" s="492"/>
      <c r="P112" s="492"/>
    </row>
    <row r="113" spans="1:21">
      <c r="C113" s="28">
        <f t="shared" si="61"/>
        <v>7</v>
      </c>
      <c r="D113" s="11" t="str">
        <f t="shared" si="61"/>
        <v>华夏人寿保险股份有限公司</v>
      </c>
      <c r="E113" s="21">
        <f t="shared" si="62"/>
        <v>6.9</v>
      </c>
      <c r="F113" s="21">
        <f t="shared" si="65"/>
        <v>3.1</v>
      </c>
      <c r="G113" s="19">
        <f t="shared" si="63"/>
        <v>4492.7536</v>
      </c>
      <c r="H113" s="21">
        <f t="shared" si="64"/>
        <v>3.0999999840000001</v>
      </c>
      <c r="J113" s="1261">
        <v>7</v>
      </c>
      <c r="K113" s="1116" t="s">
        <v>119</v>
      </c>
      <c r="L113" s="1088">
        <v>6.9</v>
      </c>
      <c r="M113" s="1118">
        <v>310000000</v>
      </c>
      <c r="N113" s="492"/>
      <c r="O113" s="492"/>
      <c r="P113" s="492"/>
    </row>
    <row r="114" spans="1:21">
      <c r="C114" s="28">
        <f t="shared" si="61"/>
        <v>8</v>
      </c>
      <c r="D114" s="11" t="str">
        <f t="shared" si="61"/>
        <v>北京富邦恒业科技发展有限公司</v>
      </c>
      <c r="E114" s="21">
        <f t="shared" si="62"/>
        <v>6.9</v>
      </c>
      <c r="F114" s="21">
        <f t="shared" si="65"/>
        <v>3.1</v>
      </c>
      <c r="G114" s="19">
        <f t="shared" si="63"/>
        <v>2111.5945000000002</v>
      </c>
      <c r="H114" s="21">
        <f t="shared" si="64"/>
        <v>1.4570002050000002</v>
      </c>
      <c r="J114" s="1261">
        <v>8</v>
      </c>
      <c r="K114" s="1116" t="s">
        <v>709</v>
      </c>
      <c r="L114" s="1088">
        <v>6.9</v>
      </c>
      <c r="M114" s="1118">
        <v>310000000</v>
      </c>
      <c r="N114" s="492"/>
      <c r="O114" s="492"/>
      <c r="P114" s="492"/>
    </row>
    <row r="115" spans="1:21">
      <c r="C115" s="28">
        <f t="shared" si="61"/>
        <v>9</v>
      </c>
      <c r="D115" s="11" t="str">
        <f t="shared" si="61"/>
        <v>北京隆成明润投资有限公司</v>
      </c>
      <c r="E115" s="21">
        <f t="shared" si="62"/>
        <v>6.9</v>
      </c>
      <c r="F115" s="21">
        <f t="shared" si="65"/>
        <v>3.1</v>
      </c>
      <c r="G115" s="19" t="str">
        <f t="shared" si="63"/>
        <v/>
      </c>
      <c r="H115" s="21" t="str">
        <f t="shared" si="64"/>
        <v/>
      </c>
      <c r="J115" s="1262">
        <v>9</v>
      </c>
      <c r="K115" s="1168" t="s">
        <v>463</v>
      </c>
      <c r="L115" s="1187">
        <v>6.9</v>
      </c>
      <c r="M115" s="1263">
        <v>310000000</v>
      </c>
    </row>
    <row r="117" spans="1:21">
      <c r="A117" s="24">
        <v>7</v>
      </c>
      <c r="B117" s="12" t="s">
        <v>106</v>
      </c>
      <c r="C117" s="12" t="s">
        <v>126</v>
      </c>
      <c r="D117" s="12" t="s">
        <v>107</v>
      </c>
      <c r="E117" s="12" t="s">
        <v>4</v>
      </c>
      <c r="F117" s="13" t="s">
        <v>108</v>
      </c>
      <c r="G117" s="13" t="s">
        <v>109</v>
      </c>
      <c r="H117" s="12" t="s">
        <v>274</v>
      </c>
      <c r="I117" s="12" t="s">
        <v>273</v>
      </c>
      <c r="J117" s="12" t="s">
        <v>116</v>
      </c>
      <c r="K117" s="14" t="s">
        <v>110</v>
      </c>
      <c r="L117" s="14" t="s">
        <v>276</v>
      </c>
      <c r="M117" s="14" t="s">
        <v>117</v>
      </c>
      <c r="N117" s="15" t="s">
        <v>275</v>
      </c>
      <c r="O117" s="12" t="s">
        <v>111</v>
      </c>
      <c r="P117" s="8" t="s">
        <v>12</v>
      </c>
      <c r="Q117" s="8" t="s">
        <v>190</v>
      </c>
      <c r="R117" s="15" t="s">
        <v>129</v>
      </c>
      <c r="S117" s="14" t="s">
        <v>220</v>
      </c>
    </row>
    <row r="118" spans="1:21">
      <c r="A118" s="24">
        <v>9</v>
      </c>
      <c r="B118" s="979">
        <v>47</v>
      </c>
      <c r="C118" s="9" t="s">
        <v>215</v>
      </c>
      <c r="D118" s="1" t="s">
        <v>10</v>
      </c>
      <c r="E118" s="1" t="s">
        <v>1</v>
      </c>
      <c r="F118" s="3">
        <v>12.288435</v>
      </c>
      <c r="G118" s="3">
        <v>12.2883976</v>
      </c>
      <c r="H118" s="2">
        <v>42467</v>
      </c>
      <c r="I118" s="1001" t="s">
        <v>151</v>
      </c>
      <c r="J118" s="11">
        <v>86.21</v>
      </c>
      <c r="K118" s="3">
        <v>66.47</v>
      </c>
      <c r="L118" s="3">
        <f t="shared" ref="L118" si="66">K118/J118</f>
        <v>0.77102424312724749</v>
      </c>
      <c r="M118" s="3">
        <v>69.2</v>
      </c>
      <c r="N118" s="10">
        <f t="shared" ref="N118" si="67">M118/J118</f>
        <v>0.8026911031202878</v>
      </c>
      <c r="O118" s="1002">
        <v>3</v>
      </c>
      <c r="P118" s="1004">
        <v>42864</v>
      </c>
      <c r="Q118" s="1003">
        <v>18.05</v>
      </c>
      <c r="R118" s="18">
        <f t="shared" ref="R118" si="68">(Q118*(1+T118/10)+U118/10)/M118</f>
        <v>0.96799132947976896</v>
      </c>
      <c r="S118" s="11" t="s">
        <v>269</v>
      </c>
      <c r="T118" s="22" t="str">
        <f t="shared" ref="T118" si="69">IFERROR(RIGHT(LEFT(S118,FIND("股",S118)-1),(FIND("股",S118)-1-FIND("转",S118))),0)</f>
        <v>27</v>
      </c>
      <c r="U118" s="23" t="str">
        <f t="shared" ref="U118" si="70">IFERROR(RIGHT(LEFT(S118,FIND("元",S118)-1),(FIND("元",S118)-1-FIND("派",S118))),0)</f>
        <v>2</v>
      </c>
    </row>
    <row r="119" spans="1:21">
      <c r="B119" s="125"/>
      <c r="C119" s="129"/>
      <c r="D119" s="128"/>
      <c r="E119" s="128"/>
      <c r="F119" s="127"/>
      <c r="G119" s="127"/>
      <c r="H119" s="126"/>
      <c r="I119" s="125"/>
      <c r="K119" s="130"/>
      <c r="L119" s="130"/>
      <c r="M119" s="130"/>
      <c r="N119" s="5"/>
      <c r="O119" s="120"/>
      <c r="P119" s="124"/>
      <c r="Q119" s="5"/>
      <c r="R119" s="123"/>
      <c r="T119" s="28"/>
      <c r="U119" s="122"/>
    </row>
    <row r="120" spans="1:21">
      <c r="C120" s="27" t="s">
        <v>118</v>
      </c>
      <c r="D120" s="16" t="s">
        <v>112</v>
      </c>
      <c r="E120" s="16" t="s">
        <v>113</v>
      </c>
      <c r="F120" s="16" t="s">
        <v>288</v>
      </c>
      <c r="G120" s="17" t="s">
        <v>287</v>
      </c>
      <c r="H120" s="16" t="s">
        <v>289</v>
      </c>
      <c r="J120" s="1153" t="s">
        <v>298</v>
      </c>
      <c r="K120" s="1149" t="s">
        <v>368</v>
      </c>
      <c r="L120" s="1159" t="s">
        <v>341</v>
      </c>
      <c r="M120" s="1159" t="s">
        <v>308</v>
      </c>
      <c r="N120" s="1152"/>
      <c r="O120" s="1149" t="s">
        <v>319</v>
      </c>
      <c r="P120" s="1166" t="s">
        <v>708</v>
      </c>
      <c r="Q120" s="32"/>
    </row>
    <row r="121" spans="1:21">
      <c r="C121" s="28">
        <f t="shared" ref="C121:D129" si="71">IF(J121=0,"",J121)</f>
        <v>1</v>
      </c>
      <c r="D121" s="11" t="str">
        <f t="shared" si="71"/>
        <v>第一创业证券股份有限公司</v>
      </c>
      <c r="E121" s="21">
        <f t="shared" ref="E121:E129" si="72">L121</f>
        <v>68.53</v>
      </c>
      <c r="F121" s="21">
        <f>M121/10000</f>
        <v>2.4590000000000001</v>
      </c>
      <c r="G121" s="19" t="str">
        <f t="shared" ref="G121:G129" si="73">IFERROR(VLOOKUP(D121,O$120:Q$129,2,FALSE)/10000,"")</f>
        <v/>
      </c>
      <c r="H121" s="21" t="str">
        <f t="shared" ref="H121:H129" si="74">IFERROR(G121*M$118/10000,"")</f>
        <v/>
      </c>
      <c r="J121" s="1170">
        <v>1</v>
      </c>
      <c r="K121" s="1264" t="s">
        <v>127</v>
      </c>
      <c r="L121" s="1265">
        <v>68.53</v>
      </c>
      <c r="M121" s="1266">
        <v>24590</v>
      </c>
      <c r="N121" s="1158"/>
      <c r="O121" s="1163" t="s">
        <v>336</v>
      </c>
      <c r="P121" s="1266">
        <v>3552000</v>
      </c>
    </row>
    <row r="122" spans="1:21" ht="15" customHeight="1">
      <c r="C122" s="28">
        <f t="shared" si="71"/>
        <v>2</v>
      </c>
      <c r="D122" s="11" t="str">
        <f t="shared" si="71"/>
        <v>财通基金管理有限公司</v>
      </c>
      <c r="E122" s="21">
        <f t="shared" si="72"/>
        <v>68.05</v>
      </c>
      <c r="F122" s="21">
        <f t="shared" ref="F122:F129" si="75">M122/10000</f>
        <v>2.81</v>
      </c>
      <c r="G122" s="19" t="str">
        <f t="shared" si="73"/>
        <v/>
      </c>
      <c r="H122" s="21" t="str">
        <f t="shared" si="74"/>
        <v/>
      </c>
      <c r="J122" s="1161">
        <v>2</v>
      </c>
      <c r="K122" s="1267" t="s">
        <v>115</v>
      </c>
      <c r="L122" s="1265">
        <v>68.05</v>
      </c>
      <c r="M122" s="1266">
        <v>28100</v>
      </c>
      <c r="N122" s="1158"/>
      <c r="O122" s="1163" t="s">
        <v>371</v>
      </c>
      <c r="P122" s="1266">
        <v>7104000</v>
      </c>
    </row>
    <row r="123" spans="1:21">
      <c r="C123" s="28" t="str">
        <f t="shared" si="71"/>
        <v/>
      </c>
      <c r="D123" s="11" t="str">
        <f t="shared" si="71"/>
        <v/>
      </c>
      <c r="E123" s="21">
        <f t="shared" si="72"/>
        <v>67.099999999999994</v>
      </c>
      <c r="F123" s="21">
        <f t="shared" si="75"/>
        <v>2.96</v>
      </c>
      <c r="G123" s="19" t="str">
        <f t="shared" si="73"/>
        <v/>
      </c>
      <c r="H123" s="21" t="str">
        <f t="shared" si="74"/>
        <v/>
      </c>
      <c r="J123" s="1161"/>
      <c r="K123" s="1267"/>
      <c r="L123" s="1265">
        <v>67.099999999999994</v>
      </c>
      <c r="M123" s="1266">
        <v>29600</v>
      </c>
      <c r="N123" s="1158"/>
      <c r="O123" s="1163" t="s">
        <v>144</v>
      </c>
      <c r="P123" s="1266">
        <v>7101800</v>
      </c>
    </row>
    <row r="124" spans="1:21">
      <c r="C124" s="28" t="str">
        <f t="shared" si="71"/>
        <v/>
      </c>
      <c r="D124" s="11" t="str">
        <f t="shared" si="71"/>
        <v/>
      </c>
      <c r="E124" s="21">
        <f t="shared" si="72"/>
        <v>66.5</v>
      </c>
      <c r="F124" s="21">
        <f t="shared" si="75"/>
        <v>2.97</v>
      </c>
      <c r="G124" s="19" t="str">
        <f t="shared" si="73"/>
        <v/>
      </c>
      <c r="H124" s="21" t="str">
        <f t="shared" si="74"/>
        <v/>
      </c>
      <c r="J124" s="1161"/>
      <c r="K124" s="1267"/>
      <c r="L124" s="1265">
        <v>66.5</v>
      </c>
      <c r="M124" s="1266">
        <v>29700</v>
      </c>
      <c r="N124" s="1158"/>
      <c r="O124" s="1158"/>
      <c r="P124" s="1158"/>
    </row>
    <row r="125" spans="1:21" ht="15" customHeight="1">
      <c r="C125" s="28">
        <f t="shared" si="71"/>
        <v>3</v>
      </c>
      <c r="D125" s="11" t="str">
        <f t="shared" si="71"/>
        <v>安信基金管理有限责任公司</v>
      </c>
      <c r="E125" s="21">
        <f t="shared" si="72"/>
        <v>79</v>
      </c>
      <c r="F125" s="21">
        <f t="shared" si="75"/>
        <v>2.4580000000000002</v>
      </c>
      <c r="G125" s="19">
        <f t="shared" si="73"/>
        <v>710.4</v>
      </c>
      <c r="H125" s="21">
        <f t="shared" si="74"/>
        <v>4.9159680000000003</v>
      </c>
      <c r="J125" s="1165">
        <v>3</v>
      </c>
      <c r="K125" s="1248" t="s">
        <v>371</v>
      </c>
      <c r="L125" s="1265">
        <v>79</v>
      </c>
      <c r="M125" s="1266">
        <v>24580</v>
      </c>
      <c r="N125" s="1158"/>
      <c r="O125" s="1158"/>
      <c r="P125" s="1158"/>
    </row>
    <row r="126" spans="1:21">
      <c r="C126" s="28" t="str">
        <f t="shared" si="71"/>
        <v/>
      </c>
      <c r="D126" s="11" t="str">
        <f t="shared" si="71"/>
        <v/>
      </c>
      <c r="E126" s="21">
        <f t="shared" si="72"/>
        <v>76</v>
      </c>
      <c r="F126" s="21">
        <f t="shared" si="75"/>
        <v>4.9160000000000004</v>
      </c>
      <c r="G126" s="19" t="str">
        <f t="shared" si="73"/>
        <v/>
      </c>
      <c r="H126" s="21" t="str">
        <f t="shared" si="74"/>
        <v/>
      </c>
      <c r="J126" s="1165"/>
      <c r="K126" s="1248"/>
      <c r="L126" s="1265">
        <v>76</v>
      </c>
      <c r="M126" s="1266">
        <v>49160</v>
      </c>
      <c r="N126" s="1158"/>
      <c r="O126" s="1158"/>
      <c r="P126" s="1158"/>
    </row>
    <row r="127" spans="1:21">
      <c r="C127" s="28">
        <f t="shared" si="71"/>
        <v>4</v>
      </c>
      <c r="D127" s="11" t="str">
        <f t="shared" si="71"/>
        <v>北信瑞丰基金管理有限公司</v>
      </c>
      <c r="E127" s="21">
        <f t="shared" si="72"/>
        <v>80</v>
      </c>
      <c r="F127" s="21">
        <f t="shared" si="75"/>
        <v>2.4580000000000002</v>
      </c>
      <c r="G127" s="19">
        <f t="shared" si="73"/>
        <v>355.2</v>
      </c>
      <c r="H127" s="21">
        <f t="shared" si="74"/>
        <v>2.4579840000000002</v>
      </c>
      <c r="J127" s="1170">
        <v>4</v>
      </c>
      <c r="K127" s="1264" t="s">
        <v>336</v>
      </c>
      <c r="L127" s="1265">
        <v>80</v>
      </c>
      <c r="M127" s="1266">
        <v>24580</v>
      </c>
      <c r="N127" s="1158"/>
      <c r="O127" s="1158"/>
      <c r="P127" s="1158"/>
    </row>
    <row r="128" spans="1:21" ht="15" customHeight="1">
      <c r="C128" s="28">
        <f t="shared" si="71"/>
        <v>5</v>
      </c>
      <c r="D128" s="11" t="str">
        <f t="shared" si="71"/>
        <v>中信建投基金管理有限公司</v>
      </c>
      <c r="E128" s="21">
        <f t="shared" si="72"/>
        <v>74</v>
      </c>
      <c r="F128" s="21">
        <f t="shared" si="75"/>
        <v>2.4580000000000002</v>
      </c>
      <c r="G128" s="19">
        <f t="shared" si="73"/>
        <v>710.18</v>
      </c>
      <c r="H128" s="21">
        <f t="shared" si="74"/>
        <v>4.9144455999999996</v>
      </c>
      <c r="J128" s="1165">
        <v>5</v>
      </c>
      <c r="K128" s="1248" t="s">
        <v>144</v>
      </c>
      <c r="L128" s="1265">
        <v>74</v>
      </c>
      <c r="M128" s="1266">
        <v>24580</v>
      </c>
      <c r="N128" s="1158"/>
      <c r="O128" s="1158"/>
      <c r="P128" s="1158"/>
    </row>
    <row r="129" spans="1:21">
      <c r="C129" s="28" t="str">
        <f t="shared" si="71"/>
        <v/>
      </c>
      <c r="D129" s="11" t="str">
        <f t="shared" si="71"/>
        <v/>
      </c>
      <c r="E129" s="21">
        <f t="shared" si="72"/>
        <v>69.2</v>
      </c>
      <c r="F129" s="21">
        <f t="shared" si="75"/>
        <v>4.9160000000000004</v>
      </c>
      <c r="G129" s="19" t="str">
        <f t="shared" si="73"/>
        <v/>
      </c>
      <c r="H129" s="21" t="str">
        <f t="shared" si="74"/>
        <v/>
      </c>
      <c r="J129" s="1165"/>
      <c r="K129" s="1248"/>
      <c r="L129" s="1265">
        <v>69.2</v>
      </c>
      <c r="M129" s="1266">
        <v>49160</v>
      </c>
      <c r="N129" s="1158"/>
      <c r="O129" s="1158"/>
      <c r="P129" s="1158"/>
    </row>
    <row r="131" spans="1:21">
      <c r="A131" s="24">
        <v>8</v>
      </c>
      <c r="B131" s="12" t="s">
        <v>106</v>
      </c>
      <c r="C131" s="12" t="s">
        <v>126</v>
      </c>
      <c r="D131" s="12" t="s">
        <v>107</v>
      </c>
      <c r="E131" s="12" t="s">
        <v>4</v>
      </c>
      <c r="F131" s="13" t="s">
        <v>108</v>
      </c>
      <c r="G131" s="13" t="s">
        <v>109</v>
      </c>
      <c r="H131" s="12" t="s">
        <v>274</v>
      </c>
      <c r="I131" s="12" t="s">
        <v>273</v>
      </c>
      <c r="J131" s="12" t="s">
        <v>116</v>
      </c>
      <c r="K131" s="14" t="s">
        <v>110</v>
      </c>
      <c r="L131" s="14" t="s">
        <v>276</v>
      </c>
      <c r="M131" s="14" t="s">
        <v>117</v>
      </c>
      <c r="N131" s="15" t="s">
        <v>275</v>
      </c>
      <c r="O131" s="12" t="s">
        <v>111</v>
      </c>
      <c r="P131" s="8" t="s">
        <v>12</v>
      </c>
      <c r="Q131" s="8" t="s">
        <v>190</v>
      </c>
      <c r="R131" s="15" t="s">
        <v>129</v>
      </c>
      <c r="S131" s="14" t="s">
        <v>220</v>
      </c>
    </row>
    <row r="132" spans="1:21">
      <c r="A132" s="24">
        <v>9</v>
      </c>
      <c r="B132" s="979">
        <v>48</v>
      </c>
      <c r="C132" s="9" t="s">
        <v>216</v>
      </c>
      <c r="D132" s="1" t="s">
        <v>49</v>
      </c>
      <c r="E132" s="1" t="s">
        <v>48</v>
      </c>
      <c r="F132" s="3">
        <v>22.45</v>
      </c>
      <c r="G132" s="3">
        <v>22.44999348</v>
      </c>
      <c r="H132" s="2">
        <v>42461</v>
      </c>
      <c r="I132" s="1001" t="s">
        <v>151</v>
      </c>
      <c r="J132" s="11">
        <v>13.4</v>
      </c>
      <c r="K132" s="3">
        <v>10.94</v>
      </c>
      <c r="L132" s="3">
        <f t="shared" ref="L132" si="76">K132/J132</f>
        <v>0.81641791044776113</v>
      </c>
      <c r="M132" s="3">
        <v>10.98</v>
      </c>
      <c r="N132" s="10">
        <f t="shared" ref="N132" si="77">M132/J132</f>
        <v>0.81940298507462683</v>
      </c>
      <c r="O132" s="1002">
        <v>5</v>
      </c>
      <c r="P132" s="1004">
        <v>42865</v>
      </c>
      <c r="Q132" s="1003">
        <v>8.92</v>
      </c>
      <c r="R132" s="18">
        <f t="shared" ref="R132" si="78">(Q132*(1+T132/10)+U132/10)/M132</f>
        <v>0.814936247723133</v>
      </c>
      <c r="S132" s="11" t="s">
        <v>270</v>
      </c>
      <c r="T132" s="22">
        <f t="shared" ref="T132" si="79">IFERROR(RIGHT(LEFT(S132,FIND("股",S132)-1),(FIND("股",S132)-1-FIND("转",S132))),0)</f>
        <v>0</v>
      </c>
      <c r="U132" s="23" t="str">
        <f t="shared" ref="U132" si="80">IFERROR(RIGHT(LEFT(S132,FIND("元",S132)-1),(FIND("元",S132)-1-FIND("派",S132))),0)</f>
        <v>0.28</v>
      </c>
    </row>
    <row r="134" spans="1:21">
      <c r="C134" s="27" t="s">
        <v>118</v>
      </c>
      <c r="D134" s="16" t="s">
        <v>112</v>
      </c>
      <c r="E134" s="16" t="s">
        <v>113</v>
      </c>
      <c r="F134" s="16" t="s">
        <v>288</v>
      </c>
      <c r="G134" s="17" t="s">
        <v>287</v>
      </c>
      <c r="H134" s="16" t="s">
        <v>289</v>
      </c>
      <c r="J134" s="1153" t="s">
        <v>298</v>
      </c>
      <c r="K134" s="1149" t="s">
        <v>368</v>
      </c>
      <c r="L134" s="1159" t="s">
        <v>341</v>
      </c>
      <c r="M134" s="1159" t="s">
        <v>308</v>
      </c>
      <c r="N134" s="1268"/>
      <c r="O134" s="1149" t="s">
        <v>319</v>
      </c>
      <c r="P134" s="1166" t="s">
        <v>708</v>
      </c>
      <c r="Q134" s="1167"/>
    </row>
    <row r="135" spans="1:21">
      <c r="C135" s="28">
        <f t="shared" ref="C135:D141" si="81">IF(J135=0,"",J135)</f>
        <v>1</v>
      </c>
      <c r="D135" s="11" t="str">
        <f t="shared" si="81"/>
        <v>华安基金管理有限公司</v>
      </c>
      <c r="E135" s="21">
        <f t="shared" ref="E135:E141" si="82">L135</f>
        <v>11.28</v>
      </c>
      <c r="F135" s="21">
        <f t="shared" ref="F135:F141" si="83">M135/10000</f>
        <v>5.0599999999999996</v>
      </c>
      <c r="G135" s="19">
        <f t="shared" ref="G135:G141" si="84">IFERROR(VLOOKUP(D135,O$135:Q$141,2,FALSE)/10000,"")</f>
        <v>4608.37</v>
      </c>
      <c r="H135" s="21">
        <f t="shared" ref="H135:H141" si="85">IFERROR(G135*$M$132/10000,"")</f>
        <v>5.0599902600000002</v>
      </c>
      <c r="J135" s="1170">
        <v>1</v>
      </c>
      <c r="K135" s="1163" t="s">
        <v>136</v>
      </c>
      <c r="L135" s="1265">
        <v>11.28</v>
      </c>
      <c r="M135" s="1266">
        <v>50600</v>
      </c>
      <c r="N135" s="1158"/>
      <c r="O135" s="1163" t="s">
        <v>115</v>
      </c>
      <c r="P135" s="1266">
        <v>49726700</v>
      </c>
      <c r="Q135" s="1158"/>
    </row>
    <row r="136" spans="1:21" ht="15" customHeight="1">
      <c r="C136" s="28">
        <f t="shared" si="81"/>
        <v>2</v>
      </c>
      <c r="D136" s="11" t="str">
        <f t="shared" si="81"/>
        <v>财通基金管理有限公司</v>
      </c>
      <c r="E136" s="21">
        <f t="shared" si="82"/>
        <v>11.3</v>
      </c>
      <c r="F136" s="21">
        <f t="shared" si="83"/>
        <v>4.49</v>
      </c>
      <c r="G136" s="19">
        <f t="shared" si="84"/>
        <v>4972.67</v>
      </c>
      <c r="H136" s="21">
        <f t="shared" si="85"/>
        <v>5.45999166</v>
      </c>
      <c r="J136" s="1161">
        <v>2</v>
      </c>
      <c r="K136" s="1162" t="s">
        <v>115</v>
      </c>
      <c r="L136" s="1265">
        <v>11.3</v>
      </c>
      <c r="M136" s="1266">
        <v>44900</v>
      </c>
      <c r="N136" s="1158"/>
      <c r="O136" s="1163" t="s">
        <v>706</v>
      </c>
      <c r="P136" s="1266">
        <v>40983600</v>
      </c>
      <c r="Q136" s="1158"/>
    </row>
    <row r="137" spans="1:21">
      <c r="C137" s="28" t="str">
        <f t="shared" si="81"/>
        <v/>
      </c>
      <c r="D137" s="11" t="str">
        <f t="shared" si="81"/>
        <v/>
      </c>
      <c r="E137" s="21">
        <f t="shared" si="82"/>
        <v>11.05</v>
      </c>
      <c r="F137" s="21">
        <f t="shared" si="83"/>
        <v>5.46</v>
      </c>
      <c r="G137" s="19" t="str">
        <f t="shared" si="84"/>
        <v/>
      </c>
      <c r="H137" s="21" t="str">
        <f t="shared" si="85"/>
        <v/>
      </c>
      <c r="J137" s="1161"/>
      <c r="K137" s="1162"/>
      <c r="L137" s="1265">
        <v>11.05</v>
      </c>
      <c r="M137" s="1266">
        <v>54600</v>
      </c>
      <c r="N137" s="1158"/>
      <c r="O137" s="1163" t="s">
        <v>417</v>
      </c>
      <c r="P137" s="1266">
        <v>40983600</v>
      </c>
      <c r="Q137" s="1158"/>
    </row>
    <row r="138" spans="1:21">
      <c r="C138" s="28" t="str">
        <f t="shared" si="81"/>
        <v/>
      </c>
      <c r="D138" s="11" t="str">
        <f t="shared" si="81"/>
        <v/>
      </c>
      <c r="E138" s="21">
        <f t="shared" si="82"/>
        <v>10.95</v>
      </c>
      <c r="F138" s="21">
        <f t="shared" si="83"/>
        <v>5.99</v>
      </c>
      <c r="G138" s="19" t="str">
        <f t="shared" si="84"/>
        <v/>
      </c>
      <c r="H138" s="21" t="str">
        <f t="shared" si="85"/>
        <v/>
      </c>
      <c r="J138" s="1161"/>
      <c r="K138" s="1162"/>
      <c r="L138" s="1265">
        <v>10.95</v>
      </c>
      <c r="M138" s="1266">
        <v>59900</v>
      </c>
      <c r="N138" s="1158"/>
      <c r="O138" s="1163" t="s">
        <v>136</v>
      </c>
      <c r="P138" s="1266">
        <v>46083700</v>
      </c>
      <c r="Q138" s="1158"/>
    </row>
    <row r="139" spans="1:21">
      <c r="C139" s="28">
        <f t="shared" si="81"/>
        <v>3</v>
      </c>
      <c r="D139" s="11" t="str">
        <f t="shared" si="81"/>
        <v>李龙萍</v>
      </c>
      <c r="E139" s="21">
        <f t="shared" si="82"/>
        <v>10.98</v>
      </c>
      <c r="F139" s="21">
        <f t="shared" si="83"/>
        <v>4.49</v>
      </c>
      <c r="G139" s="19">
        <f t="shared" si="84"/>
        <v>2668.5</v>
      </c>
      <c r="H139" s="21">
        <f t="shared" si="85"/>
        <v>2.9300130000000002</v>
      </c>
      <c r="J139" s="1170">
        <v>3</v>
      </c>
      <c r="K139" s="1163" t="s">
        <v>707</v>
      </c>
      <c r="L139" s="1265">
        <v>10.98</v>
      </c>
      <c r="M139" s="1266">
        <v>44900</v>
      </c>
      <c r="N139" s="1158"/>
      <c r="O139" s="1163" t="s">
        <v>707</v>
      </c>
      <c r="P139" s="1266">
        <v>26685000</v>
      </c>
      <c r="Q139" s="1158"/>
    </row>
    <row r="140" spans="1:21">
      <c r="C140" s="28">
        <f t="shared" si="81"/>
        <v>4</v>
      </c>
      <c r="D140" s="11" t="str">
        <f t="shared" si="81"/>
        <v>方正富邦基金管理有限公司</v>
      </c>
      <c r="E140" s="21">
        <f t="shared" si="82"/>
        <v>11.3</v>
      </c>
      <c r="F140" s="21">
        <f t="shared" si="83"/>
        <v>4.5</v>
      </c>
      <c r="G140" s="19">
        <f t="shared" si="84"/>
        <v>4098.3599999999997</v>
      </c>
      <c r="H140" s="21">
        <f t="shared" si="85"/>
        <v>4.4999992799999999</v>
      </c>
      <c r="J140" s="1170">
        <v>4</v>
      </c>
      <c r="K140" s="1163" t="s">
        <v>706</v>
      </c>
      <c r="L140" s="1265">
        <v>11.3</v>
      </c>
      <c r="M140" s="1266">
        <v>45000</v>
      </c>
      <c r="N140" s="1158"/>
      <c r="O140" s="1158"/>
      <c r="P140" s="1158"/>
      <c r="Q140" s="1158"/>
    </row>
    <row r="141" spans="1:21">
      <c r="C141" s="28">
        <f t="shared" si="81"/>
        <v>5</v>
      </c>
      <c r="D141" s="11" t="str">
        <f t="shared" si="81"/>
        <v>民生加银基金管理有限公司</v>
      </c>
      <c r="E141" s="21">
        <f t="shared" si="82"/>
        <v>11.3</v>
      </c>
      <c r="F141" s="21">
        <f t="shared" si="83"/>
        <v>4.5</v>
      </c>
      <c r="G141" s="19">
        <f t="shared" si="84"/>
        <v>4098.3599999999997</v>
      </c>
      <c r="H141" s="21">
        <f t="shared" si="85"/>
        <v>4.4999992799999999</v>
      </c>
      <c r="J141" s="1170">
        <v>5</v>
      </c>
      <c r="K141" s="1163" t="s">
        <v>417</v>
      </c>
      <c r="L141" s="1265">
        <v>11.3</v>
      </c>
      <c r="M141" s="1266">
        <v>45000</v>
      </c>
      <c r="N141" s="1158"/>
      <c r="O141" s="1158"/>
      <c r="P141" s="1158"/>
      <c r="Q141" s="1158"/>
    </row>
    <row r="143" spans="1:21">
      <c r="A143" s="24">
        <v>9</v>
      </c>
      <c r="B143" s="12" t="s">
        <v>106</v>
      </c>
      <c r="C143" s="12" t="s">
        <v>126</v>
      </c>
      <c r="D143" s="12" t="s">
        <v>107</v>
      </c>
      <c r="E143" s="12" t="s">
        <v>4</v>
      </c>
      <c r="F143" s="13" t="s">
        <v>108</v>
      </c>
      <c r="G143" s="13" t="s">
        <v>109</v>
      </c>
      <c r="H143" s="12" t="s">
        <v>274</v>
      </c>
      <c r="I143" s="12" t="s">
        <v>273</v>
      </c>
      <c r="J143" s="12" t="s">
        <v>116</v>
      </c>
      <c r="K143" s="14" t="s">
        <v>110</v>
      </c>
      <c r="L143" s="14" t="s">
        <v>276</v>
      </c>
      <c r="M143" s="14" t="s">
        <v>117</v>
      </c>
      <c r="N143" s="15" t="s">
        <v>275</v>
      </c>
      <c r="O143" s="12" t="s">
        <v>111</v>
      </c>
      <c r="P143" s="8" t="s">
        <v>12</v>
      </c>
      <c r="Q143" s="8" t="s">
        <v>190</v>
      </c>
      <c r="R143" s="15" t="s">
        <v>129</v>
      </c>
      <c r="S143" s="14" t="s">
        <v>220</v>
      </c>
    </row>
    <row r="144" spans="1:21">
      <c r="A144" s="24">
        <v>9</v>
      </c>
      <c r="B144" s="979">
        <v>49</v>
      </c>
      <c r="C144" s="9" t="s">
        <v>217</v>
      </c>
      <c r="D144" s="1" t="s">
        <v>71</v>
      </c>
      <c r="E144" s="1" t="s">
        <v>70</v>
      </c>
      <c r="F144" s="3">
        <v>19.1678</v>
      </c>
      <c r="G144" s="3">
        <v>19.592399937500002</v>
      </c>
      <c r="H144" s="2">
        <v>42472</v>
      </c>
      <c r="I144" s="1236" t="s">
        <v>151</v>
      </c>
      <c r="J144" s="11">
        <v>21.92</v>
      </c>
      <c r="K144" s="3">
        <v>16.23</v>
      </c>
      <c r="L144" s="3">
        <f t="shared" ref="L144" si="86">K144/J144</f>
        <v>0.74041970802919699</v>
      </c>
      <c r="M144" s="3">
        <v>19.75</v>
      </c>
      <c r="N144" s="10">
        <f t="shared" ref="N144" si="87">M144/J144</f>
        <v>0.90100364963503643</v>
      </c>
      <c r="O144" s="1002">
        <v>7</v>
      </c>
      <c r="P144" s="1004">
        <v>42863</v>
      </c>
      <c r="Q144" s="1003">
        <v>19.88</v>
      </c>
      <c r="R144" s="18">
        <f t="shared" ref="R144" si="88">(Q144*(1+T144/10)+U144/10)/M144</f>
        <v>1.0106329113924049</v>
      </c>
      <c r="S144" s="11" t="s">
        <v>271</v>
      </c>
      <c r="T144" s="22">
        <f t="shared" ref="T144" si="89">IFERROR(RIGHT(LEFT(S144,FIND("股",S144)-1),(FIND("股",S144)-1-FIND("转",S144))),0)</f>
        <v>0</v>
      </c>
      <c r="U144" s="23" t="str">
        <f t="shared" ref="U144" si="90">IFERROR(RIGHT(LEFT(S144,FIND("元",S144)-1),(FIND("元",S144)-1-FIND("派",S144))),0)</f>
        <v>0.8</v>
      </c>
    </row>
    <row r="146" spans="3:17">
      <c r="C146" s="27" t="s">
        <v>118</v>
      </c>
      <c r="D146" s="16" t="s">
        <v>112</v>
      </c>
      <c r="E146" s="16" t="s">
        <v>113</v>
      </c>
      <c r="F146" s="16" t="s">
        <v>288</v>
      </c>
      <c r="G146" s="17" t="s">
        <v>287</v>
      </c>
      <c r="H146" s="16" t="s">
        <v>289</v>
      </c>
      <c r="J146" s="1269" t="s">
        <v>298</v>
      </c>
      <c r="K146" s="1270" t="s">
        <v>345</v>
      </c>
      <c r="L146" s="1159" t="s">
        <v>705</v>
      </c>
      <c r="M146" s="1153" t="s">
        <v>704</v>
      </c>
      <c r="N146" s="1152"/>
      <c r="O146" s="1153" t="s">
        <v>703</v>
      </c>
      <c r="P146" s="1271" t="s">
        <v>702</v>
      </c>
      <c r="Q146" s="1158"/>
    </row>
    <row r="147" spans="3:17" ht="15" customHeight="1">
      <c r="C147" s="28">
        <f t="shared" ref="C147:D162" si="91">IF(J147=0,"",J147)</f>
        <v>1</v>
      </c>
      <c r="D147" s="11" t="str">
        <f t="shared" si="91"/>
        <v>华泰柏瑞基金管理有限公司</v>
      </c>
      <c r="E147" s="21">
        <f t="shared" ref="E147:E176" si="92">L147</f>
        <v>18.25</v>
      </c>
      <c r="F147" s="21">
        <f t="shared" ref="F147:F176" si="93">M147/10000</f>
        <v>2</v>
      </c>
      <c r="G147" s="19" t="str">
        <f t="shared" ref="G147:G176" si="94">IFERROR(VLOOKUP(D147,O$147:Q$177,2,FALSE)/10000,"")</f>
        <v/>
      </c>
      <c r="H147" s="21" t="str">
        <f t="shared" ref="H147:H176" si="95">IFERROR(G147*$M$144/10000,"")</f>
        <v/>
      </c>
      <c r="J147" s="1252">
        <v>1</v>
      </c>
      <c r="K147" s="1155" t="s">
        <v>122</v>
      </c>
      <c r="L147" s="1272">
        <v>18.25</v>
      </c>
      <c r="M147" s="1273">
        <v>20000</v>
      </c>
      <c r="N147" s="1158"/>
      <c r="O147" s="1163" t="s">
        <v>158</v>
      </c>
      <c r="P147" s="1274">
        <v>10126582</v>
      </c>
      <c r="Q147" s="1158"/>
    </row>
    <row r="148" spans="3:17">
      <c r="C148" s="28" t="str">
        <f t="shared" si="91"/>
        <v/>
      </c>
      <c r="D148" s="11" t="str">
        <f t="shared" si="91"/>
        <v/>
      </c>
      <c r="E148" s="21">
        <f t="shared" si="92"/>
        <v>17.25</v>
      </c>
      <c r="F148" s="21">
        <f t="shared" si="93"/>
        <v>2.1</v>
      </c>
      <c r="G148" s="19" t="str">
        <f t="shared" si="94"/>
        <v/>
      </c>
      <c r="H148" s="21" t="str">
        <f t="shared" si="95"/>
        <v/>
      </c>
      <c r="J148" s="1252"/>
      <c r="K148" s="1155"/>
      <c r="L148" s="1272">
        <v>17.25</v>
      </c>
      <c r="M148" s="1273">
        <v>21000</v>
      </c>
      <c r="N148" s="1158"/>
      <c r="O148" s="1163" t="s">
        <v>285</v>
      </c>
      <c r="P148" s="1274">
        <v>20202531</v>
      </c>
      <c r="Q148" s="1158"/>
    </row>
    <row r="149" spans="3:17">
      <c r="C149" s="28" t="str">
        <f t="shared" si="91"/>
        <v/>
      </c>
      <c r="D149" s="11" t="str">
        <f t="shared" si="91"/>
        <v/>
      </c>
      <c r="E149" s="21">
        <f t="shared" si="92"/>
        <v>16.25</v>
      </c>
      <c r="F149" s="21">
        <f t="shared" si="93"/>
        <v>2.2000000000000002</v>
      </c>
      <c r="G149" s="19" t="str">
        <f t="shared" si="94"/>
        <v/>
      </c>
      <c r="H149" s="21" t="str">
        <f t="shared" si="95"/>
        <v/>
      </c>
      <c r="J149" s="1252"/>
      <c r="K149" s="1155"/>
      <c r="L149" s="1272">
        <v>16.25</v>
      </c>
      <c r="M149" s="1273">
        <v>22000</v>
      </c>
      <c r="N149" s="1158"/>
      <c r="O149" s="1163" t="s">
        <v>225</v>
      </c>
      <c r="P149" s="1274">
        <v>10126582</v>
      </c>
      <c r="Q149" s="1158"/>
    </row>
    <row r="150" spans="3:17" ht="15" customHeight="1">
      <c r="C150" s="28">
        <f t="shared" si="91"/>
        <v>2</v>
      </c>
      <c r="D150" s="11" t="str">
        <f t="shared" si="91"/>
        <v>北京京泰阳光投资有限公司</v>
      </c>
      <c r="E150" s="21">
        <f t="shared" si="92"/>
        <v>17.29</v>
      </c>
      <c r="F150" s="21">
        <f t="shared" si="93"/>
        <v>2.08</v>
      </c>
      <c r="G150" s="19" t="str">
        <f t="shared" si="94"/>
        <v/>
      </c>
      <c r="H150" s="21" t="str">
        <f t="shared" si="95"/>
        <v/>
      </c>
      <c r="J150" s="1252">
        <v>2</v>
      </c>
      <c r="K150" s="1155" t="s">
        <v>594</v>
      </c>
      <c r="L150" s="1272">
        <v>17.29</v>
      </c>
      <c r="M150" s="1273">
        <v>20800</v>
      </c>
      <c r="N150" s="1158"/>
      <c r="O150" s="1163" t="s">
        <v>629</v>
      </c>
      <c r="P150" s="1274">
        <v>10126582</v>
      </c>
      <c r="Q150" s="1158"/>
    </row>
    <row r="151" spans="3:17">
      <c r="C151" s="28" t="str">
        <f t="shared" si="91"/>
        <v/>
      </c>
      <c r="D151" s="11" t="str">
        <f t="shared" si="91"/>
        <v/>
      </c>
      <c r="E151" s="21">
        <f t="shared" si="92"/>
        <v>16.48</v>
      </c>
      <c r="F151" s="21">
        <f t="shared" si="93"/>
        <v>3.29</v>
      </c>
      <c r="G151" s="19" t="str">
        <f t="shared" si="94"/>
        <v/>
      </c>
      <c r="H151" s="21" t="str">
        <f t="shared" si="95"/>
        <v/>
      </c>
      <c r="J151" s="1252"/>
      <c r="K151" s="1155"/>
      <c r="L151" s="1272">
        <v>16.48</v>
      </c>
      <c r="M151" s="1273">
        <v>32900</v>
      </c>
      <c r="N151" s="1158"/>
      <c r="O151" s="1163" t="s">
        <v>115</v>
      </c>
      <c r="P151" s="1274">
        <v>24151898</v>
      </c>
      <c r="Q151" s="1158"/>
    </row>
    <row r="152" spans="3:17">
      <c r="C152" s="28" t="str">
        <f t="shared" si="91"/>
        <v/>
      </c>
      <c r="D152" s="11" t="str">
        <f t="shared" si="91"/>
        <v/>
      </c>
      <c r="E152" s="21">
        <f t="shared" si="92"/>
        <v>16.260000000000002</v>
      </c>
      <c r="F152" s="21">
        <f t="shared" si="93"/>
        <v>4.88</v>
      </c>
      <c r="G152" s="19" t="str">
        <f t="shared" si="94"/>
        <v/>
      </c>
      <c r="H152" s="21" t="str">
        <f t="shared" si="95"/>
        <v/>
      </c>
      <c r="J152" s="1252"/>
      <c r="K152" s="1155"/>
      <c r="L152" s="1272">
        <v>16.260000000000002</v>
      </c>
      <c r="M152" s="1273">
        <v>48800</v>
      </c>
      <c r="N152" s="1158"/>
      <c r="O152" s="1163" t="s">
        <v>701</v>
      </c>
      <c r="P152" s="1274">
        <v>10126582</v>
      </c>
      <c r="Q152" s="1158"/>
    </row>
    <row r="153" spans="3:17">
      <c r="C153" s="28">
        <f t="shared" si="91"/>
        <v>3</v>
      </c>
      <c r="D153" s="11" t="str">
        <f t="shared" si="91"/>
        <v>中信证券股份有限公司</v>
      </c>
      <c r="E153" s="21">
        <f t="shared" si="92"/>
        <v>17.53</v>
      </c>
      <c r="F153" s="21">
        <f t="shared" si="93"/>
        <v>2</v>
      </c>
      <c r="G153" s="19" t="str">
        <f t="shared" si="94"/>
        <v/>
      </c>
      <c r="H153" s="21" t="str">
        <f t="shared" si="95"/>
        <v/>
      </c>
      <c r="J153" s="1275">
        <v>3</v>
      </c>
      <c r="K153" s="1163" t="s">
        <v>316</v>
      </c>
      <c r="L153" s="1272">
        <v>17.53</v>
      </c>
      <c r="M153" s="1273">
        <v>20000</v>
      </c>
      <c r="N153" s="1158"/>
      <c r="O153" s="1163" t="s">
        <v>282</v>
      </c>
      <c r="P153" s="1274">
        <v>14341268</v>
      </c>
      <c r="Q153" s="1158"/>
    </row>
    <row r="154" spans="3:17">
      <c r="C154" s="28">
        <f t="shared" si="91"/>
        <v>4</v>
      </c>
      <c r="D154" s="11" t="str">
        <f t="shared" si="91"/>
        <v>兴业全球基金管理有限公司</v>
      </c>
      <c r="E154" s="21">
        <f t="shared" si="92"/>
        <v>16.329999999999998</v>
      </c>
      <c r="F154" s="21">
        <f t="shared" si="93"/>
        <v>2</v>
      </c>
      <c r="G154" s="19" t="str">
        <f t="shared" si="94"/>
        <v/>
      </c>
      <c r="H154" s="21" t="str">
        <f t="shared" si="95"/>
        <v/>
      </c>
      <c r="J154" s="1275">
        <v>4</v>
      </c>
      <c r="K154" s="1163" t="s">
        <v>131</v>
      </c>
      <c r="L154" s="1272">
        <v>16.329999999999998</v>
      </c>
      <c r="M154" s="1273">
        <v>20000</v>
      </c>
      <c r="N154" s="1158"/>
      <c r="O154" s="1158"/>
      <c r="P154" s="1158"/>
      <c r="Q154" s="1158"/>
    </row>
    <row r="155" spans="3:17">
      <c r="C155" s="28">
        <f t="shared" si="91"/>
        <v>5</v>
      </c>
      <c r="D155" s="11" t="str">
        <f t="shared" si="91"/>
        <v>易方达基金管理有限公司</v>
      </c>
      <c r="E155" s="21">
        <f t="shared" si="92"/>
        <v>20.05</v>
      </c>
      <c r="F155" s="21">
        <f t="shared" si="93"/>
        <v>2</v>
      </c>
      <c r="G155" s="19">
        <f t="shared" si="94"/>
        <v>1012.6582</v>
      </c>
      <c r="H155" s="21">
        <f t="shared" si="95"/>
        <v>1.9999999449999999</v>
      </c>
      <c r="J155" s="1275">
        <v>5</v>
      </c>
      <c r="K155" s="1163" t="s">
        <v>225</v>
      </c>
      <c r="L155" s="1272">
        <v>20.05</v>
      </c>
      <c r="M155" s="1273">
        <v>20000</v>
      </c>
      <c r="N155" s="1158"/>
      <c r="O155" s="1158"/>
      <c r="P155" s="1158"/>
      <c r="Q155" s="1158"/>
    </row>
    <row r="156" spans="3:17">
      <c r="C156" s="28">
        <f t="shared" si="91"/>
        <v>6</v>
      </c>
      <c r="D156" s="11" t="str">
        <f t="shared" si="91"/>
        <v>深圳平安大华汇通财富管理有限公司</v>
      </c>
      <c r="E156" s="21">
        <f t="shared" si="92"/>
        <v>22.06</v>
      </c>
      <c r="F156" s="21">
        <f t="shared" si="93"/>
        <v>2</v>
      </c>
      <c r="G156" s="19">
        <f t="shared" si="94"/>
        <v>1012.6582</v>
      </c>
      <c r="H156" s="21">
        <f t="shared" si="95"/>
        <v>1.9999999449999999</v>
      </c>
      <c r="J156" s="1275">
        <v>6</v>
      </c>
      <c r="K156" s="1163" t="s">
        <v>158</v>
      </c>
      <c r="L156" s="1272">
        <v>22.06</v>
      </c>
      <c r="M156" s="1273">
        <v>20000</v>
      </c>
      <c r="N156" s="1158"/>
      <c r="O156" s="1158"/>
      <c r="P156" s="1158"/>
      <c r="Q156" s="1158"/>
    </row>
    <row r="157" spans="3:17" ht="15" customHeight="1">
      <c r="C157" s="28">
        <f t="shared" si="91"/>
        <v>7</v>
      </c>
      <c r="D157" s="11" t="str">
        <f t="shared" si="91"/>
        <v>安信基金管理有限公司</v>
      </c>
      <c r="E157" s="21">
        <f t="shared" si="92"/>
        <v>19.84</v>
      </c>
      <c r="F157" s="21">
        <f t="shared" si="93"/>
        <v>2</v>
      </c>
      <c r="G157" s="19">
        <f t="shared" si="94"/>
        <v>1012.6582</v>
      </c>
      <c r="H157" s="21">
        <f t="shared" si="95"/>
        <v>1.9999999449999999</v>
      </c>
      <c r="J157" s="1276">
        <v>7</v>
      </c>
      <c r="K157" s="1162" t="s">
        <v>701</v>
      </c>
      <c r="L157" s="1272">
        <v>19.84</v>
      </c>
      <c r="M157" s="1273">
        <v>20000</v>
      </c>
      <c r="N157" s="1158"/>
      <c r="O157" s="1158"/>
      <c r="P157" s="1158"/>
      <c r="Q157" s="1158"/>
    </row>
    <row r="158" spans="3:17">
      <c r="C158" s="28" t="str">
        <f t="shared" si="91"/>
        <v/>
      </c>
      <c r="D158" s="11" t="str">
        <f t="shared" si="91"/>
        <v/>
      </c>
      <c r="E158" s="21">
        <f t="shared" si="92"/>
        <v>17.079999999999998</v>
      </c>
      <c r="F158" s="21">
        <f t="shared" si="93"/>
        <v>4</v>
      </c>
      <c r="G158" s="19" t="str">
        <f t="shared" si="94"/>
        <v/>
      </c>
      <c r="H158" s="21" t="str">
        <f t="shared" si="95"/>
        <v/>
      </c>
      <c r="J158" s="1276"/>
      <c r="K158" s="1162"/>
      <c r="L158" s="1272">
        <v>17.079999999999998</v>
      </c>
      <c r="M158" s="1273">
        <v>40000</v>
      </c>
      <c r="N158" s="1158"/>
      <c r="O158" s="1158"/>
      <c r="P158" s="1158"/>
      <c r="Q158" s="1158"/>
    </row>
    <row r="159" spans="3:17" ht="15" customHeight="1">
      <c r="C159" s="28">
        <f t="shared" si="91"/>
        <v>8</v>
      </c>
      <c r="D159" s="11" t="str">
        <f t="shared" si="91"/>
        <v>金鹰基金管理有限公司</v>
      </c>
      <c r="E159" s="21">
        <f t="shared" si="92"/>
        <v>16.809999999999999</v>
      </c>
      <c r="F159" s="21">
        <f t="shared" si="93"/>
        <v>2.06</v>
      </c>
      <c r="G159" s="19" t="str">
        <f t="shared" si="94"/>
        <v/>
      </c>
      <c r="H159" s="21" t="str">
        <f t="shared" si="95"/>
        <v/>
      </c>
      <c r="J159" s="1276">
        <v>8</v>
      </c>
      <c r="K159" s="1162" t="s">
        <v>278</v>
      </c>
      <c r="L159" s="1272">
        <v>16.809999999999999</v>
      </c>
      <c r="M159" s="1273">
        <v>20600</v>
      </c>
      <c r="N159" s="1158"/>
      <c r="O159" s="1158"/>
      <c r="P159" s="1158"/>
      <c r="Q159" s="1158"/>
    </row>
    <row r="160" spans="3:17">
      <c r="C160" s="28" t="str">
        <f t="shared" si="91"/>
        <v/>
      </c>
      <c r="D160" s="11" t="str">
        <f t="shared" si="91"/>
        <v/>
      </c>
      <c r="E160" s="21">
        <f t="shared" si="92"/>
        <v>16.28</v>
      </c>
      <c r="F160" s="21">
        <f t="shared" si="93"/>
        <v>2.06</v>
      </c>
      <c r="G160" s="19" t="str">
        <f t="shared" si="94"/>
        <v/>
      </c>
      <c r="H160" s="21" t="str">
        <f t="shared" si="95"/>
        <v/>
      </c>
      <c r="J160" s="1276"/>
      <c r="K160" s="1162"/>
      <c r="L160" s="1272">
        <v>16.28</v>
      </c>
      <c r="M160" s="1273">
        <v>20600</v>
      </c>
      <c r="N160" s="1158"/>
      <c r="O160" s="1158"/>
      <c r="P160" s="1158"/>
      <c r="Q160" s="1158"/>
    </row>
    <row r="161" spans="3:17">
      <c r="C161" s="28">
        <f t="shared" si="91"/>
        <v>9</v>
      </c>
      <c r="D161" s="11" t="str">
        <f t="shared" si="91"/>
        <v>华鑫证券有限公司</v>
      </c>
      <c r="E161" s="21">
        <f t="shared" si="92"/>
        <v>19.71</v>
      </c>
      <c r="F161" s="21">
        <f t="shared" si="93"/>
        <v>2</v>
      </c>
      <c r="G161" s="19" t="str">
        <f t="shared" si="94"/>
        <v/>
      </c>
      <c r="H161" s="21" t="str">
        <f t="shared" si="95"/>
        <v/>
      </c>
      <c r="J161" s="1275">
        <v>9</v>
      </c>
      <c r="K161" s="1163" t="s">
        <v>700</v>
      </c>
      <c r="L161" s="1272">
        <v>19.71</v>
      </c>
      <c r="M161" s="1273">
        <v>20000</v>
      </c>
      <c r="N161" s="1158"/>
      <c r="O161" s="1158"/>
      <c r="P161" s="1158"/>
      <c r="Q161" s="1158"/>
    </row>
    <row r="162" spans="3:17">
      <c r="C162" s="28">
        <f t="shared" si="91"/>
        <v>10</v>
      </c>
      <c r="D162" s="11" t="str">
        <f t="shared" si="91"/>
        <v>中融基金管理有限公司</v>
      </c>
      <c r="E162" s="21">
        <f t="shared" si="92"/>
        <v>20.02</v>
      </c>
      <c r="F162" s="21">
        <f t="shared" si="93"/>
        <v>2</v>
      </c>
      <c r="G162" s="19">
        <f t="shared" si="94"/>
        <v>1012.6582</v>
      </c>
      <c r="H162" s="21">
        <f t="shared" si="95"/>
        <v>1.9999999449999999</v>
      </c>
      <c r="J162" s="1275">
        <v>10</v>
      </c>
      <c r="K162" s="1163" t="s">
        <v>629</v>
      </c>
      <c r="L162" s="1272">
        <v>20.02</v>
      </c>
      <c r="M162" s="1273">
        <v>20000</v>
      </c>
      <c r="N162" s="1158"/>
      <c r="O162" s="1158"/>
      <c r="P162" s="1158"/>
      <c r="Q162" s="1158"/>
    </row>
    <row r="163" spans="3:17">
      <c r="C163" s="28">
        <f t="shared" ref="C163:D176" si="96">IF(J163=0,"",J163)</f>
        <v>11</v>
      </c>
      <c r="D163" s="11" t="str">
        <f t="shared" si="96"/>
        <v>安徽省铁路建设投资基金有限公司</v>
      </c>
      <c r="E163" s="21">
        <f t="shared" si="92"/>
        <v>19.75</v>
      </c>
      <c r="F163" s="21">
        <f t="shared" si="93"/>
        <v>5</v>
      </c>
      <c r="G163" s="19">
        <f t="shared" si="94"/>
        <v>1434.1268</v>
      </c>
      <c r="H163" s="21">
        <f t="shared" si="95"/>
        <v>2.8324004299999999</v>
      </c>
      <c r="J163" s="1275">
        <v>11</v>
      </c>
      <c r="K163" s="1163" t="s">
        <v>282</v>
      </c>
      <c r="L163" s="1272">
        <v>19.75</v>
      </c>
      <c r="M163" s="1273">
        <v>50000</v>
      </c>
      <c r="N163" s="1158"/>
      <c r="O163" s="1158"/>
      <c r="P163" s="1158"/>
      <c r="Q163" s="1158"/>
    </row>
    <row r="164" spans="3:17" ht="15" customHeight="1">
      <c r="C164" s="28">
        <f t="shared" si="96"/>
        <v>12</v>
      </c>
      <c r="D164" s="11" t="str">
        <f t="shared" si="96"/>
        <v>申万菱信基金管理有限公司</v>
      </c>
      <c r="E164" s="21">
        <f t="shared" si="92"/>
        <v>19.71</v>
      </c>
      <c r="F164" s="21">
        <f t="shared" si="93"/>
        <v>2</v>
      </c>
      <c r="G164" s="19" t="str">
        <f t="shared" si="94"/>
        <v/>
      </c>
      <c r="H164" s="21" t="str">
        <f t="shared" si="95"/>
        <v/>
      </c>
      <c r="J164" s="1252">
        <v>12</v>
      </c>
      <c r="K164" s="1155" t="s">
        <v>121</v>
      </c>
      <c r="L164" s="1272">
        <v>19.71</v>
      </c>
      <c r="M164" s="1273">
        <v>20000</v>
      </c>
      <c r="N164" s="1158"/>
      <c r="O164" s="1158"/>
      <c r="P164" s="1158"/>
      <c r="Q164" s="1158"/>
    </row>
    <row r="165" spans="3:17">
      <c r="C165" s="28" t="str">
        <f t="shared" si="96"/>
        <v/>
      </c>
      <c r="D165" s="11" t="str">
        <f t="shared" si="96"/>
        <v/>
      </c>
      <c r="E165" s="21">
        <f t="shared" si="92"/>
        <v>18.03</v>
      </c>
      <c r="F165" s="21">
        <f t="shared" si="93"/>
        <v>2.2999999999999998</v>
      </c>
      <c r="G165" s="19" t="str">
        <f t="shared" si="94"/>
        <v/>
      </c>
      <c r="H165" s="21" t="str">
        <f t="shared" si="95"/>
        <v/>
      </c>
      <c r="J165" s="1252"/>
      <c r="K165" s="1155"/>
      <c r="L165" s="1272">
        <v>18.03</v>
      </c>
      <c r="M165" s="1273">
        <v>23000</v>
      </c>
      <c r="N165" s="1158"/>
      <c r="O165" s="1158"/>
      <c r="P165" s="1158"/>
      <c r="Q165" s="1158"/>
    </row>
    <row r="166" spans="3:17">
      <c r="C166" s="28" t="str">
        <f t="shared" si="96"/>
        <v/>
      </c>
      <c r="D166" s="11" t="str">
        <f t="shared" si="96"/>
        <v/>
      </c>
      <c r="E166" s="21">
        <f t="shared" si="92"/>
        <v>17.010000000000002</v>
      </c>
      <c r="F166" s="21">
        <f t="shared" si="93"/>
        <v>3.5</v>
      </c>
      <c r="G166" s="19" t="str">
        <f t="shared" si="94"/>
        <v/>
      </c>
      <c r="H166" s="21" t="str">
        <f t="shared" si="95"/>
        <v/>
      </c>
      <c r="J166" s="1252"/>
      <c r="K166" s="1155"/>
      <c r="L166" s="1272">
        <v>17.010000000000002</v>
      </c>
      <c r="M166" s="1273">
        <v>35000</v>
      </c>
      <c r="N166" s="1158"/>
      <c r="O166" s="1158"/>
      <c r="P166" s="1158"/>
      <c r="Q166" s="1158"/>
    </row>
    <row r="167" spans="3:17" ht="15" customHeight="1">
      <c r="C167" s="28">
        <f t="shared" si="96"/>
        <v>13</v>
      </c>
      <c r="D167" s="11" t="str">
        <f t="shared" si="96"/>
        <v>财通基金管理有限公司</v>
      </c>
      <c r="E167" s="21">
        <f t="shared" si="92"/>
        <v>20</v>
      </c>
      <c r="F167" s="21">
        <f t="shared" si="93"/>
        <v>4.7699999999999996</v>
      </c>
      <c r="G167" s="19">
        <f t="shared" si="94"/>
        <v>2415.1898000000001</v>
      </c>
      <c r="H167" s="21">
        <f t="shared" si="95"/>
        <v>4.769999855</v>
      </c>
      <c r="J167" s="1252">
        <v>13</v>
      </c>
      <c r="K167" s="1155" t="s">
        <v>115</v>
      </c>
      <c r="L167" s="1272">
        <v>20</v>
      </c>
      <c r="M167" s="1273">
        <v>47700</v>
      </c>
      <c r="N167" s="1158"/>
      <c r="O167" s="1158"/>
      <c r="P167" s="1158"/>
      <c r="Q167" s="1158"/>
    </row>
    <row r="168" spans="3:17">
      <c r="C168" s="28" t="str">
        <f t="shared" si="96"/>
        <v/>
      </c>
      <c r="D168" s="11" t="str">
        <f t="shared" si="96"/>
        <v/>
      </c>
      <c r="E168" s="21">
        <f t="shared" si="92"/>
        <v>18.61</v>
      </c>
      <c r="F168" s="21">
        <f t="shared" si="93"/>
        <v>7.75</v>
      </c>
      <c r="G168" s="19" t="str">
        <f t="shared" si="94"/>
        <v/>
      </c>
      <c r="H168" s="21" t="str">
        <f t="shared" si="95"/>
        <v/>
      </c>
      <c r="J168" s="1252"/>
      <c r="K168" s="1155"/>
      <c r="L168" s="1272">
        <v>18.61</v>
      </c>
      <c r="M168" s="1273">
        <v>77500</v>
      </c>
      <c r="N168" s="1158"/>
      <c r="O168" s="1158"/>
      <c r="P168" s="1158"/>
      <c r="Q168" s="1158"/>
    </row>
    <row r="169" spans="3:17">
      <c r="C169" s="28" t="str">
        <f t="shared" si="96"/>
        <v/>
      </c>
      <c r="D169" s="11" t="str">
        <f t="shared" si="96"/>
        <v/>
      </c>
      <c r="E169" s="21">
        <f t="shared" si="92"/>
        <v>17.52</v>
      </c>
      <c r="F169" s="21">
        <f t="shared" si="93"/>
        <v>9.8800000000000008</v>
      </c>
      <c r="G169" s="19" t="str">
        <f t="shared" si="94"/>
        <v/>
      </c>
      <c r="H169" s="21" t="str">
        <f t="shared" si="95"/>
        <v/>
      </c>
      <c r="J169" s="1252"/>
      <c r="K169" s="1155"/>
      <c r="L169" s="1272">
        <v>17.52</v>
      </c>
      <c r="M169" s="1273">
        <v>98800</v>
      </c>
      <c r="N169" s="1158"/>
      <c r="O169" s="1158"/>
      <c r="P169" s="1158"/>
      <c r="Q169" s="1158"/>
    </row>
    <row r="170" spans="3:17">
      <c r="C170" s="28">
        <f t="shared" si="96"/>
        <v>14</v>
      </c>
      <c r="D170" s="11" t="str">
        <f t="shared" si="96"/>
        <v>鹏华资产管理（深圳）有限公司</v>
      </c>
      <c r="E170" s="21">
        <f t="shared" si="92"/>
        <v>22</v>
      </c>
      <c r="F170" s="21">
        <f t="shared" si="93"/>
        <v>3.99</v>
      </c>
      <c r="G170" s="19">
        <f t="shared" si="94"/>
        <v>2020.2530999999999</v>
      </c>
      <c r="H170" s="21">
        <f t="shared" si="95"/>
        <v>3.9899998724999999</v>
      </c>
      <c r="J170" s="1275">
        <v>14</v>
      </c>
      <c r="K170" s="1163" t="s">
        <v>285</v>
      </c>
      <c r="L170" s="1272">
        <v>22</v>
      </c>
      <c r="M170" s="1273">
        <v>39900</v>
      </c>
      <c r="N170" s="1158"/>
      <c r="O170" s="1158"/>
      <c r="P170" s="1158"/>
      <c r="Q170" s="1158"/>
    </row>
    <row r="171" spans="3:17">
      <c r="C171" s="28">
        <f t="shared" si="96"/>
        <v>15</v>
      </c>
      <c r="D171" s="11" t="str">
        <f t="shared" si="96"/>
        <v>天安财产保险股份有限公司</v>
      </c>
      <c r="E171" s="21">
        <f t="shared" si="92"/>
        <v>18</v>
      </c>
      <c r="F171" s="21">
        <f t="shared" si="93"/>
        <v>2</v>
      </c>
      <c r="G171" s="19" t="str">
        <f t="shared" si="94"/>
        <v/>
      </c>
      <c r="H171" s="21" t="str">
        <f t="shared" si="95"/>
        <v/>
      </c>
      <c r="J171" s="1275">
        <v>15</v>
      </c>
      <c r="K171" s="1163" t="s">
        <v>120</v>
      </c>
      <c r="L171" s="1272">
        <v>18</v>
      </c>
      <c r="M171" s="1273">
        <v>20000</v>
      </c>
      <c r="N171" s="1158"/>
      <c r="O171" s="1158"/>
      <c r="P171" s="1158"/>
      <c r="Q171" s="1158"/>
    </row>
    <row r="172" spans="3:17">
      <c r="C172" s="28">
        <f t="shared" si="96"/>
        <v>16</v>
      </c>
      <c r="D172" s="11" t="str">
        <f t="shared" si="96"/>
        <v>创金合信基金管理有限公司</v>
      </c>
      <c r="E172" s="21">
        <f t="shared" si="92"/>
        <v>17</v>
      </c>
      <c r="F172" s="21">
        <f t="shared" si="93"/>
        <v>2.29</v>
      </c>
      <c r="G172" s="19" t="str">
        <f t="shared" si="94"/>
        <v/>
      </c>
      <c r="H172" s="21" t="str">
        <f t="shared" si="95"/>
        <v/>
      </c>
      <c r="J172" s="1275">
        <v>16</v>
      </c>
      <c r="K172" s="1163" t="s">
        <v>134</v>
      </c>
      <c r="L172" s="1272">
        <v>17</v>
      </c>
      <c r="M172" s="1273">
        <v>22900</v>
      </c>
      <c r="N172" s="1158"/>
      <c r="O172" s="1158"/>
      <c r="P172" s="1158"/>
      <c r="Q172" s="1158"/>
    </row>
    <row r="173" spans="3:17">
      <c r="C173" s="28">
        <f t="shared" si="96"/>
        <v>17</v>
      </c>
      <c r="D173" s="11" t="str">
        <f t="shared" si="96"/>
        <v>招商财富资产管理有限公司</v>
      </c>
      <c r="E173" s="21">
        <f t="shared" si="92"/>
        <v>18.7</v>
      </c>
      <c r="F173" s="21">
        <f t="shared" si="93"/>
        <v>2.54</v>
      </c>
      <c r="G173" s="19" t="str">
        <f t="shared" si="94"/>
        <v/>
      </c>
      <c r="H173" s="21" t="str">
        <f t="shared" si="95"/>
        <v/>
      </c>
      <c r="J173" s="1275">
        <v>17</v>
      </c>
      <c r="K173" s="1163" t="s">
        <v>142</v>
      </c>
      <c r="L173" s="1272">
        <v>18.7</v>
      </c>
      <c r="M173" s="1273">
        <v>25400</v>
      </c>
      <c r="N173" s="1158"/>
      <c r="O173" s="1158"/>
      <c r="P173" s="1158"/>
      <c r="Q173" s="1158"/>
    </row>
    <row r="174" spans="3:17" ht="15" customHeight="1">
      <c r="C174" s="28">
        <f t="shared" si="96"/>
        <v>18</v>
      </c>
      <c r="D174" s="11" t="str">
        <f t="shared" si="96"/>
        <v>诺安基金管理有限公司</v>
      </c>
      <c r="E174" s="21">
        <f t="shared" si="92"/>
        <v>18.350000000000001</v>
      </c>
      <c r="F174" s="21">
        <f t="shared" si="93"/>
        <v>2</v>
      </c>
      <c r="G174" s="19" t="str">
        <f t="shared" si="94"/>
        <v/>
      </c>
      <c r="H174" s="21" t="str">
        <f t="shared" si="95"/>
        <v/>
      </c>
      <c r="J174" s="1252">
        <v>18</v>
      </c>
      <c r="K174" s="1155" t="s">
        <v>147</v>
      </c>
      <c r="L174" s="1272">
        <v>18.350000000000001</v>
      </c>
      <c r="M174" s="1273">
        <v>20000</v>
      </c>
      <c r="N174" s="1158"/>
      <c r="O174" s="1158"/>
      <c r="P174" s="1158"/>
      <c r="Q174" s="1158"/>
    </row>
    <row r="175" spans="3:17">
      <c r="C175" s="28" t="str">
        <f t="shared" si="96"/>
        <v/>
      </c>
      <c r="D175" s="11" t="str">
        <f t="shared" si="96"/>
        <v/>
      </c>
      <c r="E175" s="21">
        <f t="shared" si="92"/>
        <v>17.5</v>
      </c>
      <c r="F175" s="21">
        <f t="shared" si="93"/>
        <v>2.16</v>
      </c>
      <c r="G175" s="19" t="str">
        <f t="shared" si="94"/>
        <v/>
      </c>
      <c r="H175" s="21" t="str">
        <f t="shared" si="95"/>
        <v/>
      </c>
      <c r="J175" s="1252"/>
      <c r="K175" s="1155"/>
      <c r="L175" s="1272">
        <v>17.5</v>
      </c>
      <c r="M175" s="1273">
        <v>21600</v>
      </c>
      <c r="N175" s="1158"/>
      <c r="O175" s="1158"/>
      <c r="P175" s="1158"/>
      <c r="Q175" s="1158"/>
    </row>
    <row r="176" spans="3:17">
      <c r="C176" s="28" t="str">
        <f t="shared" si="96"/>
        <v/>
      </c>
      <c r="D176" s="11" t="str">
        <f t="shared" si="96"/>
        <v/>
      </c>
      <c r="E176" s="21">
        <f t="shared" si="92"/>
        <v>16.98</v>
      </c>
      <c r="F176" s="21">
        <f t="shared" si="93"/>
        <v>4.16</v>
      </c>
      <c r="G176" s="19" t="str">
        <f t="shared" si="94"/>
        <v/>
      </c>
      <c r="H176" s="21" t="str">
        <f t="shared" si="95"/>
        <v/>
      </c>
      <c r="J176" s="1252"/>
      <c r="K176" s="1155"/>
      <c r="L176" s="1272">
        <v>16.98</v>
      </c>
      <c r="M176" s="1273">
        <v>41600</v>
      </c>
      <c r="N176" s="1158"/>
      <c r="O176" s="1158"/>
      <c r="P176" s="1158"/>
      <c r="Q176" s="1158"/>
    </row>
    <row r="177" spans="1:21">
      <c r="J177" s="120"/>
      <c r="K177" s="120"/>
      <c r="L177" s="119"/>
      <c r="M177" s="119"/>
    </row>
    <row r="178" spans="1:21">
      <c r="A178" s="24">
        <v>10</v>
      </c>
      <c r="B178" s="12" t="s">
        <v>106</v>
      </c>
      <c r="C178" s="12" t="s">
        <v>126</v>
      </c>
      <c r="D178" s="12" t="s">
        <v>107</v>
      </c>
      <c r="E178" s="12" t="s">
        <v>4</v>
      </c>
      <c r="F178" s="13" t="s">
        <v>108</v>
      </c>
      <c r="G178" s="13" t="s">
        <v>109</v>
      </c>
      <c r="H178" s="12" t="s">
        <v>274</v>
      </c>
      <c r="I178" s="12" t="s">
        <v>273</v>
      </c>
      <c r="J178" s="12" t="s">
        <v>116</v>
      </c>
      <c r="K178" s="14" t="s">
        <v>110</v>
      </c>
      <c r="L178" s="14" t="s">
        <v>276</v>
      </c>
      <c r="M178" s="14" t="s">
        <v>117</v>
      </c>
      <c r="N178" s="15" t="s">
        <v>275</v>
      </c>
      <c r="O178" s="12" t="s">
        <v>111</v>
      </c>
      <c r="P178" s="8" t="s">
        <v>12</v>
      </c>
      <c r="Q178" s="8" t="s">
        <v>190</v>
      </c>
      <c r="R178" s="15" t="s">
        <v>129</v>
      </c>
      <c r="S178" s="14" t="s">
        <v>220</v>
      </c>
    </row>
    <row r="179" spans="1:21">
      <c r="A179" s="24">
        <v>9</v>
      </c>
      <c r="B179" s="979">
        <v>50</v>
      </c>
      <c r="C179" s="9" t="s">
        <v>218</v>
      </c>
      <c r="D179" s="1" t="s">
        <v>101</v>
      </c>
      <c r="E179" s="1" t="s">
        <v>100</v>
      </c>
      <c r="F179" s="3">
        <v>30.96</v>
      </c>
      <c r="G179" s="3">
        <v>23.699000000000002</v>
      </c>
      <c r="H179" s="2">
        <v>42473</v>
      </c>
      <c r="I179" s="1236" t="s">
        <v>151</v>
      </c>
      <c r="J179" s="11">
        <v>18.16</v>
      </c>
      <c r="K179" s="3">
        <v>16.399999999999999</v>
      </c>
      <c r="L179" s="3">
        <f>K179/J179</f>
        <v>0.90308370044052855</v>
      </c>
      <c r="M179" s="3">
        <v>18.23</v>
      </c>
      <c r="N179" s="10">
        <f>M179/J179</f>
        <v>1.0038546255506609</v>
      </c>
      <c r="O179" s="1002">
        <v>4</v>
      </c>
      <c r="P179" s="1004">
        <v>42494</v>
      </c>
      <c r="Q179" s="1003">
        <v>18.38</v>
      </c>
      <c r="R179" s="18">
        <f t="shared" ref="R179" si="97">(Q179*(1+T179/10)+U179/10)/M179</f>
        <v>1.0090510148107514</v>
      </c>
      <c r="S179" s="11" t="s">
        <v>272</v>
      </c>
      <c r="T179" s="22">
        <f t="shared" ref="T179" si="98">IFERROR(RIGHT(LEFT(S179,FIND("股",S179)-1),(FIND("股",S179)-1-FIND("转",S179))),0)</f>
        <v>0</v>
      </c>
      <c r="U179" s="23" t="str">
        <f t="shared" ref="U179" si="99">IFERROR(RIGHT(LEFT(S179,FIND("元",S179)-1),(FIND("元",S179)-1-FIND("派",S179))),0)</f>
        <v>0.15</v>
      </c>
    </row>
    <row r="180" spans="1:21">
      <c r="J180" s="119"/>
      <c r="K180" s="119"/>
      <c r="L180" s="119"/>
      <c r="M180" s="119"/>
    </row>
    <row r="181" spans="1:21" ht="20" customHeight="1">
      <c r="C181" s="27" t="s">
        <v>118</v>
      </c>
      <c r="D181" s="16" t="s">
        <v>112</v>
      </c>
      <c r="E181" s="16" t="s">
        <v>113</v>
      </c>
      <c r="F181" s="16" t="s">
        <v>288</v>
      </c>
      <c r="G181" s="17" t="s">
        <v>287</v>
      </c>
      <c r="H181" s="16" t="s">
        <v>289</v>
      </c>
      <c r="J181" s="1108" t="s">
        <v>699</v>
      </c>
      <c r="K181" s="1140" t="s">
        <v>331</v>
      </c>
      <c r="L181" s="1140" t="s">
        <v>698</v>
      </c>
      <c r="M181" s="1005" t="s">
        <v>697</v>
      </c>
      <c r="N181" s="1140"/>
      <c r="O181" s="1140" t="s">
        <v>331</v>
      </c>
      <c r="P181" s="1277"/>
    </row>
    <row r="182" spans="1:21">
      <c r="C182" s="28">
        <f t="shared" ref="C182:D187" si="100">IF(J182=0,"",J182)</f>
        <v>1</v>
      </c>
      <c r="D182" s="11" t="str">
        <f t="shared" si="100"/>
        <v>中国人寿资产管理有限公司</v>
      </c>
      <c r="E182" s="21">
        <f t="shared" ref="E182:E187" si="101">L182</f>
        <v>18.23</v>
      </c>
      <c r="F182" s="21">
        <f t="shared" ref="F182:F187" si="102">M182/10000</f>
        <v>4.0106000000000002</v>
      </c>
      <c r="G182" s="19">
        <f t="shared" ref="G182:G187" si="103">IFERROR(VLOOKUP(D182,O$182:Q$187,2,FALSE)/10000,"")</f>
        <v>290.45549999999997</v>
      </c>
      <c r="H182" s="21">
        <f t="shared" ref="H182:H187" si="104">IFERROR(G182*$M$179/10000,"")</f>
        <v>0.52950037649999993</v>
      </c>
      <c r="J182" s="1146">
        <v>1</v>
      </c>
      <c r="K182" s="1090" t="s">
        <v>132</v>
      </c>
      <c r="L182" s="1278">
        <v>18.23</v>
      </c>
      <c r="M182" s="1129">
        <v>40106</v>
      </c>
      <c r="N182" s="1278"/>
      <c r="O182" s="1090" t="s">
        <v>132</v>
      </c>
      <c r="P182" s="1277">
        <v>2904555</v>
      </c>
      <c r="R182" s="6"/>
    </row>
    <row r="183" spans="1:21" ht="15" customHeight="1">
      <c r="C183" s="28">
        <f t="shared" si="100"/>
        <v>2</v>
      </c>
      <c r="D183" s="11" t="str">
        <f t="shared" si="100"/>
        <v>中节能资本控股有限公司</v>
      </c>
      <c r="E183" s="21">
        <f t="shared" si="101"/>
        <v>19.670000000000002</v>
      </c>
      <c r="F183" s="21">
        <f t="shared" si="102"/>
        <v>7.8680000000000003</v>
      </c>
      <c r="G183" s="19">
        <f t="shared" si="103"/>
        <v>4315.9625999999998</v>
      </c>
      <c r="H183" s="21">
        <f t="shared" si="104"/>
        <v>7.8679998198000005</v>
      </c>
      <c r="J183" s="1146">
        <v>2</v>
      </c>
      <c r="K183" s="1090" t="s">
        <v>696</v>
      </c>
      <c r="L183" s="1278">
        <v>19.670000000000002</v>
      </c>
      <c r="M183" s="1129">
        <v>78680</v>
      </c>
      <c r="N183" s="1278"/>
      <c r="O183" s="1054" t="s">
        <v>696</v>
      </c>
      <c r="P183" s="1277">
        <v>43159626</v>
      </c>
      <c r="R183" s="6"/>
    </row>
    <row r="184" spans="1:21" ht="15" customHeight="1">
      <c r="C184" s="28">
        <f t="shared" si="100"/>
        <v>3</v>
      </c>
      <c r="D184" s="11" t="str">
        <f t="shared" si="100"/>
        <v>北京中吉金投资产管理有限公司</v>
      </c>
      <c r="E184" s="21">
        <f t="shared" si="101"/>
        <v>18.7</v>
      </c>
      <c r="F184" s="21">
        <f t="shared" si="102"/>
        <v>7.5922000000000001</v>
      </c>
      <c r="G184" s="19">
        <f t="shared" si="103"/>
        <v>4224.6297000000004</v>
      </c>
      <c r="H184" s="21">
        <f t="shared" si="104"/>
        <v>7.7014999431</v>
      </c>
      <c r="J184" s="1145">
        <v>3</v>
      </c>
      <c r="K184" s="1147" t="s">
        <v>355</v>
      </c>
      <c r="L184" s="1278">
        <v>18.7</v>
      </c>
      <c r="M184" s="1129">
        <v>75922</v>
      </c>
      <c r="N184" s="1278"/>
      <c r="O184" s="1147" t="s">
        <v>355</v>
      </c>
      <c r="P184" s="1277">
        <v>42246297</v>
      </c>
      <c r="R184" s="6"/>
    </row>
    <row r="185" spans="1:21">
      <c r="C185" s="28" t="str">
        <f t="shared" si="100"/>
        <v/>
      </c>
      <c r="D185" s="11" t="str">
        <f t="shared" si="100"/>
        <v/>
      </c>
      <c r="E185" s="21">
        <f t="shared" si="101"/>
        <v>18.5</v>
      </c>
      <c r="F185" s="21">
        <f t="shared" si="102"/>
        <v>7.6405000000000003</v>
      </c>
      <c r="G185" s="19" t="str">
        <f t="shared" si="103"/>
        <v/>
      </c>
      <c r="H185" s="21" t="str">
        <f t="shared" si="104"/>
        <v/>
      </c>
      <c r="J185" s="1145"/>
      <c r="K185" s="1147"/>
      <c r="L185" s="1278">
        <v>18.5</v>
      </c>
      <c r="M185" s="1129">
        <v>76405</v>
      </c>
      <c r="N185" s="1278"/>
      <c r="O185" s="1090" t="s">
        <v>359</v>
      </c>
      <c r="P185" s="1277">
        <v>41689522</v>
      </c>
      <c r="R185" s="6"/>
    </row>
    <row r="186" spans="1:21">
      <c r="C186" s="28" t="str">
        <f t="shared" si="100"/>
        <v/>
      </c>
      <c r="D186" s="11" t="str">
        <f t="shared" si="100"/>
        <v/>
      </c>
      <c r="E186" s="21">
        <f t="shared" si="101"/>
        <v>18.25</v>
      </c>
      <c r="F186" s="21">
        <f t="shared" si="102"/>
        <v>7.7015000000000002</v>
      </c>
      <c r="G186" s="19" t="str">
        <f t="shared" si="103"/>
        <v/>
      </c>
      <c r="H186" s="21" t="str">
        <f t="shared" si="104"/>
        <v/>
      </c>
      <c r="J186" s="1145"/>
      <c r="K186" s="1147"/>
      <c r="L186" s="1278">
        <v>18.25</v>
      </c>
      <c r="M186" s="1129">
        <v>77015</v>
      </c>
      <c r="N186" s="1278"/>
      <c r="O186" s="1147"/>
      <c r="P186" s="1277"/>
      <c r="R186" s="6"/>
    </row>
    <row r="187" spans="1:21">
      <c r="C187" s="28">
        <f t="shared" si="100"/>
        <v>4</v>
      </c>
      <c r="D187" s="11" t="str">
        <f t="shared" si="100"/>
        <v>华龙证券股份有限公司</v>
      </c>
      <c r="E187" s="21">
        <f t="shared" si="101"/>
        <v>19</v>
      </c>
      <c r="F187" s="21">
        <f t="shared" si="102"/>
        <v>7.6</v>
      </c>
      <c r="G187" s="19">
        <f t="shared" si="103"/>
        <v>4168.9521999999997</v>
      </c>
      <c r="H187" s="21">
        <f t="shared" si="104"/>
        <v>7.5999998605999997</v>
      </c>
      <c r="J187" s="1146">
        <v>4</v>
      </c>
      <c r="K187" s="1090" t="s">
        <v>359</v>
      </c>
      <c r="L187" s="1278">
        <v>19</v>
      </c>
      <c r="M187" s="1279">
        <v>76000</v>
      </c>
      <c r="N187" s="1278"/>
      <c r="O187" s="492"/>
      <c r="P187" s="492"/>
      <c r="R187" s="6"/>
    </row>
    <row r="188" spans="1:21">
      <c r="J188" s="1108"/>
      <c r="K188" s="1108"/>
      <c r="L188" s="1007"/>
      <c r="M188" s="1007"/>
      <c r="N188" s="492"/>
      <c r="O188" s="492"/>
      <c r="P188" s="492"/>
    </row>
    <row r="189" spans="1:21">
      <c r="J189" s="1108"/>
      <c r="K189" s="1108"/>
      <c r="L189" s="1007"/>
      <c r="M189" s="1007"/>
      <c r="N189" s="492"/>
      <c r="O189" s="492"/>
      <c r="P189" s="492"/>
    </row>
    <row r="190" spans="1:21">
      <c r="J190" s="1108"/>
      <c r="K190" s="1108"/>
      <c r="L190" s="1007"/>
      <c r="M190" s="1007"/>
      <c r="N190" s="492"/>
      <c r="O190" s="492"/>
      <c r="P190" s="492"/>
    </row>
    <row r="191" spans="1:21">
      <c r="J191" s="1108"/>
      <c r="K191" s="1108"/>
      <c r="L191" s="1007"/>
      <c r="M191" s="1007"/>
      <c r="N191" s="492"/>
      <c r="O191" s="492"/>
      <c r="P191" s="492"/>
    </row>
    <row r="192" spans="1:21">
      <c r="J192" s="1108"/>
      <c r="K192" s="1108"/>
      <c r="L192" s="1007"/>
      <c r="M192" s="1007"/>
      <c r="N192" s="492"/>
      <c r="O192" s="492"/>
      <c r="P192" s="492"/>
    </row>
    <row r="193" spans="10:16">
      <c r="J193" s="1108"/>
      <c r="K193" s="1108"/>
      <c r="L193" s="1007"/>
      <c r="M193" s="1007"/>
      <c r="N193" s="492"/>
      <c r="O193" s="492"/>
      <c r="P193" s="492"/>
    </row>
    <row r="194" spans="10:16">
      <c r="J194" s="120"/>
      <c r="K194" s="120"/>
      <c r="L194" s="119"/>
      <c r="M194" s="119"/>
    </row>
    <row r="195" spans="10:16">
      <c r="J195" s="120"/>
      <c r="K195" s="120"/>
      <c r="L195" s="119"/>
      <c r="M195" s="119"/>
    </row>
    <row r="196" spans="10:16">
      <c r="J196" s="120"/>
      <c r="K196" s="120"/>
      <c r="L196" s="119"/>
      <c r="M196" s="119"/>
    </row>
    <row r="197" spans="10:16">
      <c r="J197" s="120"/>
      <c r="K197" s="120"/>
      <c r="L197" s="119"/>
      <c r="M197" s="119"/>
    </row>
    <row r="198" spans="10:16">
      <c r="J198" s="120"/>
      <c r="K198" s="120"/>
      <c r="L198" s="119"/>
      <c r="M198" s="119"/>
    </row>
    <row r="199" spans="10:16">
      <c r="J199" s="119"/>
      <c r="K199" s="119"/>
      <c r="L199" s="119"/>
      <c r="M199" s="119"/>
    </row>
    <row r="200" spans="10:16">
      <c r="J200" s="119"/>
      <c r="K200" s="119"/>
      <c r="L200" s="119"/>
      <c r="M200" s="119"/>
    </row>
    <row r="201" spans="10:16">
      <c r="J201" s="120"/>
      <c r="K201" s="120"/>
      <c r="L201" s="119"/>
      <c r="M201" s="119"/>
    </row>
    <row r="202" spans="10:16">
      <c r="J202" s="120"/>
      <c r="K202" s="120"/>
      <c r="L202" s="119"/>
      <c r="M202" s="119"/>
    </row>
    <row r="203" spans="10:16">
      <c r="J203" s="120"/>
      <c r="K203" s="120"/>
      <c r="L203" s="119"/>
      <c r="M203" s="119"/>
    </row>
    <row r="204" spans="10:16">
      <c r="J204" s="119"/>
      <c r="K204" s="119"/>
      <c r="L204" s="119"/>
      <c r="M204" s="119"/>
    </row>
  </sheetData>
  <mergeCells count="1">
    <mergeCell ref="D35:H35"/>
  </mergeCells>
  <phoneticPr fontId="139" type="noConversion"/>
  <hyperlinks>
    <hyperlink ref="C1" r:id="rId1" xr:uid="{00000000-0004-0000-0600-000000000000}"/>
    <hyperlink ref="C2" r:id="rId2" xr:uid="{00000000-0004-0000-0600-000001000000}"/>
    <hyperlink ref="C9" r:id="rId3" xr:uid="{00000000-0004-0000-0600-000002000000}"/>
    <hyperlink ref="C3" r:id="rId4" xr:uid="{00000000-0004-0000-0600-000003000000}"/>
    <hyperlink ref="C4" r:id="rId5" xr:uid="{00000000-0004-0000-0600-000004000000}"/>
    <hyperlink ref="C5" r:id="rId6" xr:uid="{00000000-0004-0000-0600-000005000000}"/>
    <hyperlink ref="C6" r:id="rId7" xr:uid="{00000000-0004-0000-0600-000006000000}"/>
    <hyperlink ref="C7" r:id="rId8" xr:uid="{00000000-0004-0000-0600-000007000000}"/>
    <hyperlink ref="C8" r:id="rId9" xr:uid="{00000000-0004-0000-0600-000008000000}"/>
    <hyperlink ref="C10" r:id="rId10" xr:uid="{00000000-0004-0000-0600-000009000000}"/>
    <hyperlink ref="C13" r:id="rId11" xr:uid="{00000000-0004-0000-0600-00000A000000}"/>
    <hyperlink ref="C39" r:id="rId12" xr:uid="{00000000-0004-0000-0600-00000B000000}"/>
    <hyperlink ref="C49" r:id="rId13" xr:uid="{00000000-0004-0000-0600-00000C000000}"/>
    <hyperlink ref="C60" r:id="rId14" xr:uid="{00000000-0004-0000-0600-00000D000000}"/>
    <hyperlink ref="C77" r:id="rId15" xr:uid="{00000000-0004-0000-0600-00000E000000}"/>
    <hyperlink ref="C100" r:id="rId16" xr:uid="{00000000-0004-0000-0600-00000F000000}"/>
    <hyperlink ref="C118" r:id="rId17" xr:uid="{00000000-0004-0000-0600-000010000000}"/>
    <hyperlink ref="C132" r:id="rId18" xr:uid="{00000000-0004-0000-0600-000011000000}"/>
    <hyperlink ref="C144" r:id="rId19" xr:uid="{00000000-0004-0000-0600-000012000000}"/>
    <hyperlink ref="C179" r:id="rId20" xr:uid="{00000000-0004-0000-0600-000013000000}"/>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D3551"/>
  <sheetViews>
    <sheetView topLeftCell="B1" zoomScale="108" workbookViewId="0">
      <selection activeCell="F3515" sqref="F3515"/>
    </sheetView>
  </sheetViews>
  <sheetFormatPr defaultColWidth="10.83203125" defaultRowHeight="14"/>
  <cols>
    <col min="1" max="1" width="5.33203125" style="642" hidden="1" customWidth="1"/>
    <col min="2" max="2" width="6.1640625" style="642" customWidth="1"/>
    <col min="3" max="3" width="53.83203125" style="642" customWidth="1"/>
    <col min="4" max="4" width="14.83203125" style="642" customWidth="1"/>
    <col min="5" max="5" width="16" style="642" customWidth="1"/>
    <col min="6" max="6" width="17" style="642" customWidth="1"/>
    <col min="7" max="7" width="21.33203125" style="642" customWidth="1"/>
    <col min="8" max="8" width="24.1640625" style="642" customWidth="1"/>
    <col min="9" max="9" width="9.83203125" style="642" customWidth="1"/>
    <col min="10" max="10" width="22" style="642" customWidth="1"/>
    <col min="11" max="11" width="11.1640625" style="642" customWidth="1"/>
    <col min="12" max="12" width="10.1640625" style="642" customWidth="1"/>
    <col min="13" max="13" width="8.33203125" style="642" customWidth="1"/>
    <col min="14" max="14" width="8.1640625" style="642" customWidth="1"/>
    <col min="15" max="16" width="7.83203125" style="642" customWidth="1"/>
    <col min="17" max="17" width="7.5" style="642" customWidth="1"/>
    <col min="18" max="18" width="8.33203125" style="642" customWidth="1"/>
    <col min="19" max="19" width="22.6640625" style="642" customWidth="1"/>
    <col min="20" max="20" width="11.33203125" style="642" customWidth="1"/>
    <col min="21" max="21" width="9.6640625" style="642" customWidth="1"/>
    <col min="22" max="22" width="9.33203125" style="642" customWidth="1"/>
    <col min="23" max="23" width="13.1640625" style="642" customWidth="1"/>
    <col min="24" max="25" width="6.6640625" style="642" customWidth="1"/>
    <col min="26" max="26" width="14.83203125" style="642" customWidth="1"/>
    <col min="27" max="16384" width="10.83203125" style="642"/>
  </cols>
  <sheetData>
    <row r="1" spans="1:56" s="860" customFormat="1">
      <c r="A1" s="860" t="s">
        <v>2861</v>
      </c>
      <c r="B1" s="862" t="s">
        <v>2036</v>
      </c>
      <c r="C1" s="864" t="s">
        <v>126</v>
      </c>
      <c r="D1" s="864" t="s">
        <v>1583</v>
      </c>
      <c r="E1" s="864" t="s">
        <v>4</v>
      </c>
      <c r="F1" s="864" t="s">
        <v>2860</v>
      </c>
      <c r="G1" s="864" t="s">
        <v>2859</v>
      </c>
      <c r="H1" s="864" t="s">
        <v>2858</v>
      </c>
      <c r="I1" s="864" t="s">
        <v>751</v>
      </c>
      <c r="J1" s="862" t="s">
        <v>274</v>
      </c>
      <c r="K1" s="862" t="s">
        <v>273</v>
      </c>
      <c r="L1" s="862" t="s">
        <v>116</v>
      </c>
      <c r="M1" s="862" t="s">
        <v>110</v>
      </c>
      <c r="N1" s="862" t="s">
        <v>276</v>
      </c>
      <c r="O1" s="864" t="s">
        <v>1311</v>
      </c>
      <c r="P1" s="862" t="s">
        <v>275</v>
      </c>
      <c r="Q1" s="862" t="s">
        <v>111</v>
      </c>
      <c r="R1" s="862" t="s">
        <v>2857</v>
      </c>
      <c r="S1" s="862" t="s">
        <v>747</v>
      </c>
      <c r="T1" s="864" t="s">
        <v>12</v>
      </c>
      <c r="U1" s="863" t="s">
        <v>948</v>
      </c>
      <c r="V1" s="862" t="s">
        <v>129</v>
      </c>
      <c r="W1" s="862" t="s">
        <v>220</v>
      </c>
      <c r="X1" s="862" t="s">
        <v>749</v>
      </c>
      <c r="Y1" s="862" t="s">
        <v>750</v>
      </c>
      <c r="Z1" s="876" t="s">
        <v>748</v>
      </c>
      <c r="AA1" s="875"/>
      <c r="BB1" s="861"/>
      <c r="BD1" s="861"/>
    </row>
    <row r="2" spans="1:56" s="525" customFormat="1">
      <c r="A2" s="525" t="s">
        <v>2078</v>
      </c>
      <c r="B2" s="856">
        <v>51</v>
      </c>
      <c r="C2" s="786" t="s">
        <v>2856</v>
      </c>
      <c r="D2" s="858" t="s">
        <v>2855</v>
      </c>
      <c r="E2" s="858" t="s">
        <v>2854</v>
      </c>
      <c r="F2" s="857">
        <v>25.84</v>
      </c>
      <c r="G2" s="857">
        <v>25.84</v>
      </c>
      <c r="H2" s="857">
        <f>L2*R2</f>
        <v>211.5</v>
      </c>
      <c r="I2" s="857">
        <f>F2/H2</f>
        <v>0.12217494089834516</v>
      </c>
      <c r="J2" s="467" t="s">
        <v>3165</v>
      </c>
      <c r="K2" s="467" t="s">
        <v>2747</v>
      </c>
      <c r="L2" s="467">
        <v>11.25</v>
      </c>
      <c r="M2" s="467">
        <v>9.41</v>
      </c>
      <c r="N2" s="468">
        <f>M2/L2</f>
        <v>0.83644444444444443</v>
      </c>
      <c r="O2" s="857">
        <v>9.41</v>
      </c>
      <c r="P2" s="468">
        <f>O2/L2</f>
        <v>0.83644444444444443</v>
      </c>
      <c r="Q2" s="467">
        <v>4</v>
      </c>
      <c r="R2" s="467">
        <v>18.8</v>
      </c>
      <c r="S2" s="784" t="s">
        <v>2853</v>
      </c>
      <c r="T2" s="854">
        <v>42859</v>
      </c>
      <c r="U2" s="946">
        <v>5.86</v>
      </c>
      <c r="V2" s="468">
        <f>((U2*(1+X2/10)+Y2/10)/O2)</f>
        <v>1.2561105207226355</v>
      </c>
      <c r="W2" s="856" t="s">
        <v>891</v>
      </c>
      <c r="X2" s="467">
        <v>10</v>
      </c>
      <c r="Y2" s="467">
        <v>1</v>
      </c>
      <c r="Z2" s="952" t="s">
        <v>2852</v>
      </c>
      <c r="AA2" s="931"/>
      <c r="BB2" s="934"/>
      <c r="BD2" s="933"/>
    </row>
    <row r="3" spans="1:56" s="525" customFormat="1">
      <c r="B3" s="923"/>
      <c r="C3" s="934"/>
      <c r="D3" s="933"/>
      <c r="E3" s="933"/>
      <c r="F3" s="887"/>
      <c r="G3" s="870"/>
      <c r="H3" s="887"/>
      <c r="I3" s="887"/>
      <c r="J3" s="972" t="s">
        <v>3603</v>
      </c>
      <c r="K3" s="884">
        <v>0.70833333333333304</v>
      </c>
      <c r="L3" s="467">
        <v>10.85</v>
      </c>
      <c r="M3" s="467"/>
      <c r="N3" s="468">
        <f>M2/L3</f>
        <v>0.86728110599078345</v>
      </c>
      <c r="O3" s="857"/>
      <c r="P3" s="468">
        <f>O2/L3</f>
        <v>0.86728110599078345</v>
      </c>
      <c r="T3" s="852"/>
      <c r="V3" s="869"/>
      <c r="BB3" s="852"/>
      <c r="BD3" s="851"/>
    </row>
    <row r="4" spans="1:56" s="525" customFormat="1">
      <c r="B4" s="923"/>
      <c r="C4" s="971" t="s">
        <v>112</v>
      </c>
      <c r="D4" s="970" t="s">
        <v>113</v>
      </c>
      <c r="E4" s="970" t="s">
        <v>943</v>
      </c>
      <c r="F4" s="969" t="s">
        <v>411</v>
      </c>
      <c r="G4" s="969" t="s">
        <v>942</v>
      </c>
      <c r="H4" s="968" t="s">
        <v>231</v>
      </c>
      <c r="I4" s="967"/>
      <c r="J4" s="923"/>
      <c r="K4" s="923"/>
      <c r="L4" s="923"/>
      <c r="M4" s="923"/>
      <c r="N4" s="923"/>
      <c r="O4" s="923"/>
    </row>
    <row r="5" spans="1:56" s="525" customFormat="1">
      <c r="B5" s="923"/>
      <c r="C5" s="467" t="s">
        <v>459</v>
      </c>
      <c r="D5" s="946">
        <v>10.050000000000001</v>
      </c>
      <c r="E5" s="962">
        <v>2.6</v>
      </c>
      <c r="F5" s="961"/>
      <c r="G5" s="964">
        <v>2763.018</v>
      </c>
      <c r="H5" s="963">
        <v>2.5999999379999998</v>
      </c>
      <c r="I5" s="967"/>
      <c r="J5" s="464"/>
      <c r="K5" s="464"/>
      <c r="L5" s="464"/>
      <c r="M5" s="464"/>
      <c r="O5" s="464"/>
    </row>
    <row r="6" spans="1:56" s="525" customFormat="1">
      <c r="B6" s="923"/>
      <c r="C6" s="467" t="s">
        <v>115</v>
      </c>
      <c r="D6" s="946">
        <v>9.41</v>
      </c>
      <c r="E6" s="962">
        <v>2.6000000321000001</v>
      </c>
      <c r="F6" s="961"/>
      <c r="G6" s="964">
        <v>12853.018099999999</v>
      </c>
      <c r="H6" s="963">
        <v>12.094690032100001</v>
      </c>
      <c r="I6" s="967"/>
      <c r="J6" s="464"/>
      <c r="K6" s="464"/>
      <c r="L6" s="464"/>
      <c r="M6" s="464"/>
      <c r="O6" s="464"/>
    </row>
    <row r="7" spans="1:56" s="525" customFormat="1">
      <c r="B7" s="923"/>
      <c r="C7" s="966"/>
      <c r="D7" s="1612" t="s">
        <v>621</v>
      </c>
      <c r="E7" s="1613"/>
      <c r="F7" s="1614" t="s">
        <v>619</v>
      </c>
      <c r="G7" s="1615"/>
      <c r="H7" s="965" t="str">
        <f>IFERROR(VLOOKUP(D7,O$69:Q$83,2,FALSE)/10000,"")</f>
        <v/>
      </c>
      <c r="I7" s="931" t="str">
        <f>IFERROR(H7*M$66/10000,"")</f>
        <v/>
      </c>
      <c r="J7" s="464"/>
      <c r="K7" s="464"/>
      <c r="L7" s="464"/>
      <c r="M7" s="464"/>
      <c r="O7" s="464"/>
    </row>
    <row r="8" spans="1:56" s="525" customFormat="1">
      <c r="B8" s="923"/>
      <c r="C8" s="856" t="s">
        <v>3164</v>
      </c>
      <c r="D8" s="946">
        <v>9.41</v>
      </c>
      <c r="E8" s="962">
        <v>10.1</v>
      </c>
      <c r="F8" s="961"/>
      <c r="G8" s="964">
        <v>10733.2624</v>
      </c>
      <c r="H8" s="963">
        <v>10.0999999184</v>
      </c>
      <c r="I8" s="931"/>
      <c r="J8" s="464"/>
      <c r="K8" s="464"/>
      <c r="L8" s="464"/>
      <c r="M8" s="464"/>
      <c r="O8" s="464"/>
    </row>
    <row r="9" spans="1:56" s="525" customFormat="1">
      <c r="B9" s="923"/>
      <c r="C9" s="856" t="s">
        <v>1861</v>
      </c>
      <c r="D9" s="946">
        <v>9.41</v>
      </c>
      <c r="E9" s="962">
        <v>9.4946900000000003</v>
      </c>
      <c r="F9" s="961"/>
      <c r="G9" s="946"/>
      <c r="H9" s="960"/>
      <c r="I9" s="931"/>
      <c r="J9" s="464"/>
      <c r="K9" s="464"/>
      <c r="L9" s="464"/>
      <c r="M9" s="464"/>
      <c r="O9" s="464"/>
    </row>
    <row r="10" spans="1:56" s="525" customFormat="1">
      <c r="B10" s="923"/>
      <c r="C10" s="856" t="s">
        <v>3163</v>
      </c>
      <c r="D10" s="946">
        <v>9.41</v>
      </c>
      <c r="E10" s="962">
        <v>2.61598</v>
      </c>
      <c r="F10" s="961"/>
      <c r="G10" s="964">
        <v>1110.6802</v>
      </c>
      <c r="H10" s="963">
        <v>10.451500682000001</v>
      </c>
      <c r="I10" s="931"/>
      <c r="J10" s="464"/>
      <c r="K10" s="464"/>
      <c r="L10" s="464"/>
      <c r="M10" s="464"/>
      <c r="O10" s="464"/>
    </row>
    <row r="11" spans="1:56" s="525" customFormat="1">
      <c r="B11" s="923"/>
      <c r="C11" s="856" t="s">
        <v>136</v>
      </c>
      <c r="D11" s="946">
        <v>9.41</v>
      </c>
      <c r="E11" s="962">
        <v>2.601</v>
      </c>
      <c r="F11" s="961"/>
      <c r="G11" s="946"/>
      <c r="H11" s="960"/>
      <c r="I11" s="931"/>
      <c r="J11" s="464"/>
      <c r="K11" s="464"/>
      <c r="L11" s="464"/>
      <c r="M11" s="464"/>
      <c r="O11" s="464"/>
    </row>
    <row r="12" spans="1:56" s="525" customFormat="1">
      <c r="B12" s="923"/>
      <c r="J12" s="464"/>
      <c r="K12" s="464"/>
      <c r="L12" s="464"/>
      <c r="M12" s="464"/>
      <c r="O12" s="464"/>
    </row>
    <row r="13" spans="1:56" s="525" customFormat="1">
      <c r="B13" s="923"/>
      <c r="J13" s="464"/>
      <c r="K13" s="464"/>
      <c r="L13" s="464"/>
      <c r="M13" s="464"/>
      <c r="O13" s="464"/>
    </row>
    <row r="14" spans="1:56" s="525" customFormat="1">
      <c r="B14" s="923"/>
      <c r="J14" s="464"/>
      <c r="K14" s="464"/>
      <c r="L14" s="464"/>
      <c r="M14" s="464"/>
      <c r="O14" s="464"/>
    </row>
    <row r="15" spans="1:56" s="525" customFormat="1"/>
    <row r="16" spans="1:56" s="860" customFormat="1">
      <c r="A16" s="860" t="s">
        <v>2861</v>
      </c>
      <c r="B16" s="862" t="s">
        <v>2036</v>
      </c>
      <c r="C16" s="864" t="s">
        <v>126</v>
      </c>
      <c r="D16" s="864" t="s">
        <v>1583</v>
      </c>
      <c r="E16" s="864" t="s">
        <v>4</v>
      </c>
      <c r="F16" s="864" t="s">
        <v>2860</v>
      </c>
      <c r="G16" s="864" t="s">
        <v>2859</v>
      </c>
      <c r="H16" s="864" t="s">
        <v>2858</v>
      </c>
      <c r="I16" s="864" t="s">
        <v>751</v>
      </c>
      <c r="J16" s="862" t="s">
        <v>274</v>
      </c>
      <c r="K16" s="862" t="s">
        <v>273</v>
      </c>
      <c r="L16" s="862" t="s">
        <v>116</v>
      </c>
      <c r="M16" s="862" t="s">
        <v>110</v>
      </c>
      <c r="N16" s="862" t="s">
        <v>276</v>
      </c>
      <c r="O16" s="864" t="s">
        <v>1311</v>
      </c>
      <c r="P16" s="862" t="s">
        <v>275</v>
      </c>
      <c r="Q16" s="862" t="s">
        <v>111</v>
      </c>
      <c r="R16" s="862" t="s">
        <v>2857</v>
      </c>
      <c r="S16" s="862" t="s">
        <v>747</v>
      </c>
      <c r="T16" s="864" t="s">
        <v>12</v>
      </c>
      <c r="U16" s="863" t="s">
        <v>948</v>
      </c>
      <c r="V16" s="862" t="s">
        <v>129</v>
      </c>
      <c r="W16" s="862" t="s">
        <v>220</v>
      </c>
      <c r="X16" s="862" t="s">
        <v>749</v>
      </c>
      <c r="Y16" s="862" t="s">
        <v>750</v>
      </c>
      <c r="Z16" s="876" t="s">
        <v>748</v>
      </c>
      <c r="AA16" s="875"/>
      <c r="BB16" s="861"/>
      <c r="BD16" s="861"/>
    </row>
    <row r="17" spans="1:56" s="525" customFormat="1">
      <c r="A17" s="525" t="s">
        <v>2078</v>
      </c>
      <c r="B17" s="856">
        <v>52</v>
      </c>
      <c r="C17" s="786" t="s">
        <v>2851</v>
      </c>
      <c r="D17" s="858" t="s">
        <v>2850</v>
      </c>
      <c r="E17" s="858" t="s">
        <v>2849</v>
      </c>
      <c r="F17" s="857">
        <v>10</v>
      </c>
      <c r="G17" s="857">
        <v>10</v>
      </c>
      <c r="H17" s="857">
        <f>L17*R17</f>
        <v>59.656653979999994</v>
      </c>
      <c r="I17" s="857">
        <f>F17/H17</f>
        <v>0.16762589473007519</v>
      </c>
      <c r="J17" s="467" t="s">
        <v>3143</v>
      </c>
      <c r="K17" s="703" t="s">
        <v>2848</v>
      </c>
      <c r="L17" s="467">
        <v>13.09</v>
      </c>
      <c r="M17" s="467">
        <v>6.84</v>
      </c>
      <c r="N17" s="468">
        <f>M17/L17</f>
        <v>0.52253628724216961</v>
      </c>
      <c r="O17" s="857">
        <v>10.119999999999999</v>
      </c>
      <c r="P17" s="468">
        <f>O17/L17</f>
        <v>0.77310924369747891</v>
      </c>
      <c r="Q17" s="467">
        <v>7</v>
      </c>
      <c r="R17" s="1474">
        <v>4.5574219999999999</v>
      </c>
      <c r="S17" s="959" t="s">
        <v>2847</v>
      </c>
      <c r="T17" s="854">
        <v>42860</v>
      </c>
      <c r="U17" s="946">
        <v>8.69</v>
      </c>
      <c r="V17" s="468">
        <f>((U17*(1+X17/10)+Y17/10)/O17)</f>
        <v>0.85869565217391308</v>
      </c>
      <c r="W17" s="467" t="s">
        <v>223</v>
      </c>
      <c r="X17" s="467">
        <v>0</v>
      </c>
      <c r="Y17" s="467">
        <v>0</v>
      </c>
      <c r="Z17" s="952" t="s">
        <v>2846</v>
      </c>
      <c r="AA17" s="931"/>
      <c r="BB17" s="934"/>
      <c r="BD17" s="933"/>
    </row>
    <row r="18" spans="1:56" s="525" customFormat="1"/>
    <row r="19" spans="1:56" s="525" customFormat="1">
      <c r="C19" s="867" t="s">
        <v>112</v>
      </c>
      <c r="D19" s="867" t="s">
        <v>113</v>
      </c>
      <c r="E19" s="867" t="s">
        <v>943</v>
      </c>
      <c r="F19" s="868" t="s">
        <v>411</v>
      </c>
      <c r="G19" s="868" t="s">
        <v>942</v>
      </c>
      <c r="H19" s="867" t="s">
        <v>231</v>
      </c>
    </row>
    <row r="20" spans="1:56" s="525" customFormat="1" ht="17" customHeight="1">
      <c r="C20" s="1598" t="s">
        <v>594</v>
      </c>
      <c r="D20" s="467">
        <v>10.89</v>
      </c>
      <c r="E20" s="468">
        <v>1.4157</v>
      </c>
      <c r="F20" s="958"/>
      <c r="G20" s="902">
        <v>1398.91</v>
      </c>
      <c r="H20" s="865">
        <v>1.41569692</v>
      </c>
    </row>
    <row r="21" spans="1:56" s="525" customFormat="1" ht="17" customHeight="1">
      <c r="C21" s="1598"/>
      <c r="D21" s="467">
        <v>8.89</v>
      </c>
      <c r="E21" s="468">
        <v>1.4224000000000001</v>
      </c>
      <c r="F21" s="958"/>
      <c r="G21" s="957"/>
      <c r="H21" s="956"/>
    </row>
    <row r="22" spans="1:56" s="525" customFormat="1" ht="17" customHeight="1">
      <c r="C22" s="1598"/>
      <c r="D22" s="467">
        <v>7.81</v>
      </c>
      <c r="E22" s="468">
        <v>2.343</v>
      </c>
      <c r="F22" s="958"/>
      <c r="G22" s="957"/>
      <c r="H22" s="956"/>
    </row>
    <row r="23" spans="1:56" s="525" customFormat="1">
      <c r="C23" s="467" t="s">
        <v>2931</v>
      </c>
      <c r="D23" s="467">
        <v>8.5</v>
      </c>
      <c r="E23" s="468">
        <v>1</v>
      </c>
      <c r="F23" s="958"/>
      <c r="G23" s="957"/>
      <c r="H23" s="956"/>
    </row>
    <row r="24" spans="1:56" s="525" customFormat="1">
      <c r="C24" s="467" t="s">
        <v>13</v>
      </c>
      <c r="D24" s="467">
        <v>9.0299999999999994</v>
      </c>
      <c r="E24" s="468">
        <v>1.2</v>
      </c>
      <c r="F24" s="467"/>
      <c r="G24" s="902"/>
      <c r="H24" s="865"/>
    </row>
    <row r="25" spans="1:56" s="525" customFormat="1">
      <c r="C25" s="467" t="s">
        <v>154</v>
      </c>
      <c r="D25" s="467">
        <v>8.8800000000000008</v>
      </c>
      <c r="E25" s="468">
        <v>1</v>
      </c>
      <c r="F25" s="467"/>
      <c r="G25" s="902"/>
      <c r="H25" s="865"/>
    </row>
    <row r="26" spans="1:56" s="525" customFormat="1">
      <c r="C26" s="1598" t="s">
        <v>3162</v>
      </c>
      <c r="D26" s="467">
        <v>9.65</v>
      </c>
      <c r="E26" s="468">
        <v>1</v>
      </c>
      <c r="F26" s="467"/>
      <c r="G26" s="902"/>
      <c r="H26" s="865"/>
    </row>
    <row r="27" spans="1:56" s="525" customFormat="1">
      <c r="C27" s="1598"/>
      <c r="D27" s="467">
        <v>8.75</v>
      </c>
      <c r="E27" s="468">
        <v>1.1000000000000001</v>
      </c>
      <c r="F27" s="467"/>
      <c r="G27" s="902"/>
      <c r="H27" s="865"/>
    </row>
    <row r="28" spans="1:56" s="525" customFormat="1">
      <c r="C28" s="1598"/>
      <c r="D28" s="467">
        <v>7.35</v>
      </c>
      <c r="E28" s="468">
        <v>1.2</v>
      </c>
      <c r="F28" s="467"/>
      <c r="G28" s="902"/>
      <c r="H28" s="865"/>
    </row>
    <row r="29" spans="1:56" s="525" customFormat="1">
      <c r="C29" s="467" t="s">
        <v>3161</v>
      </c>
      <c r="D29" s="467">
        <v>8</v>
      </c>
      <c r="E29" s="468">
        <v>1</v>
      </c>
      <c r="F29" s="467"/>
      <c r="G29" s="902"/>
      <c r="H29" s="865"/>
    </row>
    <row r="30" spans="1:56" s="525" customFormat="1">
      <c r="C30" s="1598" t="s">
        <v>3153</v>
      </c>
      <c r="D30" s="467">
        <v>12.12</v>
      </c>
      <c r="E30" s="468">
        <v>1</v>
      </c>
      <c r="F30" s="467"/>
      <c r="G30" s="902">
        <v>988.14</v>
      </c>
      <c r="H30" s="865">
        <v>0.99999768</v>
      </c>
    </row>
    <row r="31" spans="1:56" s="525" customFormat="1">
      <c r="C31" s="1598"/>
      <c r="D31" s="467">
        <v>10.02</v>
      </c>
      <c r="E31" s="468">
        <v>2</v>
      </c>
      <c r="F31" s="467"/>
      <c r="G31" s="902"/>
      <c r="H31" s="865"/>
    </row>
    <row r="32" spans="1:56" s="525" customFormat="1">
      <c r="C32" s="1598" t="s">
        <v>3160</v>
      </c>
      <c r="D32" s="467">
        <v>10.11</v>
      </c>
      <c r="E32" s="468">
        <v>1.1100000000000001</v>
      </c>
      <c r="F32" s="467"/>
      <c r="G32" s="902"/>
      <c r="H32" s="865"/>
    </row>
    <row r="33" spans="2:8" s="525" customFormat="1">
      <c r="C33" s="1598"/>
      <c r="D33" s="467">
        <v>9.61</v>
      </c>
      <c r="E33" s="468">
        <v>1.1499999999999999</v>
      </c>
      <c r="F33" s="467"/>
      <c r="G33" s="902"/>
      <c r="H33" s="865"/>
    </row>
    <row r="34" spans="2:8" s="525" customFormat="1" ht="17" customHeight="1">
      <c r="C34" s="1598" t="s">
        <v>128</v>
      </c>
      <c r="D34" s="467">
        <v>9.51</v>
      </c>
      <c r="E34" s="468">
        <v>1</v>
      </c>
      <c r="F34" s="467"/>
      <c r="G34" s="902"/>
      <c r="H34" s="865"/>
    </row>
    <row r="35" spans="2:8" s="525" customFormat="1" ht="17" customHeight="1">
      <c r="C35" s="1598"/>
      <c r="D35" s="467">
        <v>8.81</v>
      </c>
      <c r="E35" s="468">
        <v>1.1299999999999999</v>
      </c>
      <c r="F35" s="467"/>
      <c r="G35" s="902"/>
      <c r="H35" s="865"/>
    </row>
    <row r="36" spans="2:8" s="525" customFormat="1">
      <c r="C36" s="467" t="s">
        <v>136</v>
      </c>
      <c r="D36" s="467">
        <v>10.119999999999999</v>
      </c>
      <c r="E36" s="468">
        <v>1.2</v>
      </c>
      <c r="F36" s="467"/>
      <c r="G36" s="902">
        <v>518.1</v>
      </c>
      <c r="H36" s="865">
        <v>0.52431720000000004</v>
      </c>
    </row>
    <row r="37" spans="2:8" s="525" customFormat="1">
      <c r="C37" s="467" t="s">
        <v>371</v>
      </c>
      <c r="D37" s="467">
        <v>9.08</v>
      </c>
      <c r="E37" s="468">
        <v>1</v>
      </c>
      <c r="F37" s="467"/>
      <c r="G37" s="902"/>
      <c r="H37" s="865"/>
    </row>
    <row r="38" spans="2:8" s="525" customFormat="1">
      <c r="C38" s="467" t="s">
        <v>1028</v>
      </c>
      <c r="D38" s="467">
        <v>8.9499999999999993</v>
      </c>
      <c r="E38" s="468">
        <v>1</v>
      </c>
      <c r="F38" s="467"/>
      <c r="G38" s="902"/>
      <c r="H38" s="865"/>
    </row>
    <row r="39" spans="2:8" s="525" customFormat="1">
      <c r="C39" s="467" t="s">
        <v>336</v>
      </c>
      <c r="D39" s="467">
        <v>11.83</v>
      </c>
      <c r="E39" s="468">
        <v>1.1599999999999999</v>
      </c>
      <c r="F39" s="467"/>
      <c r="G39" s="902">
        <v>1146.24</v>
      </c>
      <c r="H39" s="865">
        <v>1.15999488</v>
      </c>
    </row>
    <row r="40" spans="2:8" s="525" customFormat="1">
      <c r="C40" s="467" t="s">
        <v>147</v>
      </c>
      <c r="D40" s="467">
        <v>8.7799999999999994</v>
      </c>
      <c r="E40" s="468">
        <v>1.7350000000000001</v>
      </c>
      <c r="F40" s="467"/>
      <c r="G40" s="902"/>
      <c r="H40" s="865"/>
    </row>
    <row r="41" spans="2:8" s="525" customFormat="1" ht="17" customHeight="1">
      <c r="C41" s="1598" t="s">
        <v>121</v>
      </c>
      <c r="D41" s="467">
        <v>11.83</v>
      </c>
      <c r="E41" s="468">
        <v>1</v>
      </c>
      <c r="F41" s="467"/>
      <c r="G41" s="902">
        <v>1679.84</v>
      </c>
      <c r="H41" s="865">
        <v>1.6999980800000001</v>
      </c>
    </row>
    <row r="42" spans="2:8" s="525" customFormat="1">
      <c r="C42" s="1598"/>
      <c r="D42" s="467">
        <v>11.47</v>
      </c>
      <c r="E42" s="468">
        <v>1.7</v>
      </c>
      <c r="F42" s="467"/>
      <c r="G42" s="902"/>
      <c r="H42" s="865"/>
    </row>
    <row r="43" spans="2:8" s="525" customFormat="1">
      <c r="C43" s="467" t="s">
        <v>576</v>
      </c>
      <c r="D43" s="467">
        <v>8.41</v>
      </c>
      <c r="E43" s="468">
        <v>1</v>
      </c>
      <c r="F43" s="467"/>
      <c r="G43" s="902"/>
      <c r="H43" s="865"/>
    </row>
    <row r="44" spans="2:8" s="525" customFormat="1">
      <c r="B44" s="883"/>
      <c r="C44" s="467" t="s">
        <v>505</v>
      </c>
      <c r="D44" s="467">
        <v>9.48</v>
      </c>
      <c r="E44" s="468">
        <v>1</v>
      </c>
      <c r="F44" s="467"/>
      <c r="G44" s="902"/>
      <c r="H44" s="865"/>
    </row>
    <row r="45" spans="2:8" s="525" customFormat="1">
      <c r="B45" s="883"/>
      <c r="C45" s="1598" t="s">
        <v>1861</v>
      </c>
      <c r="D45" s="467">
        <v>10.84</v>
      </c>
      <c r="E45" s="468">
        <v>3.1</v>
      </c>
      <c r="F45" s="467"/>
      <c r="G45" s="902">
        <v>3063.24</v>
      </c>
      <c r="H45" s="865">
        <v>3.0999988799999998</v>
      </c>
    </row>
    <row r="46" spans="2:8" s="525" customFormat="1">
      <c r="B46" s="883"/>
      <c r="C46" s="1598"/>
      <c r="D46" s="467">
        <v>10.11</v>
      </c>
      <c r="E46" s="468">
        <v>5.3250000000000002</v>
      </c>
      <c r="F46" s="467"/>
      <c r="G46" s="902"/>
      <c r="H46" s="865"/>
    </row>
    <row r="47" spans="2:8" s="525" customFormat="1">
      <c r="B47" s="883"/>
      <c r="C47" s="1598"/>
      <c r="D47" s="467">
        <v>9.48</v>
      </c>
      <c r="E47" s="468">
        <v>7.91</v>
      </c>
      <c r="F47" s="467"/>
      <c r="G47" s="902"/>
      <c r="H47" s="865"/>
    </row>
    <row r="48" spans="2:8" s="525" customFormat="1">
      <c r="C48" s="467" t="s">
        <v>3159</v>
      </c>
      <c r="D48" s="467">
        <v>10.130000000000001</v>
      </c>
      <c r="E48" s="468">
        <v>1.1000000000000001</v>
      </c>
      <c r="F48" s="467"/>
      <c r="G48" s="902">
        <v>1086.95</v>
      </c>
      <c r="H48" s="865">
        <v>1.0999934</v>
      </c>
    </row>
    <row r="49" spans="1:56" s="525" customFormat="1">
      <c r="B49" s="901"/>
      <c r="C49" s="467" t="s">
        <v>3158</v>
      </c>
      <c r="D49" s="467">
        <v>8</v>
      </c>
      <c r="E49" s="468">
        <v>1</v>
      </c>
      <c r="F49" s="467"/>
      <c r="G49" s="467"/>
      <c r="H49" s="467"/>
    </row>
    <row r="50" spans="1:56" s="525" customFormat="1">
      <c r="B50" s="901"/>
      <c r="E50" s="869"/>
    </row>
    <row r="51" spans="1:56" s="860" customFormat="1">
      <c r="A51" s="860" t="s">
        <v>2861</v>
      </c>
      <c r="B51" s="862" t="s">
        <v>2036</v>
      </c>
      <c r="C51" s="864" t="s">
        <v>126</v>
      </c>
      <c r="D51" s="864" t="s">
        <v>1583</v>
      </c>
      <c r="E51" s="864" t="s">
        <v>4</v>
      </c>
      <c r="F51" s="864" t="s">
        <v>2860</v>
      </c>
      <c r="G51" s="864" t="s">
        <v>2859</v>
      </c>
      <c r="H51" s="864" t="s">
        <v>2858</v>
      </c>
      <c r="I51" s="864" t="s">
        <v>751</v>
      </c>
      <c r="J51" s="862" t="s">
        <v>274</v>
      </c>
      <c r="K51" s="862" t="s">
        <v>273</v>
      </c>
      <c r="L51" s="862" t="s">
        <v>116</v>
      </c>
      <c r="M51" s="862" t="s">
        <v>110</v>
      </c>
      <c r="N51" s="862" t="s">
        <v>276</v>
      </c>
      <c r="O51" s="864" t="s">
        <v>1311</v>
      </c>
      <c r="P51" s="862" t="s">
        <v>275</v>
      </c>
      <c r="Q51" s="862" t="s">
        <v>111</v>
      </c>
      <c r="R51" s="862" t="s">
        <v>2857</v>
      </c>
      <c r="S51" s="862" t="s">
        <v>747</v>
      </c>
      <c r="T51" s="864" t="s">
        <v>12</v>
      </c>
      <c r="U51" s="863" t="s">
        <v>948</v>
      </c>
      <c r="V51" s="862" t="s">
        <v>129</v>
      </c>
      <c r="W51" s="862" t="s">
        <v>220</v>
      </c>
      <c r="X51" s="862" t="s">
        <v>749</v>
      </c>
      <c r="Y51" s="862" t="s">
        <v>750</v>
      </c>
      <c r="Z51" s="876" t="s">
        <v>748</v>
      </c>
      <c r="AA51" s="875"/>
      <c r="BB51" s="861"/>
      <c r="BD51" s="861"/>
    </row>
    <row r="52" spans="1:56" s="525" customFormat="1">
      <c r="A52" s="525" t="s">
        <v>2078</v>
      </c>
      <c r="B52" s="856">
        <v>53</v>
      </c>
      <c r="C52" s="786" t="s">
        <v>2845</v>
      </c>
      <c r="D52" s="858" t="s">
        <v>2844</v>
      </c>
      <c r="E52" s="853" t="s">
        <v>2843</v>
      </c>
      <c r="F52" s="855">
        <v>2.3959959999999998</v>
      </c>
      <c r="G52" s="855">
        <v>2.3959957489999999</v>
      </c>
      <c r="H52" s="857">
        <f>L52*R52</f>
        <v>80.380579651000019</v>
      </c>
      <c r="I52" s="857">
        <f>F52/H52</f>
        <v>2.9808145330663723E-2</v>
      </c>
      <c r="J52" s="467" t="s">
        <v>3157</v>
      </c>
      <c r="K52" s="467" t="s">
        <v>2125</v>
      </c>
      <c r="L52" s="955">
        <v>36.700000000000003</v>
      </c>
      <c r="M52" s="467">
        <v>31.83</v>
      </c>
      <c r="N52" s="468">
        <f>M52/L52</f>
        <v>0.86730245231607617</v>
      </c>
      <c r="O52" s="855">
        <v>33.85</v>
      </c>
      <c r="P52" s="468">
        <f>O52/L52</f>
        <v>0.92234332425068122</v>
      </c>
      <c r="Q52" s="467">
        <v>3</v>
      </c>
      <c r="R52" s="468">
        <v>2.1902065300000002</v>
      </c>
      <c r="S52" s="784" t="s">
        <v>2842</v>
      </c>
      <c r="T52" s="854">
        <v>42865</v>
      </c>
      <c r="U52" s="946">
        <v>15.66</v>
      </c>
      <c r="V52" s="468">
        <f>((U52*(1+X52/10)+Y52/10)/O52)</f>
        <v>0.46262924667651401</v>
      </c>
      <c r="W52" s="954" t="s">
        <v>2841</v>
      </c>
      <c r="X52" s="953"/>
      <c r="Y52" s="953"/>
      <c r="Z52" s="952" t="s">
        <v>2122</v>
      </c>
      <c r="AA52" s="931"/>
      <c r="BB52" s="934"/>
      <c r="BD52" s="933"/>
    </row>
    <row r="53" spans="1:56" s="525" customFormat="1">
      <c r="C53" s="867" t="s">
        <v>112</v>
      </c>
      <c r="D53" s="867" t="s">
        <v>113</v>
      </c>
      <c r="E53" s="867" t="s">
        <v>943</v>
      </c>
      <c r="F53" s="868" t="s">
        <v>411</v>
      </c>
      <c r="G53" s="868" t="s">
        <v>942</v>
      </c>
      <c r="H53" s="867" t="s">
        <v>231</v>
      </c>
    </row>
    <row r="54" spans="1:56" s="525" customFormat="1">
      <c r="C54" s="734" t="s">
        <v>336</v>
      </c>
      <c r="D54" s="732">
        <v>34</v>
      </c>
      <c r="E54" s="730">
        <v>2</v>
      </c>
      <c r="F54" s="951"/>
      <c r="G54" s="877">
        <f>5908419/10000</f>
        <v>590.84190000000001</v>
      </c>
      <c r="H54" s="730">
        <f>199999983.15/100000000</f>
        <v>1.9999998315</v>
      </c>
    </row>
    <row r="55" spans="1:56" s="525" customFormat="1">
      <c r="C55" s="1531" t="s">
        <v>147</v>
      </c>
      <c r="D55" s="732">
        <v>32.93</v>
      </c>
      <c r="E55" s="730">
        <v>1.145</v>
      </c>
      <c r="F55" s="951"/>
      <c r="G55" s="467"/>
      <c r="H55" s="467"/>
    </row>
    <row r="56" spans="1:56" s="525" customFormat="1">
      <c r="C56" s="1531"/>
      <c r="D56" s="732">
        <v>32.43</v>
      </c>
      <c r="E56" s="730">
        <v>1.7450000000000001</v>
      </c>
      <c r="F56" s="951"/>
      <c r="G56" s="467"/>
      <c r="H56" s="467"/>
    </row>
    <row r="57" spans="1:56" s="525" customFormat="1">
      <c r="C57" s="1531" t="s">
        <v>115</v>
      </c>
      <c r="D57" s="732">
        <v>33.85</v>
      </c>
      <c r="E57" s="730">
        <v>1</v>
      </c>
      <c r="F57" s="951"/>
      <c r="G57" s="877">
        <f>462028/10000</f>
        <v>46.202800000000003</v>
      </c>
      <c r="H57" s="730">
        <f>15639647.8/100000000</f>
        <v>0.15639647800000001</v>
      </c>
    </row>
    <row r="58" spans="1:56" s="525" customFormat="1">
      <c r="C58" s="1531"/>
      <c r="D58" s="732">
        <v>32</v>
      </c>
      <c r="E58" s="730">
        <v>1.42</v>
      </c>
      <c r="F58" s="951"/>
      <c r="G58" s="951"/>
      <c r="H58" s="856"/>
    </row>
    <row r="59" spans="1:56" s="525" customFormat="1">
      <c r="C59" s="1531"/>
      <c r="D59" s="732">
        <v>31.83</v>
      </c>
      <c r="E59" s="730">
        <v>2.0699999999999998</v>
      </c>
      <c r="F59" s="951"/>
      <c r="G59" s="951"/>
      <c r="H59" s="856"/>
    </row>
    <row r="60" spans="1:56" s="525" customFormat="1">
      <c r="C60" s="734" t="s">
        <v>3602</v>
      </c>
      <c r="D60" s="734" t="s">
        <v>294</v>
      </c>
      <c r="E60" s="734" t="s">
        <v>294</v>
      </c>
      <c r="F60" s="951"/>
      <c r="G60" s="877">
        <f>707827/10000</f>
        <v>70.782700000000006</v>
      </c>
      <c r="H60" s="730">
        <f>23959943.95/100000000</f>
        <v>0.23959943949999998</v>
      </c>
    </row>
    <row r="61" spans="1:56" s="525" customFormat="1">
      <c r="C61" s="923"/>
      <c r="D61" s="923"/>
      <c r="E61" s="923"/>
      <c r="F61" s="950"/>
      <c r="G61" s="950"/>
      <c r="H61" s="923"/>
    </row>
    <row r="62" spans="1:56" s="525" customFormat="1">
      <c r="C62" s="923"/>
      <c r="D62" s="923"/>
      <c r="E62" s="923"/>
      <c r="F62" s="950"/>
      <c r="G62" s="950"/>
      <c r="H62" s="923"/>
    </row>
    <row r="63" spans="1:56" s="525" customFormat="1">
      <c r="C63" s="923"/>
      <c r="D63" s="923"/>
      <c r="E63" s="923"/>
      <c r="F63" s="950"/>
      <c r="G63" s="950"/>
      <c r="H63" s="923"/>
    </row>
    <row r="64" spans="1:56" s="525" customFormat="1">
      <c r="C64" s="923"/>
      <c r="D64" s="923"/>
      <c r="E64" s="923"/>
      <c r="F64" s="950"/>
      <c r="G64" s="950"/>
      <c r="H64" s="923"/>
    </row>
    <row r="65" spans="1:56" s="525" customFormat="1"/>
    <row r="66" spans="1:56" s="525" customFormat="1"/>
    <row r="67" spans="1:56" s="860" customFormat="1">
      <c r="A67" s="860" t="s">
        <v>2861</v>
      </c>
      <c r="B67" s="862" t="s">
        <v>2036</v>
      </c>
      <c r="C67" s="864" t="s">
        <v>126</v>
      </c>
      <c r="D67" s="864" t="s">
        <v>1583</v>
      </c>
      <c r="E67" s="864" t="s">
        <v>4</v>
      </c>
      <c r="F67" s="864" t="s">
        <v>2860</v>
      </c>
      <c r="G67" s="864" t="s">
        <v>2859</v>
      </c>
      <c r="H67" s="864" t="s">
        <v>2858</v>
      </c>
      <c r="I67" s="864" t="s">
        <v>751</v>
      </c>
      <c r="J67" s="862" t="s">
        <v>274</v>
      </c>
      <c r="K67" s="862" t="s">
        <v>273</v>
      </c>
      <c r="L67" s="862" t="s">
        <v>116</v>
      </c>
      <c r="M67" s="862" t="s">
        <v>110</v>
      </c>
      <c r="N67" s="862" t="s">
        <v>276</v>
      </c>
      <c r="O67" s="864" t="s">
        <v>1311</v>
      </c>
      <c r="P67" s="862" t="s">
        <v>275</v>
      </c>
      <c r="Q67" s="862" t="s">
        <v>111</v>
      </c>
      <c r="R67" s="862" t="s">
        <v>2857</v>
      </c>
      <c r="S67" s="862" t="s">
        <v>747</v>
      </c>
      <c r="T67" s="864" t="s">
        <v>12</v>
      </c>
      <c r="U67" s="863" t="s">
        <v>948</v>
      </c>
      <c r="V67" s="862" t="s">
        <v>129</v>
      </c>
      <c r="W67" s="862" t="s">
        <v>220</v>
      </c>
      <c r="X67" s="862" t="s">
        <v>749</v>
      </c>
      <c r="Y67" s="862" t="s">
        <v>750</v>
      </c>
      <c r="Z67" s="876" t="s">
        <v>748</v>
      </c>
      <c r="AA67" s="875"/>
      <c r="BB67" s="861"/>
      <c r="BD67" s="861"/>
    </row>
    <row r="68" spans="1:56" s="525" customFormat="1">
      <c r="A68" s="946" t="s">
        <v>2078</v>
      </c>
      <c r="B68" s="1414">
        <v>54</v>
      </c>
      <c r="C68" s="1437" t="s">
        <v>2840</v>
      </c>
      <c r="D68" s="949" t="s">
        <v>2839</v>
      </c>
      <c r="E68" s="949" t="s">
        <v>2838</v>
      </c>
      <c r="F68" s="948">
        <v>16.579999999999998</v>
      </c>
      <c r="G68" s="947">
        <v>16.579999999999998</v>
      </c>
      <c r="H68" s="870">
        <f>L68*R68</f>
        <v>97.181020000000004</v>
      </c>
      <c r="I68" s="925">
        <f>F68/H68</f>
        <v>0.17060944616551665</v>
      </c>
      <c r="J68" s="946" t="s">
        <v>3156</v>
      </c>
      <c r="K68" s="946" t="s">
        <v>2125</v>
      </c>
      <c r="L68" s="946">
        <v>43.25</v>
      </c>
      <c r="M68" s="946">
        <v>18.37</v>
      </c>
      <c r="N68" s="896">
        <f>M68/L68</f>
        <v>0.42473988439306359</v>
      </c>
      <c r="O68" s="925">
        <v>35.979999999999997</v>
      </c>
      <c r="P68" s="896">
        <f>O68/L68</f>
        <v>0.83190751445086697</v>
      </c>
      <c r="Q68" s="856">
        <v>7</v>
      </c>
      <c r="R68" s="946">
        <v>2.2469600000000001</v>
      </c>
      <c r="S68" s="1469" t="s">
        <v>2837</v>
      </c>
      <c r="T68" s="852">
        <v>42863</v>
      </c>
      <c r="U68" s="945">
        <v>30.06</v>
      </c>
      <c r="V68" s="869">
        <f>((U68*(1+X68/10)+Y68/10)/O68)</f>
        <v>0.84380211228460267</v>
      </c>
      <c r="W68" s="525" t="s">
        <v>2322</v>
      </c>
      <c r="X68" s="525">
        <v>0</v>
      </c>
      <c r="Y68" s="525">
        <v>3</v>
      </c>
      <c r="Z68" s="851" t="s">
        <v>2122</v>
      </c>
      <c r="BB68" s="852"/>
      <c r="BD68" s="851"/>
    </row>
    <row r="69" spans="1:56" s="525" customFormat="1">
      <c r="C69" s="867" t="s">
        <v>112</v>
      </c>
      <c r="D69" s="867" t="s">
        <v>113</v>
      </c>
      <c r="E69" s="867" t="s">
        <v>943</v>
      </c>
      <c r="F69" s="868" t="s">
        <v>411</v>
      </c>
      <c r="G69" s="868" t="s">
        <v>942</v>
      </c>
      <c r="H69" s="867" t="s">
        <v>231</v>
      </c>
    </row>
    <row r="70" spans="1:56" s="525" customFormat="1">
      <c r="C70" s="467" t="s">
        <v>3155</v>
      </c>
      <c r="D70" s="944"/>
      <c r="E70" s="944"/>
      <c r="F70" s="467"/>
      <c r="G70" s="902">
        <v>460.82</v>
      </c>
      <c r="H70" s="902">
        <v>1.6580303599999999</v>
      </c>
    </row>
    <row r="71" spans="1:56" s="525" customFormat="1">
      <c r="C71" s="467" t="s">
        <v>594</v>
      </c>
      <c r="D71" s="944"/>
      <c r="E71" s="944"/>
      <c r="F71" s="467"/>
      <c r="G71" s="902">
        <v>1050.58</v>
      </c>
      <c r="H71" s="902">
        <v>3.7799868399999998</v>
      </c>
    </row>
    <row r="72" spans="1:56" s="525" customFormat="1">
      <c r="C72" s="467" t="s">
        <v>3154</v>
      </c>
      <c r="D72" s="944"/>
      <c r="E72" s="944"/>
      <c r="F72" s="467"/>
      <c r="G72" s="902">
        <v>1000.55</v>
      </c>
      <c r="H72" s="902">
        <v>3.5999789</v>
      </c>
    </row>
    <row r="73" spans="1:56" s="525" customFormat="1">
      <c r="C73" s="467" t="s">
        <v>3153</v>
      </c>
      <c r="D73" s="944"/>
      <c r="E73" s="944"/>
      <c r="F73" s="467"/>
      <c r="G73" s="902">
        <v>500.27</v>
      </c>
      <c r="H73" s="902">
        <v>1.7999714600000001</v>
      </c>
    </row>
    <row r="74" spans="1:56" s="525" customFormat="1">
      <c r="C74" s="467" t="s">
        <v>3152</v>
      </c>
      <c r="D74" s="944"/>
      <c r="E74" s="944"/>
      <c r="F74" s="467"/>
      <c r="G74" s="902">
        <v>583.65</v>
      </c>
      <c r="H74" s="902">
        <v>2.0999726999999999</v>
      </c>
    </row>
    <row r="75" spans="1:56" s="525" customFormat="1">
      <c r="C75" s="467" t="s">
        <v>1861</v>
      </c>
      <c r="D75" s="944"/>
      <c r="E75" s="944"/>
      <c r="F75" s="467"/>
      <c r="G75" s="902">
        <v>767.92</v>
      </c>
      <c r="H75" s="902">
        <v>2.76297616</v>
      </c>
    </row>
    <row r="76" spans="1:56" s="525" customFormat="1">
      <c r="C76" s="467" t="s">
        <v>3151</v>
      </c>
      <c r="D76" s="944"/>
      <c r="E76" s="944"/>
      <c r="F76" s="467"/>
      <c r="G76" s="902">
        <v>244.32</v>
      </c>
      <c r="H76" s="902">
        <v>0.87906335999999996</v>
      </c>
    </row>
    <row r="77" spans="1:56" s="525" customFormat="1"/>
    <row r="78" spans="1:56" s="860" customFormat="1">
      <c r="A78" s="860" t="s">
        <v>2861</v>
      </c>
      <c r="B78" s="862" t="s">
        <v>2036</v>
      </c>
      <c r="C78" s="864" t="s">
        <v>126</v>
      </c>
      <c r="D78" s="864" t="s">
        <v>1583</v>
      </c>
      <c r="E78" s="864" t="s">
        <v>4</v>
      </c>
      <c r="F78" s="864" t="s">
        <v>2860</v>
      </c>
      <c r="G78" s="864" t="s">
        <v>2859</v>
      </c>
      <c r="H78" s="864" t="s">
        <v>2858</v>
      </c>
      <c r="I78" s="864" t="s">
        <v>751</v>
      </c>
      <c r="J78" s="862" t="s">
        <v>274</v>
      </c>
      <c r="K78" s="862" t="s">
        <v>273</v>
      </c>
      <c r="L78" s="862" t="s">
        <v>116</v>
      </c>
      <c r="M78" s="862" t="s">
        <v>110</v>
      </c>
      <c r="N78" s="862" t="s">
        <v>276</v>
      </c>
      <c r="O78" s="864" t="s">
        <v>1311</v>
      </c>
      <c r="P78" s="862" t="s">
        <v>275</v>
      </c>
      <c r="Q78" s="862" t="s">
        <v>111</v>
      </c>
      <c r="R78" s="862" t="s">
        <v>2857</v>
      </c>
      <c r="S78" s="862" t="s">
        <v>747</v>
      </c>
      <c r="T78" s="864" t="s">
        <v>12</v>
      </c>
      <c r="U78" s="863" t="s">
        <v>948</v>
      </c>
      <c r="V78" s="862" t="s">
        <v>129</v>
      </c>
      <c r="W78" s="862" t="s">
        <v>220</v>
      </c>
      <c r="X78" s="862" t="s">
        <v>749</v>
      </c>
      <c r="Y78" s="862" t="s">
        <v>750</v>
      </c>
      <c r="Z78" s="876" t="s">
        <v>748</v>
      </c>
      <c r="AA78" s="875"/>
      <c r="BB78" s="861"/>
      <c r="BD78" s="861"/>
    </row>
    <row r="79" spans="1:56" s="525" customFormat="1">
      <c r="A79" s="525" t="s">
        <v>2078</v>
      </c>
      <c r="B79" s="856">
        <v>55</v>
      </c>
      <c r="C79" s="1468" t="s">
        <v>2836</v>
      </c>
      <c r="D79" s="889" t="s">
        <v>2835</v>
      </c>
      <c r="E79" s="889" t="s">
        <v>2834</v>
      </c>
      <c r="F79" s="888">
        <v>4.45</v>
      </c>
      <c r="G79" s="887">
        <v>4.45</v>
      </c>
      <c r="H79" s="872">
        <f>L79*R79</f>
        <v>108.491292</v>
      </c>
      <c r="I79" s="855">
        <f>F79/H79</f>
        <v>4.1017116839202172E-2</v>
      </c>
      <c r="J79" s="885" t="s">
        <v>3120</v>
      </c>
      <c r="K79" s="885" t="s">
        <v>2089</v>
      </c>
      <c r="L79" s="885">
        <v>14.94</v>
      </c>
      <c r="M79" s="856">
        <v>11.96</v>
      </c>
      <c r="N79" s="869">
        <f>M79/L79</f>
        <v>0.80053547523427049</v>
      </c>
      <c r="O79" s="870">
        <v>12.18</v>
      </c>
      <c r="P79" s="869">
        <f>O79/L79</f>
        <v>0.81526104417670686</v>
      </c>
      <c r="Q79" s="525">
        <v>5</v>
      </c>
      <c r="R79" s="869">
        <v>7.2618</v>
      </c>
      <c r="S79" s="1470" t="s">
        <v>2833</v>
      </c>
      <c r="T79" s="852">
        <v>42863</v>
      </c>
      <c r="U79" s="525">
        <v>9.09</v>
      </c>
      <c r="V79" s="869">
        <f>((U79*(1+X79/10)+Y79/10)/O79)</f>
        <v>0.74630541871921185</v>
      </c>
      <c r="W79" s="525" t="s">
        <v>223</v>
      </c>
      <c r="X79" s="525">
        <v>0</v>
      </c>
      <c r="Y79" s="525">
        <v>0</v>
      </c>
      <c r="Z79" s="851" t="s">
        <v>2192</v>
      </c>
      <c r="BB79" s="852"/>
      <c r="BD79" s="851"/>
    </row>
    <row r="80" spans="1:56" s="525" customFormat="1">
      <c r="C80" s="867" t="s">
        <v>112</v>
      </c>
      <c r="D80" s="867" t="s">
        <v>113</v>
      </c>
      <c r="E80" s="867" t="s">
        <v>943</v>
      </c>
      <c r="F80" s="868" t="s">
        <v>411</v>
      </c>
      <c r="G80" s="868" t="s">
        <v>942</v>
      </c>
      <c r="H80" s="867" t="s">
        <v>231</v>
      </c>
    </row>
    <row r="81" spans="1:56" s="525" customFormat="1">
      <c r="C81" s="467" t="s">
        <v>3150</v>
      </c>
      <c r="D81" s="467">
        <v>15.88</v>
      </c>
      <c r="E81" s="865">
        <v>1.36</v>
      </c>
      <c r="F81" s="467"/>
      <c r="G81" s="866">
        <v>1116.5844999999999</v>
      </c>
      <c r="H81" s="865">
        <v>1.3599999199999999</v>
      </c>
    </row>
    <row r="82" spans="1:56" s="525" customFormat="1">
      <c r="C82" s="467"/>
      <c r="D82" s="467">
        <v>14.48</v>
      </c>
      <c r="E82" s="865">
        <v>1.36</v>
      </c>
      <c r="F82" s="467"/>
      <c r="G82" s="467"/>
      <c r="H82" s="865"/>
    </row>
    <row r="83" spans="1:56" s="525" customFormat="1">
      <c r="C83" s="467"/>
      <c r="D83" s="467">
        <v>13.68</v>
      </c>
      <c r="E83" s="865">
        <v>1.36</v>
      </c>
      <c r="F83" s="467"/>
      <c r="G83" s="467"/>
      <c r="H83" s="865"/>
    </row>
    <row r="84" spans="1:56" s="525" customFormat="1">
      <c r="C84" s="467" t="s">
        <v>3149</v>
      </c>
      <c r="D84" s="467">
        <v>13.58</v>
      </c>
      <c r="E84" s="865">
        <v>0.44500000000000001</v>
      </c>
      <c r="F84" s="467"/>
      <c r="G84" s="866">
        <v>365.35300000000001</v>
      </c>
      <c r="H84" s="865">
        <v>0.44499995399999998</v>
      </c>
    </row>
    <row r="85" spans="1:56" s="525" customFormat="1">
      <c r="C85" s="467" t="s">
        <v>3148</v>
      </c>
      <c r="D85" s="467">
        <v>13.02</v>
      </c>
      <c r="E85" s="865">
        <v>0.8</v>
      </c>
      <c r="F85" s="467"/>
      <c r="G85" s="866">
        <v>656.81439999999998</v>
      </c>
      <c r="H85" s="865">
        <v>0.79999993920000001</v>
      </c>
    </row>
    <row r="86" spans="1:56" s="525" customFormat="1">
      <c r="C86" s="467" t="s">
        <v>3144</v>
      </c>
      <c r="D86" s="467">
        <v>13.01</v>
      </c>
      <c r="E86" s="865">
        <v>0.5</v>
      </c>
      <c r="F86" s="467"/>
      <c r="G86" s="866">
        <v>492.61079999999998</v>
      </c>
      <c r="H86" s="865">
        <v>0.59999995439999998</v>
      </c>
    </row>
    <row r="87" spans="1:56" s="525" customFormat="1">
      <c r="C87" s="467"/>
      <c r="D87" s="467">
        <v>12.51</v>
      </c>
      <c r="E87" s="865">
        <v>0.6</v>
      </c>
      <c r="F87" s="467"/>
      <c r="G87" s="467"/>
      <c r="H87" s="865"/>
    </row>
    <row r="88" spans="1:56" s="525" customFormat="1">
      <c r="C88" s="467"/>
      <c r="D88" s="467">
        <v>12.11</v>
      </c>
      <c r="E88" s="865">
        <v>0.8</v>
      </c>
      <c r="F88" s="467"/>
      <c r="G88" s="467"/>
      <c r="H88" s="865"/>
    </row>
    <row r="89" spans="1:56" s="525" customFormat="1">
      <c r="C89" s="467" t="s">
        <v>1861</v>
      </c>
      <c r="D89" s="467">
        <v>12.95</v>
      </c>
      <c r="E89" s="865">
        <v>1.03</v>
      </c>
      <c r="F89" s="467"/>
      <c r="G89" s="866">
        <v>1022.1676</v>
      </c>
      <c r="H89" s="865">
        <v>1.2450001368000001</v>
      </c>
    </row>
    <row r="90" spans="1:56" s="525" customFormat="1">
      <c r="C90" s="467"/>
      <c r="D90" s="467">
        <v>12.18</v>
      </c>
      <c r="E90" s="865">
        <v>2.3679999999999999</v>
      </c>
      <c r="F90" s="467"/>
      <c r="G90" s="467"/>
      <c r="H90" s="943"/>
    </row>
    <row r="91" spans="1:56" s="525" customFormat="1">
      <c r="C91" s="467"/>
      <c r="D91" s="467">
        <v>11.96</v>
      </c>
      <c r="E91" s="865">
        <v>2.9079999999999999</v>
      </c>
      <c r="F91" s="467"/>
      <c r="G91" s="467"/>
      <c r="H91" s="467"/>
    </row>
    <row r="92" spans="1:56" s="525" customFormat="1">
      <c r="C92" s="467" t="s">
        <v>3147</v>
      </c>
      <c r="D92" s="467">
        <v>12.05</v>
      </c>
      <c r="E92" s="865">
        <v>0.44585000000000002</v>
      </c>
      <c r="F92" s="467"/>
      <c r="G92" s="467"/>
      <c r="H92" s="467"/>
    </row>
    <row r="93" spans="1:56" s="525" customFormat="1">
      <c r="C93" s="467"/>
      <c r="D93" s="467">
        <v>11.98</v>
      </c>
      <c r="E93" s="865">
        <v>0.77869999999999995</v>
      </c>
      <c r="F93" s="467"/>
      <c r="G93" s="467"/>
      <c r="H93" s="467"/>
    </row>
    <row r="94" spans="1:56" s="525" customFormat="1"/>
    <row r="95" spans="1:56" s="860" customFormat="1">
      <c r="A95" s="860" t="s">
        <v>2861</v>
      </c>
      <c r="B95" s="862" t="s">
        <v>2036</v>
      </c>
      <c r="C95" s="864" t="s">
        <v>126</v>
      </c>
      <c r="D95" s="864" t="s">
        <v>1583</v>
      </c>
      <c r="E95" s="864" t="s">
        <v>4</v>
      </c>
      <c r="F95" s="864" t="s">
        <v>2860</v>
      </c>
      <c r="G95" s="864" t="s">
        <v>2859</v>
      </c>
      <c r="H95" s="864" t="s">
        <v>2858</v>
      </c>
      <c r="I95" s="864" t="s">
        <v>751</v>
      </c>
      <c r="J95" s="862" t="s">
        <v>274</v>
      </c>
      <c r="K95" s="862" t="s">
        <v>273</v>
      </c>
      <c r="L95" s="862" t="s">
        <v>116</v>
      </c>
      <c r="M95" s="862" t="s">
        <v>110</v>
      </c>
      <c r="N95" s="862" t="s">
        <v>276</v>
      </c>
      <c r="O95" s="864" t="s">
        <v>1311</v>
      </c>
      <c r="P95" s="862" t="s">
        <v>275</v>
      </c>
      <c r="Q95" s="862" t="s">
        <v>111</v>
      </c>
      <c r="R95" s="862" t="s">
        <v>2857</v>
      </c>
      <c r="S95" s="862" t="s">
        <v>747</v>
      </c>
      <c r="T95" s="864" t="s">
        <v>12</v>
      </c>
      <c r="U95" s="863" t="s">
        <v>948</v>
      </c>
      <c r="V95" s="862" t="s">
        <v>129</v>
      </c>
      <c r="W95" s="862" t="s">
        <v>220</v>
      </c>
      <c r="X95" s="862" t="s">
        <v>749</v>
      </c>
      <c r="Y95" s="862" t="s">
        <v>750</v>
      </c>
      <c r="Z95" s="876" t="s">
        <v>748</v>
      </c>
      <c r="AA95" s="875"/>
      <c r="BB95" s="861"/>
      <c r="BD95" s="861"/>
    </row>
    <row r="96" spans="1:56" s="525" customFormat="1">
      <c r="A96" s="856" t="s">
        <v>2078</v>
      </c>
      <c r="B96" s="1414">
        <v>56</v>
      </c>
      <c r="C96" s="1437" t="s">
        <v>2832</v>
      </c>
      <c r="D96" s="873" t="s">
        <v>2831</v>
      </c>
      <c r="E96" s="873" t="s">
        <v>2830</v>
      </c>
      <c r="F96" s="872">
        <v>6.63</v>
      </c>
      <c r="G96" s="870">
        <v>6.63</v>
      </c>
      <c r="H96" s="870">
        <f>L96*R96</f>
        <v>167.21954656329999</v>
      </c>
      <c r="I96" s="855">
        <f>F96/H96</f>
        <v>3.9648474931668662E-2</v>
      </c>
      <c r="J96" s="467" t="s">
        <v>3146</v>
      </c>
      <c r="K96" s="856" t="s">
        <v>2125</v>
      </c>
      <c r="L96" s="467">
        <v>40.39</v>
      </c>
      <c r="M96" s="467">
        <v>33.24</v>
      </c>
      <c r="N96" s="468">
        <f>M96/L96</f>
        <v>0.82297598415449369</v>
      </c>
      <c r="O96" s="925">
        <v>34.5</v>
      </c>
      <c r="P96" s="468">
        <f>O96/L96</f>
        <v>0.85417182470908637</v>
      </c>
      <c r="Q96" s="856">
        <v>2</v>
      </c>
      <c r="R96" s="1473">
        <v>4.1401224699999997</v>
      </c>
      <c r="S96" s="784" t="s">
        <v>2829</v>
      </c>
      <c r="T96" s="852">
        <v>42893</v>
      </c>
      <c r="U96" s="525">
        <v>50.31</v>
      </c>
      <c r="V96" s="869">
        <f>((U96*(1+X96/10)+Y96/10)/O96)</f>
        <v>1.6046666666666669</v>
      </c>
      <c r="W96" s="525" t="s">
        <v>2828</v>
      </c>
      <c r="X96" s="525">
        <v>1</v>
      </c>
      <c r="Y96" s="525">
        <v>0.2</v>
      </c>
      <c r="Z96" s="851" t="s">
        <v>2436</v>
      </c>
      <c r="BB96" s="852"/>
      <c r="BD96" s="851"/>
    </row>
    <row r="97" spans="1:56" s="525" customFormat="1">
      <c r="C97" s="867" t="s">
        <v>112</v>
      </c>
      <c r="D97" s="867" t="s">
        <v>113</v>
      </c>
      <c r="E97" s="867" t="s">
        <v>943</v>
      </c>
      <c r="F97" s="868" t="s">
        <v>411</v>
      </c>
      <c r="G97" s="868" t="s">
        <v>942</v>
      </c>
      <c r="H97" s="867" t="s">
        <v>231</v>
      </c>
    </row>
    <row r="98" spans="1:56" s="525" customFormat="1">
      <c r="C98" s="467" t="s">
        <v>3145</v>
      </c>
      <c r="D98" s="467">
        <v>38</v>
      </c>
      <c r="E98" s="902">
        <v>4.45</v>
      </c>
      <c r="F98" s="467"/>
      <c r="G98" s="866">
        <v>1289.855</v>
      </c>
      <c r="H98" s="865">
        <v>4.4499997499999999</v>
      </c>
    </row>
    <row r="99" spans="1:56" s="525" customFormat="1">
      <c r="C99" s="467" t="s">
        <v>3144</v>
      </c>
      <c r="D99" s="467">
        <v>34.5</v>
      </c>
      <c r="E99" s="902">
        <v>4</v>
      </c>
      <c r="F99" s="467"/>
      <c r="G99" s="866">
        <v>630.72469999999998</v>
      </c>
      <c r="H99" s="865">
        <v>2.1760002100000002</v>
      </c>
    </row>
    <row r="100" spans="1:56" s="525" customFormat="1">
      <c r="C100" s="467" t="s">
        <v>1861</v>
      </c>
      <c r="D100" s="467">
        <v>34.380000000000003</v>
      </c>
      <c r="E100" s="902">
        <v>2.0670000000000002</v>
      </c>
      <c r="F100" s="467"/>
      <c r="G100" s="467"/>
      <c r="H100" s="467"/>
    </row>
    <row r="101" spans="1:56" s="525" customFormat="1">
      <c r="C101" s="467" t="s">
        <v>2887</v>
      </c>
      <c r="D101" s="467">
        <v>33.659999999999997</v>
      </c>
      <c r="E101" s="902">
        <v>1.6701999999999999</v>
      </c>
      <c r="F101" s="467"/>
      <c r="G101" s="467"/>
      <c r="H101" s="467"/>
    </row>
    <row r="102" spans="1:56" s="525" customFormat="1">
      <c r="E102" s="942"/>
    </row>
    <row r="103" spans="1:56" s="860" customFormat="1">
      <c r="A103" s="860" t="s">
        <v>2861</v>
      </c>
      <c r="B103" s="862" t="s">
        <v>2036</v>
      </c>
      <c r="C103" s="864" t="s">
        <v>126</v>
      </c>
      <c r="D103" s="864" t="s">
        <v>1583</v>
      </c>
      <c r="E103" s="864" t="s">
        <v>4</v>
      </c>
      <c r="F103" s="864" t="s">
        <v>2860</v>
      </c>
      <c r="G103" s="864" t="s">
        <v>2859</v>
      </c>
      <c r="H103" s="864" t="s">
        <v>2858</v>
      </c>
      <c r="I103" s="864" t="s">
        <v>751</v>
      </c>
      <c r="J103" s="862" t="s">
        <v>274</v>
      </c>
      <c r="K103" s="862" t="s">
        <v>273</v>
      </c>
      <c r="L103" s="862" t="s">
        <v>116</v>
      </c>
      <c r="M103" s="862" t="s">
        <v>110</v>
      </c>
      <c r="N103" s="862" t="s">
        <v>276</v>
      </c>
      <c r="O103" s="864" t="s">
        <v>1311</v>
      </c>
      <c r="P103" s="862" t="s">
        <v>275</v>
      </c>
      <c r="Q103" s="862" t="s">
        <v>111</v>
      </c>
      <c r="R103" s="862" t="s">
        <v>2857</v>
      </c>
      <c r="S103" s="862" t="s">
        <v>747</v>
      </c>
      <c r="T103" s="864" t="s">
        <v>12</v>
      </c>
      <c r="U103" s="863" t="s">
        <v>948</v>
      </c>
      <c r="V103" s="862" t="s">
        <v>129</v>
      </c>
      <c r="W103" s="862" t="s">
        <v>220</v>
      </c>
      <c r="X103" s="862" t="s">
        <v>749</v>
      </c>
      <c r="Y103" s="862" t="s">
        <v>750</v>
      </c>
      <c r="Z103" s="876" t="s">
        <v>748</v>
      </c>
      <c r="AA103" s="875"/>
      <c r="BB103" s="861"/>
      <c r="BD103" s="861"/>
    </row>
    <row r="104" spans="1:56" s="525" customFormat="1">
      <c r="A104" s="525" t="s">
        <v>2078</v>
      </c>
      <c r="B104" s="856">
        <v>57</v>
      </c>
      <c r="C104" s="874" t="s">
        <v>2827</v>
      </c>
      <c r="D104" s="873" t="s">
        <v>2826</v>
      </c>
      <c r="E104" s="873" t="s">
        <v>2825</v>
      </c>
      <c r="F104" s="872">
        <v>6.21</v>
      </c>
      <c r="G104" s="870">
        <v>6.21</v>
      </c>
      <c r="H104" s="871">
        <f>L104*R104</f>
        <v>102.39326993879999</v>
      </c>
      <c r="I104" s="855">
        <f>F104/H104</f>
        <v>6.0648517267899445E-2</v>
      </c>
      <c r="J104" s="856" t="s">
        <v>3143</v>
      </c>
      <c r="K104" s="467" t="s">
        <v>2693</v>
      </c>
      <c r="L104" s="467">
        <v>23.58</v>
      </c>
      <c r="M104" s="856">
        <v>17.11</v>
      </c>
      <c r="N104" s="869">
        <f>M104/L104</f>
        <v>0.72561492790500426</v>
      </c>
      <c r="O104" s="870">
        <v>21.57</v>
      </c>
      <c r="P104" s="869">
        <f>O104/L104</f>
        <v>0.91475826972010188</v>
      </c>
      <c r="Q104" s="525">
        <v>8</v>
      </c>
      <c r="R104" s="525">
        <v>4.34237786</v>
      </c>
      <c r="S104" s="525" t="s">
        <v>2824</v>
      </c>
      <c r="T104" s="852">
        <v>42873</v>
      </c>
      <c r="U104" s="525">
        <v>14.87</v>
      </c>
      <c r="V104" s="869">
        <f>((U104*(1+X104/10)+Y104/10)/O104)</f>
        <v>0.69170143718127031</v>
      </c>
      <c r="W104" s="525" t="s">
        <v>2105</v>
      </c>
      <c r="X104" s="525">
        <v>0</v>
      </c>
      <c r="Y104" s="525">
        <v>0.5</v>
      </c>
      <c r="Z104" s="851" t="s">
        <v>2166</v>
      </c>
      <c r="BB104" s="852"/>
      <c r="BD104" s="851"/>
    </row>
    <row r="105" spans="1:56" s="525" customFormat="1">
      <c r="C105" s="867" t="s">
        <v>112</v>
      </c>
      <c r="D105" s="867" t="s">
        <v>113</v>
      </c>
      <c r="E105" s="867" t="s">
        <v>943</v>
      </c>
      <c r="F105" s="868" t="s">
        <v>411</v>
      </c>
      <c r="G105" s="868" t="s">
        <v>942</v>
      </c>
      <c r="H105" s="867" t="s">
        <v>231</v>
      </c>
    </row>
    <row r="106" spans="1:56" s="525" customFormat="1">
      <c r="C106" s="1531" t="s">
        <v>285</v>
      </c>
      <c r="D106" s="732">
        <v>23.02</v>
      </c>
      <c r="E106" s="730">
        <v>0.55200000000000005</v>
      </c>
      <c r="F106" s="467"/>
      <c r="G106" s="877">
        <v>255.9109</v>
      </c>
      <c r="H106" s="730">
        <v>0.55199981129999998</v>
      </c>
    </row>
    <row r="107" spans="1:56" s="525" customFormat="1">
      <c r="C107" s="1531"/>
      <c r="D107" s="732">
        <v>20.16</v>
      </c>
      <c r="E107" s="730">
        <v>1.1040000000000001</v>
      </c>
      <c r="F107" s="467"/>
      <c r="G107" s="467"/>
      <c r="H107" s="467"/>
    </row>
    <row r="108" spans="1:56" s="525" customFormat="1">
      <c r="C108" s="1531"/>
      <c r="D108" s="732">
        <v>17.11</v>
      </c>
      <c r="E108" s="730">
        <v>2.2080000000000002</v>
      </c>
      <c r="F108" s="467"/>
      <c r="G108" s="467"/>
      <c r="H108" s="467"/>
    </row>
    <row r="109" spans="1:56" s="525" customFormat="1">
      <c r="C109" s="734" t="s">
        <v>542</v>
      </c>
      <c r="D109" s="732">
        <v>23</v>
      </c>
      <c r="E109" s="730">
        <v>0.55200000000000005</v>
      </c>
      <c r="F109" s="467"/>
      <c r="G109" s="877">
        <v>255.9109</v>
      </c>
      <c r="H109" s="730">
        <v>0.55199981129999998</v>
      </c>
    </row>
    <row r="110" spans="1:56" s="525" customFormat="1">
      <c r="C110" s="1531" t="s">
        <v>131</v>
      </c>
      <c r="D110" s="732">
        <v>22.88</v>
      </c>
      <c r="E110" s="730">
        <v>1.85</v>
      </c>
      <c r="F110" s="467"/>
      <c r="G110" s="877">
        <v>857.67259999999999</v>
      </c>
      <c r="H110" s="730">
        <v>1.8499997982</v>
      </c>
    </row>
    <row r="111" spans="1:56" s="525" customFormat="1">
      <c r="C111" s="1531"/>
      <c r="D111" s="732">
        <v>20.18</v>
      </c>
      <c r="E111" s="730">
        <v>2.2080000000000002</v>
      </c>
      <c r="F111" s="467"/>
      <c r="G111" s="467"/>
      <c r="H111" s="467"/>
    </row>
    <row r="112" spans="1:56" s="525" customFormat="1">
      <c r="C112" s="1531"/>
      <c r="D112" s="732">
        <v>17.78</v>
      </c>
      <c r="E112" s="730">
        <v>2.895</v>
      </c>
      <c r="F112" s="467"/>
      <c r="G112" s="467"/>
      <c r="H112" s="467"/>
    </row>
    <row r="113" spans="3:8" s="525" customFormat="1">
      <c r="C113" s="734" t="s">
        <v>1079</v>
      </c>
      <c r="D113" s="732">
        <v>22.8</v>
      </c>
      <c r="E113" s="730">
        <v>0.6</v>
      </c>
      <c r="F113" s="467"/>
      <c r="G113" s="877">
        <v>278.16410000000002</v>
      </c>
      <c r="H113" s="730">
        <v>0.59999996369999997</v>
      </c>
    </row>
    <row r="114" spans="3:8" s="525" customFormat="1">
      <c r="C114" s="734" t="s">
        <v>136</v>
      </c>
      <c r="D114" s="732">
        <v>22.13</v>
      </c>
      <c r="E114" s="730">
        <v>0.55200000000000005</v>
      </c>
      <c r="F114" s="467"/>
      <c r="G114" s="877">
        <v>255.9109</v>
      </c>
      <c r="H114" s="730">
        <v>0.55199981129999998</v>
      </c>
    </row>
    <row r="115" spans="3:8" s="525" customFormat="1">
      <c r="C115" s="1531" t="s">
        <v>666</v>
      </c>
      <c r="D115" s="732">
        <v>21.63</v>
      </c>
      <c r="E115" s="730">
        <v>0.6</v>
      </c>
      <c r="F115" s="467"/>
      <c r="G115" s="877">
        <v>278.16410000000002</v>
      </c>
      <c r="H115" s="730">
        <v>0.59999996369999997</v>
      </c>
    </row>
    <row r="116" spans="3:8" s="525" customFormat="1">
      <c r="C116" s="1531"/>
      <c r="D116" s="732">
        <v>19.420000000000002</v>
      </c>
      <c r="E116" s="730">
        <v>0.65</v>
      </c>
      <c r="F116" s="467"/>
      <c r="G116" s="467"/>
      <c r="H116" s="467"/>
    </row>
    <row r="117" spans="3:8" s="525" customFormat="1">
      <c r="C117" s="1531"/>
      <c r="D117" s="732">
        <v>17.21</v>
      </c>
      <c r="E117" s="730">
        <v>0.69</v>
      </c>
      <c r="F117" s="467"/>
      <c r="G117" s="467"/>
      <c r="H117" s="467"/>
    </row>
    <row r="118" spans="3:8" s="525" customFormat="1">
      <c r="C118" s="734" t="s">
        <v>371</v>
      </c>
      <c r="D118" s="732">
        <v>21.57</v>
      </c>
      <c r="E118" s="730">
        <v>0.8</v>
      </c>
      <c r="F118" s="467"/>
      <c r="G118" s="877">
        <v>121.4653</v>
      </c>
      <c r="H118" s="730">
        <v>0.26200059999999997</v>
      </c>
    </row>
    <row r="119" spans="3:8" s="525" customFormat="1">
      <c r="C119" s="1531" t="s">
        <v>115</v>
      </c>
      <c r="D119" s="732">
        <v>20.47</v>
      </c>
      <c r="E119" s="730">
        <v>1.7450000000000001</v>
      </c>
      <c r="F119" s="467"/>
      <c r="G119" s="467"/>
      <c r="H119" s="467"/>
    </row>
    <row r="120" spans="3:8" s="525" customFormat="1">
      <c r="C120" s="1531"/>
      <c r="D120" s="732">
        <v>19.5</v>
      </c>
      <c r="E120" s="730">
        <v>4.4889999999999999</v>
      </c>
      <c r="F120" s="467"/>
      <c r="G120" s="467"/>
      <c r="H120" s="467"/>
    </row>
    <row r="121" spans="3:8" s="525" customFormat="1">
      <c r="C121" s="1531"/>
      <c r="D121" s="732">
        <v>18.05</v>
      </c>
      <c r="E121" s="730">
        <v>4.9630000000000001</v>
      </c>
      <c r="F121" s="467"/>
      <c r="G121" s="467"/>
      <c r="H121" s="467"/>
    </row>
    <row r="122" spans="3:8" s="525" customFormat="1">
      <c r="C122" s="734" t="s">
        <v>311</v>
      </c>
      <c r="D122" s="732">
        <v>20.2</v>
      </c>
      <c r="E122" s="730">
        <v>0.55200000000000005</v>
      </c>
      <c r="F122" s="467"/>
      <c r="G122" s="467"/>
      <c r="H122" s="467"/>
    </row>
    <row r="123" spans="3:8" s="525" customFormat="1" ht="16" customHeight="1">
      <c r="C123" s="1531" t="s">
        <v>127</v>
      </c>
      <c r="D123" s="732">
        <v>20.12</v>
      </c>
      <c r="E123" s="730">
        <v>0.6</v>
      </c>
      <c r="F123" s="732"/>
      <c r="G123" s="467"/>
      <c r="H123" s="467"/>
    </row>
    <row r="124" spans="3:8" s="525" customFormat="1">
      <c r="C124" s="1531"/>
      <c r="D124" s="732">
        <v>18.03</v>
      </c>
      <c r="E124" s="730">
        <v>0.8</v>
      </c>
      <c r="F124" s="732"/>
      <c r="G124" s="467"/>
      <c r="H124" s="467"/>
    </row>
    <row r="125" spans="3:8" s="525" customFormat="1" ht="16" customHeight="1">
      <c r="C125" s="1531" t="s">
        <v>134</v>
      </c>
      <c r="D125" s="732">
        <v>19.66</v>
      </c>
      <c r="E125" s="730">
        <v>0.56000000000000005</v>
      </c>
      <c r="F125" s="732"/>
      <c r="G125" s="467"/>
      <c r="H125" s="467"/>
    </row>
    <row r="126" spans="3:8" s="525" customFormat="1">
      <c r="C126" s="1531"/>
      <c r="D126" s="732">
        <v>18.38</v>
      </c>
      <c r="E126" s="730">
        <v>0.86</v>
      </c>
      <c r="F126" s="732"/>
      <c r="G126" s="467"/>
      <c r="H126" s="467"/>
    </row>
    <row r="127" spans="3:8" s="525" customFormat="1" ht="16" customHeight="1">
      <c r="C127" s="734" t="s">
        <v>3601</v>
      </c>
      <c r="D127" s="732">
        <v>19.579999999999998</v>
      </c>
      <c r="E127" s="730">
        <v>0.55300000000000005</v>
      </c>
      <c r="F127" s="732"/>
      <c r="G127" s="467"/>
      <c r="H127" s="467"/>
    </row>
    <row r="128" spans="3:8" s="525" customFormat="1">
      <c r="C128" s="734" t="s">
        <v>505</v>
      </c>
      <c r="D128" s="732">
        <v>19.32</v>
      </c>
      <c r="E128" s="730">
        <v>0.6</v>
      </c>
      <c r="F128" s="732"/>
      <c r="G128" s="467"/>
      <c r="H128" s="467"/>
    </row>
    <row r="129" spans="1:56" s="525" customFormat="1">
      <c r="C129" s="734" t="s">
        <v>337</v>
      </c>
      <c r="D129" s="732">
        <v>19.309999999999999</v>
      </c>
      <c r="E129" s="730">
        <v>3.36</v>
      </c>
      <c r="F129" s="732"/>
      <c r="G129" s="467"/>
      <c r="H129" s="467"/>
    </row>
    <row r="130" spans="1:56" s="525" customFormat="1" ht="16" customHeight="1">
      <c r="C130" s="1531" t="s">
        <v>150</v>
      </c>
      <c r="D130" s="732">
        <v>19.2</v>
      </c>
      <c r="E130" s="730">
        <v>0.65500000000000003</v>
      </c>
      <c r="F130" s="732"/>
      <c r="G130" s="467"/>
      <c r="H130" s="467"/>
    </row>
    <row r="131" spans="1:56" s="525" customFormat="1">
      <c r="C131" s="1531"/>
      <c r="D131" s="732">
        <v>18</v>
      </c>
      <c r="E131" s="730">
        <v>0.86499999999999999</v>
      </c>
      <c r="F131" s="732"/>
      <c r="G131" s="467"/>
      <c r="H131" s="467"/>
    </row>
    <row r="132" spans="1:56" s="525" customFormat="1">
      <c r="C132" s="734" t="s">
        <v>147</v>
      </c>
      <c r="D132" s="732">
        <v>19.13</v>
      </c>
      <c r="E132" s="730">
        <v>1.1020000000000001</v>
      </c>
      <c r="F132" s="732"/>
      <c r="G132" s="467"/>
      <c r="H132" s="467"/>
    </row>
    <row r="133" spans="1:56" s="525" customFormat="1">
      <c r="C133" s="734" t="s">
        <v>228</v>
      </c>
      <c r="D133" s="732">
        <v>19.100000000000001</v>
      </c>
      <c r="E133" s="730">
        <v>1.27</v>
      </c>
      <c r="F133" s="732"/>
      <c r="G133" s="467"/>
      <c r="H133" s="467"/>
    </row>
    <row r="134" spans="1:56" s="525" customFormat="1">
      <c r="C134" s="734" t="s">
        <v>1289</v>
      </c>
      <c r="D134" s="732">
        <v>19.010000000000002</v>
      </c>
      <c r="E134" s="730">
        <v>0.63</v>
      </c>
      <c r="F134" s="732"/>
      <c r="G134" s="467"/>
      <c r="H134" s="467"/>
    </row>
    <row r="135" spans="1:56" s="525" customFormat="1">
      <c r="C135" s="734" t="s">
        <v>234</v>
      </c>
      <c r="D135" s="732">
        <v>18.010000000000002</v>
      </c>
      <c r="E135" s="730">
        <v>0.55200000000000005</v>
      </c>
      <c r="F135" s="732"/>
      <c r="G135" s="467"/>
      <c r="H135" s="467"/>
    </row>
    <row r="136" spans="1:56" s="525" customFormat="1">
      <c r="C136" s="734" t="s">
        <v>119</v>
      </c>
      <c r="D136" s="732">
        <v>18</v>
      </c>
      <c r="E136" s="730">
        <v>0.55200000000000005</v>
      </c>
      <c r="F136" s="732"/>
      <c r="G136" s="467"/>
      <c r="H136" s="467"/>
    </row>
    <row r="137" spans="1:56" s="525" customFormat="1" ht="16" customHeight="1">
      <c r="C137" s="734" t="s">
        <v>138</v>
      </c>
      <c r="D137" s="732">
        <v>17.28</v>
      </c>
      <c r="E137" s="730">
        <v>1.1000000000000001</v>
      </c>
      <c r="F137" s="732"/>
      <c r="G137" s="467"/>
      <c r="H137" s="467"/>
    </row>
    <row r="138" spans="1:56" s="525" customFormat="1">
      <c r="C138" s="734" t="s">
        <v>3600</v>
      </c>
      <c r="D138" s="467"/>
      <c r="E138" s="467"/>
      <c r="F138" s="467"/>
      <c r="G138" s="877">
        <v>575.7998</v>
      </c>
      <c r="H138" s="730">
        <f>124200016.86/100000000</f>
        <v>1.2420001686</v>
      </c>
    </row>
    <row r="139" spans="1:56" s="525" customFormat="1"/>
    <row r="140" spans="1:56" s="862" customFormat="1">
      <c r="A140" s="862" t="s">
        <v>2861</v>
      </c>
      <c r="B140" s="862" t="s">
        <v>2036</v>
      </c>
      <c r="C140" s="864" t="s">
        <v>126</v>
      </c>
      <c r="D140" s="864" t="s">
        <v>1583</v>
      </c>
      <c r="E140" s="864" t="s">
        <v>4</v>
      </c>
      <c r="F140" s="864" t="s">
        <v>2860</v>
      </c>
      <c r="G140" s="864" t="s">
        <v>2859</v>
      </c>
      <c r="H140" s="864" t="s">
        <v>2858</v>
      </c>
      <c r="I140" s="864" t="s">
        <v>751</v>
      </c>
      <c r="J140" s="862" t="s">
        <v>274</v>
      </c>
      <c r="K140" s="862" t="s">
        <v>273</v>
      </c>
      <c r="L140" s="862" t="s">
        <v>116</v>
      </c>
      <c r="M140" s="862" t="s">
        <v>110</v>
      </c>
      <c r="N140" s="862" t="s">
        <v>276</v>
      </c>
      <c r="O140" s="864" t="s">
        <v>1311</v>
      </c>
      <c r="P140" s="862" t="s">
        <v>275</v>
      </c>
      <c r="Q140" s="862" t="s">
        <v>111</v>
      </c>
      <c r="R140" s="862" t="s">
        <v>2857</v>
      </c>
      <c r="S140" s="862" t="s">
        <v>747</v>
      </c>
      <c r="T140" s="864" t="s">
        <v>12</v>
      </c>
      <c r="U140" s="863" t="s">
        <v>948</v>
      </c>
      <c r="V140" s="862" t="s">
        <v>129</v>
      </c>
      <c r="W140" s="862" t="s">
        <v>220</v>
      </c>
      <c r="X140" s="862" t="s">
        <v>749</v>
      </c>
      <c r="Y140" s="862" t="s">
        <v>750</v>
      </c>
      <c r="Z140" s="876" t="s">
        <v>748</v>
      </c>
      <c r="AA140" s="875"/>
      <c r="AB140" s="860"/>
      <c r="AC140" s="860"/>
      <c r="AD140" s="860"/>
      <c r="AE140" s="860"/>
      <c r="AF140" s="860"/>
      <c r="AG140" s="860"/>
      <c r="AH140" s="860"/>
      <c r="AI140" s="860"/>
      <c r="AJ140" s="860"/>
      <c r="AK140" s="860"/>
      <c r="AL140" s="860"/>
      <c r="AM140" s="860"/>
      <c r="AN140" s="860"/>
      <c r="AO140" s="860"/>
      <c r="AP140" s="860"/>
      <c r="AQ140" s="860"/>
      <c r="AR140" s="860"/>
      <c r="AS140" s="860"/>
      <c r="AT140" s="860"/>
      <c r="AU140" s="860"/>
      <c r="AV140" s="860"/>
      <c r="AW140" s="918"/>
      <c r="BB140" s="864"/>
      <c r="BD140" s="864"/>
    </row>
    <row r="141" spans="1:56" s="467" customFormat="1">
      <c r="A141" s="844" t="s">
        <v>2078</v>
      </c>
      <c r="B141" s="941">
        <v>58</v>
      </c>
      <c r="C141" s="874" t="s">
        <v>2823</v>
      </c>
      <c r="D141" s="873" t="s">
        <v>2822</v>
      </c>
      <c r="E141" s="873" t="s">
        <v>2821</v>
      </c>
      <c r="F141" s="872">
        <v>28</v>
      </c>
      <c r="G141" s="871">
        <v>28</v>
      </c>
      <c r="H141" s="871">
        <f>L141*R141</f>
        <v>149.83267891350002</v>
      </c>
      <c r="I141" s="871">
        <f>F141/H141</f>
        <v>0.18687512098855746</v>
      </c>
      <c r="J141" s="856" t="s">
        <v>3142</v>
      </c>
      <c r="K141" s="703" t="s">
        <v>151</v>
      </c>
      <c r="L141" s="467">
        <v>36.85</v>
      </c>
      <c r="M141" s="856">
        <v>30.66</v>
      </c>
      <c r="N141" s="468">
        <f>M141/L141</f>
        <v>0.83202170963364985</v>
      </c>
      <c r="O141" s="855">
        <v>30.68</v>
      </c>
      <c r="P141" s="468">
        <f>O141/L141</f>
        <v>0.83256445047489824</v>
      </c>
      <c r="Q141" s="467">
        <v>7</v>
      </c>
      <c r="R141" s="467">
        <v>4.0660157100000003</v>
      </c>
      <c r="S141" s="467" t="s">
        <v>2820</v>
      </c>
      <c r="T141" s="854">
        <v>42865</v>
      </c>
      <c r="U141" s="467">
        <v>6.7</v>
      </c>
      <c r="V141" s="468">
        <f>((U141*(1+X141/10)+Y141/10)/O141)</f>
        <v>0.7708604954367666</v>
      </c>
      <c r="W141" s="467" t="s">
        <v>2819</v>
      </c>
      <c r="X141" s="467">
        <v>25</v>
      </c>
      <c r="Y141" s="467">
        <v>2</v>
      </c>
      <c r="Z141" s="940" t="s">
        <v>2144</v>
      </c>
      <c r="AA141" s="931"/>
      <c r="AB141" s="525"/>
      <c r="AC141" s="525"/>
      <c r="AD141" s="525"/>
      <c r="AE141" s="525"/>
      <c r="AF141" s="525"/>
      <c r="AG141" s="525"/>
      <c r="AH141" s="525"/>
      <c r="AI141" s="525"/>
      <c r="AJ141" s="525"/>
      <c r="AK141" s="525"/>
      <c r="AL141" s="525"/>
      <c r="AM141" s="525"/>
      <c r="AN141" s="525"/>
      <c r="AO141" s="525"/>
      <c r="AP141" s="525"/>
      <c r="AQ141" s="525"/>
      <c r="AR141" s="525"/>
      <c r="AS141" s="525"/>
      <c r="AT141" s="525"/>
      <c r="AU141" s="525"/>
      <c r="AV141" s="525"/>
      <c r="AW141" s="917"/>
      <c r="BB141" s="854"/>
      <c r="BD141" s="853"/>
    </row>
    <row r="142" spans="1:56" s="467" customFormat="1">
      <c r="A142" s="524"/>
      <c r="B142" s="939"/>
      <c r="C142" s="938"/>
      <c r="D142" s="937"/>
      <c r="E142" s="937"/>
      <c r="F142" s="936"/>
      <c r="G142" s="935"/>
      <c r="H142" s="935"/>
      <c r="I142" s="935"/>
      <c r="J142" s="856" t="s">
        <v>3141</v>
      </c>
      <c r="K142" s="932" t="s">
        <v>2818</v>
      </c>
      <c r="L142" s="931"/>
      <c r="M142" s="923"/>
      <c r="N142" s="869"/>
      <c r="O142" s="870"/>
      <c r="P142" s="869"/>
      <c r="Q142" s="525"/>
      <c r="R142" s="525"/>
      <c r="S142" s="525"/>
      <c r="T142" s="852"/>
      <c r="U142" s="525"/>
      <c r="V142" s="869"/>
      <c r="W142" s="525"/>
      <c r="X142" s="525"/>
      <c r="Y142" s="525"/>
      <c r="Z142" s="525"/>
      <c r="AA142" s="525"/>
      <c r="AB142" s="525"/>
      <c r="AC142" s="525"/>
      <c r="AD142" s="525"/>
      <c r="AE142" s="525"/>
      <c r="AF142" s="525"/>
      <c r="AG142" s="525"/>
      <c r="AH142" s="525"/>
      <c r="AI142" s="525"/>
      <c r="AJ142" s="525"/>
      <c r="AK142" s="525"/>
      <c r="AL142" s="525"/>
      <c r="AM142" s="525"/>
      <c r="AN142" s="525"/>
      <c r="AO142" s="525"/>
      <c r="AP142" s="525"/>
      <c r="AQ142" s="525"/>
      <c r="AR142" s="525"/>
      <c r="AS142" s="525"/>
      <c r="AT142" s="525"/>
      <c r="AU142" s="525"/>
      <c r="AV142" s="525"/>
      <c r="AW142" s="917"/>
      <c r="BB142" s="854"/>
      <c r="BD142" s="853"/>
    </row>
    <row r="143" spans="1:56" s="467" customFormat="1">
      <c r="A143" s="525"/>
      <c r="B143" s="923"/>
      <c r="C143" s="934"/>
      <c r="D143" s="933"/>
      <c r="E143" s="933"/>
      <c r="F143" s="887"/>
      <c r="G143" s="870"/>
      <c r="H143" s="870"/>
      <c r="I143" s="870"/>
      <c r="J143" s="856" t="s">
        <v>3140</v>
      </c>
      <c r="K143" s="932" t="s">
        <v>2817</v>
      </c>
      <c r="L143" s="931"/>
      <c r="M143" s="923"/>
      <c r="N143" s="869"/>
      <c r="O143" s="870"/>
      <c r="P143" s="869"/>
      <c r="Q143" s="525"/>
      <c r="R143" s="525"/>
      <c r="S143" s="525"/>
      <c r="T143" s="852"/>
      <c r="U143" s="525"/>
      <c r="V143" s="869"/>
      <c r="W143" s="525"/>
      <c r="X143" s="525"/>
      <c r="Y143" s="525"/>
      <c r="Z143" s="525"/>
      <c r="AA143" s="525"/>
      <c r="AB143" s="525"/>
      <c r="AC143" s="525"/>
      <c r="AD143" s="525"/>
      <c r="AE143" s="525"/>
      <c r="AF143" s="525"/>
      <c r="AG143" s="525"/>
      <c r="AH143" s="525"/>
      <c r="AI143" s="525"/>
      <c r="AJ143" s="525"/>
      <c r="AK143" s="525"/>
      <c r="AL143" s="525"/>
      <c r="AM143" s="525"/>
      <c r="AN143" s="525"/>
      <c r="AO143" s="525"/>
      <c r="AP143" s="525"/>
      <c r="AQ143" s="525"/>
      <c r="AR143" s="525"/>
      <c r="AS143" s="525"/>
      <c r="AT143" s="525"/>
      <c r="AU143" s="525"/>
      <c r="AV143" s="525"/>
      <c r="AW143" s="917"/>
      <c r="BB143" s="854"/>
      <c r="BD143" s="853"/>
    </row>
    <row r="144" spans="1:56" s="525" customFormat="1">
      <c r="C144" s="867" t="s">
        <v>112</v>
      </c>
      <c r="D144" s="867" t="s">
        <v>113</v>
      </c>
      <c r="E144" s="867" t="s">
        <v>943</v>
      </c>
      <c r="F144" s="868" t="s">
        <v>411</v>
      </c>
      <c r="G144" s="868" t="s">
        <v>942</v>
      </c>
      <c r="H144" s="867" t="s">
        <v>231</v>
      </c>
    </row>
    <row r="145" spans="1:56" s="525" customFormat="1">
      <c r="C145" s="734" t="s">
        <v>371</v>
      </c>
      <c r="D145" s="732">
        <v>33</v>
      </c>
      <c r="E145" s="730">
        <v>2.8</v>
      </c>
      <c r="F145" s="467"/>
      <c r="G145" s="877">
        <v>912.64660000000003</v>
      </c>
      <c r="H145" s="730">
        <v>2.7999997599999999</v>
      </c>
      <c r="I145" s="881"/>
    </row>
    <row r="146" spans="1:56" s="525" customFormat="1">
      <c r="C146" s="1531" t="s">
        <v>115</v>
      </c>
      <c r="D146" s="732">
        <v>31.5</v>
      </c>
      <c r="E146" s="730">
        <v>2.8</v>
      </c>
      <c r="F146" s="467"/>
      <c r="G146" s="877">
        <v>2454.3676</v>
      </c>
      <c r="H146" s="730">
        <v>7.5299997899999997</v>
      </c>
    </row>
    <row r="147" spans="1:56" s="525" customFormat="1">
      <c r="C147" s="1531"/>
      <c r="D147" s="732">
        <v>31</v>
      </c>
      <c r="E147" s="730">
        <v>4.46</v>
      </c>
      <c r="F147" s="467"/>
      <c r="G147" s="467"/>
      <c r="H147" s="467"/>
    </row>
    <row r="148" spans="1:56" s="525" customFormat="1">
      <c r="C148" s="1531"/>
      <c r="D148" s="732">
        <v>30.68</v>
      </c>
      <c r="E148" s="730">
        <v>6.18</v>
      </c>
      <c r="F148" s="467"/>
      <c r="G148" s="467"/>
      <c r="H148" s="467"/>
    </row>
    <row r="149" spans="1:56" s="525" customFormat="1">
      <c r="C149" s="734" t="s">
        <v>120</v>
      </c>
      <c r="D149" s="732">
        <v>31.5</v>
      </c>
      <c r="E149" s="730">
        <v>2.8</v>
      </c>
      <c r="F149" s="467"/>
      <c r="G149" s="877">
        <v>912.64660000000003</v>
      </c>
      <c r="H149" s="730">
        <v>2.7999997599999999</v>
      </c>
    </row>
    <row r="150" spans="1:56" s="525" customFormat="1">
      <c r="C150" s="734" t="s">
        <v>147</v>
      </c>
      <c r="D150" s="732">
        <v>31.48</v>
      </c>
      <c r="E150" s="730">
        <v>3.92</v>
      </c>
      <c r="F150" s="467"/>
      <c r="G150" s="877">
        <v>1313.5592999999999</v>
      </c>
      <c r="H150" s="730">
        <v>4.0299999299999998</v>
      </c>
    </row>
    <row r="151" spans="1:56" s="525" customFormat="1">
      <c r="C151" s="734" t="s">
        <v>277</v>
      </c>
      <c r="D151" s="732">
        <v>31.05</v>
      </c>
      <c r="E151" s="730">
        <v>5.6</v>
      </c>
      <c r="F151" s="467"/>
      <c r="G151" s="877">
        <v>1825.2933</v>
      </c>
      <c r="H151" s="730">
        <v>5.5999998399999997</v>
      </c>
    </row>
    <row r="152" spans="1:56" s="525" customFormat="1">
      <c r="C152" s="734" t="s">
        <v>1550</v>
      </c>
      <c r="D152" s="732">
        <v>31</v>
      </c>
      <c r="E152" s="730">
        <v>2.8</v>
      </c>
      <c r="F152" s="467"/>
      <c r="G152" s="877">
        <v>912.64660000000003</v>
      </c>
      <c r="H152" s="730">
        <v>2.7999997599999999</v>
      </c>
    </row>
    <row r="153" spans="1:56" s="525" customFormat="1">
      <c r="C153" s="867"/>
      <c r="D153" s="1609" t="s">
        <v>621</v>
      </c>
      <c r="E153" s="1610"/>
      <c r="F153" s="1607" t="s">
        <v>3141</v>
      </c>
      <c r="G153" s="1608"/>
      <c r="H153" s="930"/>
    </row>
    <row r="154" spans="1:56" s="525" customFormat="1">
      <c r="C154" s="734" t="s">
        <v>115</v>
      </c>
      <c r="D154" s="732">
        <v>30.68</v>
      </c>
      <c r="E154" s="730">
        <v>1.35</v>
      </c>
      <c r="F154" s="467"/>
      <c r="G154" s="467"/>
      <c r="H154" s="467"/>
    </row>
    <row r="155" spans="1:56" s="525" customFormat="1">
      <c r="C155" s="734" t="s">
        <v>120</v>
      </c>
      <c r="D155" s="732">
        <v>30.68</v>
      </c>
      <c r="E155" s="730">
        <v>0.11</v>
      </c>
      <c r="F155" s="467"/>
      <c r="G155" s="467"/>
      <c r="H155" s="467"/>
    </row>
    <row r="156" spans="1:56" s="525" customFormat="1">
      <c r="C156" s="867"/>
      <c r="D156" s="1609" t="s">
        <v>621</v>
      </c>
      <c r="E156" s="1610"/>
      <c r="F156" s="1607" t="s">
        <v>3140</v>
      </c>
      <c r="G156" s="1608"/>
      <c r="H156" s="930"/>
    </row>
    <row r="157" spans="1:56" s="525" customFormat="1">
      <c r="C157" s="734" t="s">
        <v>1819</v>
      </c>
      <c r="D157" s="732">
        <v>30.68</v>
      </c>
      <c r="E157" s="730">
        <v>2.44</v>
      </c>
      <c r="F157" s="467"/>
      <c r="G157" s="877">
        <v>795.30629999999996</v>
      </c>
      <c r="H157" s="730">
        <v>2.4399997284000001</v>
      </c>
    </row>
    <row r="158" spans="1:56" s="525" customFormat="1">
      <c r="C158" s="734" t="s">
        <v>139</v>
      </c>
      <c r="D158" s="732">
        <v>30.68</v>
      </c>
      <c r="E158" s="730">
        <v>0.8</v>
      </c>
      <c r="F158" s="467"/>
      <c r="G158" s="877"/>
      <c r="H158" s="467"/>
    </row>
    <row r="159" spans="1:56" s="525" customFormat="1">
      <c r="C159" s="929" t="s">
        <v>136</v>
      </c>
      <c r="D159" s="928">
        <v>30.68</v>
      </c>
      <c r="E159" s="927">
        <v>0.69</v>
      </c>
      <c r="F159" s="844"/>
      <c r="G159" s="926"/>
      <c r="H159" s="844"/>
    </row>
    <row r="160" spans="1:56" s="860" customFormat="1">
      <c r="A160" s="862" t="s">
        <v>2861</v>
      </c>
      <c r="B160" s="862" t="s">
        <v>2036</v>
      </c>
      <c r="C160" s="864" t="s">
        <v>126</v>
      </c>
      <c r="D160" s="864" t="s">
        <v>1583</v>
      </c>
      <c r="E160" s="864" t="s">
        <v>4</v>
      </c>
      <c r="F160" s="864" t="s">
        <v>2860</v>
      </c>
      <c r="G160" s="864" t="s">
        <v>2859</v>
      </c>
      <c r="H160" s="864" t="s">
        <v>2858</v>
      </c>
      <c r="I160" s="864" t="s">
        <v>751</v>
      </c>
      <c r="J160" s="862" t="s">
        <v>274</v>
      </c>
      <c r="K160" s="862" t="s">
        <v>273</v>
      </c>
      <c r="L160" s="862" t="s">
        <v>116</v>
      </c>
      <c r="M160" s="862" t="s">
        <v>110</v>
      </c>
      <c r="N160" s="862" t="s">
        <v>276</v>
      </c>
      <c r="O160" s="864" t="s">
        <v>1311</v>
      </c>
      <c r="P160" s="862" t="s">
        <v>275</v>
      </c>
      <c r="Q160" s="862" t="s">
        <v>111</v>
      </c>
      <c r="R160" s="862" t="s">
        <v>2857</v>
      </c>
      <c r="S160" s="862" t="s">
        <v>747</v>
      </c>
      <c r="T160" s="864" t="s">
        <v>12</v>
      </c>
      <c r="U160" s="863" t="s">
        <v>948</v>
      </c>
      <c r="V160" s="862" t="s">
        <v>129</v>
      </c>
      <c r="W160" s="862" t="s">
        <v>220</v>
      </c>
      <c r="X160" s="862" t="s">
        <v>749</v>
      </c>
      <c r="Y160" s="862" t="s">
        <v>750</v>
      </c>
      <c r="Z160" s="862" t="s">
        <v>748</v>
      </c>
      <c r="BB160" s="861"/>
      <c r="BD160" s="861"/>
    </row>
    <row r="161" spans="1:56" s="525" customFormat="1">
      <c r="A161" s="856" t="s">
        <v>2078</v>
      </c>
      <c r="B161" s="1475">
        <v>59</v>
      </c>
      <c r="C161" s="1471" t="s">
        <v>2816</v>
      </c>
      <c r="D161" s="858" t="s">
        <v>2815</v>
      </c>
      <c r="E161" s="858" t="s">
        <v>2814</v>
      </c>
      <c r="F161" s="857">
        <v>35.65</v>
      </c>
      <c r="G161" s="855">
        <v>33.68</v>
      </c>
      <c r="H161" s="855">
        <f>L161*R161</f>
        <v>298.76799999999997</v>
      </c>
      <c r="I161" s="855">
        <f>F161/H161</f>
        <v>0.11932335457612596</v>
      </c>
      <c r="J161" s="467" t="s">
        <v>3139</v>
      </c>
      <c r="K161" s="856" t="s">
        <v>2125</v>
      </c>
      <c r="L161" s="467">
        <v>26.3</v>
      </c>
      <c r="M161" s="467">
        <v>22.82</v>
      </c>
      <c r="N161" s="468">
        <f>M161/L161</f>
        <v>0.86768060836501903</v>
      </c>
      <c r="O161" s="925">
        <v>22.82</v>
      </c>
      <c r="P161" s="468">
        <f>O161/L161</f>
        <v>0.86768060836501903</v>
      </c>
      <c r="Q161" s="856">
        <v>8</v>
      </c>
      <c r="R161" s="467">
        <v>11.36</v>
      </c>
      <c r="S161" s="467" t="s">
        <v>2813</v>
      </c>
      <c r="T161" s="854">
        <v>42866</v>
      </c>
      <c r="U161" s="784">
        <v>20.71</v>
      </c>
      <c r="V161" s="468">
        <f>((U161*(1+X161/10)+Y161/10)/O161)</f>
        <v>0.91849255039439093</v>
      </c>
      <c r="W161" s="467" t="s">
        <v>2812</v>
      </c>
      <c r="X161" s="467">
        <v>0</v>
      </c>
      <c r="Y161" s="467">
        <v>2.5</v>
      </c>
      <c r="Z161" s="853" t="s">
        <v>2204</v>
      </c>
      <c r="BB161" s="852"/>
      <c r="BD161" s="851"/>
    </row>
    <row r="162" spans="1:56" s="525" customFormat="1">
      <c r="A162" s="856"/>
      <c r="B162" s="856"/>
      <c r="C162" s="859"/>
      <c r="D162" s="858"/>
      <c r="E162" s="858"/>
      <c r="F162" s="857"/>
      <c r="G162" s="855"/>
      <c r="H162" s="855"/>
      <c r="I162" s="855"/>
      <c r="J162" s="467" t="s">
        <v>3596</v>
      </c>
      <c r="K162" s="856" t="s">
        <v>2811</v>
      </c>
      <c r="L162" s="467">
        <v>29.66</v>
      </c>
      <c r="M162" s="467"/>
      <c r="N162" s="468">
        <f>M161/L162</f>
        <v>0.76938637896156437</v>
      </c>
      <c r="O162" s="857"/>
      <c r="P162" s="468">
        <f>O161/L162</f>
        <v>0.76938637896156437</v>
      </c>
      <c r="Q162" s="856"/>
      <c r="R162" s="467"/>
      <c r="S162" s="467"/>
      <c r="T162" s="854"/>
      <c r="U162" s="467"/>
      <c r="V162" s="468"/>
      <c r="W162" s="467"/>
      <c r="X162" s="467"/>
      <c r="Y162" s="467"/>
      <c r="Z162" s="467"/>
      <c r="BB162" s="852"/>
      <c r="BD162" s="851"/>
    </row>
    <row r="163" spans="1:56" s="525" customFormat="1">
      <c r="C163" s="867" t="s">
        <v>112</v>
      </c>
      <c r="D163" s="867" t="s">
        <v>113</v>
      </c>
      <c r="E163" s="867" t="s">
        <v>943</v>
      </c>
      <c r="F163" s="868" t="s">
        <v>411</v>
      </c>
      <c r="G163" s="868" t="s">
        <v>942</v>
      </c>
      <c r="H163" s="867" t="s">
        <v>231</v>
      </c>
    </row>
    <row r="164" spans="1:56" s="525" customFormat="1" ht="16" customHeight="1">
      <c r="C164" s="731" t="s">
        <v>3599</v>
      </c>
      <c r="D164" s="732">
        <v>24.4</v>
      </c>
      <c r="E164" s="730">
        <v>3.5649999999999999</v>
      </c>
      <c r="F164" s="730"/>
      <c r="G164" s="877">
        <v>1562.2261000000001</v>
      </c>
      <c r="H164" s="730">
        <v>3.5649999600000002</v>
      </c>
      <c r="I164" s="882"/>
      <c r="K164" s="881"/>
    </row>
    <row r="165" spans="1:56" s="525" customFormat="1">
      <c r="C165" s="734" t="s">
        <v>316</v>
      </c>
      <c r="D165" s="732">
        <v>23.5</v>
      </c>
      <c r="E165" s="730">
        <v>3.79</v>
      </c>
      <c r="F165" s="730"/>
      <c r="G165" s="877">
        <v>1660.8237999999999</v>
      </c>
      <c r="H165" s="730">
        <v>3.7899999100000001</v>
      </c>
      <c r="I165" s="882"/>
      <c r="K165" s="881"/>
    </row>
    <row r="166" spans="1:56" s="525" customFormat="1" ht="16" customHeight="1">
      <c r="C166" s="731" t="s">
        <v>3598</v>
      </c>
      <c r="D166" s="732">
        <v>23.33</v>
      </c>
      <c r="E166" s="730">
        <v>3.6</v>
      </c>
      <c r="F166" s="730"/>
      <c r="G166" s="877">
        <v>1577.5635</v>
      </c>
      <c r="H166" s="730">
        <v>3.5999998999999998</v>
      </c>
      <c r="I166" s="882"/>
      <c r="K166" s="881"/>
    </row>
    <row r="167" spans="1:56" s="525" customFormat="1">
      <c r="C167" s="734" t="s">
        <v>173</v>
      </c>
      <c r="D167" s="732">
        <v>23.2</v>
      </c>
      <c r="E167" s="730">
        <v>3.7749999999999999</v>
      </c>
      <c r="F167" s="730"/>
      <c r="G167" s="877">
        <v>1654.2506000000001</v>
      </c>
      <c r="H167" s="730">
        <v>3.7749998599999999</v>
      </c>
      <c r="I167" s="882"/>
      <c r="K167" s="881"/>
    </row>
    <row r="168" spans="1:56" s="525" customFormat="1">
      <c r="C168" s="1531" t="s">
        <v>523</v>
      </c>
      <c r="D168" s="732">
        <v>23.02</v>
      </c>
      <c r="E168" s="730">
        <v>3.5649999999999999</v>
      </c>
      <c r="F168" s="730"/>
      <c r="G168" s="877">
        <v>1562.2261000000001</v>
      </c>
      <c r="H168" s="730">
        <v>3.5649999600000002</v>
      </c>
      <c r="I168" s="882"/>
      <c r="K168" s="881"/>
    </row>
    <row r="169" spans="1:56" s="525" customFormat="1">
      <c r="C169" s="1531"/>
      <c r="D169" s="732">
        <v>22.82</v>
      </c>
      <c r="E169" s="730">
        <v>3.5649999999999999</v>
      </c>
      <c r="F169" s="730"/>
      <c r="G169" s="866"/>
      <c r="H169" s="467"/>
    </row>
    <row r="170" spans="1:56" s="525" customFormat="1">
      <c r="C170" s="1531" t="s">
        <v>115</v>
      </c>
      <c r="D170" s="732">
        <v>23</v>
      </c>
      <c r="E170" s="730">
        <v>3.7250000000000001</v>
      </c>
      <c r="F170" s="730"/>
      <c r="G170" s="877">
        <v>1993.865</v>
      </c>
      <c r="H170" s="730">
        <v>4.5499999300000002</v>
      </c>
      <c r="I170" s="882"/>
      <c r="K170" s="881"/>
    </row>
    <row r="171" spans="1:56" s="525" customFormat="1">
      <c r="C171" s="1531"/>
      <c r="D171" s="732">
        <v>22.85</v>
      </c>
      <c r="E171" s="730">
        <v>4.3899999999999997</v>
      </c>
      <c r="F171" s="730"/>
      <c r="G171" s="866"/>
      <c r="H171" s="467"/>
    </row>
    <row r="172" spans="1:56" s="525" customFormat="1">
      <c r="C172" s="1531"/>
      <c r="D172" s="732">
        <v>22.82</v>
      </c>
      <c r="E172" s="730">
        <v>4.55</v>
      </c>
      <c r="F172" s="730"/>
      <c r="G172" s="866"/>
      <c r="H172" s="467"/>
    </row>
    <row r="173" spans="1:56" s="525" customFormat="1" ht="16" customHeight="1">
      <c r="C173" s="731" t="s">
        <v>3597</v>
      </c>
      <c r="D173" s="732">
        <v>23</v>
      </c>
      <c r="E173" s="730">
        <v>3.5649999999999999</v>
      </c>
      <c r="F173" s="730"/>
      <c r="G173" s="877">
        <v>1562.2261000000001</v>
      </c>
      <c r="H173" s="730">
        <v>3.5649999600000002</v>
      </c>
      <c r="I173" s="882"/>
      <c r="K173" s="881"/>
    </row>
    <row r="174" spans="1:56" s="525" customFormat="1">
      <c r="C174" s="1531" t="s">
        <v>147</v>
      </c>
      <c r="D174" s="732">
        <v>22.88</v>
      </c>
      <c r="E174" s="730">
        <v>4.46</v>
      </c>
      <c r="F174" s="730"/>
      <c r="G174" s="467"/>
      <c r="H174" s="467"/>
    </row>
    <row r="175" spans="1:56" s="525" customFormat="1">
      <c r="C175" s="1531"/>
      <c r="D175" s="732">
        <v>22.82</v>
      </c>
      <c r="E175" s="730">
        <v>4.4950000000000001</v>
      </c>
      <c r="F175" s="730"/>
      <c r="G175" s="467"/>
      <c r="H175" s="467"/>
    </row>
    <row r="176" spans="1:56" s="525" customFormat="1">
      <c r="C176" s="867"/>
      <c r="D176" s="1582" t="s">
        <v>621</v>
      </c>
      <c r="E176" s="1582"/>
      <c r="F176" s="1611" t="s">
        <v>3596</v>
      </c>
      <c r="G176" s="1611"/>
      <c r="H176" s="867"/>
    </row>
    <row r="177" spans="1:56" s="525" customFormat="1">
      <c r="C177" s="734" t="s">
        <v>316</v>
      </c>
      <c r="D177" s="730">
        <v>22.8</v>
      </c>
      <c r="E177" s="730">
        <v>1.1499995199999999</v>
      </c>
      <c r="F177" s="877"/>
      <c r="G177" s="877"/>
      <c r="H177" s="467"/>
      <c r="I177" s="881"/>
    </row>
    <row r="178" spans="1:56" s="525" customFormat="1">
      <c r="C178" s="734" t="s">
        <v>115</v>
      </c>
      <c r="D178" s="730">
        <v>22.8</v>
      </c>
      <c r="E178" s="730">
        <v>1.5329980806000001</v>
      </c>
      <c r="F178" s="877"/>
      <c r="G178" s="877"/>
      <c r="H178" s="467"/>
      <c r="I178" s="881"/>
    </row>
    <row r="179" spans="1:56" s="525" customFormat="1">
      <c r="C179" s="734" t="s">
        <v>147</v>
      </c>
      <c r="D179" s="730">
        <v>22.8</v>
      </c>
      <c r="E179" s="730">
        <v>8.9999789999999996E-2</v>
      </c>
      <c r="F179" s="877"/>
      <c r="G179" s="877">
        <v>1969.7633000000001</v>
      </c>
      <c r="H179" s="730">
        <v>4.4949998506000002</v>
      </c>
      <c r="I179" s="882"/>
      <c r="K179" s="881"/>
    </row>
    <row r="180" spans="1:56" s="525" customFormat="1">
      <c r="C180" s="893"/>
      <c r="D180" s="882"/>
      <c r="E180" s="881"/>
      <c r="F180" s="882"/>
      <c r="G180" s="882"/>
      <c r="I180" s="881"/>
    </row>
    <row r="181" spans="1:56" s="862" customFormat="1">
      <c r="A181" s="862" t="s">
        <v>2861</v>
      </c>
      <c r="B181" s="862" t="s">
        <v>2036</v>
      </c>
      <c r="C181" s="864" t="s">
        <v>126</v>
      </c>
      <c r="D181" s="864" t="s">
        <v>1583</v>
      </c>
      <c r="E181" s="864" t="s">
        <v>4</v>
      </c>
      <c r="F181" s="864" t="s">
        <v>2860</v>
      </c>
      <c r="G181" s="864" t="s">
        <v>2859</v>
      </c>
      <c r="H181" s="864" t="s">
        <v>2858</v>
      </c>
      <c r="I181" s="880" t="s">
        <v>751</v>
      </c>
      <c r="J181" s="862" t="s">
        <v>274</v>
      </c>
      <c r="K181" s="862" t="s">
        <v>273</v>
      </c>
      <c r="L181" s="862" t="s">
        <v>116</v>
      </c>
      <c r="M181" s="862" t="s">
        <v>110</v>
      </c>
      <c r="N181" s="862" t="s">
        <v>276</v>
      </c>
      <c r="O181" s="864" t="s">
        <v>1311</v>
      </c>
      <c r="P181" s="862" t="s">
        <v>275</v>
      </c>
      <c r="Q181" s="862" t="s">
        <v>111</v>
      </c>
      <c r="R181" s="862" t="s">
        <v>2857</v>
      </c>
      <c r="S181" s="862" t="s">
        <v>747</v>
      </c>
      <c r="T181" s="864" t="s">
        <v>12</v>
      </c>
      <c r="U181" s="863" t="s">
        <v>948</v>
      </c>
      <c r="V181" s="862" t="s">
        <v>129</v>
      </c>
      <c r="W181" s="862" t="s">
        <v>220</v>
      </c>
      <c r="X181" s="862" t="s">
        <v>749</v>
      </c>
      <c r="Y181" s="862" t="s">
        <v>750</v>
      </c>
      <c r="Z181" s="862" t="s">
        <v>748</v>
      </c>
      <c r="AB181" s="860"/>
      <c r="AC181" s="860"/>
      <c r="AD181" s="860"/>
      <c r="AE181" s="860"/>
      <c r="AF181" s="860"/>
      <c r="AG181" s="860"/>
      <c r="AH181" s="860"/>
      <c r="AI181" s="860"/>
      <c r="AJ181" s="860"/>
      <c r="AK181" s="860"/>
      <c r="AL181" s="860"/>
      <c r="AM181" s="860"/>
      <c r="AN181" s="918"/>
      <c r="BB181" s="864"/>
      <c r="BD181" s="864"/>
    </row>
    <row r="182" spans="1:56" s="467" customFormat="1">
      <c r="A182" s="467" t="s">
        <v>2078</v>
      </c>
      <c r="B182" s="856">
        <v>60</v>
      </c>
      <c r="C182" s="1471" t="s">
        <v>2810</v>
      </c>
      <c r="D182" s="858" t="s">
        <v>2809</v>
      </c>
      <c r="E182" s="858" t="s">
        <v>2808</v>
      </c>
      <c r="F182" s="857">
        <v>49</v>
      </c>
      <c r="G182" s="857">
        <v>31.68</v>
      </c>
      <c r="H182" s="857">
        <f>L182*R182</f>
        <v>453.77730400000002</v>
      </c>
      <c r="I182" s="924">
        <f>F182/H182</f>
        <v>0.10798248296701943</v>
      </c>
      <c r="J182" s="856" t="s">
        <v>3138</v>
      </c>
      <c r="K182" s="856" t="s">
        <v>2089</v>
      </c>
      <c r="L182" s="856">
        <v>67.39</v>
      </c>
      <c r="M182" s="856">
        <v>58.84</v>
      </c>
      <c r="N182" s="468">
        <f>M182/L182</f>
        <v>0.87312657664341897</v>
      </c>
      <c r="O182" s="855">
        <v>58.84</v>
      </c>
      <c r="P182" s="468">
        <f>O182/L182</f>
        <v>0.87312657664341897</v>
      </c>
      <c r="Q182" s="467">
        <v>3</v>
      </c>
      <c r="R182" s="467">
        <v>6.7336</v>
      </c>
      <c r="S182" s="467" t="s">
        <v>2807</v>
      </c>
      <c r="T182" s="854">
        <v>42866</v>
      </c>
      <c r="U182" s="467">
        <v>33.82</v>
      </c>
      <c r="V182" s="468">
        <f>((U182*(1+X182/10)+Y182/10)/O182)</f>
        <v>0.57477906186267846</v>
      </c>
      <c r="W182" s="467" t="s">
        <v>2806</v>
      </c>
      <c r="Z182" s="853" t="s">
        <v>2160</v>
      </c>
      <c r="AB182" s="525"/>
      <c r="AC182" s="525"/>
      <c r="AD182" s="525"/>
      <c r="AE182" s="525"/>
      <c r="AF182" s="525"/>
      <c r="AG182" s="525"/>
      <c r="AH182" s="525"/>
      <c r="AI182" s="525"/>
      <c r="AJ182" s="525"/>
      <c r="AK182" s="525"/>
      <c r="AL182" s="525"/>
      <c r="AM182" s="525"/>
      <c r="AN182" s="917"/>
      <c r="BB182" s="854"/>
      <c r="BD182" s="853"/>
    </row>
    <row r="183" spans="1:56" s="525" customFormat="1">
      <c r="B183" s="923"/>
      <c r="C183" s="922"/>
      <c r="D183" s="921"/>
      <c r="E183" s="921"/>
      <c r="F183" s="920"/>
      <c r="G183" s="870"/>
      <c r="H183" s="920"/>
      <c r="I183" s="887"/>
      <c r="J183" s="856" t="s">
        <v>3137</v>
      </c>
      <c r="K183" s="856" t="s">
        <v>2693</v>
      </c>
      <c r="L183" s="467">
        <v>67.39</v>
      </c>
      <c r="M183" s="467"/>
      <c r="N183" s="468">
        <f>M182/L183</f>
        <v>0.87312657664341897</v>
      </c>
      <c r="O183" s="855"/>
      <c r="P183" s="468">
        <f>O182/L183</f>
        <v>0.87312657664341897</v>
      </c>
      <c r="T183" s="852"/>
      <c r="V183" s="869"/>
      <c r="BB183" s="852"/>
      <c r="BD183" s="851"/>
    </row>
    <row r="184" spans="1:56" s="525" customFormat="1">
      <c r="C184" s="867" t="s">
        <v>112</v>
      </c>
      <c r="D184" s="867" t="s">
        <v>113</v>
      </c>
      <c r="E184" s="867" t="s">
        <v>943</v>
      </c>
      <c r="F184" s="868" t="s">
        <v>411</v>
      </c>
      <c r="G184" s="868" t="s">
        <v>942</v>
      </c>
      <c r="H184" s="867" t="s">
        <v>231</v>
      </c>
    </row>
    <row r="185" spans="1:56" s="525" customFormat="1" ht="17" customHeight="1">
      <c r="C185" s="1598" t="s">
        <v>467</v>
      </c>
      <c r="D185" s="467">
        <v>60</v>
      </c>
      <c r="E185" s="865">
        <v>12</v>
      </c>
      <c r="F185" s="877"/>
      <c r="G185" s="866">
        <v>2634.2624000000001</v>
      </c>
      <c r="H185" s="865">
        <v>15.49999996</v>
      </c>
      <c r="I185" s="881"/>
    </row>
    <row r="186" spans="1:56" s="525" customFormat="1">
      <c r="C186" s="1598"/>
      <c r="D186" s="467">
        <v>59</v>
      </c>
      <c r="E186" s="865">
        <v>12</v>
      </c>
      <c r="F186" s="467"/>
      <c r="G186" s="467"/>
      <c r="H186" s="467"/>
      <c r="J186" s="883"/>
    </row>
    <row r="187" spans="1:56" s="525" customFormat="1">
      <c r="C187" s="1598"/>
      <c r="D187" s="467">
        <v>58.84</v>
      </c>
      <c r="E187" s="865">
        <v>12</v>
      </c>
      <c r="F187" s="467"/>
      <c r="G187" s="467"/>
      <c r="H187" s="467"/>
    </row>
    <row r="188" spans="1:56" s="525" customFormat="1">
      <c r="C188" s="867"/>
      <c r="D188" s="1582" t="s">
        <v>621</v>
      </c>
      <c r="E188" s="1582"/>
      <c r="F188" s="1607" t="s">
        <v>3137</v>
      </c>
      <c r="G188" s="1608"/>
      <c r="H188" s="867"/>
    </row>
    <row r="189" spans="1:56" s="525" customFormat="1">
      <c r="C189" s="467" t="s">
        <v>467</v>
      </c>
      <c r="D189" s="467">
        <v>58.84</v>
      </c>
      <c r="E189" s="865">
        <v>3.5</v>
      </c>
      <c r="F189" s="467"/>
      <c r="G189" s="467"/>
      <c r="H189" s="467"/>
    </row>
    <row r="190" spans="1:56" s="525" customFormat="1">
      <c r="C190" s="467" t="s">
        <v>115</v>
      </c>
      <c r="D190" s="467">
        <v>58.84</v>
      </c>
      <c r="E190" s="865">
        <v>6.68</v>
      </c>
      <c r="F190" s="467"/>
      <c r="G190" s="866">
        <v>1135.2820999999999</v>
      </c>
      <c r="H190" s="865">
        <v>6.6799998764000001</v>
      </c>
    </row>
    <row r="191" spans="1:56" s="525" customFormat="1">
      <c r="C191" s="467" t="s">
        <v>146</v>
      </c>
      <c r="D191" s="467">
        <v>58.84</v>
      </c>
      <c r="E191" s="865">
        <v>9.5</v>
      </c>
      <c r="F191" s="467"/>
      <c r="G191" s="866">
        <v>1614.5479</v>
      </c>
      <c r="H191" s="865">
        <v>9.4999998435999995</v>
      </c>
    </row>
    <row r="192" spans="1:56" s="525" customFormat="1"/>
    <row r="193" spans="1:56" s="862" customFormat="1">
      <c r="A193" s="862" t="s">
        <v>2861</v>
      </c>
      <c r="B193" s="862" t="s">
        <v>2036</v>
      </c>
      <c r="C193" s="864" t="s">
        <v>126</v>
      </c>
      <c r="D193" s="864" t="s">
        <v>1583</v>
      </c>
      <c r="E193" s="864" t="s">
        <v>4</v>
      </c>
      <c r="F193" s="864" t="s">
        <v>2860</v>
      </c>
      <c r="G193" s="864" t="s">
        <v>2859</v>
      </c>
      <c r="H193" s="864" t="s">
        <v>2858</v>
      </c>
      <c r="I193" s="864" t="s">
        <v>751</v>
      </c>
      <c r="J193" s="862" t="s">
        <v>274</v>
      </c>
      <c r="K193" s="862" t="s">
        <v>273</v>
      </c>
      <c r="L193" s="862" t="s">
        <v>116</v>
      </c>
      <c r="M193" s="862" t="s">
        <v>110</v>
      </c>
      <c r="N193" s="862" t="s">
        <v>276</v>
      </c>
      <c r="O193" s="864" t="s">
        <v>1311</v>
      </c>
      <c r="P193" s="862" t="s">
        <v>275</v>
      </c>
      <c r="Q193" s="862" t="s">
        <v>111</v>
      </c>
      <c r="R193" s="862" t="s">
        <v>2857</v>
      </c>
      <c r="S193" s="862" t="s">
        <v>747</v>
      </c>
      <c r="T193" s="864" t="s">
        <v>12</v>
      </c>
      <c r="U193" s="863" t="s">
        <v>948</v>
      </c>
      <c r="V193" s="862" t="s">
        <v>129</v>
      </c>
      <c r="W193" s="862" t="s">
        <v>220</v>
      </c>
      <c r="X193" s="862" t="s">
        <v>749</v>
      </c>
      <c r="Y193" s="862" t="s">
        <v>750</v>
      </c>
      <c r="Z193" s="862" t="s">
        <v>748</v>
      </c>
      <c r="AA193" s="860"/>
      <c r="AB193" s="860"/>
      <c r="AC193" s="860"/>
      <c r="AD193" s="860"/>
      <c r="AE193" s="860"/>
      <c r="AF193" s="860"/>
      <c r="AG193" s="860"/>
      <c r="AH193" s="860"/>
      <c r="AI193" s="860"/>
      <c r="AJ193" s="860"/>
      <c r="AK193" s="860"/>
      <c r="AL193" s="860"/>
      <c r="AM193" s="860"/>
      <c r="AN193" s="860"/>
      <c r="AO193" s="860"/>
      <c r="AP193" s="860"/>
      <c r="AQ193" s="860"/>
      <c r="AR193" s="860"/>
      <c r="AS193" s="860"/>
      <c r="AT193" s="860"/>
      <c r="AU193" s="860"/>
      <c r="AV193" s="918"/>
      <c r="BB193" s="864"/>
      <c r="BD193" s="864"/>
    </row>
    <row r="194" spans="1:56" s="467" customFormat="1">
      <c r="A194" s="467" t="s">
        <v>2078</v>
      </c>
      <c r="B194" s="1475">
        <v>61</v>
      </c>
      <c r="C194" s="1471" t="s">
        <v>2805</v>
      </c>
      <c r="D194" s="858" t="s">
        <v>2804</v>
      </c>
      <c r="E194" s="858" t="s">
        <v>2803</v>
      </c>
      <c r="F194" s="857">
        <v>7.78</v>
      </c>
      <c r="G194" s="855">
        <v>7.78</v>
      </c>
      <c r="H194" s="855">
        <f>L194*R194</f>
        <v>48.919200000000004</v>
      </c>
      <c r="I194" s="855">
        <f>F194/H194</f>
        <v>0.15903776022502411</v>
      </c>
      <c r="J194" s="856" t="s">
        <v>3136</v>
      </c>
      <c r="K194" s="467" t="s">
        <v>151</v>
      </c>
      <c r="L194" s="467">
        <v>32.700000000000003</v>
      </c>
      <c r="M194" s="856">
        <v>25.65</v>
      </c>
      <c r="N194" s="468">
        <f>M194/L194</f>
        <v>0.78440366972477049</v>
      </c>
      <c r="O194" s="855">
        <v>30</v>
      </c>
      <c r="P194" s="468">
        <f>O194/L194</f>
        <v>0.9174311926605504</v>
      </c>
      <c r="Q194" s="467">
        <v>7</v>
      </c>
      <c r="R194" s="467">
        <v>1.496</v>
      </c>
      <c r="S194" s="467" t="s">
        <v>2802</v>
      </c>
      <c r="T194" s="854">
        <v>42870</v>
      </c>
      <c r="U194" s="467">
        <v>15.6</v>
      </c>
      <c r="V194" s="468">
        <f>((U194*(1+X194/10)+Y194/10)/O194)</f>
        <v>1.1606666666666667</v>
      </c>
      <c r="W194" s="467" t="s">
        <v>2801</v>
      </c>
      <c r="X194" s="467">
        <v>12</v>
      </c>
      <c r="Y194" s="467">
        <v>5</v>
      </c>
      <c r="Z194" s="853" t="s">
        <v>2172</v>
      </c>
      <c r="AA194" s="525"/>
      <c r="AB194" s="525"/>
      <c r="AC194" s="525"/>
      <c r="AD194" s="525"/>
      <c r="AE194" s="525"/>
      <c r="AF194" s="525"/>
      <c r="AG194" s="525"/>
      <c r="AH194" s="525"/>
      <c r="AI194" s="525"/>
      <c r="AJ194" s="525"/>
      <c r="AK194" s="525"/>
      <c r="AL194" s="525"/>
      <c r="AM194" s="525"/>
      <c r="AN194" s="525"/>
      <c r="AO194" s="525"/>
      <c r="AP194" s="525"/>
      <c r="AQ194" s="525"/>
      <c r="AR194" s="525"/>
      <c r="AS194" s="525"/>
      <c r="AT194" s="525"/>
      <c r="AU194" s="525"/>
      <c r="AV194" s="917"/>
      <c r="BB194" s="854"/>
      <c r="BD194" s="853"/>
    </row>
    <row r="195" spans="1:56" s="525" customFormat="1">
      <c r="C195" s="867" t="s">
        <v>112</v>
      </c>
      <c r="D195" s="867" t="s">
        <v>113</v>
      </c>
      <c r="E195" s="867" t="s">
        <v>943</v>
      </c>
      <c r="F195" s="868" t="s">
        <v>411</v>
      </c>
      <c r="G195" s="868" t="s">
        <v>942</v>
      </c>
      <c r="H195" s="867" t="s">
        <v>231</v>
      </c>
    </row>
    <row r="196" spans="1:56" s="525" customFormat="1">
      <c r="C196" s="1598" t="s">
        <v>666</v>
      </c>
      <c r="D196" s="467">
        <v>30.03</v>
      </c>
      <c r="E196" s="467">
        <v>0.8</v>
      </c>
      <c r="F196" s="467"/>
      <c r="G196" s="467">
        <v>266.66000000000003</v>
      </c>
      <c r="H196" s="468">
        <f>(G196/10000)*D196</f>
        <v>0.80077998000000006</v>
      </c>
    </row>
    <row r="197" spans="1:56" s="525" customFormat="1">
      <c r="C197" s="1598"/>
      <c r="D197" s="467">
        <v>28</v>
      </c>
      <c r="E197" s="467">
        <v>0.8</v>
      </c>
      <c r="F197" s="467"/>
      <c r="G197" s="467"/>
      <c r="H197" s="468"/>
    </row>
    <row r="198" spans="1:56" s="525" customFormat="1">
      <c r="C198" s="1598"/>
      <c r="D198" s="467">
        <v>26</v>
      </c>
      <c r="E198" s="467">
        <v>0.8</v>
      </c>
      <c r="F198" s="467"/>
      <c r="G198" s="467"/>
      <c r="H198" s="468"/>
    </row>
    <row r="199" spans="1:56" s="525" customFormat="1">
      <c r="C199" s="467" t="s">
        <v>3135</v>
      </c>
      <c r="D199" s="467">
        <v>28.88</v>
      </c>
      <c r="E199" s="467">
        <v>1</v>
      </c>
      <c r="F199" s="467"/>
      <c r="G199" s="467"/>
      <c r="H199" s="468"/>
      <c r="I199" s="919"/>
    </row>
    <row r="200" spans="1:56" s="525" customFormat="1">
      <c r="C200" s="467" t="s">
        <v>3134</v>
      </c>
      <c r="D200" s="467">
        <v>25.65</v>
      </c>
      <c r="E200" s="467">
        <v>0.8</v>
      </c>
      <c r="F200" s="467"/>
      <c r="G200" s="467"/>
      <c r="H200" s="468"/>
    </row>
    <row r="201" spans="1:56" s="525" customFormat="1">
      <c r="C201" s="1598" t="s">
        <v>3133</v>
      </c>
      <c r="D201" s="467">
        <v>28</v>
      </c>
      <c r="E201" s="467">
        <v>1.5</v>
      </c>
      <c r="F201" s="467"/>
      <c r="G201" s="467"/>
      <c r="H201" s="468"/>
    </row>
    <row r="202" spans="1:56" s="525" customFormat="1">
      <c r="C202" s="1598"/>
      <c r="D202" s="467">
        <v>27</v>
      </c>
      <c r="E202" s="467">
        <v>1.5</v>
      </c>
      <c r="F202" s="467"/>
      <c r="G202" s="467"/>
      <c r="H202" s="468"/>
    </row>
    <row r="203" spans="1:56" s="525" customFormat="1">
      <c r="C203" s="1598"/>
      <c r="D203" s="467">
        <v>26</v>
      </c>
      <c r="E203" s="467">
        <v>1.5</v>
      </c>
      <c r="F203" s="467"/>
      <c r="G203" s="467"/>
      <c r="H203" s="468"/>
    </row>
    <row r="204" spans="1:56" s="525" customFormat="1">
      <c r="C204" s="467" t="s">
        <v>3132</v>
      </c>
      <c r="D204" s="467">
        <v>25.81</v>
      </c>
      <c r="E204" s="467">
        <v>0.9</v>
      </c>
      <c r="F204" s="467"/>
      <c r="G204" s="467"/>
      <c r="H204" s="468"/>
    </row>
    <row r="205" spans="1:56" s="525" customFormat="1">
      <c r="C205" s="467" t="s">
        <v>3131</v>
      </c>
      <c r="D205" s="467">
        <v>27.5</v>
      </c>
      <c r="E205" s="467">
        <v>0.84</v>
      </c>
      <c r="F205" s="467"/>
      <c r="G205" s="467"/>
      <c r="H205" s="468"/>
    </row>
    <row r="206" spans="1:56" s="525" customFormat="1">
      <c r="C206" s="467" t="s">
        <v>3130</v>
      </c>
      <c r="D206" s="467">
        <v>28</v>
      </c>
      <c r="E206" s="467">
        <v>0.85</v>
      </c>
      <c r="F206" s="467"/>
      <c r="G206" s="467"/>
      <c r="H206" s="468"/>
    </row>
    <row r="207" spans="1:56" s="525" customFormat="1">
      <c r="C207" s="467" t="s">
        <v>128</v>
      </c>
      <c r="D207" s="467">
        <v>29.01</v>
      </c>
      <c r="E207" s="467">
        <v>1.05</v>
      </c>
      <c r="F207" s="467"/>
      <c r="G207" s="467"/>
      <c r="H207" s="468"/>
    </row>
    <row r="208" spans="1:56" s="525" customFormat="1">
      <c r="C208" s="467" t="s">
        <v>124</v>
      </c>
      <c r="D208" s="467">
        <v>27</v>
      </c>
      <c r="E208" s="467">
        <v>2.2970999999999999</v>
      </c>
      <c r="F208" s="467"/>
      <c r="G208" s="467"/>
      <c r="H208" s="468"/>
    </row>
    <row r="209" spans="3:8" s="525" customFormat="1">
      <c r="C209" s="467" t="s">
        <v>560</v>
      </c>
      <c r="D209" s="467">
        <v>28.08</v>
      </c>
      <c r="E209" s="467">
        <v>0.8</v>
      </c>
      <c r="F209" s="467"/>
      <c r="G209" s="467"/>
      <c r="H209" s="468"/>
    </row>
    <row r="210" spans="3:8" s="525" customFormat="1">
      <c r="C210" s="467" t="s">
        <v>3595</v>
      </c>
      <c r="D210" s="467">
        <v>30</v>
      </c>
      <c r="E210" s="467">
        <v>0.8</v>
      </c>
      <c r="F210" s="467"/>
      <c r="G210" s="467"/>
      <c r="H210" s="468"/>
    </row>
    <row r="211" spans="3:8" s="525" customFormat="1">
      <c r="C211" s="467"/>
      <c r="D211" s="467">
        <v>29</v>
      </c>
      <c r="E211" s="467">
        <v>0.8</v>
      </c>
      <c r="F211" s="467"/>
      <c r="G211" s="467">
        <v>44.09</v>
      </c>
      <c r="H211" s="468">
        <f>(G211/10000)*D211</f>
        <v>0.12786100000000003</v>
      </c>
    </row>
    <row r="212" spans="3:8" s="525" customFormat="1">
      <c r="C212" s="467"/>
      <c r="D212" s="467">
        <v>27</v>
      </c>
      <c r="E212" s="467">
        <v>0.8</v>
      </c>
      <c r="F212" s="467"/>
      <c r="G212" s="467"/>
      <c r="H212" s="468"/>
    </row>
    <row r="213" spans="3:8" s="525" customFormat="1">
      <c r="C213" s="467" t="s">
        <v>3594</v>
      </c>
      <c r="D213" s="467">
        <v>26.93</v>
      </c>
      <c r="E213" s="467">
        <v>0.8</v>
      </c>
      <c r="F213" s="467"/>
      <c r="G213" s="467"/>
      <c r="H213" s="468"/>
    </row>
    <row r="214" spans="3:8" s="525" customFormat="1">
      <c r="C214" s="467" t="s">
        <v>295</v>
      </c>
      <c r="D214" s="467">
        <v>32.6</v>
      </c>
      <c r="E214" s="467">
        <v>0.81499999999999995</v>
      </c>
      <c r="F214" s="467"/>
      <c r="G214" s="467">
        <v>271.66000000000003</v>
      </c>
      <c r="H214" s="468">
        <f>(G214/10000)*D214</f>
        <v>0.88561160000000017</v>
      </c>
    </row>
    <row r="215" spans="3:8" s="525" customFormat="1">
      <c r="C215" s="467" t="s">
        <v>115</v>
      </c>
      <c r="D215" s="467">
        <v>29.55</v>
      </c>
      <c r="E215" s="467">
        <v>1.069</v>
      </c>
      <c r="F215" s="467"/>
      <c r="G215" s="467"/>
      <c r="H215" s="468"/>
    </row>
    <row r="216" spans="3:8" s="525" customFormat="1">
      <c r="C216" s="467"/>
      <c r="D216" s="467">
        <v>27.98</v>
      </c>
      <c r="E216" s="467">
        <v>5.36</v>
      </c>
      <c r="F216" s="467"/>
      <c r="G216" s="467"/>
      <c r="H216" s="468"/>
    </row>
    <row r="217" spans="3:8" s="525" customFormat="1">
      <c r="C217" s="467"/>
      <c r="D217" s="467">
        <v>26.5</v>
      </c>
      <c r="E217" s="467">
        <v>7.29</v>
      </c>
      <c r="F217" s="467"/>
      <c r="G217" s="467"/>
      <c r="H217" s="468"/>
    </row>
    <row r="218" spans="3:8" s="525" customFormat="1">
      <c r="C218" s="467" t="s">
        <v>121</v>
      </c>
      <c r="D218" s="731">
        <v>29</v>
      </c>
      <c r="E218" s="467">
        <v>0.8</v>
      </c>
      <c r="F218" s="467"/>
      <c r="G218" s="467"/>
      <c r="H218" s="468"/>
    </row>
    <row r="219" spans="3:8" s="525" customFormat="1">
      <c r="C219" s="467"/>
      <c r="D219" s="731">
        <v>27.84</v>
      </c>
      <c r="E219" s="467">
        <v>1.8</v>
      </c>
      <c r="F219" s="467"/>
      <c r="G219" s="467"/>
      <c r="H219" s="468"/>
    </row>
    <row r="220" spans="3:8" s="525" customFormat="1">
      <c r="C220" s="467"/>
      <c r="D220" s="731">
        <v>26.53</v>
      </c>
      <c r="E220" s="467">
        <v>2.1</v>
      </c>
      <c r="F220" s="467"/>
      <c r="G220" s="467"/>
      <c r="H220" s="468"/>
    </row>
    <row r="221" spans="3:8" s="525" customFormat="1">
      <c r="C221" s="467" t="s">
        <v>3593</v>
      </c>
      <c r="D221" s="731">
        <v>32</v>
      </c>
      <c r="E221" s="467">
        <v>0.80500000000000005</v>
      </c>
      <c r="F221" s="467"/>
      <c r="G221" s="467">
        <v>268.33</v>
      </c>
      <c r="H221" s="468">
        <f>(G221/10000)*D221</f>
        <v>0.85865599999999997</v>
      </c>
    </row>
    <row r="222" spans="3:8" s="525" customFormat="1">
      <c r="C222" s="467" t="s">
        <v>173</v>
      </c>
      <c r="D222" s="731">
        <v>31</v>
      </c>
      <c r="E222" s="467">
        <v>1.32</v>
      </c>
      <c r="F222" s="467"/>
      <c r="G222" s="467">
        <v>440</v>
      </c>
      <c r="H222" s="468">
        <f>(G222/10000)*D222</f>
        <v>1.3639999999999999</v>
      </c>
    </row>
    <row r="223" spans="3:8" s="525" customFormat="1">
      <c r="C223" s="467"/>
      <c r="D223" s="731">
        <v>29</v>
      </c>
      <c r="E223" s="467">
        <v>1.48</v>
      </c>
      <c r="F223" s="467"/>
      <c r="G223" s="467"/>
      <c r="H223" s="468"/>
    </row>
    <row r="224" spans="3:8" s="525" customFormat="1">
      <c r="C224" s="467" t="s">
        <v>148</v>
      </c>
      <c r="D224" s="731">
        <v>29.01</v>
      </c>
      <c r="E224" s="467">
        <v>0.8</v>
      </c>
      <c r="F224" s="467"/>
      <c r="G224" s="467"/>
      <c r="H224" s="468"/>
    </row>
    <row r="225" spans="1:56" s="525" customFormat="1">
      <c r="C225" s="467"/>
      <c r="D225" s="731">
        <v>28.05</v>
      </c>
      <c r="E225" s="467">
        <v>1.925</v>
      </c>
      <c r="F225" s="467"/>
      <c r="G225" s="467"/>
      <c r="H225" s="468"/>
    </row>
    <row r="226" spans="1:56" s="525" customFormat="1">
      <c r="C226" s="467"/>
      <c r="D226" s="731">
        <v>28.01</v>
      </c>
      <c r="E226" s="467">
        <v>1.925</v>
      </c>
      <c r="F226" s="467"/>
      <c r="G226" s="467"/>
      <c r="H226" s="468"/>
    </row>
    <row r="227" spans="1:56" s="525" customFormat="1" ht="17" customHeight="1">
      <c r="C227" s="467" t="s">
        <v>134</v>
      </c>
      <c r="D227" s="731">
        <v>26.08</v>
      </c>
      <c r="E227" s="467">
        <v>0.8</v>
      </c>
      <c r="F227" s="467"/>
      <c r="G227" s="467"/>
      <c r="H227" s="468"/>
    </row>
    <row r="228" spans="1:56" s="525" customFormat="1">
      <c r="C228" s="467"/>
      <c r="D228" s="731">
        <v>25.65</v>
      </c>
      <c r="E228" s="467">
        <v>1.6</v>
      </c>
      <c r="F228" s="467"/>
      <c r="G228" s="467"/>
      <c r="H228" s="468"/>
    </row>
    <row r="229" spans="1:56" s="525" customFormat="1" ht="18" customHeight="1">
      <c r="C229" s="467" t="s">
        <v>677</v>
      </c>
      <c r="D229" s="731">
        <v>30.04</v>
      </c>
      <c r="E229" s="467">
        <v>2.3248000000000002</v>
      </c>
      <c r="F229" s="467"/>
      <c r="G229" s="467"/>
      <c r="H229" s="468"/>
    </row>
    <row r="230" spans="1:56" s="525" customFormat="1">
      <c r="C230" s="467"/>
      <c r="D230" s="731">
        <v>29.02</v>
      </c>
      <c r="E230" s="467">
        <v>2.3249</v>
      </c>
      <c r="F230" s="467"/>
      <c r="G230" s="467">
        <v>774.93</v>
      </c>
      <c r="H230" s="468">
        <f>(G230/10000)*D230</f>
        <v>2.2488468599999996</v>
      </c>
    </row>
    <row r="231" spans="1:56" s="525" customFormat="1">
      <c r="C231" s="467"/>
      <c r="D231" s="731">
        <v>28.61</v>
      </c>
      <c r="E231" s="467">
        <v>2.3250000000000002</v>
      </c>
      <c r="F231" s="467"/>
      <c r="G231" s="467"/>
      <c r="H231" s="468"/>
    </row>
    <row r="232" spans="1:56" s="525" customFormat="1" ht="30" customHeight="1">
      <c r="C232" s="467" t="s">
        <v>138</v>
      </c>
      <c r="D232" s="731">
        <v>25.77</v>
      </c>
      <c r="E232" s="467">
        <v>1.1000000000000001</v>
      </c>
      <c r="F232" s="467"/>
      <c r="G232" s="467"/>
      <c r="H232" s="468"/>
    </row>
    <row r="233" spans="1:56" s="525" customFormat="1">
      <c r="C233" s="467" t="s">
        <v>147</v>
      </c>
      <c r="D233" s="731">
        <v>26</v>
      </c>
      <c r="E233" s="467">
        <v>1.08</v>
      </c>
      <c r="F233" s="467"/>
      <c r="G233" s="467"/>
      <c r="H233" s="468"/>
    </row>
    <row r="234" spans="1:56" s="525" customFormat="1">
      <c r="C234" s="467"/>
      <c r="D234" s="731">
        <v>25.66</v>
      </c>
      <c r="E234" s="467">
        <v>1.1000000000000001</v>
      </c>
      <c r="F234" s="467"/>
      <c r="G234" s="467"/>
      <c r="H234" s="468"/>
    </row>
    <row r="235" spans="1:56" s="525" customFormat="1">
      <c r="C235" s="467" t="s">
        <v>120</v>
      </c>
      <c r="D235" s="731">
        <v>30</v>
      </c>
      <c r="E235" s="467">
        <v>1.58</v>
      </c>
      <c r="F235" s="467"/>
      <c r="G235" s="467"/>
      <c r="H235" s="468"/>
    </row>
    <row r="236" spans="1:56" s="525" customFormat="1">
      <c r="C236" s="467"/>
      <c r="D236" s="731">
        <v>27.06</v>
      </c>
      <c r="E236" s="467">
        <v>1.59</v>
      </c>
      <c r="F236" s="467"/>
      <c r="G236" s="467"/>
      <c r="H236" s="468"/>
    </row>
    <row r="237" spans="1:56" s="525" customFormat="1">
      <c r="C237" s="467"/>
      <c r="D237" s="731">
        <v>26.82</v>
      </c>
      <c r="E237" s="467">
        <v>1.6</v>
      </c>
      <c r="F237" s="467"/>
      <c r="G237" s="467">
        <v>526.66</v>
      </c>
      <c r="H237" s="468">
        <f>(G237/10000)*D237</f>
        <v>1.4125021199999999</v>
      </c>
    </row>
    <row r="238" spans="1:56" s="525" customFormat="1"/>
    <row r="239" spans="1:56" s="525" customFormat="1"/>
    <row r="240" spans="1:56" s="862" customFormat="1">
      <c r="A240" s="862" t="s">
        <v>2861</v>
      </c>
      <c r="B240" s="862" t="s">
        <v>2036</v>
      </c>
      <c r="C240" s="864" t="s">
        <v>126</v>
      </c>
      <c r="D240" s="864" t="s">
        <v>1583</v>
      </c>
      <c r="E240" s="864" t="s">
        <v>4</v>
      </c>
      <c r="F240" s="864" t="s">
        <v>2860</v>
      </c>
      <c r="G240" s="864" t="s">
        <v>2859</v>
      </c>
      <c r="H240" s="864" t="s">
        <v>2858</v>
      </c>
      <c r="I240" s="864" t="s">
        <v>751</v>
      </c>
      <c r="J240" s="862" t="s">
        <v>274</v>
      </c>
      <c r="K240" s="862" t="s">
        <v>273</v>
      </c>
      <c r="L240" s="862" t="s">
        <v>116</v>
      </c>
      <c r="M240" s="862" t="s">
        <v>110</v>
      </c>
      <c r="N240" s="862" t="s">
        <v>276</v>
      </c>
      <c r="O240" s="864" t="s">
        <v>1311</v>
      </c>
      <c r="P240" s="862" t="s">
        <v>275</v>
      </c>
      <c r="Q240" s="862" t="s">
        <v>111</v>
      </c>
      <c r="R240" s="862" t="s">
        <v>2857</v>
      </c>
      <c r="S240" s="862" t="s">
        <v>747</v>
      </c>
      <c r="T240" s="864" t="s">
        <v>12</v>
      </c>
      <c r="U240" s="863" t="s">
        <v>948</v>
      </c>
      <c r="V240" s="862" t="s">
        <v>129</v>
      </c>
      <c r="W240" s="862" t="s">
        <v>220</v>
      </c>
      <c r="X240" s="862" t="s">
        <v>749</v>
      </c>
      <c r="Y240" s="862" t="s">
        <v>750</v>
      </c>
      <c r="Z240" s="862" t="s">
        <v>748</v>
      </c>
      <c r="AA240" s="860"/>
      <c r="AB240" s="860"/>
      <c r="AC240" s="860"/>
      <c r="AD240" s="860"/>
      <c r="AE240" s="860"/>
      <c r="AF240" s="860"/>
      <c r="AG240" s="860"/>
      <c r="AH240" s="860"/>
      <c r="AI240" s="860"/>
      <c r="AJ240" s="860"/>
      <c r="AK240" s="860"/>
      <c r="AL240" s="918"/>
      <c r="BB240" s="864"/>
      <c r="BD240" s="864"/>
    </row>
    <row r="241" spans="1:56" s="467" customFormat="1">
      <c r="A241" s="467" t="s">
        <v>2078</v>
      </c>
      <c r="B241" s="856">
        <v>62</v>
      </c>
      <c r="C241" s="1471" t="s">
        <v>2800</v>
      </c>
      <c r="D241" s="858" t="s">
        <v>2799</v>
      </c>
      <c r="E241" s="858" t="s">
        <v>2798</v>
      </c>
      <c r="F241" s="857">
        <v>16</v>
      </c>
      <c r="G241" s="855">
        <v>16</v>
      </c>
      <c r="H241" s="855">
        <f>L241*R241</f>
        <v>180.9602593326</v>
      </c>
      <c r="I241" s="855">
        <f>F241/H241</f>
        <v>8.8417203086520985E-2</v>
      </c>
      <c r="J241" s="856" t="s">
        <v>3129</v>
      </c>
      <c r="K241" s="467" t="s">
        <v>2125</v>
      </c>
      <c r="L241" s="467">
        <v>7.03</v>
      </c>
      <c r="M241" s="467">
        <v>6.32</v>
      </c>
      <c r="N241" s="896">
        <f>M241/L241</f>
        <v>0.89900426742532002</v>
      </c>
      <c r="O241" s="855">
        <v>6.36</v>
      </c>
      <c r="P241" s="468">
        <f>O241/L241</f>
        <v>0.90469416785206258</v>
      </c>
      <c r="Q241" s="467">
        <v>8</v>
      </c>
      <c r="R241" s="467">
        <v>25.74114642</v>
      </c>
      <c r="S241" s="467" t="s">
        <v>2797</v>
      </c>
      <c r="T241" s="854">
        <v>42870</v>
      </c>
      <c r="U241" s="467">
        <v>6.89</v>
      </c>
      <c r="V241" s="468">
        <f>((U241*(1+X241/10)+Y241/10)/O241)</f>
        <v>1.1069182389937107</v>
      </c>
      <c r="W241" s="467" t="s">
        <v>2117</v>
      </c>
      <c r="X241" s="467">
        <v>0</v>
      </c>
      <c r="Y241" s="467">
        <v>1.5</v>
      </c>
      <c r="Z241" s="853" t="s">
        <v>2519</v>
      </c>
      <c r="AA241" s="525"/>
      <c r="AB241" s="525"/>
      <c r="AC241" s="525"/>
      <c r="AD241" s="525"/>
      <c r="AE241" s="525"/>
      <c r="AF241" s="525"/>
      <c r="AG241" s="525"/>
      <c r="AH241" s="525"/>
      <c r="AI241" s="525"/>
      <c r="AJ241" s="525"/>
      <c r="AK241" s="525"/>
      <c r="AL241" s="917"/>
      <c r="BB241" s="854"/>
      <c r="BD241" s="853"/>
    </row>
    <row r="242" spans="1:56" s="525" customFormat="1">
      <c r="C242" s="890" t="s">
        <v>112</v>
      </c>
      <c r="D242" s="890" t="s">
        <v>113</v>
      </c>
      <c r="E242" s="890" t="s">
        <v>943</v>
      </c>
      <c r="F242" s="891" t="s">
        <v>411</v>
      </c>
      <c r="G242" s="891" t="s">
        <v>942</v>
      </c>
      <c r="H242" s="890" t="s">
        <v>231</v>
      </c>
    </row>
    <row r="243" spans="1:56" s="525" customFormat="1">
      <c r="C243" s="1598" t="s">
        <v>3592</v>
      </c>
      <c r="D243" s="467">
        <v>6.71</v>
      </c>
      <c r="E243" s="865">
        <v>1.6</v>
      </c>
      <c r="F243" s="467"/>
      <c r="G243" s="866">
        <v>2515.7199999999998</v>
      </c>
      <c r="H243" s="865">
        <v>1.5999979200000001</v>
      </c>
    </row>
    <row r="244" spans="1:56" s="525" customFormat="1">
      <c r="C244" s="1598"/>
      <c r="D244" s="467">
        <v>6.53</v>
      </c>
      <c r="E244" s="865">
        <v>1.6</v>
      </c>
      <c r="F244" s="467"/>
      <c r="G244" s="467"/>
      <c r="H244" s="865"/>
    </row>
    <row r="245" spans="1:56" s="525" customFormat="1">
      <c r="C245" s="1598"/>
      <c r="D245" s="467">
        <v>6.35</v>
      </c>
      <c r="E245" s="865">
        <v>1.6</v>
      </c>
      <c r="F245" s="467"/>
      <c r="G245" s="467"/>
      <c r="H245" s="865"/>
    </row>
    <row r="246" spans="1:56" s="525" customFormat="1">
      <c r="C246" s="1598" t="s">
        <v>3591</v>
      </c>
      <c r="D246" s="467">
        <v>6.37</v>
      </c>
      <c r="E246" s="865">
        <v>1.6</v>
      </c>
      <c r="F246" s="467"/>
      <c r="G246" s="866">
        <v>2515.7199999999998</v>
      </c>
      <c r="H246" s="865">
        <v>1.5999979200000001</v>
      </c>
    </row>
    <row r="247" spans="1:56" s="525" customFormat="1">
      <c r="C247" s="1598"/>
      <c r="D247" s="467">
        <v>6.34</v>
      </c>
      <c r="E247" s="865">
        <v>1.6</v>
      </c>
      <c r="F247" s="467"/>
      <c r="G247" s="467"/>
      <c r="H247" s="865"/>
    </row>
    <row r="248" spans="1:56" s="525" customFormat="1">
      <c r="C248" s="1598"/>
      <c r="D248" s="467">
        <v>6.32</v>
      </c>
      <c r="E248" s="865">
        <v>1.6</v>
      </c>
      <c r="F248" s="467"/>
      <c r="G248" s="467"/>
      <c r="H248" s="865"/>
    </row>
    <row r="249" spans="1:56" s="525" customFormat="1">
      <c r="C249" s="467" t="s">
        <v>3590</v>
      </c>
      <c r="D249" s="467">
        <v>6.5</v>
      </c>
      <c r="E249" s="865">
        <v>1.6</v>
      </c>
      <c r="F249" s="467"/>
      <c r="G249" s="866">
        <v>2515.7199999999998</v>
      </c>
      <c r="H249" s="865">
        <v>1.5999979200000001</v>
      </c>
    </row>
    <row r="250" spans="1:56" s="525" customFormat="1">
      <c r="C250" s="1598" t="s">
        <v>3589</v>
      </c>
      <c r="D250" s="467">
        <v>6.36</v>
      </c>
      <c r="E250" s="865">
        <v>1.63</v>
      </c>
      <c r="F250" s="467"/>
      <c r="G250" s="866">
        <v>1652.38</v>
      </c>
      <c r="H250" s="865">
        <v>1.0509136800000001</v>
      </c>
    </row>
    <row r="251" spans="1:56" s="525" customFormat="1">
      <c r="C251" s="1598"/>
      <c r="D251" s="467">
        <v>6.32</v>
      </c>
      <c r="E251" s="865">
        <v>1.99</v>
      </c>
      <c r="F251" s="467"/>
      <c r="G251" s="467"/>
      <c r="H251" s="865"/>
    </row>
    <row r="252" spans="1:56" s="525" customFormat="1">
      <c r="C252" s="1598" t="s">
        <v>3588</v>
      </c>
      <c r="D252" s="467">
        <v>6.88</v>
      </c>
      <c r="E252" s="865">
        <v>3.1</v>
      </c>
      <c r="F252" s="467"/>
      <c r="G252" s="866">
        <v>4874.21</v>
      </c>
      <c r="H252" s="865">
        <v>3.0999975599999998</v>
      </c>
    </row>
    <row r="253" spans="1:56" s="525" customFormat="1">
      <c r="C253" s="1598"/>
      <c r="D253" s="467">
        <v>6.32</v>
      </c>
      <c r="E253" s="865">
        <v>3.2</v>
      </c>
      <c r="F253" s="467"/>
      <c r="G253" s="467"/>
      <c r="H253" s="865"/>
    </row>
    <row r="254" spans="1:56" s="525" customFormat="1">
      <c r="C254" s="467" t="s">
        <v>3587</v>
      </c>
      <c r="D254" s="467">
        <v>6.41</v>
      </c>
      <c r="E254" s="865">
        <v>1.6</v>
      </c>
      <c r="F254" s="467"/>
      <c r="G254" s="866">
        <v>2515.7199999999998</v>
      </c>
      <c r="H254" s="865">
        <v>1.5999979200000001</v>
      </c>
    </row>
    <row r="255" spans="1:56" s="525" customFormat="1">
      <c r="C255" s="1598" t="s">
        <v>3586</v>
      </c>
      <c r="D255" s="467">
        <v>6.54</v>
      </c>
      <c r="E255" s="865">
        <v>3.0413999999999999</v>
      </c>
      <c r="F255" s="467"/>
      <c r="G255" s="866">
        <v>4782.54</v>
      </c>
      <c r="H255" s="865">
        <v>3.0416954399999998</v>
      </c>
    </row>
    <row r="256" spans="1:56" s="525" customFormat="1">
      <c r="C256" s="1598"/>
      <c r="D256" s="467">
        <v>6.41</v>
      </c>
      <c r="E256" s="865">
        <v>3.0417000000000001</v>
      </c>
      <c r="F256" s="467"/>
      <c r="G256" s="467"/>
      <c r="H256" s="865"/>
    </row>
    <row r="257" spans="1:56" s="525" customFormat="1">
      <c r="C257" s="1598"/>
      <c r="D257" s="467">
        <v>6.32</v>
      </c>
      <c r="E257" s="865">
        <v>3.0419999999999998</v>
      </c>
      <c r="F257" s="467"/>
      <c r="G257" s="467"/>
      <c r="H257" s="865"/>
    </row>
    <row r="258" spans="1:56" s="525" customFormat="1">
      <c r="C258" s="1598" t="s">
        <v>3585</v>
      </c>
      <c r="D258" s="467">
        <v>6.54</v>
      </c>
      <c r="E258" s="865">
        <v>2.4073000000000002</v>
      </c>
      <c r="F258" s="467"/>
      <c r="G258" s="866">
        <v>3785.22</v>
      </c>
      <c r="H258" s="865">
        <v>2.40739992</v>
      </c>
    </row>
    <row r="259" spans="1:56" s="525" customFormat="1">
      <c r="C259" s="1598"/>
      <c r="D259" s="467">
        <v>6.43</v>
      </c>
      <c r="E259" s="865">
        <v>2.4074</v>
      </c>
      <c r="F259" s="467"/>
      <c r="G259" s="467"/>
      <c r="H259" s="467"/>
    </row>
    <row r="260" spans="1:56" s="525" customFormat="1">
      <c r="C260" s="1598"/>
      <c r="D260" s="467">
        <v>6.32</v>
      </c>
      <c r="E260" s="865">
        <v>2.6074999999999999</v>
      </c>
      <c r="F260" s="467"/>
      <c r="G260" s="467"/>
      <c r="H260" s="467"/>
    </row>
    <row r="261" spans="1:56" s="860" customFormat="1">
      <c r="A261" s="862" t="s">
        <v>2861</v>
      </c>
      <c r="B261" s="862" t="s">
        <v>2036</v>
      </c>
      <c r="C261" s="864" t="s">
        <v>126</v>
      </c>
      <c r="D261" s="864" t="s">
        <v>1583</v>
      </c>
      <c r="E261" s="864" t="s">
        <v>4</v>
      </c>
      <c r="F261" s="864" t="s">
        <v>2860</v>
      </c>
      <c r="G261" s="864" t="s">
        <v>2859</v>
      </c>
      <c r="H261" s="864" t="s">
        <v>2858</v>
      </c>
      <c r="I261" s="864" t="s">
        <v>751</v>
      </c>
      <c r="J261" s="862" t="s">
        <v>274</v>
      </c>
      <c r="K261" s="862" t="s">
        <v>273</v>
      </c>
      <c r="L261" s="862" t="s">
        <v>116</v>
      </c>
      <c r="M261" s="862" t="s">
        <v>110</v>
      </c>
      <c r="N261" s="862" t="s">
        <v>276</v>
      </c>
      <c r="O261" s="864" t="s">
        <v>1311</v>
      </c>
      <c r="P261" s="862" t="s">
        <v>275</v>
      </c>
      <c r="Q261" s="862" t="s">
        <v>111</v>
      </c>
      <c r="R261" s="862" t="s">
        <v>2857</v>
      </c>
      <c r="S261" s="862" t="s">
        <v>747</v>
      </c>
      <c r="T261" s="864" t="s">
        <v>12</v>
      </c>
      <c r="U261" s="863" t="s">
        <v>948</v>
      </c>
      <c r="V261" s="862" t="s">
        <v>129</v>
      </c>
      <c r="W261" s="862" t="s">
        <v>220</v>
      </c>
      <c r="X261" s="862" t="s">
        <v>749</v>
      </c>
      <c r="Y261" s="862" t="s">
        <v>750</v>
      </c>
      <c r="Z261" s="876" t="s">
        <v>748</v>
      </c>
      <c r="AA261" s="875"/>
      <c r="BB261" s="861"/>
      <c r="BD261" s="861"/>
    </row>
    <row r="262" spans="1:56" s="525" customFormat="1">
      <c r="A262" s="467" t="s">
        <v>2078</v>
      </c>
      <c r="B262" s="856">
        <v>63</v>
      </c>
      <c r="C262" s="916" t="s">
        <v>2796</v>
      </c>
      <c r="D262" s="873" t="s">
        <v>2795</v>
      </c>
      <c r="E262" s="873" t="s">
        <v>2794</v>
      </c>
      <c r="F262" s="872">
        <v>6.42</v>
      </c>
      <c r="G262" s="870">
        <v>6.42</v>
      </c>
      <c r="H262" s="871">
        <f>L262*R262</f>
        <v>182.1570908031</v>
      </c>
      <c r="I262" s="855">
        <f>F262/H262</f>
        <v>3.5244304636702854E-2</v>
      </c>
      <c r="J262" s="856" t="s">
        <v>3128</v>
      </c>
      <c r="K262" s="467" t="s">
        <v>2107</v>
      </c>
      <c r="L262" s="467">
        <v>23.31</v>
      </c>
      <c r="M262" s="467">
        <v>19.59</v>
      </c>
      <c r="N262" s="896">
        <f>M262/L262</f>
        <v>0.84041184041184047</v>
      </c>
      <c r="O262" s="855">
        <v>22.8</v>
      </c>
      <c r="P262" s="468">
        <f>O262/L262</f>
        <v>0.9781209781209782</v>
      </c>
      <c r="Q262" s="467">
        <v>7</v>
      </c>
      <c r="R262" s="525">
        <v>7.8145470100000001</v>
      </c>
      <c r="S262" s="525" t="s">
        <v>2793</v>
      </c>
      <c r="T262" s="852">
        <v>42867</v>
      </c>
      <c r="U262" s="525">
        <v>32.479999999999997</v>
      </c>
      <c r="V262" s="869">
        <f>((U262*(1+X262/10)+Y262/10)/O262)</f>
        <v>1.4565789473684208</v>
      </c>
      <c r="W262" s="525" t="s">
        <v>2792</v>
      </c>
      <c r="X262" s="525">
        <v>0</v>
      </c>
      <c r="Y262" s="525">
        <v>7.3</v>
      </c>
      <c r="Z262" s="851" t="s">
        <v>2086</v>
      </c>
      <c r="BB262" s="852"/>
      <c r="BD262" s="851"/>
    </row>
    <row r="263" spans="1:56" s="525" customFormat="1">
      <c r="C263" s="867" t="s">
        <v>112</v>
      </c>
      <c r="D263" s="867" t="s">
        <v>113</v>
      </c>
      <c r="E263" s="867" t="s">
        <v>943</v>
      </c>
      <c r="F263" s="868" t="s">
        <v>411</v>
      </c>
      <c r="G263" s="868" t="s">
        <v>942</v>
      </c>
      <c r="H263" s="867" t="s">
        <v>231</v>
      </c>
    </row>
    <row r="264" spans="1:56" s="525" customFormat="1">
      <c r="C264" s="1531" t="s">
        <v>278</v>
      </c>
      <c r="D264" s="732">
        <v>23.79</v>
      </c>
      <c r="E264" s="730">
        <v>0.65</v>
      </c>
      <c r="F264" s="467"/>
      <c r="G264" s="877">
        <v>285.08769999999998</v>
      </c>
      <c r="H264" s="896">
        <f>G264*22.8*10000/100000000</f>
        <v>0.64999995600000005</v>
      </c>
    </row>
    <row r="265" spans="1:56" s="525" customFormat="1">
      <c r="C265" s="1531"/>
      <c r="D265" s="732">
        <v>22.6</v>
      </c>
      <c r="E265" s="730">
        <v>1.31</v>
      </c>
      <c r="F265" s="467"/>
      <c r="G265" s="467"/>
      <c r="H265" s="896"/>
    </row>
    <row r="266" spans="1:56" s="525" customFormat="1">
      <c r="C266" s="1531"/>
      <c r="D266" s="732">
        <v>21.41</v>
      </c>
      <c r="E266" s="730">
        <v>1.95</v>
      </c>
      <c r="F266" s="467"/>
      <c r="G266" s="467"/>
      <c r="H266" s="896"/>
    </row>
    <row r="267" spans="1:56" s="525" customFormat="1">
      <c r="C267" s="1531" t="s">
        <v>371</v>
      </c>
      <c r="D267" s="732">
        <v>23.75</v>
      </c>
      <c r="E267" s="730">
        <v>0.65</v>
      </c>
      <c r="F267" s="467"/>
      <c r="G267" s="877">
        <v>285.08769999999998</v>
      </c>
      <c r="H267" s="896">
        <f>G267*22.8*10000/100000000</f>
        <v>0.64999995600000005</v>
      </c>
    </row>
    <row r="268" spans="1:56" s="525" customFormat="1">
      <c r="C268" s="1531"/>
      <c r="D268" s="732">
        <v>20.58</v>
      </c>
      <c r="E268" s="730">
        <v>1.95</v>
      </c>
      <c r="F268" s="467"/>
      <c r="G268" s="467"/>
      <c r="H268" s="896"/>
    </row>
    <row r="269" spans="1:56" s="525" customFormat="1">
      <c r="C269" s="1531" t="s">
        <v>465</v>
      </c>
      <c r="D269" s="732">
        <v>23.08</v>
      </c>
      <c r="E269" s="730">
        <v>1</v>
      </c>
      <c r="F269" s="467"/>
      <c r="G269" s="877">
        <v>438.59640000000002</v>
      </c>
      <c r="H269" s="896">
        <f>G269*22.8*10000/100000000</f>
        <v>0.999999792</v>
      </c>
    </row>
    <row r="270" spans="1:56" s="525" customFormat="1">
      <c r="C270" s="1531"/>
      <c r="D270" s="732">
        <v>22.6</v>
      </c>
      <c r="E270" s="730">
        <v>1</v>
      </c>
      <c r="F270" s="467"/>
      <c r="G270" s="467"/>
      <c r="H270" s="896"/>
    </row>
    <row r="271" spans="1:56" s="525" customFormat="1">
      <c r="C271" s="1531"/>
      <c r="D271" s="732">
        <v>21.41</v>
      </c>
      <c r="E271" s="730">
        <v>1</v>
      </c>
      <c r="F271" s="467"/>
      <c r="G271" s="467"/>
      <c r="H271" s="896"/>
    </row>
    <row r="272" spans="1:56" s="525" customFormat="1" ht="28">
      <c r="C272" s="731" t="s">
        <v>3584</v>
      </c>
      <c r="D272" s="732">
        <v>23</v>
      </c>
      <c r="E272" s="730">
        <v>0.65</v>
      </c>
      <c r="F272" s="467"/>
      <c r="G272" s="877">
        <v>285.08769999999998</v>
      </c>
      <c r="H272" s="896">
        <f>G272*22.8*10000/100000000</f>
        <v>0.64999995600000005</v>
      </c>
    </row>
    <row r="273" spans="3:8" s="525" customFormat="1" ht="28">
      <c r="C273" s="731" t="s">
        <v>3347</v>
      </c>
      <c r="D273" s="732">
        <v>23</v>
      </c>
      <c r="E273" s="730">
        <v>0.65</v>
      </c>
      <c r="F273" s="467"/>
      <c r="G273" s="877">
        <v>285.08769999999998</v>
      </c>
      <c r="H273" s="896">
        <f>G273*22.8*10000/100000000</f>
        <v>0.64999995600000005</v>
      </c>
    </row>
    <row r="274" spans="3:8" s="525" customFormat="1">
      <c r="C274" s="1531" t="s">
        <v>152</v>
      </c>
      <c r="D274" s="732">
        <v>22.86</v>
      </c>
      <c r="E274" s="730">
        <v>1.7144999999999999</v>
      </c>
      <c r="F274" s="467"/>
      <c r="G274" s="877">
        <v>751.97360000000003</v>
      </c>
      <c r="H274" s="896">
        <f>G274*22.8*10000/100000000</f>
        <v>1.714499808</v>
      </c>
    </row>
    <row r="275" spans="3:8" s="525" customFormat="1">
      <c r="C275" s="1531"/>
      <c r="D275" s="732">
        <v>21.27</v>
      </c>
      <c r="E275" s="730">
        <v>1.7654099999999999</v>
      </c>
      <c r="F275" s="467"/>
      <c r="G275" s="467"/>
      <c r="H275" s="896"/>
    </row>
    <row r="276" spans="3:8" s="525" customFormat="1" ht="28">
      <c r="C276" s="731" t="s">
        <v>3583</v>
      </c>
      <c r="D276" s="732">
        <v>22.8</v>
      </c>
      <c r="E276" s="730">
        <v>1.8</v>
      </c>
      <c r="F276" s="467"/>
      <c r="G276" s="877">
        <v>486.00900000000001</v>
      </c>
      <c r="H276" s="896">
        <f>G276*22.8*10000/100000000</f>
        <v>1.1081005200000003</v>
      </c>
    </row>
    <row r="277" spans="3:8" s="525" customFormat="1" ht="28">
      <c r="C277" s="915" t="s">
        <v>3582</v>
      </c>
      <c r="D277" s="914">
        <v>22.8</v>
      </c>
      <c r="E277" s="913">
        <v>0.65</v>
      </c>
    </row>
    <row r="278" spans="3:8" s="525" customFormat="1" ht="28">
      <c r="C278" s="909" t="s">
        <v>3581</v>
      </c>
      <c r="D278" s="906">
        <v>22.63</v>
      </c>
      <c r="E278" s="910">
        <v>1.2845200000000001</v>
      </c>
    </row>
    <row r="279" spans="3:8" s="525" customFormat="1">
      <c r="C279" s="1602" t="s">
        <v>150</v>
      </c>
      <c r="D279" s="906">
        <v>22.62</v>
      </c>
      <c r="E279" s="910">
        <v>1.65</v>
      </c>
    </row>
    <row r="280" spans="3:8" s="525" customFormat="1">
      <c r="C280" s="1603"/>
      <c r="D280" s="906">
        <v>21.68</v>
      </c>
      <c r="E280" s="910">
        <v>2.34</v>
      </c>
    </row>
    <row r="281" spans="3:8" s="525" customFormat="1">
      <c r="C281" s="1604"/>
      <c r="D281" s="906">
        <v>20.3</v>
      </c>
      <c r="E281" s="910">
        <v>2.87</v>
      </c>
    </row>
    <row r="282" spans="3:8" s="525" customFormat="1" ht="28">
      <c r="C282" s="909" t="s">
        <v>3580</v>
      </c>
      <c r="D282" s="906">
        <v>22.61</v>
      </c>
      <c r="E282" s="910">
        <v>0.65</v>
      </c>
    </row>
    <row r="283" spans="3:8" s="525" customFormat="1" ht="28">
      <c r="C283" s="909" t="s">
        <v>3579</v>
      </c>
      <c r="D283" s="906">
        <v>22.3</v>
      </c>
      <c r="E283" s="910">
        <v>0.66</v>
      </c>
    </row>
    <row r="284" spans="3:8" s="525" customFormat="1">
      <c r="C284" s="1602" t="s">
        <v>148</v>
      </c>
      <c r="D284" s="906">
        <v>22.14</v>
      </c>
      <c r="E284" s="910">
        <v>0.65</v>
      </c>
    </row>
    <row r="285" spans="3:8" s="525" customFormat="1">
      <c r="C285" s="1604"/>
      <c r="D285" s="906">
        <v>21.22</v>
      </c>
      <c r="E285" s="910">
        <v>13.1</v>
      </c>
    </row>
    <row r="286" spans="3:8" s="525" customFormat="1">
      <c r="C286" s="1602" t="s">
        <v>3578</v>
      </c>
      <c r="D286" s="906">
        <v>22.11</v>
      </c>
      <c r="E286" s="910">
        <v>0.65</v>
      </c>
    </row>
    <row r="287" spans="3:8" s="525" customFormat="1">
      <c r="C287" s="1603"/>
      <c r="D287" s="906">
        <v>20.93</v>
      </c>
      <c r="E287" s="910">
        <v>0.65</v>
      </c>
    </row>
    <row r="288" spans="3:8" s="525" customFormat="1">
      <c r="C288" s="1604"/>
      <c r="D288" s="906">
        <v>20.22</v>
      </c>
      <c r="E288" s="910">
        <v>0.65</v>
      </c>
    </row>
    <row r="289" spans="3:5" s="525" customFormat="1">
      <c r="C289" s="1602" t="s">
        <v>133</v>
      </c>
      <c r="D289" s="906">
        <v>22</v>
      </c>
      <c r="E289" s="910">
        <v>1.9267799999999999</v>
      </c>
    </row>
    <row r="290" spans="3:5" s="525" customFormat="1">
      <c r="C290" s="1603"/>
      <c r="D290" s="906">
        <v>21.75</v>
      </c>
      <c r="E290" s="910">
        <v>1.9267799999999999</v>
      </c>
    </row>
    <row r="291" spans="3:5" s="525" customFormat="1">
      <c r="C291" s="1604"/>
      <c r="D291" s="906">
        <v>21.5</v>
      </c>
      <c r="E291" s="910">
        <v>1.9267799999999999</v>
      </c>
    </row>
    <row r="292" spans="3:5" s="525" customFormat="1">
      <c r="C292" s="1602" t="s">
        <v>579</v>
      </c>
      <c r="D292" s="906">
        <v>20</v>
      </c>
      <c r="E292" s="910">
        <v>0.7</v>
      </c>
    </row>
    <row r="293" spans="3:5" s="525" customFormat="1">
      <c r="C293" s="1603"/>
      <c r="D293" s="906">
        <v>21</v>
      </c>
      <c r="E293" s="910">
        <v>0.68</v>
      </c>
    </row>
    <row r="294" spans="3:5" s="525" customFormat="1">
      <c r="C294" s="1604"/>
      <c r="D294" s="906">
        <v>22</v>
      </c>
      <c r="E294" s="910">
        <v>0.65</v>
      </c>
    </row>
    <row r="295" spans="3:5" s="525" customFormat="1">
      <c r="C295" s="1602" t="s">
        <v>3577</v>
      </c>
      <c r="D295" s="906">
        <v>21.44</v>
      </c>
      <c r="E295" s="910">
        <v>1</v>
      </c>
    </row>
    <row r="296" spans="3:5" s="525" customFormat="1">
      <c r="C296" s="1603"/>
      <c r="D296" s="906">
        <v>21.68</v>
      </c>
      <c r="E296" s="910">
        <v>1</v>
      </c>
    </row>
    <row r="297" spans="3:5" s="525" customFormat="1">
      <c r="C297" s="1604"/>
      <c r="D297" s="906">
        <v>21.91</v>
      </c>
      <c r="E297" s="910">
        <v>1</v>
      </c>
    </row>
    <row r="298" spans="3:5" s="525" customFormat="1">
      <c r="C298" s="1602" t="s">
        <v>173</v>
      </c>
      <c r="D298" s="906">
        <v>21.91</v>
      </c>
      <c r="E298" s="910">
        <v>1.115</v>
      </c>
    </row>
    <row r="299" spans="3:5" s="525" customFormat="1">
      <c r="C299" s="1603"/>
      <c r="D299" s="906">
        <v>20.72</v>
      </c>
      <c r="E299" s="910">
        <v>1.5449999999999999</v>
      </c>
    </row>
    <row r="300" spans="3:5" s="525" customFormat="1">
      <c r="C300" s="1604"/>
      <c r="D300" s="906">
        <v>19.59</v>
      </c>
      <c r="E300" s="910">
        <v>2.0649999999999999</v>
      </c>
    </row>
    <row r="301" spans="3:5" s="525" customFormat="1">
      <c r="C301" s="1602" t="s">
        <v>1045</v>
      </c>
      <c r="D301" s="906">
        <v>21.89</v>
      </c>
      <c r="E301" s="910">
        <v>1.6346000000000001</v>
      </c>
    </row>
    <row r="302" spans="3:5" s="525" customFormat="1">
      <c r="C302" s="1604"/>
      <c r="D302" s="906">
        <v>21.41</v>
      </c>
      <c r="E302" s="910">
        <v>1.635</v>
      </c>
    </row>
    <row r="303" spans="3:5" s="525" customFormat="1" ht="28">
      <c r="C303" s="909" t="s">
        <v>3576</v>
      </c>
      <c r="D303" s="906">
        <v>21.6</v>
      </c>
      <c r="E303" s="910">
        <v>0.65</v>
      </c>
    </row>
    <row r="304" spans="3:5" s="525" customFormat="1">
      <c r="C304" s="1602" t="s">
        <v>316</v>
      </c>
      <c r="D304" s="906">
        <v>21.56</v>
      </c>
      <c r="E304" s="910">
        <v>1.78</v>
      </c>
    </row>
    <row r="305" spans="3:6" s="525" customFormat="1">
      <c r="C305" s="1604"/>
      <c r="D305" s="906">
        <v>20.22</v>
      </c>
      <c r="E305" s="910">
        <v>2.74</v>
      </c>
    </row>
    <row r="306" spans="3:6" s="525" customFormat="1" ht="28">
      <c r="C306" s="909" t="s">
        <v>3575</v>
      </c>
      <c r="D306" s="906">
        <v>21.51</v>
      </c>
      <c r="E306" s="910">
        <v>0.7</v>
      </c>
    </row>
    <row r="307" spans="3:6" s="525" customFormat="1" ht="28">
      <c r="C307" s="909" t="s">
        <v>3574</v>
      </c>
      <c r="D307" s="906">
        <v>21.41</v>
      </c>
      <c r="E307" s="910">
        <v>0.9</v>
      </c>
    </row>
    <row r="308" spans="3:6" s="525" customFormat="1" ht="28">
      <c r="C308" s="912" t="s">
        <v>3573</v>
      </c>
      <c r="D308" s="906">
        <v>21.3</v>
      </c>
      <c r="E308" s="910">
        <v>0.65</v>
      </c>
    </row>
    <row r="309" spans="3:6" s="525" customFormat="1">
      <c r="C309" s="1591" t="s">
        <v>136</v>
      </c>
      <c r="D309" s="911">
        <v>21.3</v>
      </c>
      <c r="E309" s="910">
        <v>1</v>
      </c>
    </row>
    <row r="310" spans="3:6" s="525" customFormat="1">
      <c r="C310" s="1593"/>
      <c r="D310" s="911">
        <v>19.600000000000001</v>
      </c>
      <c r="E310" s="910">
        <v>1.1000000000000001</v>
      </c>
    </row>
    <row r="311" spans="3:6" s="525" customFormat="1" ht="28">
      <c r="C311" s="909" t="s">
        <v>3572</v>
      </c>
      <c r="D311" s="906">
        <v>21.29</v>
      </c>
      <c r="E311" s="905">
        <v>0.65</v>
      </c>
      <c r="F311" s="908"/>
    </row>
    <row r="312" spans="3:6" s="525" customFormat="1" ht="28">
      <c r="C312" s="909" t="s">
        <v>3571</v>
      </c>
      <c r="D312" s="906">
        <v>21.14</v>
      </c>
      <c r="E312" s="905">
        <v>0.65</v>
      </c>
      <c r="F312" s="904"/>
    </row>
    <row r="313" spans="3:6" s="525" customFormat="1">
      <c r="C313" s="1602" t="s">
        <v>127</v>
      </c>
      <c r="D313" s="906">
        <v>21.03</v>
      </c>
      <c r="E313" s="905">
        <v>0.69</v>
      </c>
      <c r="F313" s="1606"/>
    </row>
    <row r="314" spans="3:6" s="525" customFormat="1">
      <c r="C314" s="1604"/>
      <c r="D314" s="906">
        <v>20.12</v>
      </c>
      <c r="E314" s="905">
        <v>1.23</v>
      </c>
      <c r="F314" s="1606"/>
    </row>
    <row r="315" spans="3:6" s="525" customFormat="1">
      <c r="C315" s="1602" t="s">
        <v>3570</v>
      </c>
      <c r="D315" s="906">
        <v>21</v>
      </c>
      <c r="E315" s="905">
        <v>1.3</v>
      </c>
      <c r="F315" s="1605"/>
    </row>
    <row r="316" spans="3:6" s="525" customFormat="1">
      <c r="C316" s="1603"/>
      <c r="D316" s="906">
        <v>20.9</v>
      </c>
      <c r="E316" s="905">
        <v>1.3</v>
      </c>
      <c r="F316" s="1605"/>
    </row>
    <row r="317" spans="3:6" s="525" customFormat="1">
      <c r="C317" s="1604"/>
      <c r="D317" s="906">
        <v>20.8</v>
      </c>
      <c r="E317" s="905">
        <v>1.3</v>
      </c>
      <c r="F317" s="1605"/>
    </row>
    <row r="318" spans="3:6" s="525" customFormat="1">
      <c r="C318" s="1602" t="s">
        <v>1290</v>
      </c>
      <c r="D318" s="906">
        <v>20.79</v>
      </c>
      <c r="E318" s="905">
        <v>0.65</v>
      </c>
      <c r="F318" s="1606"/>
    </row>
    <row r="319" spans="3:6" s="525" customFormat="1">
      <c r="C319" s="1604"/>
      <c r="D319" s="906">
        <v>19.77</v>
      </c>
      <c r="E319" s="905">
        <v>0.65</v>
      </c>
      <c r="F319" s="1606"/>
    </row>
    <row r="320" spans="3:6" s="525" customFormat="1" ht="28">
      <c r="C320" s="909" t="s">
        <v>3569</v>
      </c>
      <c r="D320" s="906">
        <v>20.68</v>
      </c>
      <c r="E320" s="905">
        <v>1.06</v>
      </c>
      <c r="F320" s="904"/>
    </row>
    <row r="321" spans="3:6" s="525" customFormat="1" ht="28">
      <c r="C321" s="909" t="s">
        <v>3568</v>
      </c>
      <c r="D321" s="906">
        <v>20.6</v>
      </c>
      <c r="E321" s="905">
        <v>1.0149999999999999</v>
      </c>
      <c r="F321" s="908"/>
    </row>
    <row r="322" spans="3:6" s="525" customFormat="1" ht="28">
      <c r="C322" s="909" t="s">
        <v>3567</v>
      </c>
      <c r="D322" s="906">
        <v>20.51</v>
      </c>
      <c r="E322" s="905">
        <v>1.877</v>
      </c>
      <c r="F322" s="904"/>
    </row>
    <row r="323" spans="3:6" s="525" customFormat="1">
      <c r="C323" s="1602" t="s">
        <v>228</v>
      </c>
      <c r="D323" s="906">
        <v>20.5</v>
      </c>
      <c r="E323" s="905">
        <v>3.5110000000000001</v>
      </c>
      <c r="F323" s="1605"/>
    </row>
    <row r="324" spans="3:6" s="525" customFormat="1">
      <c r="C324" s="1604"/>
      <c r="D324" s="906">
        <v>20.03</v>
      </c>
      <c r="E324" s="905">
        <v>4.3109999999999999</v>
      </c>
      <c r="F324" s="1605"/>
    </row>
    <row r="325" spans="3:6" s="525" customFormat="1">
      <c r="C325" s="1602" t="s">
        <v>147</v>
      </c>
      <c r="D325" s="906">
        <v>20.48</v>
      </c>
      <c r="E325" s="905">
        <v>2.1949999999999998</v>
      </c>
      <c r="F325" s="1605"/>
    </row>
    <row r="326" spans="3:6" s="525" customFormat="1">
      <c r="C326" s="1604"/>
      <c r="D326" s="906">
        <v>19.59</v>
      </c>
      <c r="E326" s="905">
        <v>2.1949999999999998</v>
      </c>
      <c r="F326" s="1605"/>
    </row>
    <row r="327" spans="3:6" s="525" customFormat="1" ht="28">
      <c r="C327" s="909" t="s">
        <v>3566</v>
      </c>
      <c r="D327" s="906">
        <v>20.28</v>
      </c>
      <c r="E327" s="905">
        <v>0.65</v>
      </c>
      <c r="F327" s="908"/>
    </row>
    <row r="328" spans="3:6" s="525" customFormat="1" ht="28">
      <c r="C328" s="909" t="s">
        <v>3266</v>
      </c>
      <c r="D328" s="906">
        <v>20.12</v>
      </c>
      <c r="E328" s="905">
        <v>1.05</v>
      </c>
      <c r="F328" s="904"/>
    </row>
    <row r="329" spans="3:6" s="525" customFormat="1">
      <c r="C329" s="1602" t="s">
        <v>121</v>
      </c>
      <c r="D329" s="906">
        <v>20.03</v>
      </c>
      <c r="E329" s="905">
        <v>0.72</v>
      </c>
      <c r="F329" s="1605"/>
    </row>
    <row r="330" spans="3:6" s="525" customFormat="1">
      <c r="C330" s="1604"/>
      <c r="D330" s="906">
        <v>19.809999999999999</v>
      </c>
      <c r="E330" s="905">
        <v>1.72</v>
      </c>
      <c r="F330" s="1605"/>
    </row>
    <row r="331" spans="3:6" s="525" customFormat="1" ht="28">
      <c r="C331" s="909" t="s">
        <v>3313</v>
      </c>
      <c r="D331" s="906">
        <v>20.010000000000002</v>
      </c>
      <c r="E331" s="905">
        <v>0.65</v>
      </c>
      <c r="F331" s="904"/>
    </row>
    <row r="332" spans="3:6" s="525" customFormat="1" ht="28">
      <c r="C332" s="909" t="s">
        <v>3565</v>
      </c>
      <c r="D332" s="906">
        <v>20.010000000000002</v>
      </c>
      <c r="E332" s="905">
        <v>0.65</v>
      </c>
      <c r="F332" s="908"/>
    </row>
    <row r="333" spans="3:6" s="525" customFormat="1" ht="28">
      <c r="C333" s="909" t="s">
        <v>3564</v>
      </c>
      <c r="D333" s="906">
        <v>20</v>
      </c>
      <c r="E333" s="905">
        <v>0.65</v>
      </c>
      <c r="F333" s="908"/>
    </row>
    <row r="334" spans="3:6" s="525" customFormat="1" ht="28">
      <c r="C334" s="909" t="s">
        <v>3563</v>
      </c>
      <c r="D334" s="906">
        <v>19.8</v>
      </c>
      <c r="E334" s="905">
        <v>0.79200000000000004</v>
      </c>
      <c r="F334" s="904"/>
    </row>
    <row r="335" spans="3:6" s="525" customFormat="1" ht="28">
      <c r="C335" s="909" t="s">
        <v>3562</v>
      </c>
      <c r="D335" s="906">
        <v>19.66</v>
      </c>
      <c r="E335" s="905">
        <v>0.68810000000000004</v>
      </c>
      <c r="F335" s="908"/>
    </row>
    <row r="336" spans="3:6" s="525" customFormat="1">
      <c r="C336" s="907" t="s">
        <v>134</v>
      </c>
      <c r="D336" s="906">
        <v>19.62</v>
      </c>
      <c r="E336" s="905">
        <v>1.05</v>
      </c>
      <c r="F336" s="904"/>
    </row>
    <row r="337" spans="1:56" s="525" customFormat="1"/>
    <row r="338" spans="1:56" s="860" customFormat="1">
      <c r="A338" s="862" t="s">
        <v>2861</v>
      </c>
      <c r="B338" s="862" t="s">
        <v>2036</v>
      </c>
      <c r="C338" s="864" t="s">
        <v>126</v>
      </c>
      <c r="D338" s="864" t="s">
        <v>1583</v>
      </c>
      <c r="E338" s="864" t="s">
        <v>4</v>
      </c>
      <c r="F338" s="864" t="s">
        <v>2860</v>
      </c>
      <c r="G338" s="864" t="s">
        <v>2859</v>
      </c>
      <c r="H338" s="864" t="s">
        <v>2858</v>
      </c>
      <c r="I338" s="864" t="s">
        <v>751</v>
      </c>
      <c r="J338" s="862" t="s">
        <v>274</v>
      </c>
      <c r="K338" s="862" t="s">
        <v>273</v>
      </c>
      <c r="L338" s="862" t="s">
        <v>116</v>
      </c>
      <c r="M338" s="862" t="s">
        <v>110</v>
      </c>
      <c r="N338" s="862" t="s">
        <v>276</v>
      </c>
      <c r="O338" s="864" t="s">
        <v>1311</v>
      </c>
      <c r="P338" s="862" t="s">
        <v>275</v>
      </c>
      <c r="Q338" s="862" t="s">
        <v>111</v>
      </c>
      <c r="R338" s="862" t="s">
        <v>2857</v>
      </c>
      <c r="S338" s="862" t="s">
        <v>747</v>
      </c>
      <c r="T338" s="864" t="s">
        <v>12</v>
      </c>
      <c r="U338" s="863" t="s">
        <v>948</v>
      </c>
      <c r="V338" s="862" t="s">
        <v>129</v>
      </c>
      <c r="W338" s="862" t="s">
        <v>220</v>
      </c>
      <c r="X338" s="862" t="s">
        <v>749</v>
      </c>
      <c r="Y338" s="862" t="s">
        <v>750</v>
      </c>
      <c r="Z338" s="876" t="s">
        <v>748</v>
      </c>
      <c r="AA338" s="875"/>
      <c r="BB338" s="861"/>
      <c r="BD338" s="861"/>
    </row>
    <row r="339" spans="1:56" s="525" customFormat="1">
      <c r="A339" s="467" t="s">
        <v>2078</v>
      </c>
      <c r="B339" s="856">
        <v>64</v>
      </c>
      <c r="C339" s="1468" t="s">
        <v>2791</v>
      </c>
      <c r="D339" s="889" t="s">
        <v>2790</v>
      </c>
      <c r="E339" s="889" t="s">
        <v>2789</v>
      </c>
      <c r="F339" s="888">
        <v>2.96</v>
      </c>
      <c r="G339" s="887">
        <v>2.96</v>
      </c>
      <c r="H339" s="872">
        <f>L339*R339</f>
        <v>42.868346459999998</v>
      </c>
      <c r="I339" s="886">
        <f>F339/H339</f>
        <v>6.9048616156957315E-2</v>
      </c>
      <c r="J339" s="885" t="s">
        <v>3058</v>
      </c>
      <c r="K339" s="885" t="s">
        <v>2788</v>
      </c>
      <c r="L339" s="885">
        <v>47.22</v>
      </c>
      <c r="M339" s="885">
        <v>40.76</v>
      </c>
      <c r="N339" s="869">
        <f>M339/L339</f>
        <v>0.86319356204997877</v>
      </c>
      <c r="O339" s="870">
        <v>47.27</v>
      </c>
      <c r="P339" s="869">
        <f>O339/L339</f>
        <v>1.0010588733587464</v>
      </c>
      <c r="Q339" s="525">
        <v>4</v>
      </c>
      <c r="R339" s="869">
        <v>0.90784299999999996</v>
      </c>
      <c r="S339" s="525" t="s">
        <v>2787</v>
      </c>
      <c r="T339" s="852">
        <v>42506</v>
      </c>
      <c r="U339" s="525">
        <v>62.44</v>
      </c>
      <c r="V339" s="869">
        <f>((U339*(1+X339/10)+Y339/10)/O339)</f>
        <v>1.3209223609054368</v>
      </c>
      <c r="W339" s="525" t="s">
        <v>223</v>
      </c>
      <c r="X339" s="525">
        <v>0</v>
      </c>
      <c r="Y339" s="525">
        <v>0</v>
      </c>
      <c r="Z339" s="851" t="s">
        <v>2104</v>
      </c>
      <c r="BB339" s="852"/>
      <c r="BD339" s="851"/>
    </row>
    <row r="340" spans="1:56" s="525" customFormat="1">
      <c r="C340" s="867" t="s">
        <v>112</v>
      </c>
      <c r="D340" s="867" t="s">
        <v>113</v>
      </c>
      <c r="E340" s="867" t="s">
        <v>943</v>
      </c>
      <c r="F340" s="868" t="s">
        <v>411</v>
      </c>
      <c r="G340" s="868" t="s">
        <v>942</v>
      </c>
      <c r="H340" s="867" t="s">
        <v>231</v>
      </c>
    </row>
    <row r="341" spans="1:56" s="525" customFormat="1">
      <c r="C341" s="734" t="s">
        <v>1821</v>
      </c>
      <c r="D341" s="732">
        <v>48.5</v>
      </c>
      <c r="E341" s="730">
        <v>0.7</v>
      </c>
      <c r="F341" s="467"/>
      <c r="G341" s="877">
        <v>148.08539999999999</v>
      </c>
      <c r="H341" s="730">
        <v>6.9999968580000003</v>
      </c>
      <c r="J341" s="881"/>
      <c r="K341" s="881"/>
    </row>
    <row r="342" spans="1:56" s="525" customFormat="1">
      <c r="C342" s="734" t="s">
        <v>278</v>
      </c>
      <c r="D342" s="1601">
        <v>47.3</v>
      </c>
      <c r="E342" s="1590">
        <v>1.4071750000000001</v>
      </c>
      <c r="F342" s="467"/>
      <c r="G342" s="877">
        <v>297.68880000000001</v>
      </c>
      <c r="H342" s="730">
        <v>14.071749000000001</v>
      </c>
      <c r="J342" s="881"/>
      <c r="K342" s="881"/>
    </row>
    <row r="343" spans="1:56" s="525" customFormat="1" ht="16" customHeight="1">
      <c r="C343" s="731" t="s">
        <v>3561</v>
      </c>
      <c r="D343" s="1601"/>
      <c r="E343" s="1590"/>
      <c r="F343" s="467"/>
      <c r="G343" s="877">
        <v>225.97329999999999</v>
      </c>
      <c r="H343" s="730">
        <v>10.681757891</v>
      </c>
      <c r="J343" s="881"/>
      <c r="K343" s="881"/>
    </row>
    <row r="344" spans="1:56" s="525" customFormat="1">
      <c r="C344" s="734" t="s">
        <v>3560</v>
      </c>
      <c r="D344" s="1601"/>
      <c r="E344" s="1590"/>
      <c r="F344" s="467"/>
      <c r="G344" s="877">
        <v>71.715500000000006</v>
      </c>
      <c r="H344" s="730">
        <v>3.389991685</v>
      </c>
      <c r="J344" s="881"/>
      <c r="K344" s="881"/>
    </row>
    <row r="345" spans="1:56" s="525" customFormat="1">
      <c r="C345" s="734" t="s">
        <v>3127</v>
      </c>
      <c r="D345" s="1601">
        <v>47.27</v>
      </c>
      <c r="E345" s="1590">
        <v>0.70006869999999999</v>
      </c>
      <c r="F345" s="467"/>
      <c r="G345" s="877">
        <v>130.41569999999999</v>
      </c>
      <c r="H345" s="730">
        <v>6.1647501</v>
      </c>
      <c r="J345" s="881"/>
      <c r="K345" s="881"/>
    </row>
    <row r="346" spans="1:56" s="525" customFormat="1">
      <c r="C346" s="734" t="s">
        <v>3126</v>
      </c>
      <c r="D346" s="1601"/>
      <c r="E346" s="1590"/>
      <c r="F346" s="467"/>
      <c r="G346" s="877">
        <v>77.498099999999994</v>
      </c>
      <c r="H346" s="730">
        <v>3.5215251869999999</v>
      </c>
      <c r="J346" s="881"/>
      <c r="K346" s="881"/>
    </row>
    <row r="347" spans="1:56" s="525" customFormat="1">
      <c r="C347" s="734" t="s">
        <v>3125</v>
      </c>
      <c r="D347" s="1601"/>
      <c r="E347" s="1590"/>
      <c r="F347" s="467"/>
      <c r="G347" s="877">
        <v>9.3343000000000007</v>
      </c>
      <c r="H347" s="730">
        <v>0.44123236100000002</v>
      </c>
      <c r="J347" s="881"/>
      <c r="K347" s="881"/>
    </row>
    <row r="348" spans="1:56" s="525" customFormat="1" ht="45" customHeight="1">
      <c r="C348" s="734" t="s">
        <v>3124</v>
      </c>
      <c r="D348" s="1601"/>
      <c r="E348" s="1590"/>
      <c r="F348" s="467"/>
      <c r="G348" s="877">
        <v>9.3343000000000007</v>
      </c>
      <c r="H348" s="730">
        <v>0.44123236100000002</v>
      </c>
      <c r="J348" s="881"/>
      <c r="K348" s="881"/>
    </row>
    <row r="349" spans="1:56" s="525" customFormat="1" ht="28" customHeight="1">
      <c r="C349" s="734" t="s">
        <v>3123</v>
      </c>
      <c r="D349" s="1601"/>
      <c r="E349" s="1590"/>
      <c r="F349" s="467"/>
      <c r="G349" s="877">
        <v>37.249000000000002</v>
      </c>
      <c r="H349" s="730">
        <v>1.76076023</v>
      </c>
      <c r="J349" s="881"/>
      <c r="K349" s="881"/>
    </row>
    <row r="350" spans="1:56" s="525" customFormat="1" ht="16" customHeight="1">
      <c r="C350" s="734" t="s">
        <v>3559</v>
      </c>
      <c r="D350" s="732">
        <v>43.43</v>
      </c>
      <c r="E350" s="730">
        <v>0.7</v>
      </c>
      <c r="F350" s="467"/>
      <c r="G350" s="467"/>
      <c r="H350" s="730"/>
    </row>
    <row r="351" spans="1:56" s="525" customFormat="1" ht="16" customHeight="1">
      <c r="C351" s="731" t="s">
        <v>3558</v>
      </c>
      <c r="D351" s="732">
        <v>42.49</v>
      </c>
      <c r="E351" s="730">
        <v>0.7</v>
      </c>
      <c r="F351" s="467"/>
      <c r="G351" s="467"/>
      <c r="H351" s="730"/>
    </row>
    <row r="352" spans="1:56" s="525" customFormat="1" ht="16" customHeight="1">
      <c r="C352" s="734" t="s">
        <v>157</v>
      </c>
      <c r="D352" s="732">
        <v>42.5</v>
      </c>
      <c r="E352" s="730">
        <v>0.70550000000000002</v>
      </c>
      <c r="F352" s="467"/>
      <c r="G352" s="467"/>
      <c r="H352" s="730"/>
    </row>
    <row r="353" spans="1:56" s="525" customFormat="1" ht="16" customHeight="1">
      <c r="C353" s="734" t="s">
        <v>332</v>
      </c>
      <c r="D353" s="732">
        <v>40.86</v>
      </c>
      <c r="E353" s="730">
        <v>1.2053</v>
      </c>
      <c r="F353" s="467"/>
      <c r="G353" s="467"/>
      <c r="H353" s="730"/>
    </row>
    <row r="354" spans="1:56" s="525" customFormat="1">
      <c r="C354" s="1531" t="s">
        <v>115</v>
      </c>
      <c r="D354" s="732">
        <v>40.799999999999997</v>
      </c>
      <c r="E354" s="730">
        <v>0.70169999999999999</v>
      </c>
      <c r="F354" s="467"/>
      <c r="G354" s="467"/>
      <c r="H354" s="730"/>
    </row>
    <row r="355" spans="1:56" s="525" customFormat="1">
      <c r="C355" s="1531"/>
      <c r="D355" s="732">
        <v>40.76</v>
      </c>
      <c r="E355" s="730">
        <v>0.99860000000000004</v>
      </c>
      <c r="F355" s="467"/>
      <c r="G355" s="467"/>
      <c r="H355" s="730"/>
    </row>
    <row r="356" spans="1:56" s="525" customFormat="1">
      <c r="C356" s="734" t="s">
        <v>3557</v>
      </c>
      <c r="D356" s="734"/>
      <c r="E356" s="467"/>
      <c r="F356" s="467"/>
      <c r="G356" s="877">
        <v>50</v>
      </c>
      <c r="H356" s="468">
        <v>2.3635000000000002</v>
      </c>
      <c r="K356" s="882"/>
    </row>
    <row r="357" spans="1:56" s="525" customFormat="1">
      <c r="I357" s="882"/>
      <c r="J357" s="882"/>
    </row>
    <row r="358" spans="1:56" s="860" customFormat="1">
      <c r="A358" s="862" t="s">
        <v>2861</v>
      </c>
      <c r="B358" s="862" t="s">
        <v>2036</v>
      </c>
      <c r="C358" s="864" t="s">
        <v>126</v>
      </c>
      <c r="D358" s="864" t="s">
        <v>1583</v>
      </c>
      <c r="E358" s="864" t="s">
        <v>4</v>
      </c>
      <c r="F358" s="864" t="s">
        <v>2860</v>
      </c>
      <c r="G358" s="864" t="s">
        <v>2859</v>
      </c>
      <c r="H358" s="864" t="s">
        <v>2858</v>
      </c>
      <c r="I358" s="864" t="s">
        <v>751</v>
      </c>
      <c r="J358" s="862" t="s">
        <v>274</v>
      </c>
      <c r="K358" s="862" t="s">
        <v>273</v>
      </c>
      <c r="L358" s="862" t="s">
        <v>116</v>
      </c>
      <c r="M358" s="862" t="s">
        <v>110</v>
      </c>
      <c r="N358" s="862" t="s">
        <v>276</v>
      </c>
      <c r="O358" s="864" t="s">
        <v>1311</v>
      </c>
      <c r="P358" s="862" t="s">
        <v>275</v>
      </c>
      <c r="Q358" s="862" t="s">
        <v>111</v>
      </c>
      <c r="R358" s="862" t="s">
        <v>2857</v>
      </c>
      <c r="S358" s="862" t="s">
        <v>747</v>
      </c>
      <c r="T358" s="864" t="s">
        <v>12</v>
      </c>
      <c r="U358" s="863" t="s">
        <v>948</v>
      </c>
      <c r="V358" s="862" t="s">
        <v>129</v>
      </c>
      <c r="W358" s="862" t="s">
        <v>220</v>
      </c>
      <c r="X358" s="862" t="s">
        <v>749</v>
      </c>
      <c r="Y358" s="862" t="s">
        <v>750</v>
      </c>
      <c r="Z358" s="862" t="s">
        <v>748</v>
      </c>
      <c r="BB358" s="861"/>
      <c r="BD358" s="861"/>
    </row>
    <row r="359" spans="1:56" s="525" customFormat="1">
      <c r="A359" s="467" t="s">
        <v>2078</v>
      </c>
      <c r="B359" s="856">
        <v>65</v>
      </c>
      <c r="C359" s="1471" t="s">
        <v>2786</v>
      </c>
      <c r="D359" s="858" t="s">
        <v>2785</v>
      </c>
      <c r="E359" s="858" t="s">
        <v>2784</v>
      </c>
      <c r="F359" s="857">
        <v>17.2</v>
      </c>
      <c r="G359" s="857">
        <v>17.2</v>
      </c>
      <c r="H359" s="857">
        <f>L359*R359</f>
        <v>52.312042943999998</v>
      </c>
      <c r="I359" s="857">
        <f>F359/H359</f>
        <v>0.32879618214132045</v>
      </c>
      <c r="J359" s="856" t="s">
        <v>3122</v>
      </c>
      <c r="K359" s="856" t="s">
        <v>2693</v>
      </c>
      <c r="L359" s="856">
        <v>7.3</v>
      </c>
      <c r="M359" s="856">
        <v>6.23</v>
      </c>
      <c r="N359" s="903">
        <f>M359/L359</f>
        <v>0.85342465753424668</v>
      </c>
      <c r="O359" s="857">
        <v>6.4</v>
      </c>
      <c r="P359" s="903">
        <f>O359/L359</f>
        <v>0.87671232876712335</v>
      </c>
      <c r="Q359" s="856">
        <v>7</v>
      </c>
      <c r="R359" s="856">
        <v>7.1660332799999997</v>
      </c>
      <c r="S359" s="856" t="s">
        <v>2783</v>
      </c>
      <c r="T359" s="854">
        <v>42878</v>
      </c>
      <c r="U359" s="467">
        <v>3.02</v>
      </c>
      <c r="V359" s="468">
        <f>((U359*(1+X359/10)+Y359/10)/O359)</f>
        <v>0.94374999999999998</v>
      </c>
      <c r="W359" s="467" t="s">
        <v>2406</v>
      </c>
      <c r="X359" s="467">
        <v>10</v>
      </c>
      <c r="Y359" s="467">
        <v>0</v>
      </c>
      <c r="Z359" s="853" t="s">
        <v>2519</v>
      </c>
      <c r="BB359" s="852"/>
      <c r="BD359" s="851"/>
    </row>
    <row r="360" spans="1:56" s="525" customFormat="1">
      <c r="C360" s="867" t="s">
        <v>112</v>
      </c>
      <c r="D360" s="867" t="s">
        <v>113</v>
      </c>
      <c r="E360" s="867" t="s">
        <v>943</v>
      </c>
      <c r="F360" s="868" t="s">
        <v>411</v>
      </c>
      <c r="G360" s="868" t="s">
        <v>942</v>
      </c>
      <c r="H360" s="867" t="s">
        <v>231</v>
      </c>
    </row>
    <row r="361" spans="1:56" s="525" customFormat="1">
      <c r="C361" s="1531" t="s">
        <v>3556</v>
      </c>
      <c r="D361" s="732">
        <v>6.25</v>
      </c>
      <c r="E361" s="730">
        <v>2</v>
      </c>
      <c r="F361" s="732"/>
      <c r="G361" s="877">
        <v>1093.75</v>
      </c>
      <c r="H361" s="737">
        <v>0.7</v>
      </c>
      <c r="I361" s="882"/>
    </row>
    <row r="362" spans="1:56" s="525" customFormat="1">
      <c r="C362" s="1531"/>
      <c r="D362" s="732">
        <v>6.3</v>
      </c>
      <c r="E362" s="730">
        <v>2</v>
      </c>
      <c r="F362" s="732"/>
      <c r="G362" s="877"/>
      <c r="H362" s="902"/>
      <c r="I362" s="882"/>
    </row>
    <row r="363" spans="1:56" s="525" customFormat="1">
      <c r="C363" s="1531"/>
      <c r="D363" s="732">
        <v>6.4</v>
      </c>
      <c r="E363" s="730">
        <v>2</v>
      </c>
      <c r="F363" s="732"/>
      <c r="G363" s="877"/>
      <c r="H363" s="902"/>
      <c r="I363" s="882"/>
    </row>
    <row r="364" spans="1:56" s="525" customFormat="1">
      <c r="C364" s="1531" t="s">
        <v>115</v>
      </c>
      <c r="D364" s="732">
        <v>6.65</v>
      </c>
      <c r="E364" s="730">
        <v>1.5</v>
      </c>
      <c r="F364" s="732"/>
      <c r="G364" s="877">
        <v>2343.75</v>
      </c>
      <c r="H364" s="737">
        <v>1.5</v>
      </c>
      <c r="I364" s="882"/>
    </row>
    <row r="365" spans="1:56" s="525" customFormat="1">
      <c r="C365" s="1531"/>
      <c r="D365" s="732">
        <v>6.28</v>
      </c>
      <c r="E365" s="730">
        <v>2.63</v>
      </c>
      <c r="F365" s="732"/>
      <c r="G365" s="877"/>
      <c r="H365" s="902"/>
      <c r="I365" s="882"/>
    </row>
    <row r="366" spans="1:56" s="525" customFormat="1">
      <c r="C366" s="1531"/>
      <c r="D366" s="732">
        <v>6.23</v>
      </c>
      <c r="E366" s="730">
        <v>3.21</v>
      </c>
      <c r="F366" s="732"/>
      <c r="G366" s="877"/>
      <c r="H366" s="902"/>
      <c r="I366" s="882"/>
    </row>
    <row r="367" spans="1:56" s="525" customFormat="1">
      <c r="C367" s="734" t="s">
        <v>634</v>
      </c>
      <c r="D367" s="732">
        <v>6.7</v>
      </c>
      <c r="E367" s="730">
        <v>3</v>
      </c>
      <c r="F367" s="732"/>
      <c r="G367" s="877">
        <v>2343.75</v>
      </c>
      <c r="H367" s="737">
        <v>3</v>
      </c>
      <c r="I367" s="882"/>
    </row>
    <row r="368" spans="1:56" s="525" customFormat="1">
      <c r="C368" s="734" t="s">
        <v>136</v>
      </c>
      <c r="D368" s="732">
        <v>6.7</v>
      </c>
      <c r="E368" s="730">
        <v>3</v>
      </c>
      <c r="F368" s="732"/>
      <c r="G368" s="877">
        <v>4687.5</v>
      </c>
      <c r="H368" s="737">
        <v>3</v>
      </c>
      <c r="I368" s="882"/>
    </row>
    <row r="369" spans="1:56" s="525" customFormat="1" ht="16" customHeight="1">
      <c r="C369" s="734" t="s">
        <v>3555</v>
      </c>
      <c r="D369" s="732">
        <v>6.6</v>
      </c>
      <c r="E369" s="730">
        <v>3</v>
      </c>
      <c r="F369" s="732"/>
      <c r="G369" s="877">
        <v>4687.5</v>
      </c>
      <c r="H369" s="737">
        <v>3</v>
      </c>
      <c r="I369" s="882"/>
    </row>
    <row r="370" spans="1:56" s="525" customFormat="1">
      <c r="C370" s="734" t="s">
        <v>3554</v>
      </c>
      <c r="D370" s="467" t="s">
        <v>3481</v>
      </c>
      <c r="E370" s="467" t="s">
        <v>3481</v>
      </c>
      <c r="F370" s="467"/>
      <c r="G370" s="877">
        <v>6250</v>
      </c>
      <c r="H370" s="737">
        <v>4</v>
      </c>
    </row>
    <row r="371" spans="1:56" s="525" customFormat="1">
      <c r="C371" s="734" t="s">
        <v>3553</v>
      </c>
      <c r="D371" s="467" t="s">
        <v>3481</v>
      </c>
      <c r="E371" s="467" t="s">
        <v>3481</v>
      </c>
      <c r="F371" s="467"/>
      <c r="G371" s="877">
        <v>3125</v>
      </c>
      <c r="H371" s="737">
        <v>2</v>
      </c>
    </row>
    <row r="372" spans="1:56" s="525" customFormat="1"/>
    <row r="373" spans="1:56" s="860" customFormat="1">
      <c r="A373" s="862" t="s">
        <v>2861</v>
      </c>
      <c r="B373" s="862" t="s">
        <v>2036</v>
      </c>
      <c r="C373" s="864" t="s">
        <v>126</v>
      </c>
      <c r="D373" s="864" t="s">
        <v>1583</v>
      </c>
      <c r="E373" s="864" t="s">
        <v>4</v>
      </c>
      <c r="F373" s="864" t="s">
        <v>2860</v>
      </c>
      <c r="G373" s="864" t="s">
        <v>2859</v>
      </c>
      <c r="H373" s="864" t="s">
        <v>2858</v>
      </c>
      <c r="I373" s="864" t="s">
        <v>751</v>
      </c>
      <c r="J373" s="862" t="s">
        <v>274</v>
      </c>
      <c r="K373" s="862" t="s">
        <v>273</v>
      </c>
      <c r="L373" s="862" t="s">
        <v>116</v>
      </c>
      <c r="M373" s="862" t="s">
        <v>110</v>
      </c>
      <c r="N373" s="862" t="s">
        <v>276</v>
      </c>
      <c r="O373" s="864" t="s">
        <v>1311</v>
      </c>
      <c r="P373" s="862" t="s">
        <v>275</v>
      </c>
      <c r="Q373" s="862" t="s">
        <v>111</v>
      </c>
      <c r="R373" s="862" t="s">
        <v>2857</v>
      </c>
      <c r="S373" s="862" t="s">
        <v>747</v>
      </c>
      <c r="T373" s="864" t="s">
        <v>12</v>
      </c>
      <c r="U373" s="863" t="s">
        <v>948</v>
      </c>
      <c r="V373" s="862" t="s">
        <v>129</v>
      </c>
      <c r="W373" s="862" t="s">
        <v>220</v>
      </c>
      <c r="X373" s="862" t="s">
        <v>749</v>
      </c>
      <c r="Y373" s="862" t="s">
        <v>750</v>
      </c>
      <c r="Z373" s="862" t="s">
        <v>748</v>
      </c>
      <c r="BB373" s="861"/>
      <c r="BD373" s="861"/>
    </row>
    <row r="374" spans="1:56" s="525" customFormat="1">
      <c r="A374" s="467" t="s">
        <v>2078</v>
      </c>
      <c r="B374" s="856">
        <v>66</v>
      </c>
      <c r="C374" s="1471" t="s">
        <v>2782</v>
      </c>
      <c r="D374" s="858" t="s">
        <v>2781</v>
      </c>
      <c r="E374" s="858" t="s">
        <v>2780</v>
      </c>
      <c r="F374" s="857">
        <v>40</v>
      </c>
      <c r="G374" s="855">
        <v>40</v>
      </c>
      <c r="H374" s="855">
        <f>L374*R374</f>
        <v>728.13464221259994</v>
      </c>
      <c r="I374" s="855">
        <f>F374/H374</f>
        <v>5.4934894840947351E-2</v>
      </c>
      <c r="J374" s="856" t="s">
        <v>3121</v>
      </c>
      <c r="K374" s="467" t="s">
        <v>151</v>
      </c>
      <c r="L374" s="467">
        <v>21.82</v>
      </c>
      <c r="M374" s="856">
        <v>19.399999999999999</v>
      </c>
      <c r="N374" s="468">
        <f>M374/L374</f>
        <v>0.88909257561869837</v>
      </c>
      <c r="O374" s="855">
        <v>19.48</v>
      </c>
      <c r="P374" s="468">
        <f>O374/L374</f>
        <v>0.8927589367552704</v>
      </c>
      <c r="Q374" s="467">
        <v>4</v>
      </c>
      <c r="R374" s="467">
        <v>33.370056929999997</v>
      </c>
      <c r="S374" s="467" t="s">
        <v>2779</v>
      </c>
      <c r="T374" s="854">
        <v>42872</v>
      </c>
      <c r="U374" s="467">
        <v>11.29</v>
      </c>
      <c r="V374" s="468">
        <f>((U374*(1+X374/10)+Y374/10)/O374)</f>
        <v>0.69753593429158101</v>
      </c>
      <c r="W374" s="467" t="s">
        <v>2778</v>
      </c>
      <c r="X374" s="467">
        <v>2</v>
      </c>
      <c r="Y374" s="467">
        <v>0.4</v>
      </c>
      <c r="Z374" s="853" t="s">
        <v>2431</v>
      </c>
      <c r="BB374" s="852"/>
      <c r="BD374" s="851"/>
    </row>
    <row r="375" spans="1:56" s="525" customFormat="1">
      <c r="C375" s="890" t="s">
        <v>112</v>
      </c>
      <c r="D375" s="890" t="s">
        <v>113</v>
      </c>
      <c r="E375" s="890" t="s">
        <v>943</v>
      </c>
      <c r="F375" s="891" t="s">
        <v>411</v>
      </c>
      <c r="G375" s="891" t="s">
        <v>942</v>
      </c>
      <c r="H375" s="890" t="s">
        <v>231</v>
      </c>
    </row>
    <row r="376" spans="1:56" s="525" customFormat="1">
      <c r="C376" s="734" t="s">
        <v>120</v>
      </c>
      <c r="D376" s="732">
        <v>19.600000000000001</v>
      </c>
      <c r="E376" s="730">
        <v>16</v>
      </c>
      <c r="F376" s="732"/>
      <c r="G376" s="877">
        <v>8213.5522999999994</v>
      </c>
      <c r="H376" s="730">
        <v>15.999999880400001</v>
      </c>
      <c r="J376" s="881"/>
    </row>
    <row r="377" spans="1:56" s="525" customFormat="1">
      <c r="C377" s="734" t="s">
        <v>145</v>
      </c>
      <c r="D377" s="732">
        <v>19.68</v>
      </c>
      <c r="E377" s="730">
        <v>8</v>
      </c>
      <c r="F377" s="732"/>
      <c r="G377" s="877">
        <v>4106.7761</v>
      </c>
      <c r="H377" s="730">
        <v>7.9999998428000003</v>
      </c>
      <c r="J377" s="881"/>
    </row>
    <row r="378" spans="1:56" s="525" customFormat="1">
      <c r="C378" s="734" t="s">
        <v>282</v>
      </c>
      <c r="D378" s="732">
        <v>19.48</v>
      </c>
      <c r="E378" s="730">
        <v>8</v>
      </c>
      <c r="F378" s="732"/>
      <c r="G378" s="877">
        <v>4106.7761</v>
      </c>
      <c r="H378" s="730">
        <v>7.9999998428000003</v>
      </c>
      <c r="J378" s="881"/>
    </row>
    <row r="379" spans="1:56" s="525" customFormat="1">
      <c r="C379" s="734" t="s">
        <v>581</v>
      </c>
      <c r="D379" s="732">
        <v>19.5</v>
      </c>
      <c r="E379" s="730">
        <v>8</v>
      </c>
      <c r="F379" s="732"/>
      <c r="G379" s="877">
        <v>4106.7761</v>
      </c>
      <c r="H379" s="730">
        <v>7.9999998428000003</v>
      </c>
      <c r="J379" s="881"/>
    </row>
    <row r="380" spans="1:56" s="525" customFormat="1">
      <c r="C380" s="901"/>
    </row>
    <row r="381" spans="1:56" s="860" customFormat="1">
      <c r="A381" s="862" t="s">
        <v>2861</v>
      </c>
      <c r="B381" s="862" t="s">
        <v>2036</v>
      </c>
      <c r="C381" s="864" t="s">
        <v>126</v>
      </c>
      <c r="D381" s="864" t="s">
        <v>1583</v>
      </c>
      <c r="E381" s="864" t="s">
        <v>4</v>
      </c>
      <c r="F381" s="864" t="s">
        <v>2860</v>
      </c>
      <c r="G381" s="864" t="s">
        <v>2859</v>
      </c>
      <c r="H381" s="864" t="s">
        <v>2858</v>
      </c>
      <c r="I381" s="864" t="s">
        <v>751</v>
      </c>
      <c r="J381" s="862" t="s">
        <v>274</v>
      </c>
      <c r="K381" s="862" t="s">
        <v>273</v>
      </c>
      <c r="L381" s="862" t="s">
        <v>116</v>
      </c>
      <c r="M381" s="862" t="s">
        <v>110</v>
      </c>
      <c r="N381" s="862" t="s">
        <v>276</v>
      </c>
      <c r="O381" s="864" t="s">
        <v>1311</v>
      </c>
      <c r="P381" s="862" t="s">
        <v>275</v>
      </c>
      <c r="Q381" s="862" t="s">
        <v>111</v>
      </c>
      <c r="R381" s="862" t="s">
        <v>2857</v>
      </c>
      <c r="S381" s="862" t="s">
        <v>747</v>
      </c>
      <c r="T381" s="864" t="s">
        <v>12</v>
      </c>
      <c r="U381" s="863" t="s">
        <v>948</v>
      </c>
      <c r="V381" s="862" t="s">
        <v>129</v>
      </c>
      <c r="W381" s="862" t="s">
        <v>220</v>
      </c>
      <c r="X381" s="862" t="s">
        <v>749</v>
      </c>
      <c r="Y381" s="862" t="s">
        <v>750</v>
      </c>
      <c r="Z381" s="862" t="s">
        <v>748</v>
      </c>
      <c r="BB381" s="861"/>
      <c r="BD381" s="861"/>
    </row>
    <row r="382" spans="1:56" s="525" customFormat="1">
      <c r="A382" s="467" t="s">
        <v>2078</v>
      </c>
      <c r="B382" s="856">
        <v>67</v>
      </c>
      <c r="C382" s="1471" t="s">
        <v>2777</v>
      </c>
      <c r="D382" s="858" t="s">
        <v>2776</v>
      </c>
      <c r="E382" s="858" t="s">
        <v>2775</v>
      </c>
      <c r="F382" s="857">
        <v>7.2</v>
      </c>
      <c r="G382" s="857">
        <v>7.2</v>
      </c>
      <c r="H382" s="857">
        <v>66.437799999999996</v>
      </c>
      <c r="I382" s="857">
        <v>0.10837204121749969</v>
      </c>
      <c r="J382" s="900">
        <v>42478</v>
      </c>
      <c r="K382" s="856" t="s">
        <v>2774</v>
      </c>
      <c r="L382" s="856">
        <v>11.11</v>
      </c>
      <c r="M382" s="856">
        <v>9.02</v>
      </c>
      <c r="N382" s="468">
        <v>0.81188118811881194</v>
      </c>
      <c r="O382" s="855">
        <v>11.19</v>
      </c>
      <c r="P382" s="468">
        <v>1.0072007200720072</v>
      </c>
      <c r="Q382" s="467">
        <v>3</v>
      </c>
      <c r="R382" s="467">
        <v>5.98</v>
      </c>
      <c r="S382" s="467" t="s">
        <v>3552</v>
      </c>
      <c r="T382" s="854">
        <v>42872</v>
      </c>
      <c r="U382" s="467">
        <v>14.52</v>
      </c>
      <c r="V382" s="468">
        <v>1.3065236818588024</v>
      </c>
      <c r="W382" s="467" t="s">
        <v>2193</v>
      </c>
      <c r="X382" s="467">
        <v>0</v>
      </c>
      <c r="Y382" s="467">
        <v>1</v>
      </c>
      <c r="Z382" s="853" t="s">
        <v>2216</v>
      </c>
      <c r="BB382" s="852"/>
      <c r="BD382" s="851"/>
    </row>
    <row r="383" spans="1:56" s="525" customFormat="1">
      <c r="C383" s="890" t="s">
        <v>112</v>
      </c>
      <c r="D383" s="890" t="s">
        <v>113</v>
      </c>
      <c r="E383" s="890" t="s">
        <v>943</v>
      </c>
      <c r="F383" s="891" t="s">
        <v>411</v>
      </c>
      <c r="G383" s="891" t="s">
        <v>942</v>
      </c>
      <c r="H383" s="890" t="s">
        <v>231</v>
      </c>
    </row>
    <row r="384" spans="1:56" s="525" customFormat="1">
      <c r="C384" s="1531" t="s">
        <v>336</v>
      </c>
      <c r="D384" s="732">
        <v>11.4</v>
      </c>
      <c r="E384" s="730">
        <v>2.2000000000000002</v>
      </c>
      <c r="F384" s="467"/>
      <c r="G384" s="1600">
        <v>2144.7721000000001</v>
      </c>
      <c r="H384" s="1599">
        <v>2.3999999799</v>
      </c>
    </row>
    <row r="385" spans="3:8" s="525" customFormat="1">
      <c r="C385" s="1531"/>
      <c r="D385" s="732">
        <v>11.3</v>
      </c>
      <c r="E385" s="730">
        <v>2.2000000000000002</v>
      </c>
      <c r="F385" s="467"/>
      <c r="G385" s="1600"/>
      <c r="H385" s="1599"/>
    </row>
    <row r="386" spans="3:8" s="525" customFormat="1">
      <c r="C386" s="1531"/>
      <c r="D386" s="732">
        <v>11.19</v>
      </c>
      <c r="E386" s="730">
        <v>2.2000000000000002</v>
      </c>
      <c r="F386" s="467"/>
      <c r="G386" s="1600"/>
      <c r="H386" s="1599"/>
    </row>
    <row r="387" spans="3:8" s="525" customFormat="1">
      <c r="C387" s="1531" t="s">
        <v>3551</v>
      </c>
      <c r="D387" s="732">
        <v>11.39</v>
      </c>
      <c r="E387" s="730">
        <v>2.4</v>
      </c>
      <c r="F387" s="467"/>
      <c r="G387" s="1600">
        <v>1966.0410999999999</v>
      </c>
      <c r="H387" s="1599">
        <v>2.1989999999999998</v>
      </c>
    </row>
    <row r="388" spans="3:8" s="525" customFormat="1">
      <c r="C388" s="1531"/>
      <c r="D388" s="732">
        <v>11.29</v>
      </c>
      <c r="E388" s="730">
        <v>2.4</v>
      </c>
      <c r="F388" s="467"/>
      <c r="G388" s="1600"/>
      <c r="H388" s="1599"/>
    </row>
    <row r="389" spans="3:8" s="525" customFormat="1">
      <c r="C389" s="1531"/>
      <c r="D389" s="732">
        <v>11.19</v>
      </c>
      <c r="E389" s="730">
        <v>2.4</v>
      </c>
      <c r="F389" s="467"/>
      <c r="G389" s="1600"/>
      <c r="H389" s="1599"/>
    </row>
    <row r="390" spans="3:8" s="525" customFormat="1">
      <c r="C390" s="1531" t="s">
        <v>373</v>
      </c>
      <c r="D390" s="732">
        <v>11.41</v>
      </c>
      <c r="E390" s="730">
        <v>2.6</v>
      </c>
      <c r="F390" s="467"/>
      <c r="G390" s="899">
        <v>2323.5030999999999</v>
      </c>
      <c r="H390" s="898">
        <v>2.5999999689000002</v>
      </c>
    </row>
    <row r="391" spans="3:8" s="525" customFormat="1">
      <c r="C391" s="1531"/>
      <c r="D391" s="732">
        <v>11.31</v>
      </c>
      <c r="E391" s="730">
        <v>2.6</v>
      </c>
      <c r="F391" s="467"/>
      <c r="G391" s="467"/>
      <c r="H391" s="467"/>
    </row>
    <row r="392" spans="3:8" s="525" customFormat="1">
      <c r="C392" s="1531"/>
      <c r="D392" s="732">
        <v>11.19</v>
      </c>
      <c r="E392" s="730">
        <v>2.6</v>
      </c>
      <c r="F392" s="467"/>
      <c r="G392" s="467"/>
      <c r="H392" s="467"/>
    </row>
    <row r="393" spans="3:8" s="525" customFormat="1">
      <c r="C393" s="734" t="s">
        <v>459</v>
      </c>
      <c r="D393" s="732">
        <v>10</v>
      </c>
      <c r="E393" s="730">
        <v>1.44</v>
      </c>
      <c r="F393" s="467"/>
      <c r="G393" s="467"/>
      <c r="H393" s="467"/>
    </row>
    <row r="394" spans="3:8" s="525" customFormat="1">
      <c r="C394" s="734" t="s">
        <v>332</v>
      </c>
      <c r="D394" s="732">
        <v>9.02</v>
      </c>
      <c r="E394" s="730">
        <v>2.88</v>
      </c>
      <c r="F394" s="467"/>
      <c r="G394" s="467"/>
      <c r="H394" s="467"/>
    </row>
    <row r="395" spans="3:8" s="525" customFormat="1">
      <c r="C395" s="1531" t="s">
        <v>115</v>
      </c>
      <c r="D395" s="734" t="s">
        <v>3550</v>
      </c>
      <c r="E395" s="730">
        <v>1.44</v>
      </c>
      <c r="F395" s="467"/>
      <c r="G395" s="467"/>
      <c r="H395" s="467"/>
    </row>
    <row r="396" spans="3:8" s="525" customFormat="1" ht="16" customHeight="1">
      <c r="C396" s="1531"/>
      <c r="D396" s="732">
        <v>9.2200000000000006</v>
      </c>
      <c r="E396" s="730">
        <v>3.39</v>
      </c>
      <c r="F396" s="467"/>
      <c r="G396" s="467"/>
      <c r="H396" s="467"/>
    </row>
    <row r="397" spans="3:8" s="525" customFormat="1">
      <c r="C397" s="1531"/>
      <c r="D397" s="732">
        <v>9.1</v>
      </c>
      <c r="E397" s="730">
        <v>3.62</v>
      </c>
      <c r="F397" s="467"/>
      <c r="G397" s="467"/>
      <c r="H397" s="467"/>
    </row>
    <row r="398" spans="3:8" s="525" customFormat="1">
      <c r="C398" s="1531" t="s">
        <v>1052</v>
      </c>
      <c r="D398" s="732">
        <v>9.3800000000000008</v>
      </c>
      <c r="E398" s="730">
        <v>1.5</v>
      </c>
      <c r="F398" s="467"/>
      <c r="G398" s="467"/>
      <c r="H398" s="467"/>
    </row>
    <row r="399" spans="3:8" s="525" customFormat="1">
      <c r="C399" s="1531"/>
      <c r="D399" s="732">
        <v>9.19</v>
      </c>
      <c r="E399" s="730">
        <v>1.5</v>
      </c>
      <c r="F399" s="467"/>
      <c r="G399" s="467"/>
      <c r="H399" s="467"/>
    </row>
    <row r="400" spans="3:8" s="525" customFormat="1">
      <c r="C400" s="1531"/>
      <c r="D400" s="732">
        <v>9.0500000000000007</v>
      </c>
      <c r="E400" s="730">
        <v>1.5</v>
      </c>
      <c r="F400" s="467"/>
      <c r="G400" s="467"/>
      <c r="H400" s="467"/>
    </row>
    <row r="401" spans="1:56" s="525" customFormat="1">
      <c r="C401" s="734" t="s">
        <v>124</v>
      </c>
      <c r="D401" s="732">
        <v>9.0500000000000007</v>
      </c>
      <c r="E401" s="730">
        <v>1.4849873499999999</v>
      </c>
      <c r="F401" s="467"/>
      <c r="G401" s="467"/>
      <c r="H401" s="467"/>
    </row>
    <row r="402" spans="1:56" s="525" customFormat="1"/>
    <row r="403" spans="1:56" s="860" customFormat="1">
      <c r="A403" s="860" t="s">
        <v>2861</v>
      </c>
      <c r="B403" s="862" t="s">
        <v>2036</v>
      </c>
      <c r="C403" s="864" t="s">
        <v>126</v>
      </c>
      <c r="D403" s="864" t="s">
        <v>1583</v>
      </c>
      <c r="E403" s="864" t="s">
        <v>4</v>
      </c>
      <c r="F403" s="864" t="s">
        <v>2860</v>
      </c>
      <c r="G403" s="864" t="s">
        <v>2859</v>
      </c>
      <c r="H403" s="864" t="s">
        <v>2858</v>
      </c>
      <c r="I403" s="864" t="s">
        <v>751</v>
      </c>
      <c r="J403" s="862" t="s">
        <v>274</v>
      </c>
      <c r="K403" s="862" t="s">
        <v>273</v>
      </c>
      <c r="L403" s="862" t="s">
        <v>116</v>
      </c>
      <c r="M403" s="862" t="s">
        <v>110</v>
      </c>
      <c r="N403" s="862" t="s">
        <v>276</v>
      </c>
      <c r="O403" s="864" t="s">
        <v>1311</v>
      </c>
      <c r="P403" s="862" t="s">
        <v>275</v>
      </c>
      <c r="Q403" s="862" t="s">
        <v>111</v>
      </c>
      <c r="R403" s="862" t="s">
        <v>2857</v>
      </c>
      <c r="S403" s="862" t="s">
        <v>747</v>
      </c>
      <c r="T403" s="864" t="s">
        <v>12</v>
      </c>
      <c r="U403" s="863" t="s">
        <v>948</v>
      </c>
      <c r="V403" s="862" t="s">
        <v>129</v>
      </c>
      <c r="W403" s="862" t="s">
        <v>220</v>
      </c>
      <c r="X403" s="862" t="s">
        <v>749</v>
      </c>
      <c r="Y403" s="862" t="s">
        <v>750</v>
      </c>
      <c r="Z403" s="876" t="s">
        <v>748</v>
      </c>
      <c r="AA403" s="875"/>
      <c r="BB403" s="861"/>
      <c r="BD403" s="861"/>
    </row>
    <row r="404" spans="1:56" s="525" customFormat="1">
      <c r="A404" s="525" t="s">
        <v>2078</v>
      </c>
      <c r="B404" s="856">
        <v>68</v>
      </c>
      <c r="C404" s="1468" t="s">
        <v>2773</v>
      </c>
      <c r="D404" s="889" t="s">
        <v>2772</v>
      </c>
      <c r="E404" s="889" t="s">
        <v>2771</v>
      </c>
      <c r="F404" s="888">
        <v>17.96</v>
      </c>
      <c r="G404" s="887">
        <v>17.96</v>
      </c>
      <c r="H404" s="872">
        <f>L404*R404</f>
        <v>145.18084200000001</v>
      </c>
      <c r="I404" s="886">
        <f>F404/H404</f>
        <v>0.12370778232571485</v>
      </c>
      <c r="J404" s="885" t="s">
        <v>3119</v>
      </c>
      <c r="K404" s="885" t="s">
        <v>2770</v>
      </c>
      <c r="L404" s="885">
        <v>25.7</v>
      </c>
      <c r="M404" s="885">
        <v>22.06</v>
      </c>
      <c r="N404" s="869">
        <f>M404/L404</f>
        <v>0.85836575875486376</v>
      </c>
      <c r="O404" s="870">
        <v>22.88</v>
      </c>
      <c r="P404" s="869">
        <f>O404/L404</f>
        <v>0.89027237354085598</v>
      </c>
      <c r="Q404" s="525">
        <v>5</v>
      </c>
      <c r="R404" s="525">
        <v>5.6490600000000004</v>
      </c>
      <c r="S404" s="525" t="s">
        <v>2769</v>
      </c>
      <c r="T404" s="852">
        <v>42872</v>
      </c>
      <c r="U404" s="525">
        <v>19.239999999999998</v>
      </c>
      <c r="V404" s="869">
        <f>((U404*(1+X404/10)+Y404/10)/O404)</f>
        <v>0.84090909090909083</v>
      </c>
      <c r="W404" s="525" t="s">
        <v>223</v>
      </c>
      <c r="X404" s="525">
        <v>0</v>
      </c>
      <c r="Y404" s="525">
        <v>0</v>
      </c>
      <c r="Z404" s="851" t="s">
        <v>2411</v>
      </c>
      <c r="BB404" s="852"/>
      <c r="BD404" s="851"/>
    </row>
    <row r="405" spans="1:56" s="525" customFormat="1">
      <c r="C405" s="867" t="s">
        <v>112</v>
      </c>
      <c r="D405" s="867" t="s">
        <v>113</v>
      </c>
      <c r="E405" s="867" t="s">
        <v>943</v>
      </c>
      <c r="F405" s="868" t="s">
        <v>411</v>
      </c>
      <c r="G405" s="868" t="s">
        <v>942</v>
      </c>
      <c r="H405" s="867" t="s">
        <v>231</v>
      </c>
    </row>
    <row r="406" spans="1:56" s="525" customFormat="1">
      <c r="C406" s="734" t="s">
        <v>121</v>
      </c>
      <c r="D406" s="732">
        <v>23.64</v>
      </c>
      <c r="E406" s="730">
        <v>3.6</v>
      </c>
      <c r="F406" s="467"/>
      <c r="G406" s="1589">
        <v>1573.4265</v>
      </c>
      <c r="H406" s="730">
        <v>3.599999832</v>
      </c>
      <c r="I406" s="881"/>
    </row>
    <row r="407" spans="1:56" s="525" customFormat="1">
      <c r="C407" s="734"/>
      <c r="D407" s="732">
        <v>22.06</v>
      </c>
      <c r="E407" s="730">
        <v>3.61</v>
      </c>
      <c r="F407" s="467"/>
      <c r="G407" s="1589"/>
      <c r="H407" s="730"/>
      <c r="I407" s="881"/>
    </row>
    <row r="408" spans="1:56" s="525" customFormat="1">
      <c r="C408" s="734" t="s">
        <v>576</v>
      </c>
      <c r="D408" s="732">
        <v>23.17</v>
      </c>
      <c r="E408" s="730">
        <v>3.6</v>
      </c>
      <c r="F408" s="467"/>
      <c r="G408" s="877">
        <v>1573.4265</v>
      </c>
      <c r="H408" s="730">
        <v>3.599999832</v>
      </c>
      <c r="I408" s="881"/>
    </row>
    <row r="409" spans="1:56" s="525" customFormat="1">
      <c r="C409" s="734" t="s">
        <v>115</v>
      </c>
      <c r="D409" s="732">
        <v>23.1</v>
      </c>
      <c r="E409" s="730">
        <v>3.6</v>
      </c>
      <c r="F409" s="467"/>
      <c r="G409" s="1589">
        <v>1573.4265</v>
      </c>
      <c r="H409" s="730">
        <v>3.599999832</v>
      </c>
      <c r="I409" s="881"/>
    </row>
    <row r="410" spans="1:56" s="525" customFormat="1">
      <c r="C410" s="734"/>
      <c r="D410" s="732">
        <v>22.62</v>
      </c>
      <c r="E410" s="730">
        <v>5.98</v>
      </c>
      <c r="F410" s="467"/>
      <c r="G410" s="1589"/>
      <c r="H410" s="730"/>
      <c r="I410" s="881"/>
    </row>
    <row r="411" spans="1:56" s="525" customFormat="1">
      <c r="C411" s="734"/>
      <c r="D411" s="732">
        <v>22.06</v>
      </c>
      <c r="E411" s="730">
        <v>7.2</v>
      </c>
      <c r="F411" s="467"/>
      <c r="G411" s="1589"/>
      <c r="H411" s="730"/>
      <c r="I411" s="881"/>
    </row>
    <row r="412" spans="1:56" s="525" customFormat="1">
      <c r="C412" s="734" t="s">
        <v>120</v>
      </c>
      <c r="D412" s="732">
        <v>23</v>
      </c>
      <c r="E412" s="730">
        <v>3.6</v>
      </c>
      <c r="F412" s="467"/>
      <c r="G412" s="877">
        <v>1573.4265</v>
      </c>
      <c r="H412" s="730">
        <v>3.599999832</v>
      </c>
      <c r="I412" s="881"/>
    </row>
    <row r="413" spans="1:56" s="525" customFormat="1">
      <c r="C413" s="734" t="s">
        <v>173</v>
      </c>
      <c r="D413" s="732">
        <v>22.88</v>
      </c>
      <c r="E413" s="730">
        <v>3.6</v>
      </c>
      <c r="F413" s="467"/>
      <c r="G413" s="877">
        <v>1554.4194</v>
      </c>
      <c r="H413" s="730">
        <v>3.5565115872000002</v>
      </c>
      <c r="I413" s="881"/>
    </row>
    <row r="414" spans="1:56" s="525" customFormat="1">
      <c r="C414" s="734" t="s">
        <v>316</v>
      </c>
      <c r="D414" s="732">
        <v>22.68</v>
      </c>
      <c r="E414" s="730">
        <v>3.89</v>
      </c>
      <c r="F414" s="467"/>
      <c r="G414" s="877"/>
      <c r="H414" s="730"/>
      <c r="I414" s="881"/>
    </row>
    <row r="415" spans="1:56" s="525" customFormat="1">
      <c r="C415" s="467"/>
      <c r="D415" s="732">
        <v>22.51</v>
      </c>
      <c r="E415" s="730">
        <v>5.89</v>
      </c>
      <c r="F415" s="467"/>
      <c r="G415" s="877"/>
      <c r="H415" s="730"/>
      <c r="I415" s="881"/>
    </row>
    <row r="416" spans="1:56" s="525" customFormat="1">
      <c r="C416" s="467"/>
      <c r="D416" s="732">
        <v>22.25</v>
      </c>
      <c r="E416" s="730">
        <v>6.29</v>
      </c>
      <c r="F416" s="467"/>
      <c r="G416" s="877"/>
      <c r="H416" s="730"/>
      <c r="I416" s="881"/>
    </row>
    <row r="417" spans="1:56" s="525" customFormat="1">
      <c r="C417" s="734" t="s">
        <v>13</v>
      </c>
      <c r="D417" s="732">
        <v>22.1</v>
      </c>
      <c r="E417" s="730">
        <v>3.6</v>
      </c>
      <c r="F417" s="467"/>
      <c r="G417" s="877"/>
      <c r="H417" s="730"/>
      <c r="I417" s="881"/>
    </row>
    <row r="418" spans="1:56" s="525" customFormat="1"/>
    <row r="419" spans="1:56" s="860" customFormat="1">
      <c r="A419" s="862" t="s">
        <v>2861</v>
      </c>
      <c r="B419" s="862" t="s">
        <v>2036</v>
      </c>
      <c r="C419" s="864" t="s">
        <v>126</v>
      </c>
      <c r="D419" s="864" t="s">
        <v>1583</v>
      </c>
      <c r="E419" s="864" t="s">
        <v>4</v>
      </c>
      <c r="F419" s="864" t="s">
        <v>2860</v>
      </c>
      <c r="G419" s="864" t="s">
        <v>2859</v>
      </c>
      <c r="H419" s="864" t="s">
        <v>2858</v>
      </c>
      <c r="I419" s="864" t="s">
        <v>751</v>
      </c>
      <c r="J419" s="862" t="s">
        <v>274</v>
      </c>
      <c r="K419" s="862" t="s">
        <v>273</v>
      </c>
      <c r="L419" s="862" t="s">
        <v>116</v>
      </c>
      <c r="M419" s="862" t="s">
        <v>110</v>
      </c>
      <c r="N419" s="862" t="s">
        <v>276</v>
      </c>
      <c r="O419" s="864" t="s">
        <v>1311</v>
      </c>
      <c r="P419" s="862" t="s">
        <v>275</v>
      </c>
      <c r="Q419" s="862" t="s">
        <v>111</v>
      </c>
      <c r="R419" s="862" t="s">
        <v>2857</v>
      </c>
      <c r="S419" s="862" t="s">
        <v>747</v>
      </c>
      <c r="T419" s="864" t="s">
        <v>12</v>
      </c>
      <c r="U419" s="863" t="s">
        <v>948</v>
      </c>
      <c r="V419" s="862" t="s">
        <v>129</v>
      </c>
      <c r="W419" s="862" t="s">
        <v>220</v>
      </c>
      <c r="X419" s="862" t="s">
        <v>749</v>
      </c>
      <c r="Y419" s="862" t="s">
        <v>750</v>
      </c>
      <c r="Z419" s="862" t="s">
        <v>748</v>
      </c>
      <c r="BB419" s="861"/>
      <c r="BD419" s="861"/>
    </row>
    <row r="420" spans="1:56" s="525" customFormat="1">
      <c r="A420" s="467" t="s">
        <v>2078</v>
      </c>
      <c r="B420" s="856">
        <v>69</v>
      </c>
      <c r="C420" s="1471" t="s">
        <v>2768</v>
      </c>
      <c r="D420" s="858" t="s">
        <v>2767</v>
      </c>
      <c r="E420" s="858" t="s">
        <v>2766</v>
      </c>
      <c r="F420" s="857">
        <v>3.2</v>
      </c>
      <c r="G420" s="855">
        <v>3.2</v>
      </c>
      <c r="H420" s="855">
        <f>L420*R420</f>
        <v>59.127377000000003</v>
      </c>
      <c r="I420" s="855">
        <f>F420/H420</f>
        <v>5.4120445762375013E-2</v>
      </c>
      <c r="J420" s="856" t="s">
        <v>3118</v>
      </c>
      <c r="K420" s="467" t="s">
        <v>2765</v>
      </c>
      <c r="L420" s="467">
        <v>37.06</v>
      </c>
      <c r="M420" s="856">
        <v>32.9</v>
      </c>
      <c r="N420" s="468">
        <f>M420/L420</f>
        <v>0.88774959525094432</v>
      </c>
      <c r="O420" s="855">
        <v>33.5</v>
      </c>
      <c r="P420" s="468">
        <f>O420/L420</f>
        <v>0.90393955747436583</v>
      </c>
      <c r="Q420" s="467">
        <v>2</v>
      </c>
      <c r="R420" s="467">
        <v>1.59545</v>
      </c>
      <c r="S420" s="467" t="s">
        <v>2764</v>
      </c>
      <c r="T420" s="854">
        <v>42874</v>
      </c>
      <c r="U420" s="467">
        <v>36.15</v>
      </c>
      <c r="V420" s="468">
        <f>((U420*(1+X420/10)+Y420/10)/O420)</f>
        <v>1.0791044776119403</v>
      </c>
      <c r="W420" s="467" t="s">
        <v>223</v>
      </c>
      <c r="X420" s="467">
        <v>0</v>
      </c>
      <c r="Y420" s="467">
        <v>0</v>
      </c>
      <c r="Z420" s="853" t="s">
        <v>2072</v>
      </c>
      <c r="BB420" s="852"/>
      <c r="BD420" s="851"/>
    </row>
    <row r="421" spans="1:56" s="525" customFormat="1">
      <c r="C421" s="890" t="s">
        <v>112</v>
      </c>
      <c r="D421" s="890" t="s">
        <v>113</v>
      </c>
      <c r="E421" s="890" t="s">
        <v>943</v>
      </c>
      <c r="F421" s="891" t="s">
        <v>411</v>
      </c>
      <c r="G421" s="891" t="s">
        <v>942</v>
      </c>
      <c r="H421" s="890" t="s">
        <v>231</v>
      </c>
    </row>
    <row r="422" spans="1:56" s="525" customFormat="1">
      <c r="C422" s="467" t="s">
        <v>158</v>
      </c>
      <c r="D422" s="467">
        <v>33.76</v>
      </c>
      <c r="E422" s="468">
        <v>2.5600002100000001</v>
      </c>
      <c r="F422" s="467"/>
      <c r="G422" s="866">
        <v>764.17909999999995</v>
      </c>
      <c r="H422" s="865">
        <v>2.5599999850000001</v>
      </c>
    </row>
    <row r="423" spans="1:56" s="525" customFormat="1">
      <c r="C423" s="467" t="s">
        <v>128</v>
      </c>
      <c r="D423" s="467">
        <v>33.1</v>
      </c>
      <c r="E423" s="468">
        <v>0.64214000000000004</v>
      </c>
      <c r="F423" s="467"/>
      <c r="G423" s="467"/>
      <c r="H423" s="467"/>
    </row>
    <row r="424" spans="1:56" s="525" customFormat="1">
      <c r="C424" s="1598" t="s">
        <v>1861</v>
      </c>
      <c r="D424" s="467">
        <v>33.5</v>
      </c>
      <c r="E424" s="468">
        <v>0.64319999999999999</v>
      </c>
      <c r="F424" s="467"/>
      <c r="G424" s="866">
        <v>191.04470000000001</v>
      </c>
      <c r="H424" s="865">
        <v>0.63999974500000001</v>
      </c>
    </row>
    <row r="425" spans="1:56" s="525" customFormat="1">
      <c r="C425" s="1598"/>
      <c r="D425" s="467">
        <v>32.9</v>
      </c>
      <c r="E425" s="468">
        <v>1.07254</v>
      </c>
      <c r="F425" s="467"/>
      <c r="G425" s="467"/>
      <c r="H425" s="467"/>
    </row>
    <row r="426" spans="1:56" s="525" customFormat="1"/>
    <row r="427" spans="1:56" s="860" customFormat="1">
      <c r="A427" s="862" t="s">
        <v>2861</v>
      </c>
      <c r="B427" s="862" t="s">
        <v>2036</v>
      </c>
      <c r="C427" s="864" t="s">
        <v>126</v>
      </c>
      <c r="D427" s="864" t="s">
        <v>1583</v>
      </c>
      <c r="E427" s="864" t="s">
        <v>4</v>
      </c>
      <c r="F427" s="864" t="s">
        <v>2860</v>
      </c>
      <c r="G427" s="864" t="s">
        <v>2859</v>
      </c>
      <c r="H427" s="864" t="s">
        <v>2858</v>
      </c>
      <c r="I427" s="864" t="s">
        <v>751</v>
      </c>
      <c r="J427" s="862" t="s">
        <v>274</v>
      </c>
      <c r="K427" s="862" t="s">
        <v>273</v>
      </c>
      <c r="L427" s="862" t="s">
        <v>116</v>
      </c>
      <c r="M427" s="862" t="s">
        <v>110</v>
      </c>
      <c r="N427" s="862" t="s">
        <v>276</v>
      </c>
      <c r="O427" s="864" t="s">
        <v>1311</v>
      </c>
      <c r="P427" s="862" t="s">
        <v>275</v>
      </c>
      <c r="Q427" s="862" t="s">
        <v>111</v>
      </c>
      <c r="R427" s="862" t="s">
        <v>2857</v>
      </c>
      <c r="S427" s="862" t="s">
        <v>747</v>
      </c>
      <c r="T427" s="864" t="s">
        <v>12</v>
      </c>
      <c r="U427" s="863" t="s">
        <v>948</v>
      </c>
      <c r="V427" s="862" t="s">
        <v>129</v>
      </c>
      <c r="W427" s="862" t="s">
        <v>220</v>
      </c>
      <c r="X427" s="862" t="s">
        <v>749</v>
      </c>
      <c r="Y427" s="862" t="s">
        <v>750</v>
      </c>
      <c r="Z427" s="862" t="s">
        <v>748</v>
      </c>
      <c r="BB427" s="861"/>
      <c r="BD427" s="861"/>
    </row>
    <row r="428" spans="1:56" s="525" customFormat="1">
      <c r="A428" s="467" t="s">
        <v>2078</v>
      </c>
      <c r="B428" s="856">
        <v>70</v>
      </c>
      <c r="C428" s="1471" t="s">
        <v>2763</v>
      </c>
      <c r="D428" s="858" t="s">
        <v>2762</v>
      </c>
      <c r="E428" s="858" t="s">
        <v>2761</v>
      </c>
      <c r="F428" s="857">
        <v>9.11</v>
      </c>
      <c r="G428" s="857">
        <v>7.6</v>
      </c>
      <c r="H428" s="857">
        <f>L428*R428</f>
        <v>62.892157575900001</v>
      </c>
      <c r="I428" s="857">
        <f>F428/H428</f>
        <v>0.14485112852116416</v>
      </c>
      <c r="J428" s="856" t="s">
        <v>3058</v>
      </c>
      <c r="K428" s="856" t="s">
        <v>2089</v>
      </c>
      <c r="L428" s="856">
        <v>9.11</v>
      </c>
      <c r="M428" s="856">
        <v>7.44</v>
      </c>
      <c r="N428" s="468">
        <f>M428/L428</f>
        <v>0.81668496158068071</v>
      </c>
      <c r="O428" s="855">
        <v>7.6</v>
      </c>
      <c r="P428" s="468">
        <f>O428/L428</f>
        <v>0.83424807903402853</v>
      </c>
      <c r="Q428" s="467">
        <v>2</v>
      </c>
      <c r="R428" s="467">
        <v>6.9036396900000003</v>
      </c>
      <c r="S428" s="467" t="s">
        <v>2760</v>
      </c>
      <c r="T428" s="854">
        <v>42877</v>
      </c>
      <c r="U428" s="467">
        <v>6.33</v>
      </c>
      <c r="V428" s="468">
        <f>((U428*(1+X428/10)+Y428/10)/O428)</f>
        <v>0.83289473684210535</v>
      </c>
      <c r="W428" s="467" t="s">
        <v>223</v>
      </c>
      <c r="X428" s="467">
        <v>0</v>
      </c>
      <c r="Y428" s="467">
        <v>0</v>
      </c>
      <c r="Z428" s="853" t="s">
        <v>2160</v>
      </c>
      <c r="BB428" s="852"/>
      <c r="BD428" s="851"/>
    </row>
    <row r="429" spans="1:56" s="525" customFormat="1">
      <c r="C429" s="890" t="s">
        <v>112</v>
      </c>
      <c r="D429" s="890" t="s">
        <v>113</v>
      </c>
      <c r="E429" s="890" t="s">
        <v>943</v>
      </c>
      <c r="F429" s="891" t="s">
        <v>411</v>
      </c>
      <c r="G429" s="891" t="s">
        <v>942</v>
      </c>
      <c r="H429" s="890" t="s">
        <v>231</v>
      </c>
    </row>
    <row r="430" spans="1:56" s="525" customFormat="1">
      <c r="C430" s="1531" t="s">
        <v>115</v>
      </c>
      <c r="D430" s="732">
        <v>7.58</v>
      </c>
      <c r="E430" s="730">
        <v>2.274</v>
      </c>
      <c r="F430" s="877"/>
      <c r="G430" s="467"/>
      <c r="H430" s="877"/>
    </row>
    <row r="431" spans="1:56" s="525" customFormat="1">
      <c r="C431" s="1531"/>
      <c r="D431" s="732">
        <v>7.5</v>
      </c>
      <c r="E431" s="730">
        <v>2.5499999999999998</v>
      </c>
      <c r="F431" s="877"/>
      <c r="G431" s="467"/>
      <c r="H431" s="877"/>
    </row>
    <row r="432" spans="1:56" s="525" customFormat="1">
      <c r="C432" s="1531"/>
      <c r="D432" s="732">
        <v>7.44</v>
      </c>
      <c r="E432" s="730">
        <v>3.1991999999999998</v>
      </c>
      <c r="F432" s="877"/>
      <c r="G432" s="467"/>
      <c r="H432" s="737"/>
    </row>
    <row r="433" spans="1:56" s="525" customFormat="1">
      <c r="C433" s="1531" t="s">
        <v>332</v>
      </c>
      <c r="D433" s="732">
        <v>7.6</v>
      </c>
      <c r="E433" s="730">
        <v>3.04</v>
      </c>
      <c r="F433" s="877"/>
      <c r="G433" s="877">
        <v>3800</v>
      </c>
      <c r="H433" s="730">
        <v>2.8879999999999999</v>
      </c>
      <c r="J433" s="882"/>
    </row>
    <row r="434" spans="1:56" s="525" customFormat="1">
      <c r="C434" s="1531"/>
      <c r="D434" s="732">
        <v>7.5</v>
      </c>
      <c r="E434" s="730">
        <v>3</v>
      </c>
      <c r="F434" s="877"/>
      <c r="G434" s="467"/>
      <c r="H434" s="730"/>
    </row>
    <row r="435" spans="1:56" s="525" customFormat="1">
      <c r="C435" s="1531" t="s">
        <v>371</v>
      </c>
      <c r="D435" s="732">
        <v>7.88</v>
      </c>
      <c r="E435" s="730">
        <v>4.8856000000000002</v>
      </c>
      <c r="F435" s="877"/>
      <c r="G435" s="877">
        <v>6200</v>
      </c>
      <c r="H435" s="730">
        <v>4.7119999999999997</v>
      </c>
      <c r="J435" s="882"/>
    </row>
    <row r="436" spans="1:56" s="525" customFormat="1">
      <c r="C436" s="1531"/>
      <c r="D436" s="732">
        <v>7.58</v>
      </c>
      <c r="E436" s="730">
        <v>6.2156000000000002</v>
      </c>
      <c r="F436" s="877"/>
      <c r="G436" s="467"/>
      <c r="H436" s="737"/>
    </row>
    <row r="437" spans="1:56" s="525" customFormat="1"/>
    <row r="438" spans="1:56" s="860" customFormat="1">
      <c r="A438" s="862" t="s">
        <v>2861</v>
      </c>
      <c r="B438" s="862" t="s">
        <v>2036</v>
      </c>
      <c r="C438" s="864" t="s">
        <v>126</v>
      </c>
      <c r="D438" s="864" t="s">
        <v>1583</v>
      </c>
      <c r="E438" s="864" t="s">
        <v>4</v>
      </c>
      <c r="F438" s="864" t="s">
        <v>2860</v>
      </c>
      <c r="G438" s="864" t="s">
        <v>2859</v>
      </c>
      <c r="H438" s="864" t="s">
        <v>2858</v>
      </c>
      <c r="I438" s="864" t="s">
        <v>751</v>
      </c>
      <c r="J438" s="862" t="s">
        <v>274</v>
      </c>
      <c r="K438" s="862" t="s">
        <v>273</v>
      </c>
      <c r="L438" s="862" t="s">
        <v>116</v>
      </c>
      <c r="M438" s="862" t="s">
        <v>110</v>
      </c>
      <c r="N438" s="862" t="s">
        <v>276</v>
      </c>
      <c r="O438" s="864" t="s">
        <v>1311</v>
      </c>
      <c r="P438" s="862" t="s">
        <v>275</v>
      </c>
      <c r="Q438" s="862" t="s">
        <v>111</v>
      </c>
      <c r="R438" s="862" t="s">
        <v>2857</v>
      </c>
      <c r="S438" s="862" t="s">
        <v>747</v>
      </c>
      <c r="T438" s="864" t="s">
        <v>12</v>
      </c>
      <c r="U438" s="863" t="s">
        <v>948</v>
      </c>
      <c r="V438" s="862" t="s">
        <v>129</v>
      </c>
      <c r="W438" s="862" t="s">
        <v>220</v>
      </c>
      <c r="X438" s="862" t="s">
        <v>749</v>
      </c>
      <c r="Y438" s="862" t="s">
        <v>750</v>
      </c>
      <c r="Z438" s="862" t="s">
        <v>748</v>
      </c>
      <c r="BB438" s="861"/>
      <c r="BD438" s="861"/>
    </row>
    <row r="439" spans="1:56" s="525" customFormat="1">
      <c r="A439" s="467" t="s">
        <v>2078</v>
      </c>
      <c r="B439" s="856">
        <v>71</v>
      </c>
      <c r="C439" s="1471" t="s">
        <v>3117</v>
      </c>
      <c r="D439" s="858" t="s">
        <v>2759</v>
      </c>
      <c r="E439" s="858" t="s">
        <v>2758</v>
      </c>
      <c r="F439" s="857">
        <v>50</v>
      </c>
      <c r="G439" s="857">
        <v>50</v>
      </c>
      <c r="H439" s="857">
        <f>L439*R439</f>
        <v>636.41999999999996</v>
      </c>
      <c r="I439" s="857">
        <f>F439/H439</f>
        <v>7.8564470004085354E-2</v>
      </c>
      <c r="J439" s="856" t="s">
        <v>3116</v>
      </c>
      <c r="K439" s="856" t="s">
        <v>2757</v>
      </c>
      <c r="L439" s="856">
        <v>125</v>
      </c>
      <c r="M439" s="856">
        <v>29.58</v>
      </c>
      <c r="N439" s="468">
        <f>M439/L439</f>
        <v>0.23663999999999999</v>
      </c>
      <c r="O439" s="855">
        <v>94</v>
      </c>
      <c r="P439" s="468">
        <f>O439/L439</f>
        <v>0.752</v>
      </c>
      <c r="Q439" s="467">
        <v>8</v>
      </c>
      <c r="R439" s="467">
        <v>5.0913599999999999</v>
      </c>
      <c r="S439" s="467" t="s">
        <v>2756</v>
      </c>
      <c r="T439" s="854">
        <v>42881</v>
      </c>
      <c r="U439" s="467">
        <v>55</v>
      </c>
      <c r="V439" s="468">
        <f>((U439*(1+X439/10)+Y439/10)/O439)</f>
        <v>1.7553191489361701</v>
      </c>
      <c r="W439" s="467" t="s">
        <v>2755</v>
      </c>
      <c r="X439" s="467">
        <v>20</v>
      </c>
      <c r="Y439" s="467">
        <v>0</v>
      </c>
      <c r="Z439" s="853" t="s">
        <v>2166</v>
      </c>
      <c r="BB439" s="852"/>
      <c r="BD439" s="851"/>
    </row>
    <row r="440" spans="1:56" s="525" customFormat="1">
      <c r="C440" s="890" t="s">
        <v>112</v>
      </c>
      <c r="D440" s="890" t="s">
        <v>113</v>
      </c>
      <c r="E440" s="890" t="s">
        <v>943</v>
      </c>
      <c r="F440" s="891" t="s">
        <v>411</v>
      </c>
      <c r="G440" s="891" t="s">
        <v>942</v>
      </c>
      <c r="H440" s="890" t="s">
        <v>231</v>
      </c>
    </row>
    <row r="441" spans="1:56" s="525" customFormat="1">
      <c r="C441" s="734" t="s">
        <v>604</v>
      </c>
      <c r="D441" s="732">
        <v>123</v>
      </c>
      <c r="E441" s="730">
        <v>5</v>
      </c>
      <c r="F441" s="467"/>
      <c r="G441" s="877">
        <v>531.91480000000001</v>
      </c>
      <c r="H441" s="730">
        <v>4.99999912</v>
      </c>
    </row>
    <row r="442" spans="1:56" s="525" customFormat="1">
      <c r="C442" s="734" t="s">
        <v>285</v>
      </c>
      <c r="D442" s="732">
        <v>110.03</v>
      </c>
      <c r="E442" s="730">
        <v>5</v>
      </c>
      <c r="F442" s="467"/>
      <c r="G442" s="877">
        <v>531.91480000000001</v>
      </c>
      <c r="H442" s="730">
        <v>4.99999912</v>
      </c>
    </row>
    <row r="443" spans="1:56" s="525" customFormat="1">
      <c r="C443" s="1531" t="s">
        <v>148</v>
      </c>
      <c r="D443" s="732">
        <v>109.2</v>
      </c>
      <c r="E443" s="730">
        <v>5</v>
      </c>
      <c r="F443" s="467"/>
      <c r="G443" s="877">
        <v>1095.7446</v>
      </c>
      <c r="H443" s="730">
        <v>10.29999924</v>
      </c>
    </row>
    <row r="444" spans="1:56" s="525" customFormat="1">
      <c r="C444" s="1531"/>
      <c r="D444" s="732">
        <v>95.91</v>
      </c>
      <c r="E444" s="730">
        <v>5.3</v>
      </c>
      <c r="F444" s="467"/>
      <c r="G444" s="467"/>
      <c r="H444" s="865"/>
    </row>
    <row r="445" spans="1:56" s="525" customFormat="1">
      <c r="C445" s="1531"/>
      <c r="D445" s="732">
        <v>95</v>
      </c>
      <c r="E445" s="730">
        <v>10.3</v>
      </c>
      <c r="F445" s="467"/>
      <c r="G445" s="467"/>
      <c r="H445" s="865"/>
    </row>
    <row r="446" spans="1:56" s="525" customFormat="1">
      <c r="C446" s="734" t="s">
        <v>2981</v>
      </c>
      <c r="D446" s="732">
        <v>105.89</v>
      </c>
      <c r="E446" s="730">
        <v>5.29</v>
      </c>
      <c r="F446" s="467"/>
      <c r="G446" s="877">
        <v>562.76589999999999</v>
      </c>
      <c r="H446" s="730">
        <v>5.2899994599999998</v>
      </c>
    </row>
    <row r="447" spans="1:56" s="525" customFormat="1">
      <c r="C447" s="734" t="s">
        <v>358</v>
      </c>
      <c r="D447" s="732">
        <v>100</v>
      </c>
      <c r="E447" s="730">
        <v>5</v>
      </c>
      <c r="F447" s="467"/>
      <c r="G447" s="877">
        <v>531.91480000000001</v>
      </c>
      <c r="H447" s="730">
        <v>4.99999912</v>
      </c>
    </row>
    <row r="448" spans="1:56" s="525" customFormat="1">
      <c r="C448" s="1531" t="s">
        <v>403</v>
      </c>
      <c r="D448" s="732">
        <v>99</v>
      </c>
      <c r="E448" s="730">
        <v>10</v>
      </c>
      <c r="F448" s="467"/>
      <c r="G448" s="877">
        <v>1064.8936000000001</v>
      </c>
      <c r="H448" s="730">
        <v>10.009999840000001</v>
      </c>
    </row>
    <row r="449" spans="3:8" s="525" customFormat="1">
      <c r="C449" s="1531"/>
      <c r="D449" s="732">
        <v>98</v>
      </c>
      <c r="E449" s="730">
        <v>10.01</v>
      </c>
      <c r="F449" s="467"/>
      <c r="G449" s="467"/>
      <c r="H449" s="865"/>
    </row>
    <row r="450" spans="3:8" s="525" customFormat="1">
      <c r="C450" s="734" t="s">
        <v>146</v>
      </c>
      <c r="D450" s="732">
        <v>95.9</v>
      </c>
      <c r="E450" s="730">
        <v>5</v>
      </c>
      <c r="F450" s="467"/>
      <c r="G450" s="877">
        <v>531.91480000000001</v>
      </c>
      <c r="H450" s="730">
        <v>4.99999912</v>
      </c>
    </row>
    <row r="451" spans="3:8" s="525" customFormat="1">
      <c r="C451" s="1531" t="s">
        <v>3115</v>
      </c>
      <c r="D451" s="732">
        <v>94</v>
      </c>
      <c r="E451" s="730">
        <v>10</v>
      </c>
      <c r="F451" s="467"/>
      <c r="G451" s="467"/>
      <c r="H451" s="865"/>
    </row>
    <row r="452" spans="3:8" s="525" customFormat="1">
      <c r="C452" s="1531"/>
      <c r="D452" s="732">
        <v>93</v>
      </c>
      <c r="E452" s="730">
        <v>20</v>
      </c>
      <c r="F452" s="467"/>
      <c r="G452" s="877">
        <v>468.0856</v>
      </c>
      <c r="H452" s="730">
        <v>4.4000046399999997</v>
      </c>
    </row>
    <row r="453" spans="3:8" s="525" customFormat="1">
      <c r="C453" s="1531"/>
      <c r="D453" s="732">
        <v>92</v>
      </c>
      <c r="E453" s="730">
        <v>20</v>
      </c>
      <c r="F453" s="467"/>
      <c r="G453" s="467"/>
      <c r="H453" s="467"/>
    </row>
    <row r="454" spans="3:8" s="525" customFormat="1">
      <c r="C454" s="734" t="s">
        <v>3114</v>
      </c>
      <c r="D454" s="732">
        <v>93.75</v>
      </c>
      <c r="E454" s="730">
        <v>5</v>
      </c>
      <c r="F454" s="467"/>
      <c r="G454" s="467"/>
      <c r="H454" s="467"/>
    </row>
    <row r="455" spans="3:8" s="525" customFormat="1">
      <c r="C455" s="1531" t="s">
        <v>115</v>
      </c>
      <c r="D455" s="732">
        <v>93.18</v>
      </c>
      <c r="E455" s="730">
        <v>12.35</v>
      </c>
      <c r="F455" s="467"/>
      <c r="G455" s="467"/>
      <c r="H455" s="467"/>
    </row>
    <row r="456" spans="3:8" s="525" customFormat="1">
      <c r="C456" s="1531"/>
      <c r="D456" s="732">
        <v>81.88</v>
      </c>
      <c r="E456" s="730">
        <v>20.11</v>
      </c>
      <c r="F456" s="467"/>
      <c r="G456" s="467"/>
      <c r="H456" s="467"/>
    </row>
    <row r="457" spans="3:8" s="525" customFormat="1">
      <c r="C457" s="1531"/>
      <c r="D457" s="732">
        <v>71.88</v>
      </c>
      <c r="E457" s="730">
        <v>29.94</v>
      </c>
      <c r="F457" s="467"/>
      <c r="G457" s="467"/>
      <c r="H457" s="467"/>
    </row>
    <row r="458" spans="3:8" s="525" customFormat="1">
      <c r="C458" s="1531" t="s">
        <v>173</v>
      </c>
      <c r="D458" s="732">
        <v>92.88</v>
      </c>
      <c r="E458" s="730">
        <v>6.39</v>
      </c>
      <c r="F458" s="467"/>
      <c r="G458" s="467"/>
      <c r="H458" s="467"/>
    </row>
    <row r="459" spans="3:8" s="525" customFormat="1">
      <c r="C459" s="1531"/>
      <c r="D459" s="732">
        <v>83.88</v>
      </c>
      <c r="E459" s="730">
        <v>7.29</v>
      </c>
      <c r="F459" s="467"/>
      <c r="G459" s="467"/>
      <c r="H459" s="467"/>
    </row>
    <row r="460" spans="3:8" s="525" customFormat="1">
      <c r="C460" s="1531" t="s">
        <v>156</v>
      </c>
      <c r="D460" s="732">
        <v>91.19</v>
      </c>
      <c r="E460" s="730">
        <v>5.23</v>
      </c>
      <c r="F460" s="467"/>
      <c r="G460" s="467"/>
      <c r="H460" s="467"/>
    </row>
    <row r="461" spans="3:8" s="525" customFormat="1">
      <c r="C461" s="1531"/>
      <c r="D461" s="732">
        <v>83.81</v>
      </c>
      <c r="E461" s="730">
        <v>6.87</v>
      </c>
      <c r="F461" s="467"/>
      <c r="G461" s="467"/>
      <c r="H461" s="467"/>
    </row>
    <row r="462" spans="3:8" s="525" customFormat="1">
      <c r="C462" s="897"/>
      <c r="D462" s="732">
        <v>58.88</v>
      </c>
      <c r="E462" s="730">
        <v>6.88</v>
      </c>
      <c r="F462" s="467"/>
      <c r="G462" s="467"/>
      <c r="H462" s="467"/>
    </row>
    <row r="463" spans="3:8" s="525" customFormat="1">
      <c r="C463" s="734" t="s">
        <v>505</v>
      </c>
      <c r="D463" s="732">
        <v>89.59</v>
      </c>
      <c r="E463" s="730">
        <v>5.0999999999999996</v>
      </c>
      <c r="F463" s="467"/>
      <c r="G463" s="467"/>
      <c r="H463" s="467"/>
    </row>
    <row r="464" spans="3:8" s="525" customFormat="1">
      <c r="C464" s="734" t="s">
        <v>706</v>
      </c>
      <c r="D464" s="732">
        <v>88.5</v>
      </c>
      <c r="E464" s="730">
        <v>5</v>
      </c>
      <c r="F464" s="467"/>
      <c r="G464" s="467"/>
      <c r="H464" s="467"/>
    </row>
    <row r="465" spans="3:8" s="525" customFormat="1">
      <c r="C465" s="734" t="s">
        <v>128</v>
      </c>
      <c r="D465" s="732">
        <v>88.01</v>
      </c>
      <c r="E465" s="730">
        <v>5</v>
      </c>
      <c r="F465" s="467"/>
      <c r="G465" s="467"/>
      <c r="H465" s="467"/>
    </row>
    <row r="466" spans="3:8" s="525" customFormat="1">
      <c r="C466" s="1531" t="s">
        <v>3113</v>
      </c>
      <c r="D466" s="732">
        <v>88</v>
      </c>
      <c r="E466" s="730">
        <v>20</v>
      </c>
      <c r="F466" s="467"/>
      <c r="G466" s="467"/>
      <c r="H466" s="467"/>
    </row>
    <row r="467" spans="3:8" s="525" customFormat="1">
      <c r="C467" s="1531"/>
      <c r="D467" s="732">
        <v>87</v>
      </c>
      <c r="E467" s="730">
        <v>20</v>
      </c>
      <c r="F467" s="467"/>
      <c r="G467" s="467"/>
      <c r="H467" s="467"/>
    </row>
    <row r="468" spans="3:8" s="525" customFormat="1">
      <c r="C468" s="1531"/>
      <c r="D468" s="732">
        <v>86</v>
      </c>
      <c r="E468" s="730">
        <v>20</v>
      </c>
      <c r="F468" s="467"/>
      <c r="G468" s="467"/>
      <c r="H468" s="467"/>
    </row>
    <row r="469" spans="3:8" s="525" customFormat="1">
      <c r="C469" s="734" t="s">
        <v>1344</v>
      </c>
      <c r="D469" s="732">
        <v>88</v>
      </c>
      <c r="E469" s="730">
        <v>5</v>
      </c>
      <c r="F469" s="467"/>
      <c r="G469" s="467"/>
      <c r="H469" s="467"/>
    </row>
    <row r="470" spans="3:8" s="525" customFormat="1">
      <c r="C470" s="1531" t="s">
        <v>1010</v>
      </c>
      <c r="D470" s="732">
        <v>80</v>
      </c>
      <c r="E470" s="730">
        <v>5.0999999999999996</v>
      </c>
      <c r="F470" s="467"/>
      <c r="G470" s="467"/>
      <c r="H470" s="467"/>
    </row>
    <row r="471" spans="3:8" s="525" customFormat="1">
      <c r="C471" s="1531"/>
      <c r="D471" s="732">
        <v>75</v>
      </c>
      <c r="E471" s="730">
        <v>5.0999999999999996</v>
      </c>
      <c r="F471" s="467"/>
      <c r="G471" s="467"/>
      <c r="H471" s="467"/>
    </row>
    <row r="472" spans="3:8" s="525" customFormat="1">
      <c r="C472" s="1531"/>
      <c r="D472" s="732">
        <v>65</v>
      </c>
      <c r="E472" s="730">
        <v>5.0999999999999996</v>
      </c>
      <c r="F472" s="467"/>
      <c r="G472" s="467"/>
      <c r="H472" s="467"/>
    </row>
    <row r="473" spans="3:8" s="525" customFormat="1">
      <c r="C473" s="734" t="s">
        <v>120</v>
      </c>
      <c r="D473" s="732">
        <v>80</v>
      </c>
      <c r="E473" s="730">
        <v>5</v>
      </c>
      <c r="F473" s="467"/>
      <c r="G473" s="467"/>
      <c r="H473" s="467"/>
    </row>
    <row r="474" spans="3:8" s="525" customFormat="1">
      <c r="C474" s="1531" t="s">
        <v>138</v>
      </c>
      <c r="D474" s="732">
        <v>60.28</v>
      </c>
      <c r="E474" s="730">
        <v>5.0999999999999996</v>
      </c>
      <c r="F474" s="467"/>
      <c r="G474" s="467"/>
      <c r="H474" s="467"/>
    </row>
    <row r="475" spans="3:8" s="525" customFormat="1">
      <c r="C475" s="1531"/>
      <c r="D475" s="732">
        <v>51</v>
      </c>
      <c r="E475" s="730">
        <v>7.5</v>
      </c>
      <c r="F475" s="467"/>
      <c r="G475" s="467"/>
      <c r="H475" s="467"/>
    </row>
    <row r="476" spans="3:8" s="525" customFormat="1">
      <c r="C476" s="1531" t="s">
        <v>150</v>
      </c>
      <c r="D476" s="732">
        <v>60</v>
      </c>
      <c r="E476" s="730">
        <v>5</v>
      </c>
      <c r="F476" s="467"/>
      <c r="G476" s="467"/>
      <c r="H476" s="467"/>
    </row>
    <row r="477" spans="3:8" s="525" customFormat="1">
      <c r="C477" s="1531"/>
      <c r="D477" s="732">
        <v>50</v>
      </c>
      <c r="E477" s="730">
        <v>5.32</v>
      </c>
      <c r="F477" s="467"/>
      <c r="G477" s="467"/>
      <c r="H477" s="467"/>
    </row>
    <row r="478" spans="3:8" s="525" customFormat="1">
      <c r="C478" s="1531" t="s">
        <v>131</v>
      </c>
      <c r="D478" s="732">
        <v>50.58</v>
      </c>
      <c r="E478" s="730">
        <v>50.1</v>
      </c>
      <c r="F478" s="467"/>
      <c r="G478" s="467"/>
      <c r="H478" s="467"/>
    </row>
    <row r="479" spans="3:8" s="525" customFormat="1">
      <c r="C479" s="1531"/>
      <c r="D479" s="732">
        <v>35.58</v>
      </c>
      <c r="E479" s="730">
        <v>5.37</v>
      </c>
      <c r="F479" s="467"/>
      <c r="G479" s="467"/>
      <c r="H479" s="467"/>
    </row>
    <row r="480" spans="3:8" s="525" customFormat="1">
      <c r="C480" s="734" t="s">
        <v>147</v>
      </c>
      <c r="D480" s="732">
        <v>47.98</v>
      </c>
      <c r="E480" s="730">
        <v>6.69</v>
      </c>
      <c r="F480" s="467"/>
      <c r="G480" s="467"/>
      <c r="H480" s="467"/>
    </row>
    <row r="481" spans="1:56" s="525" customFormat="1">
      <c r="C481" s="734" t="s">
        <v>1246</v>
      </c>
      <c r="D481" s="732">
        <v>43.77</v>
      </c>
      <c r="E481" s="730">
        <v>5</v>
      </c>
      <c r="F481" s="467"/>
      <c r="G481" s="467"/>
      <c r="H481" s="467"/>
    </row>
    <row r="482" spans="1:56" s="860" customFormat="1">
      <c r="A482" s="860" t="s">
        <v>2861</v>
      </c>
      <c r="B482" s="862" t="s">
        <v>2036</v>
      </c>
      <c r="C482" s="864" t="s">
        <v>126</v>
      </c>
      <c r="D482" s="864" t="s">
        <v>1583</v>
      </c>
      <c r="E482" s="864" t="s">
        <v>4</v>
      </c>
      <c r="F482" s="864" t="s">
        <v>2860</v>
      </c>
      <c r="G482" s="864" t="s">
        <v>2859</v>
      </c>
      <c r="H482" s="864" t="s">
        <v>2858</v>
      </c>
      <c r="I482" s="864" t="s">
        <v>751</v>
      </c>
      <c r="J482" s="862" t="s">
        <v>274</v>
      </c>
      <c r="K482" s="862" t="s">
        <v>273</v>
      </c>
      <c r="L482" s="862" t="s">
        <v>116</v>
      </c>
      <c r="M482" s="862" t="s">
        <v>110</v>
      </c>
      <c r="N482" s="862" t="s">
        <v>276</v>
      </c>
      <c r="O482" s="864" t="s">
        <v>1311</v>
      </c>
      <c r="P482" s="862" t="s">
        <v>275</v>
      </c>
      <c r="Q482" s="862" t="s">
        <v>111</v>
      </c>
      <c r="R482" s="862" t="s">
        <v>2857</v>
      </c>
      <c r="S482" s="862" t="s">
        <v>747</v>
      </c>
      <c r="T482" s="864" t="s">
        <v>12</v>
      </c>
      <c r="U482" s="863" t="s">
        <v>948</v>
      </c>
      <c r="V482" s="862" t="s">
        <v>129</v>
      </c>
      <c r="W482" s="862" t="s">
        <v>220</v>
      </c>
      <c r="X482" s="862" t="s">
        <v>749</v>
      </c>
      <c r="Y482" s="862" t="s">
        <v>750</v>
      </c>
      <c r="Z482" s="862" t="s">
        <v>748</v>
      </c>
      <c r="BB482" s="861"/>
      <c r="BD482" s="861"/>
    </row>
    <row r="483" spans="1:56" s="525" customFormat="1">
      <c r="A483" s="525" t="s">
        <v>2078</v>
      </c>
      <c r="B483" s="856">
        <v>72</v>
      </c>
      <c r="C483" s="1437" t="s">
        <v>2754</v>
      </c>
      <c r="D483" s="873" t="s">
        <v>2753</v>
      </c>
      <c r="E483" s="873" t="s">
        <v>2752</v>
      </c>
      <c r="F483" s="872">
        <v>87.35</v>
      </c>
      <c r="G483" s="870">
        <v>87.03</v>
      </c>
      <c r="H483" s="871">
        <f>L483*R483</f>
        <v>110.5091962962</v>
      </c>
      <c r="I483" s="855">
        <f>F483/H483</f>
        <v>0.79043195433142099</v>
      </c>
      <c r="J483" s="856" t="s">
        <v>3112</v>
      </c>
      <c r="K483" s="467" t="s">
        <v>2089</v>
      </c>
      <c r="L483" s="467">
        <v>6.63</v>
      </c>
      <c r="M483" s="467">
        <v>7.31</v>
      </c>
      <c r="N483" s="896">
        <f>M483/L483</f>
        <v>1.1025641025641024</v>
      </c>
      <c r="O483" s="855">
        <v>7.31</v>
      </c>
      <c r="P483" s="468">
        <f>O483/L483</f>
        <v>1.1025641025641024</v>
      </c>
      <c r="Q483" s="467">
        <v>5</v>
      </c>
      <c r="R483" s="467">
        <v>16.668053740000001</v>
      </c>
      <c r="S483" s="467" t="s">
        <v>2751</v>
      </c>
      <c r="T483" s="854">
        <v>42881</v>
      </c>
      <c r="U483" s="467">
        <v>6.35</v>
      </c>
      <c r="V483" s="468">
        <f>((U483*(1+X483/10)+Y483/10)/O483)</f>
        <v>0.86867305061559508</v>
      </c>
      <c r="W483" s="467" t="s">
        <v>223</v>
      </c>
      <c r="X483" s="467">
        <v>0</v>
      </c>
      <c r="Y483" s="467">
        <v>0</v>
      </c>
      <c r="Z483" s="853" t="s">
        <v>2281</v>
      </c>
      <c r="BB483" s="852"/>
      <c r="BD483" s="851"/>
    </row>
    <row r="484" spans="1:56" s="525" customFormat="1">
      <c r="C484" s="867" t="s">
        <v>112</v>
      </c>
      <c r="D484" s="867" t="s">
        <v>113</v>
      </c>
      <c r="E484" s="867" t="s">
        <v>943</v>
      </c>
      <c r="F484" s="868" t="s">
        <v>411</v>
      </c>
      <c r="G484" s="868" t="s">
        <v>942</v>
      </c>
      <c r="H484" s="867" t="s">
        <v>231</v>
      </c>
    </row>
    <row r="485" spans="1:56" s="525" customFormat="1" ht="16" customHeight="1">
      <c r="C485" s="734" t="s">
        <v>315</v>
      </c>
      <c r="D485" s="732">
        <v>7.31</v>
      </c>
      <c r="E485" s="730">
        <v>20.572533</v>
      </c>
      <c r="F485" s="467"/>
      <c r="G485" s="877">
        <v>28143</v>
      </c>
      <c r="H485" s="730">
        <v>20.572533</v>
      </c>
    </row>
    <row r="486" spans="1:56" s="525" customFormat="1" ht="16" customHeight="1">
      <c r="C486" s="734" t="s">
        <v>3111</v>
      </c>
      <c r="D486" s="732">
        <v>7.31</v>
      </c>
      <c r="E486" s="730">
        <v>15.9</v>
      </c>
      <c r="F486" s="467"/>
      <c r="G486" s="866">
        <v>21751.025900000001</v>
      </c>
      <c r="H486" s="730">
        <v>15.898999999999999</v>
      </c>
    </row>
    <row r="487" spans="1:56" s="525" customFormat="1" ht="16" customHeight="1">
      <c r="C487" s="734" t="s">
        <v>552</v>
      </c>
      <c r="D487" s="732">
        <v>7.31</v>
      </c>
      <c r="E487" s="730">
        <v>15.6</v>
      </c>
      <c r="F487" s="467"/>
      <c r="G487" s="877">
        <v>21340.629199999999</v>
      </c>
      <c r="H487" s="730">
        <v>15.5999999452</v>
      </c>
    </row>
    <row r="488" spans="1:56" s="525" customFormat="1" ht="16" customHeight="1">
      <c r="C488" s="734" t="s">
        <v>134</v>
      </c>
      <c r="D488" s="732">
        <v>7.31</v>
      </c>
      <c r="E488" s="730">
        <v>10.234</v>
      </c>
      <c r="F488" s="467"/>
      <c r="G488" s="866">
        <v>13890.447399999999</v>
      </c>
      <c r="H488" s="730">
        <v>10.1539170494</v>
      </c>
    </row>
    <row r="489" spans="1:56" s="525" customFormat="1">
      <c r="C489" s="734" t="s">
        <v>3110</v>
      </c>
      <c r="D489" s="467"/>
      <c r="E489" s="467"/>
      <c r="F489" s="467"/>
      <c r="G489" s="877">
        <v>33930.985000000001</v>
      </c>
      <c r="H489" s="730">
        <v>24.803550035000001</v>
      </c>
      <c r="I489" s="881"/>
    </row>
    <row r="490" spans="1:56" s="525" customFormat="1"/>
    <row r="491" spans="1:56" s="860" customFormat="1">
      <c r="A491" s="860" t="s">
        <v>2861</v>
      </c>
      <c r="B491" s="862" t="s">
        <v>2036</v>
      </c>
      <c r="C491" s="864" t="s">
        <v>126</v>
      </c>
      <c r="D491" s="864" t="s">
        <v>1583</v>
      </c>
      <c r="E491" s="864" t="s">
        <v>4</v>
      </c>
      <c r="F491" s="864" t="s">
        <v>2860</v>
      </c>
      <c r="G491" s="864" t="s">
        <v>2859</v>
      </c>
      <c r="H491" s="864" t="s">
        <v>2858</v>
      </c>
      <c r="I491" s="864" t="s">
        <v>751</v>
      </c>
      <c r="J491" s="862" t="s">
        <v>274</v>
      </c>
      <c r="K491" s="862" t="s">
        <v>273</v>
      </c>
      <c r="L491" s="862" t="s">
        <v>116</v>
      </c>
      <c r="M491" s="862" t="s">
        <v>110</v>
      </c>
      <c r="N491" s="862" t="s">
        <v>276</v>
      </c>
      <c r="O491" s="864" t="s">
        <v>1311</v>
      </c>
      <c r="P491" s="862" t="s">
        <v>275</v>
      </c>
      <c r="Q491" s="862" t="s">
        <v>111</v>
      </c>
      <c r="R491" s="862" t="s">
        <v>2857</v>
      </c>
      <c r="S491" s="862" t="s">
        <v>747</v>
      </c>
      <c r="T491" s="864" t="s">
        <v>12</v>
      </c>
      <c r="U491" s="863" t="s">
        <v>948</v>
      </c>
      <c r="V491" s="862" t="s">
        <v>129</v>
      </c>
      <c r="W491" s="862" t="s">
        <v>220</v>
      </c>
      <c r="X491" s="862" t="s">
        <v>749</v>
      </c>
      <c r="Y491" s="862" t="s">
        <v>750</v>
      </c>
      <c r="Z491" s="876" t="s">
        <v>748</v>
      </c>
      <c r="AA491" s="875"/>
      <c r="BB491" s="861"/>
      <c r="BD491" s="861"/>
    </row>
    <row r="492" spans="1:56" s="525" customFormat="1">
      <c r="A492" s="525" t="s">
        <v>2078</v>
      </c>
      <c r="B492" s="856">
        <v>73</v>
      </c>
      <c r="C492" s="1468" t="s">
        <v>2750</v>
      </c>
      <c r="D492" s="889" t="s">
        <v>2749</v>
      </c>
      <c r="E492" s="889" t="s">
        <v>2748</v>
      </c>
      <c r="F492" s="888">
        <v>5.4</v>
      </c>
      <c r="G492" s="887">
        <v>5.4</v>
      </c>
      <c r="H492" s="872">
        <f>L492*R492</f>
        <v>52.168762793400006</v>
      </c>
      <c r="I492" s="886">
        <f>F492/H492</f>
        <v>0.10351021781722543</v>
      </c>
      <c r="J492" s="885" t="s">
        <v>3109</v>
      </c>
      <c r="K492" s="885" t="s">
        <v>2747</v>
      </c>
      <c r="L492" s="885">
        <v>39.18</v>
      </c>
      <c r="M492" s="885">
        <v>32.89</v>
      </c>
      <c r="N492" s="869">
        <f>M492/L492</f>
        <v>0.83945890760592146</v>
      </c>
      <c r="O492" s="870">
        <v>36.1</v>
      </c>
      <c r="P492" s="869">
        <f>O492/L492</f>
        <v>0.92138846350178671</v>
      </c>
      <c r="Q492" s="525">
        <v>3</v>
      </c>
      <c r="R492" s="525">
        <v>1.3315151300000001</v>
      </c>
      <c r="S492" s="525" t="s">
        <v>2746</v>
      </c>
      <c r="T492" s="852">
        <v>42888</v>
      </c>
      <c r="U492" s="525">
        <v>32.96</v>
      </c>
      <c r="V492" s="869">
        <f>((U492*(1+X492/10)+Y492/10)/O492)</f>
        <v>0.9157894736842106</v>
      </c>
      <c r="W492" s="525" t="s">
        <v>2123</v>
      </c>
      <c r="X492" s="525">
        <v>0</v>
      </c>
      <c r="Y492" s="525">
        <v>1</v>
      </c>
      <c r="Z492" s="851" t="s">
        <v>2122</v>
      </c>
      <c r="BB492" s="852"/>
      <c r="BD492" s="851"/>
    </row>
    <row r="493" spans="1:56" s="525" customFormat="1">
      <c r="C493" s="867" t="s">
        <v>112</v>
      </c>
      <c r="D493" s="867" t="s">
        <v>113</v>
      </c>
      <c r="E493" s="867" t="s">
        <v>943</v>
      </c>
      <c r="F493" s="868" t="s">
        <v>411</v>
      </c>
      <c r="G493" s="868" t="s">
        <v>942</v>
      </c>
      <c r="H493" s="867" t="s">
        <v>231</v>
      </c>
    </row>
    <row r="494" spans="1:56" s="525" customFormat="1">
      <c r="C494" s="1531" t="s">
        <v>115</v>
      </c>
      <c r="D494" s="732">
        <v>36.049999999999997</v>
      </c>
      <c r="E494" s="730">
        <v>0.99</v>
      </c>
      <c r="F494" s="467"/>
      <c r="G494" s="467"/>
      <c r="H494" s="467"/>
    </row>
    <row r="495" spans="1:56" s="525" customFormat="1">
      <c r="C495" s="1531"/>
      <c r="D495" s="732">
        <v>33.299999999999997</v>
      </c>
      <c r="E495" s="730">
        <v>1.27</v>
      </c>
      <c r="F495" s="467"/>
      <c r="G495" s="467"/>
      <c r="H495" s="467"/>
    </row>
    <row r="496" spans="1:56" s="525" customFormat="1">
      <c r="C496" s="1531"/>
      <c r="D496" s="732">
        <v>32.93</v>
      </c>
      <c r="E496" s="730">
        <v>2.82</v>
      </c>
      <c r="F496" s="467"/>
      <c r="G496" s="467"/>
      <c r="H496" s="467"/>
    </row>
    <row r="497" spans="1:56" s="525" customFormat="1">
      <c r="C497" s="734" t="s">
        <v>459</v>
      </c>
      <c r="D497" s="732">
        <v>32.89</v>
      </c>
      <c r="E497" s="730">
        <v>0.95</v>
      </c>
      <c r="F497" s="467"/>
      <c r="G497" s="467"/>
      <c r="H497" s="467"/>
    </row>
    <row r="498" spans="1:56" s="525" customFormat="1">
      <c r="C498" s="1531" t="s">
        <v>336</v>
      </c>
      <c r="D498" s="732">
        <v>36.1</v>
      </c>
      <c r="E498" s="730">
        <v>2.88</v>
      </c>
      <c r="F498" s="467"/>
      <c r="G498" s="1589">
        <v>778.39329999999995</v>
      </c>
      <c r="H498" s="1590">
        <v>2.8099998130000001</v>
      </c>
    </row>
    <row r="499" spans="1:56" s="525" customFormat="1">
      <c r="C499" s="1531"/>
      <c r="D499" s="732">
        <v>33.31</v>
      </c>
      <c r="E499" s="730">
        <v>2.7</v>
      </c>
      <c r="F499" s="467"/>
      <c r="G499" s="1589"/>
      <c r="H499" s="1590"/>
    </row>
    <row r="500" spans="1:56" s="525" customFormat="1">
      <c r="C500" s="1531"/>
      <c r="D500" s="732">
        <v>33.15</v>
      </c>
      <c r="E500" s="730">
        <v>2.65</v>
      </c>
      <c r="F500" s="467"/>
      <c r="G500" s="1589"/>
      <c r="H500" s="1590"/>
    </row>
    <row r="501" spans="1:56" s="525" customFormat="1">
      <c r="C501" s="1531" t="s">
        <v>1164</v>
      </c>
      <c r="D501" s="732">
        <v>36.51</v>
      </c>
      <c r="E501" s="730">
        <v>0.99</v>
      </c>
      <c r="F501" s="467"/>
      <c r="G501" s="1589">
        <v>274.23820000000001</v>
      </c>
      <c r="H501" s="1590">
        <v>0.98999990199999999</v>
      </c>
    </row>
    <row r="502" spans="1:56" s="525" customFormat="1">
      <c r="C502" s="1531"/>
      <c r="D502" s="732">
        <v>36.5</v>
      </c>
      <c r="E502" s="730">
        <v>0.99</v>
      </c>
      <c r="F502" s="467"/>
      <c r="G502" s="1589"/>
      <c r="H502" s="1590"/>
    </row>
    <row r="503" spans="1:56" s="525" customFormat="1">
      <c r="C503" s="1531"/>
      <c r="D503" s="732">
        <v>32.9</v>
      </c>
      <c r="E503" s="730">
        <v>0.99</v>
      </c>
      <c r="F503" s="467"/>
      <c r="G503" s="1589"/>
      <c r="H503" s="1590"/>
    </row>
    <row r="504" spans="1:56" s="525" customFormat="1">
      <c r="C504" s="734" t="s">
        <v>317</v>
      </c>
      <c r="D504" s="467"/>
      <c r="E504" s="467"/>
      <c r="F504" s="467"/>
      <c r="G504" s="877">
        <v>443.21319999999997</v>
      </c>
      <c r="H504" s="730">
        <v>1.5999996519999999</v>
      </c>
    </row>
    <row r="505" spans="1:56" s="525" customFormat="1"/>
    <row r="506" spans="1:56" s="860" customFormat="1">
      <c r="A506" s="862" t="s">
        <v>2861</v>
      </c>
      <c r="B506" s="862" t="s">
        <v>2036</v>
      </c>
      <c r="C506" s="864" t="s">
        <v>126</v>
      </c>
      <c r="D506" s="864" t="s">
        <v>1583</v>
      </c>
      <c r="E506" s="864" t="s">
        <v>4</v>
      </c>
      <c r="F506" s="864" t="s">
        <v>2860</v>
      </c>
      <c r="G506" s="864" t="s">
        <v>2859</v>
      </c>
      <c r="H506" s="864" t="s">
        <v>2858</v>
      </c>
      <c r="I506" s="864" t="s">
        <v>751</v>
      </c>
      <c r="J506" s="862" t="s">
        <v>274</v>
      </c>
      <c r="K506" s="862" t="s">
        <v>273</v>
      </c>
      <c r="L506" s="862" t="s">
        <v>116</v>
      </c>
      <c r="M506" s="862" t="s">
        <v>110</v>
      </c>
      <c r="N506" s="862" t="s">
        <v>276</v>
      </c>
      <c r="O506" s="864" t="s">
        <v>1311</v>
      </c>
      <c r="P506" s="862" t="s">
        <v>275</v>
      </c>
      <c r="Q506" s="862" t="s">
        <v>111</v>
      </c>
      <c r="R506" s="862" t="s">
        <v>2857</v>
      </c>
      <c r="S506" s="862" t="s">
        <v>747</v>
      </c>
      <c r="T506" s="864" t="s">
        <v>12</v>
      </c>
      <c r="U506" s="863" t="s">
        <v>948</v>
      </c>
      <c r="V506" s="862" t="s">
        <v>129</v>
      </c>
      <c r="W506" s="862" t="s">
        <v>220</v>
      </c>
      <c r="X506" s="862" t="s">
        <v>749</v>
      </c>
      <c r="Y506" s="862" t="s">
        <v>750</v>
      </c>
      <c r="Z506" s="862" t="s">
        <v>748</v>
      </c>
      <c r="BB506" s="861"/>
      <c r="BD506" s="861"/>
    </row>
    <row r="507" spans="1:56" s="525" customFormat="1">
      <c r="A507" s="467" t="s">
        <v>2078</v>
      </c>
      <c r="B507" s="856">
        <v>74</v>
      </c>
      <c r="C507" s="1471" t="s">
        <v>2745</v>
      </c>
      <c r="D507" s="858" t="s">
        <v>2744</v>
      </c>
      <c r="E507" s="858" t="s">
        <v>2743</v>
      </c>
      <c r="F507" s="857">
        <v>23.16</v>
      </c>
      <c r="G507" s="855">
        <v>23.48</v>
      </c>
      <c r="H507" s="855">
        <f>L507*R507</f>
        <v>138.90625</v>
      </c>
      <c r="I507" s="855">
        <f>F507/H507</f>
        <v>0.16673115860517435</v>
      </c>
      <c r="J507" s="856" t="s">
        <v>3108</v>
      </c>
      <c r="K507" s="467" t="s">
        <v>2089</v>
      </c>
      <c r="L507" s="467">
        <v>31.25</v>
      </c>
      <c r="M507" s="467">
        <v>28</v>
      </c>
      <c r="N507" s="896">
        <f>M507/L507</f>
        <v>0.89600000000000002</v>
      </c>
      <c r="O507" s="855">
        <v>28.01</v>
      </c>
      <c r="P507" s="468">
        <f>O507/L507</f>
        <v>0.89632000000000001</v>
      </c>
      <c r="Q507" s="467">
        <v>5</v>
      </c>
      <c r="R507" s="467">
        <v>4.4450000000000003</v>
      </c>
      <c r="S507" s="467" t="s">
        <v>2742</v>
      </c>
      <c r="T507" s="854">
        <v>42886</v>
      </c>
      <c r="U507" s="467">
        <v>31.13</v>
      </c>
      <c r="V507" s="468">
        <f>((U507*(1+X507/10)+Y507/10)/O507)</f>
        <v>1.1113887897179577</v>
      </c>
      <c r="W507" s="467" t="s">
        <v>223</v>
      </c>
      <c r="X507" s="467">
        <v>0</v>
      </c>
      <c r="Y507" s="467">
        <v>0</v>
      </c>
      <c r="Z507" s="853" t="s">
        <v>2160</v>
      </c>
      <c r="BB507" s="852"/>
      <c r="BD507" s="851"/>
    </row>
    <row r="508" spans="1:56" s="525" customFormat="1">
      <c r="C508" s="890" t="s">
        <v>112</v>
      </c>
      <c r="D508" s="890" t="s">
        <v>113</v>
      </c>
      <c r="E508" s="890" t="s">
        <v>943</v>
      </c>
      <c r="F508" s="891" t="s">
        <v>411</v>
      </c>
      <c r="G508" s="891" t="s">
        <v>942</v>
      </c>
      <c r="H508" s="890" t="s">
        <v>231</v>
      </c>
    </row>
    <row r="509" spans="1:56" s="525" customFormat="1">
      <c r="C509" s="734" t="s">
        <v>2906</v>
      </c>
      <c r="D509" s="732">
        <v>28</v>
      </c>
      <c r="E509" s="730">
        <v>2.4</v>
      </c>
      <c r="F509" s="467"/>
      <c r="G509" s="467"/>
      <c r="H509" s="467"/>
    </row>
    <row r="510" spans="1:56" s="525" customFormat="1">
      <c r="C510" s="1531" t="s">
        <v>148</v>
      </c>
      <c r="D510" s="732">
        <v>32.83</v>
      </c>
      <c r="E510" s="730">
        <v>5.3630000000000004</v>
      </c>
      <c r="F510" s="467"/>
      <c r="G510" s="467"/>
      <c r="H510" s="467"/>
    </row>
    <row r="511" spans="1:56" s="525" customFormat="1">
      <c r="C511" s="1531"/>
      <c r="D511" s="732">
        <v>30.5</v>
      </c>
      <c r="E511" s="730">
        <v>5.3650000000000002</v>
      </c>
      <c r="F511" s="467"/>
      <c r="G511" s="467"/>
      <c r="H511" s="467"/>
    </row>
    <row r="512" spans="1:56" s="525" customFormat="1">
      <c r="C512" s="1531"/>
      <c r="D512" s="732">
        <v>28.05</v>
      </c>
      <c r="E512" s="730">
        <v>5.3680000000000003</v>
      </c>
      <c r="F512" s="467"/>
      <c r="G512" s="467"/>
      <c r="H512" s="467"/>
    </row>
    <row r="513" spans="1:56" s="525" customFormat="1">
      <c r="C513" s="1531" t="s">
        <v>279</v>
      </c>
      <c r="D513" s="732">
        <v>32.840000000000003</v>
      </c>
      <c r="E513" s="730">
        <v>6.827</v>
      </c>
      <c r="F513" s="467"/>
      <c r="G513" s="1589">
        <v>2438.4148</v>
      </c>
      <c r="H513" s="1590">
        <v>6.8299998547999996</v>
      </c>
    </row>
    <row r="514" spans="1:56" s="525" customFormat="1">
      <c r="C514" s="1531"/>
      <c r="D514" s="732">
        <v>30.67</v>
      </c>
      <c r="E514" s="730">
        <v>6.8289999999999997</v>
      </c>
      <c r="F514" s="467"/>
      <c r="G514" s="1589"/>
      <c r="H514" s="1590"/>
    </row>
    <row r="515" spans="1:56" s="525" customFormat="1">
      <c r="C515" s="1531"/>
      <c r="D515" s="732">
        <v>28.07</v>
      </c>
      <c r="E515" s="730">
        <v>6.83</v>
      </c>
      <c r="F515" s="467"/>
      <c r="G515" s="1589"/>
      <c r="H515" s="1590"/>
    </row>
    <row r="516" spans="1:56" s="525" customFormat="1">
      <c r="C516" s="1531" t="s">
        <v>314</v>
      </c>
      <c r="D516" s="732">
        <v>32.869999999999997</v>
      </c>
      <c r="E516" s="730">
        <v>4.5439999999999996</v>
      </c>
      <c r="F516" s="467"/>
      <c r="G516" s="1589">
        <v>1624.0627999999999</v>
      </c>
      <c r="H516" s="1590">
        <v>4.5489999028000003</v>
      </c>
    </row>
    <row r="517" spans="1:56" s="525" customFormat="1">
      <c r="C517" s="1531"/>
      <c r="D517" s="732">
        <v>30.84</v>
      </c>
      <c r="E517" s="730">
        <v>4.5460000000000003</v>
      </c>
      <c r="F517" s="467"/>
      <c r="G517" s="1589"/>
      <c r="H517" s="1590"/>
    </row>
    <row r="518" spans="1:56" s="525" customFormat="1">
      <c r="C518" s="1531"/>
      <c r="D518" s="732">
        <v>28.1</v>
      </c>
      <c r="E518" s="730">
        <v>4.5490000000000004</v>
      </c>
      <c r="F518" s="467"/>
      <c r="G518" s="1589"/>
      <c r="H518" s="1590"/>
    </row>
    <row r="519" spans="1:56" s="525" customFormat="1">
      <c r="C519" s="1531" t="s">
        <v>130</v>
      </c>
      <c r="D519" s="732">
        <v>32.81</v>
      </c>
      <c r="E519" s="730">
        <v>6.4459999999999997</v>
      </c>
      <c r="F519" s="467"/>
      <c r="G519" s="1589">
        <v>1624.0627999999999</v>
      </c>
      <c r="H519" s="1590">
        <v>4.5489999000000001</v>
      </c>
    </row>
    <row r="520" spans="1:56" s="525" customFormat="1">
      <c r="C520" s="1531"/>
      <c r="D520" s="732">
        <v>30.18</v>
      </c>
      <c r="E520" s="730">
        <v>6.4489999999999998</v>
      </c>
      <c r="F520" s="467"/>
      <c r="G520" s="1589"/>
      <c r="H520" s="1590"/>
    </row>
    <row r="521" spans="1:56" s="525" customFormat="1">
      <c r="C521" s="1531"/>
      <c r="D521" s="732">
        <v>28.01</v>
      </c>
      <c r="E521" s="730">
        <v>6.4509999999999996</v>
      </c>
      <c r="F521" s="467"/>
      <c r="G521" s="1589"/>
      <c r="H521" s="1590"/>
    </row>
    <row r="522" spans="1:56" s="525" customFormat="1">
      <c r="C522" s="734" t="s">
        <v>127</v>
      </c>
      <c r="D522" s="732">
        <v>28.02</v>
      </c>
      <c r="E522" s="730">
        <v>2.4</v>
      </c>
      <c r="F522" s="467"/>
      <c r="G522" s="467"/>
      <c r="H522" s="467"/>
    </row>
    <row r="523" spans="1:56" s="525" customFormat="1">
      <c r="C523" s="1531" t="s">
        <v>115</v>
      </c>
      <c r="D523" s="732">
        <v>29</v>
      </c>
      <c r="E523" s="730">
        <v>2.4</v>
      </c>
      <c r="F523" s="467"/>
      <c r="G523" s="1589">
        <v>1554.0878</v>
      </c>
      <c r="H523" s="1590">
        <v>4.3529999278</v>
      </c>
    </row>
    <row r="524" spans="1:56" s="525" customFormat="1">
      <c r="C524" s="1531"/>
      <c r="D524" s="732">
        <v>28.56</v>
      </c>
      <c r="E524" s="730">
        <v>3.47</v>
      </c>
      <c r="F524" s="467"/>
      <c r="G524" s="1589"/>
      <c r="H524" s="1590"/>
    </row>
    <row r="525" spans="1:56" s="525" customFormat="1">
      <c r="C525" s="1531"/>
      <c r="D525" s="732">
        <v>28.22</v>
      </c>
      <c r="E525" s="730">
        <v>4.38</v>
      </c>
      <c r="F525" s="467"/>
      <c r="G525" s="1589"/>
      <c r="H525" s="1590"/>
    </row>
    <row r="526" spans="1:56" s="525" customFormat="1">
      <c r="C526" s="734" t="s">
        <v>951</v>
      </c>
      <c r="D526" s="732">
        <v>28.01</v>
      </c>
      <c r="E526" s="730">
        <v>2.4</v>
      </c>
      <c r="F526" s="467"/>
      <c r="G526" s="877">
        <v>463.12040000000002</v>
      </c>
      <c r="H526" s="730">
        <v>1.2972002404</v>
      </c>
    </row>
    <row r="527" spans="1:56" s="525" customFormat="1"/>
    <row r="528" spans="1:56" s="860" customFormat="1">
      <c r="A528" s="860" t="s">
        <v>2861</v>
      </c>
      <c r="B528" s="862" t="s">
        <v>2036</v>
      </c>
      <c r="C528" s="864" t="s">
        <v>126</v>
      </c>
      <c r="D528" s="864" t="s">
        <v>1583</v>
      </c>
      <c r="E528" s="864" t="s">
        <v>4</v>
      </c>
      <c r="F528" s="864" t="s">
        <v>2860</v>
      </c>
      <c r="G528" s="864" t="s">
        <v>2859</v>
      </c>
      <c r="H528" s="864" t="s">
        <v>2858</v>
      </c>
      <c r="I528" s="864" t="s">
        <v>751</v>
      </c>
      <c r="J528" s="862" t="s">
        <v>274</v>
      </c>
      <c r="K528" s="862" t="s">
        <v>273</v>
      </c>
      <c r="L528" s="862" t="s">
        <v>116</v>
      </c>
      <c r="M528" s="862" t="s">
        <v>110</v>
      </c>
      <c r="N528" s="862" t="s">
        <v>276</v>
      </c>
      <c r="O528" s="864" t="s">
        <v>1311</v>
      </c>
      <c r="P528" s="862" t="s">
        <v>275</v>
      </c>
      <c r="Q528" s="862" t="s">
        <v>111</v>
      </c>
      <c r="R528" s="862" t="s">
        <v>2857</v>
      </c>
      <c r="S528" s="862" t="s">
        <v>747</v>
      </c>
      <c r="T528" s="864" t="s">
        <v>12</v>
      </c>
      <c r="U528" s="863" t="s">
        <v>948</v>
      </c>
      <c r="V528" s="862" t="s">
        <v>129</v>
      </c>
      <c r="W528" s="862" t="s">
        <v>220</v>
      </c>
      <c r="X528" s="862" t="s">
        <v>749</v>
      </c>
      <c r="Y528" s="862" t="s">
        <v>750</v>
      </c>
      <c r="Z528" s="862" t="s">
        <v>748</v>
      </c>
      <c r="BB528" s="861"/>
      <c r="BD528" s="861"/>
    </row>
    <row r="529" spans="1:56" s="525" customFormat="1">
      <c r="A529" s="525" t="s">
        <v>2078</v>
      </c>
      <c r="B529" s="856">
        <v>75</v>
      </c>
      <c r="C529" s="1471" t="s">
        <v>2741</v>
      </c>
      <c r="D529" s="858" t="s">
        <v>2740</v>
      </c>
      <c r="E529" s="858" t="s">
        <v>2739</v>
      </c>
      <c r="F529" s="857">
        <v>12</v>
      </c>
      <c r="G529" s="857">
        <v>11.4</v>
      </c>
      <c r="H529" s="855">
        <f>L529*R529</f>
        <v>71.190721596000003</v>
      </c>
      <c r="I529" s="855">
        <f>F529/H529</f>
        <v>0.16856129185062571</v>
      </c>
      <c r="J529" s="856" t="s">
        <v>3107</v>
      </c>
      <c r="K529" s="467" t="s">
        <v>2738</v>
      </c>
      <c r="L529" s="467">
        <v>20.45</v>
      </c>
      <c r="M529" s="467">
        <v>17.62</v>
      </c>
      <c r="N529" s="896">
        <f>M529/L529</f>
        <v>0.86161369193154047</v>
      </c>
      <c r="O529" s="855">
        <v>19</v>
      </c>
      <c r="P529" s="468">
        <f>O529/L529</f>
        <v>0.92909535452322745</v>
      </c>
      <c r="Q529" s="467">
        <v>4</v>
      </c>
      <c r="R529" s="467">
        <v>3.4812088800000001</v>
      </c>
      <c r="S529" s="467" t="s">
        <v>2737</v>
      </c>
      <c r="T529" s="854">
        <v>42888</v>
      </c>
      <c r="U529" s="467">
        <v>14.77</v>
      </c>
      <c r="V529" s="468">
        <f>((U529*(1+X529/10)+Y529/10)/O529)</f>
        <v>0.78</v>
      </c>
      <c r="W529" s="467" t="s">
        <v>2105</v>
      </c>
      <c r="X529" s="467">
        <v>0</v>
      </c>
      <c r="Y529" s="467">
        <v>0.5</v>
      </c>
      <c r="Z529" s="853" t="s">
        <v>2436</v>
      </c>
      <c r="BB529" s="852"/>
      <c r="BD529" s="851"/>
    </row>
    <row r="530" spans="1:56" s="525" customFormat="1">
      <c r="C530" s="867" t="s">
        <v>112</v>
      </c>
      <c r="D530" s="867" t="s">
        <v>113</v>
      </c>
      <c r="E530" s="867" t="s">
        <v>943</v>
      </c>
      <c r="F530" s="868" t="s">
        <v>411</v>
      </c>
      <c r="G530" s="868" t="s">
        <v>942</v>
      </c>
      <c r="H530" s="867" t="s">
        <v>231</v>
      </c>
    </row>
    <row r="531" spans="1:56" s="525" customFormat="1">
      <c r="B531" s="1596"/>
      <c r="C531" s="734" t="s">
        <v>278</v>
      </c>
      <c r="D531" s="732">
        <v>20.51</v>
      </c>
      <c r="E531" s="730">
        <v>2.6663000000000001</v>
      </c>
      <c r="F531" s="468"/>
      <c r="G531" s="1589">
        <v>1300</v>
      </c>
      <c r="H531" s="732">
        <f>(19*G531)/10000</f>
        <v>2.4700000000000002</v>
      </c>
      <c r="I531" s="895"/>
    </row>
    <row r="532" spans="1:56" s="525" customFormat="1">
      <c r="B532" s="1596"/>
      <c r="C532" s="734" t="s">
        <v>278</v>
      </c>
      <c r="D532" s="732">
        <v>20.45</v>
      </c>
      <c r="E532" s="730">
        <v>2.6585000000000001</v>
      </c>
      <c r="F532" s="468"/>
      <c r="G532" s="1589"/>
      <c r="H532" s="732"/>
      <c r="I532" s="895"/>
    </row>
    <row r="533" spans="1:56" s="525" customFormat="1">
      <c r="B533" s="1596"/>
      <c r="C533" s="734" t="s">
        <v>278</v>
      </c>
      <c r="D533" s="732">
        <v>19.420000000000002</v>
      </c>
      <c r="E533" s="730">
        <v>2.5246000000000004</v>
      </c>
      <c r="F533" s="468"/>
      <c r="G533" s="1589"/>
      <c r="H533" s="732"/>
      <c r="I533" s="895"/>
    </row>
    <row r="534" spans="1:56" s="525" customFormat="1">
      <c r="B534" s="1434"/>
      <c r="C534" s="734" t="s">
        <v>1206</v>
      </c>
      <c r="D534" s="732">
        <v>20</v>
      </c>
      <c r="E534" s="730">
        <v>3</v>
      </c>
      <c r="F534" s="468"/>
      <c r="G534" s="877">
        <v>1500</v>
      </c>
      <c r="H534" s="732">
        <f>(19*G534)/10000</f>
        <v>2.85</v>
      </c>
      <c r="I534" s="895"/>
    </row>
    <row r="535" spans="1:56" s="525" customFormat="1">
      <c r="B535" s="1434"/>
      <c r="C535" s="734" t="s">
        <v>148</v>
      </c>
      <c r="D535" s="732">
        <v>19.510000000000002</v>
      </c>
      <c r="E535" s="730">
        <v>2.6533600000000006</v>
      </c>
      <c r="F535" s="468"/>
      <c r="G535" s="877">
        <v>1360</v>
      </c>
      <c r="H535" s="732">
        <f>(19*G535)/10000</f>
        <v>2.5840000000000001</v>
      </c>
      <c r="I535" s="895"/>
    </row>
    <row r="536" spans="1:56" s="525" customFormat="1">
      <c r="B536" s="1434"/>
      <c r="C536" s="734" t="s">
        <v>277</v>
      </c>
      <c r="D536" s="732">
        <v>19</v>
      </c>
      <c r="E536" s="730">
        <v>4.5599999999999996</v>
      </c>
      <c r="F536" s="468"/>
      <c r="G536" s="877">
        <v>1840</v>
      </c>
      <c r="H536" s="732">
        <f>(19*G536)/10000</f>
        <v>3.496</v>
      </c>
      <c r="I536" s="895"/>
    </row>
    <row r="537" spans="1:56" s="525" customFormat="1">
      <c r="C537" s="734" t="s">
        <v>228</v>
      </c>
      <c r="D537" s="732">
        <v>18</v>
      </c>
      <c r="E537" s="730">
        <v>2.16</v>
      </c>
      <c r="F537" s="468"/>
      <c r="G537" s="467"/>
      <c r="H537" s="467"/>
    </row>
    <row r="538" spans="1:56" s="525" customFormat="1">
      <c r="C538" s="734" t="s">
        <v>115</v>
      </c>
      <c r="D538" s="732">
        <v>18.38</v>
      </c>
      <c r="E538" s="730">
        <v>2.2239799999999996</v>
      </c>
      <c r="F538" s="468"/>
      <c r="G538" s="467"/>
      <c r="H538" s="467"/>
    </row>
    <row r="539" spans="1:56" s="525" customFormat="1">
      <c r="C539" s="734" t="s">
        <v>115</v>
      </c>
      <c r="D539" s="732">
        <v>17.8</v>
      </c>
      <c r="E539" s="730">
        <v>3.0438000000000005</v>
      </c>
      <c r="F539" s="468"/>
      <c r="G539" s="467"/>
      <c r="H539" s="467"/>
    </row>
    <row r="540" spans="1:56" s="525" customFormat="1">
      <c r="C540" s="734" t="s">
        <v>115</v>
      </c>
      <c r="D540" s="732">
        <v>17.62</v>
      </c>
      <c r="E540" s="730">
        <v>3.2420800000000001</v>
      </c>
      <c r="F540" s="468"/>
      <c r="G540" s="467"/>
      <c r="H540" s="467"/>
    </row>
    <row r="541" spans="1:56" s="525" customFormat="1">
      <c r="C541" s="734" t="s">
        <v>576</v>
      </c>
      <c r="D541" s="732">
        <v>18.62</v>
      </c>
      <c r="E541" s="730">
        <v>2.4206000000000003</v>
      </c>
      <c r="F541" s="468"/>
      <c r="G541" s="467"/>
      <c r="H541" s="467"/>
    </row>
    <row r="542" spans="1:56" s="525" customFormat="1"/>
    <row r="543" spans="1:56" s="860" customFormat="1">
      <c r="A543" s="860" t="s">
        <v>2861</v>
      </c>
      <c r="B543" s="862" t="s">
        <v>2036</v>
      </c>
      <c r="C543" s="864" t="s">
        <v>126</v>
      </c>
      <c r="D543" s="864" t="s">
        <v>1583</v>
      </c>
      <c r="E543" s="864" t="s">
        <v>4</v>
      </c>
      <c r="F543" s="864" t="s">
        <v>2860</v>
      </c>
      <c r="G543" s="864" t="s">
        <v>2859</v>
      </c>
      <c r="H543" s="864" t="s">
        <v>2858</v>
      </c>
      <c r="I543" s="864" t="s">
        <v>751</v>
      </c>
      <c r="J543" s="862" t="s">
        <v>274</v>
      </c>
      <c r="K543" s="862" t="s">
        <v>273</v>
      </c>
      <c r="L543" s="862" t="s">
        <v>116</v>
      </c>
      <c r="M543" s="862" t="s">
        <v>110</v>
      </c>
      <c r="N543" s="862" t="s">
        <v>276</v>
      </c>
      <c r="O543" s="864" t="s">
        <v>1311</v>
      </c>
      <c r="P543" s="862" t="s">
        <v>275</v>
      </c>
      <c r="Q543" s="862" t="s">
        <v>111</v>
      </c>
      <c r="R543" s="862" t="s">
        <v>2857</v>
      </c>
      <c r="S543" s="862" t="s">
        <v>747</v>
      </c>
      <c r="T543" s="864" t="s">
        <v>12</v>
      </c>
      <c r="U543" s="863" t="s">
        <v>948</v>
      </c>
      <c r="V543" s="862" t="s">
        <v>129</v>
      </c>
      <c r="W543" s="862" t="s">
        <v>220</v>
      </c>
      <c r="X543" s="862" t="s">
        <v>749</v>
      </c>
      <c r="Y543" s="862" t="s">
        <v>750</v>
      </c>
      <c r="Z543" s="876" t="s">
        <v>748</v>
      </c>
      <c r="AA543" s="875"/>
      <c r="BB543" s="861"/>
      <c r="BD543" s="861"/>
    </row>
    <row r="544" spans="1:56" s="525" customFormat="1">
      <c r="A544" s="525" t="s">
        <v>2078</v>
      </c>
      <c r="B544" s="856">
        <v>76</v>
      </c>
      <c r="C544" s="1476" t="s">
        <v>2736</v>
      </c>
      <c r="D544" s="894" t="s">
        <v>2735</v>
      </c>
      <c r="E544" s="894" t="s">
        <v>2734</v>
      </c>
      <c r="F544" s="886">
        <v>49</v>
      </c>
      <c r="G544" s="887">
        <v>49</v>
      </c>
      <c r="H544" s="857">
        <f>L544*R544</f>
        <v>450.02450982959999</v>
      </c>
      <c r="I544" s="886">
        <f>F544/H544</f>
        <v>0.1088829584383163</v>
      </c>
      <c r="J544" s="885" t="s">
        <v>3106</v>
      </c>
      <c r="K544" s="885" t="s">
        <v>151</v>
      </c>
      <c r="L544" s="885">
        <v>4.0199999999999996</v>
      </c>
      <c r="M544" s="885">
        <v>3.98</v>
      </c>
      <c r="N544" s="869">
        <f>M544/L544</f>
        <v>0.99004975124378114</v>
      </c>
      <c r="O544" s="870">
        <v>3.98</v>
      </c>
      <c r="P544" s="869">
        <f>O544/L544</f>
        <v>0.99004975124378114</v>
      </c>
      <c r="Q544" s="525">
        <v>8</v>
      </c>
      <c r="R544" s="525">
        <v>111.94639548000001</v>
      </c>
      <c r="S544" s="525" t="s">
        <v>2733</v>
      </c>
      <c r="T544" s="852">
        <v>42886</v>
      </c>
      <c r="U544" s="525">
        <v>3.53</v>
      </c>
      <c r="V544" s="869">
        <f>((U544*(1+X544/10)+Y544/10)/O544)</f>
        <v>0.89698492462311552</v>
      </c>
      <c r="W544" s="525" t="s">
        <v>2732</v>
      </c>
      <c r="X544" s="525">
        <v>0</v>
      </c>
      <c r="Y544" s="525">
        <v>0.4</v>
      </c>
      <c r="Z544" s="851" t="s">
        <v>2731</v>
      </c>
      <c r="BB544" s="852"/>
      <c r="BD544" s="851"/>
    </row>
    <row r="545" spans="1:56" s="525" customFormat="1">
      <c r="C545" s="849" t="s">
        <v>112</v>
      </c>
      <c r="D545" s="849" t="s">
        <v>113</v>
      </c>
      <c r="E545" s="849" t="s">
        <v>943</v>
      </c>
      <c r="F545" s="850" t="s">
        <v>411</v>
      </c>
      <c r="G545" s="850" t="s">
        <v>942</v>
      </c>
      <c r="H545" s="849" t="s">
        <v>231</v>
      </c>
    </row>
    <row r="546" spans="1:56" s="525" customFormat="1">
      <c r="C546" s="893" t="s">
        <v>358</v>
      </c>
      <c r="D546" s="1597" t="s">
        <v>3549</v>
      </c>
      <c r="E546" s="1597"/>
      <c r="G546" s="882">
        <v>15075.3768</v>
      </c>
      <c r="H546" s="881">
        <v>5.9999999663999999</v>
      </c>
    </row>
    <row r="547" spans="1:56" s="525" customFormat="1">
      <c r="C547" s="893" t="s">
        <v>336</v>
      </c>
      <c r="D547" s="892"/>
      <c r="E547" s="892"/>
      <c r="G547" s="882">
        <v>12537.688399999999</v>
      </c>
      <c r="H547" s="881">
        <v>4.9800000000000004</v>
      </c>
    </row>
    <row r="548" spans="1:56" s="525" customFormat="1">
      <c r="C548" s="893" t="s">
        <v>634</v>
      </c>
      <c r="D548" s="892"/>
      <c r="E548" s="892"/>
      <c r="G548" s="882">
        <v>12814.070299999999</v>
      </c>
      <c r="H548" s="881">
        <v>5.0990000000000002</v>
      </c>
    </row>
    <row r="549" spans="1:56" s="525" customFormat="1">
      <c r="C549" s="893" t="s">
        <v>3548</v>
      </c>
      <c r="D549" s="892"/>
      <c r="E549" s="892"/>
      <c r="G549" s="882">
        <v>35175.879300000001</v>
      </c>
      <c r="H549" s="881">
        <v>13.9999999614</v>
      </c>
    </row>
    <row r="550" spans="1:56" s="525" customFormat="1">
      <c r="C550" s="893" t="s">
        <v>121</v>
      </c>
      <c r="D550" s="892"/>
      <c r="E550" s="892"/>
      <c r="G550" s="882">
        <v>12491.708500000001</v>
      </c>
      <c r="H550" s="881">
        <v>4.9716999829999997</v>
      </c>
    </row>
    <row r="551" spans="1:56" s="525" customFormat="1">
      <c r="C551" s="893" t="s">
        <v>352</v>
      </c>
      <c r="D551" s="892"/>
      <c r="E551" s="892"/>
      <c r="G551" s="882">
        <v>12311.557699999999</v>
      </c>
      <c r="H551" s="881">
        <v>4.8999999646000001</v>
      </c>
    </row>
    <row r="552" spans="1:56" s="525" customFormat="1">
      <c r="C552" s="893" t="s">
        <v>148</v>
      </c>
      <c r="D552" s="892"/>
      <c r="E552" s="892"/>
      <c r="G552" s="882">
        <v>12311.557699999999</v>
      </c>
      <c r="H552" s="881">
        <v>4.8999999599999997</v>
      </c>
    </row>
    <row r="553" spans="1:56" s="525" customFormat="1">
      <c r="C553" s="893" t="s">
        <v>3547</v>
      </c>
      <c r="D553" s="892"/>
      <c r="E553" s="892"/>
      <c r="G553" s="882">
        <v>10397.739100000001</v>
      </c>
      <c r="H553" s="881">
        <v>4.1383001618000002</v>
      </c>
    </row>
    <row r="554" spans="1:56" s="525" customFormat="1"/>
    <row r="555" spans="1:56" s="860" customFormat="1">
      <c r="A555" s="862" t="s">
        <v>2861</v>
      </c>
      <c r="B555" s="862" t="s">
        <v>2036</v>
      </c>
      <c r="C555" s="864" t="s">
        <v>126</v>
      </c>
      <c r="D555" s="864" t="s">
        <v>1583</v>
      </c>
      <c r="E555" s="864" t="s">
        <v>4</v>
      </c>
      <c r="F555" s="864" t="s">
        <v>2860</v>
      </c>
      <c r="G555" s="864" t="s">
        <v>2859</v>
      </c>
      <c r="H555" s="864" t="s">
        <v>2858</v>
      </c>
      <c r="I555" s="864" t="s">
        <v>751</v>
      </c>
      <c r="J555" s="862" t="s">
        <v>274</v>
      </c>
      <c r="K555" s="862" t="s">
        <v>273</v>
      </c>
      <c r="L555" s="862" t="s">
        <v>116</v>
      </c>
      <c r="M555" s="862" t="s">
        <v>110</v>
      </c>
      <c r="N555" s="862" t="s">
        <v>276</v>
      </c>
      <c r="O555" s="864" t="s">
        <v>1311</v>
      </c>
      <c r="P555" s="862" t="s">
        <v>275</v>
      </c>
      <c r="Q555" s="862" t="s">
        <v>111</v>
      </c>
      <c r="R555" s="862" t="s">
        <v>2857</v>
      </c>
      <c r="S555" s="862" t="s">
        <v>747</v>
      </c>
      <c r="T555" s="864" t="s">
        <v>12</v>
      </c>
      <c r="U555" s="863" t="s">
        <v>948</v>
      </c>
      <c r="V555" s="862" t="s">
        <v>129</v>
      </c>
      <c r="W555" s="862" t="s">
        <v>220</v>
      </c>
      <c r="X555" s="862" t="s">
        <v>749</v>
      </c>
      <c r="Y555" s="862" t="s">
        <v>750</v>
      </c>
      <c r="Z555" s="862" t="s">
        <v>748</v>
      </c>
      <c r="BB555" s="861"/>
      <c r="BD555" s="861"/>
    </row>
    <row r="556" spans="1:56" s="525" customFormat="1">
      <c r="A556" s="467" t="s">
        <v>2078</v>
      </c>
      <c r="B556" s="856">
        <v>77</v>
      </c>
      <c r="C556" s="1471" t="s">
        <v>2730</v>
      </c>
      <c r="D556" s="858" t="s">
        <v>2729</v>
      </c>
      <c r="E556" s="858" t="s">
        <v>2728</v>
      </c>
      <c r="F556" s="857">
        <v>12.83</v>
      </c>
      <c r="G556" s="855">
        <v>12.7</v>
      </c>
      <c r="H556" s="855">
        <f>L556*R556</f>
        <v>88.921999999999997</v>
      </c>
      <c r="I556" s="855">
        <f>F556/H556</f>
        <v>0.14428375430152268</v>
      </c>
      <c r="J556" s="856" t="s">
        <v>3105</v>
      </c>
      <c r="K556" s="467" t="s">
        <v>2174</v>
      </c>
      <c r="L556" s="467">
        <v>17.3</v>
      </c>
      <c r="M556" s="856">
        <v>15.63</v>
      </c>
      <c r="N556" s="468">
        <f>M556/L556</f>
        <v>0.90346820809248551</v>
      </c>
      <c r="O556" s="855">
        <v>15.88</v>
      </c>
      <c r="P556" s="468">
        <f>O556/L556</f>
        <v>0.91791907514450866</v>
      </c>
      <c r="Q556" s="467">
        <v>5</v>
      </c>
      <c r="R556" s="467">
        <v>5.14</v>
      </c>
      <c r="S556" s="467" t="s">
        <v>2727</v>
      </c>
      <c r="T556" s="854">
        <v>42898</v>
      </c>
      <c r="U556" s="467">
        <v>11.44</v>
      </c>
      <c r="V556" s="468">
        <f>((U556*(1+X556/10)+Y556/10)/O556)</f>
        <v>0.72040302267002509</v>
      </c>
      <c r="W556" s="467" t="s">
        <v>223</v>
      </c>
      <c r="X556" s="467">
        <v>0</v>
      </c>
      <c r="Y556" s="467">
        <v>0</v>
      </c>
      <c r="Z556" s="853" t="s">
        <v>2259</v>
      </c>
      <c r="BB556" s="852"/>
      <c r="BD556" s="851"/>
    </row>
    <row r="557" spans="1:56" s="525" customFormat="1">
      <c r="C557" s="890" t="s">
        <v>112</v>
      </c>
      <c r="D557" s="890" t="s">
        <v>113</v>
      </c>
      <c r="E557" s="890" t="s">
        <v>943</v>
      </c>
      <c r="F557" s="891" t="s">
        <v>411</v>
      </c>
      <c r="G557" s="891" t="s">
        <v>942</v>
      </c>
      <c r="H557" s="890" t="s">
        <v>231</v>
      </c>
    </row>
    <row r="558" spans="1:56" s="525" customFormat="1">
      <c r="C558" s="734" t="s">
        <v>144</v>
      </c>
      <c r="D558" s="732">
        <v>17.82</v>
      </c>
      <c r="E558" s="730">
        <v>2.6</v>
      </c>
      <c r="F558" s="467"/>
      <c r="G558" s="877">
        <v>1637.2795000000001</v>
      </c>
      <c r="H558" s="730">
        <v>2.5999998459999998</v>
      </c>
    </row>
    <row r="559" spans="1:56" s="525" customFormat="1">
      <c r="C559" s="734" t="s">
        <v>145</v>
      </c>
      <c r="D559" s="732">
        <v>16</v>
      </c>
      <c r="E559" s="730">
        <v>2.77</v>
      </c>
      <c r="F559" s="467"/>
      <c r="G559" s="877">
        <v>1744.3324</v>
      </c>
      <c r="H559" s="730">
        <v>2.7699998512000001</v>
      </c>
    </row>
    <row r="560" spans="1:56" s="525" customFormat="1">
      <c r="C560" s="734" t="s">
        <v>1052</v>
      </c>
      <c r="D560" s="732">
        <v>15.92</v>
      </c>
      <c r="E560" s="730">
        <v>2.6</v>
      </c>
      <c r="F560" s="467"/>
      <c r="G560" s="877">
        <v>1637.2795000000001</v>
      </c>
      <c r="H560" s="730">
        <v>2.5999998459999998</v>
      </c>
    </row>
    <row r="561" spans="1:56" s="525" customFormat="1">
      <c r="C561" s="1531" t="s">
        <v>278</v>
      </c>
      <c r="D561" s="732">
        <v>16.88</v>
      </c>
      <c r="E561" s="730">
        <v>2.77</v>
      </c>
      <c r="F561" s="467"/>
      <c r="G561" s="1589">
        <v>1744.3324</v>
      </c>
      <c r="H561" s="1590">
        <v>2.7699998512000001</v>
      </c>
    </row>
    <row r="562" spans="1:56" s="525" customFormat="1">
      <c r="C562" s="1531"/>
      <c r="D562" s="732">
        <v>15.88</v>
      </c>
      <c r="E562" s="730">
        <v>2.77</v>
      </c>
      <c r="F562" s="467"/>
      <c r="G562" s="1589"/>
      <c r="H562" s="1590"/>
    </row>
    <row r="563" spans="1:56" s="525" customFormat="1">
      <c r="C563" s="734" t="s">
        <v>332</v>
      </c>
      <c r="D563" s="732">
        <v>15.88</v>
      </c>
      <c r="E563" s="730">
        <v>2.6</v>
      </c>
      <c r="F563" s="467"/>
      <c r="G563" s="877">
        <v>1236.7762</v>
      </c>
      <c r="H563" s="730">
        <v>1.9640006055999999</v>
      </c>
    </row>
    <row r="564" spans="1:56" s="525" customFormat="1">
      <c r="C564" s="734" t="s">
        <v>115</v>
      </c>
      <c r="D564" s="732">
        <v>15.63</v>
      </c>
      <c r="E564" s="730">
        <v>2.6</v>
      </c>
      <c r="F564" s="467"/>
      <c r="G564" s="467"/>
      <c r="H564" s="467"/>
    </row>
    <row r="565" spans="1:56" s="525" customFormat="1">
      <c r="C565" s="734" t="s">
        <v>127</v>
      </c>
      <c r="D565" s="732">
        <v>15.72</v>
      </c>
      <c r="E565" s="730">
        <v>2.7</v>
      </c>
      <c r="F565" s="467"/>
      <c r="G565" s="467"/>
      <c r="H565" s="467"/>
    </row>
    <row r="566" spans="1:56" s="525" customFormat="1"/>
    <row r="567" spans="1:56" s="860" customFormat="1">
      <c r="A567" s="860" t="s">
        <v>2861</v>
      </c>
      <c r="B567" s="862" t="s">
        <v>2036</v>
      </c>
      <c r="C567" s="864" t="s">
        <v>126</v>
      </c>
      <c r="D567" s="864" t="s">
        <v>1583</v>
      </c>
      <c r="E567" s="864" t="s">
        <v>4</v>
      </c>
      <c r="F567" s="864" t="s">
        <v>2860</v>
      </c>
      <c r="G567" s="864" t="s">
        <v>2859</v>
      </c>
      <c r="H567" s="864" t="s">
        <v>2858</v>
      </c>
      <c r="I567" s="864" t="s">
        <v>751</v>
      </c>
      <c r="J567" s="862" t="s">
        <v>274</v>
      </c>
      <c r="K567" s="862" t="s">
        <v>273</v>
      </c>
      <c r="L567" s="862" t="s">
        <v>116</v>
      </c>
      <c r="M567" s="862" t="s">
        <v>110</v>
      </c>
      <c r="N567" s="862" t="s">
        <v>276</v>
      </c>
      <c r="O567" s="864" t="s">
        <v>1311</v>
      </c>
      <c r="P567" s="862" t="s">
        <v>275</v>
      </c>
      <c r="Q567" s="862" t="s">
        <v>111</v>
      </c>
      <c r="R567" s="862" t="s">
        <v>2857</v>
      </c>
      <c r="S567" s="862" t="s">
        <v>747</v>
      </c>
      <c r="T567" s="864" t="s">
        <v>12</v>
      </c>
      <c r="U567" s="863" t="s">
        <v>948</v>
      </c>
      <c r="V567" s="862" t="s">
        <v>129</v>
      </c>
      <c r="W567" s="862" t="s">
        <v>220</v>
      </c>
      <c r="X567" s="862" t="s">
        <v>749</v>
      </c>
      <c r="Y567" s="862" t="s">
        <v>750</v>
      </c>
      <c r="Z567" s="876" t="s">
        <v>748</v>
      </c>
      <c r="AA567" s="875"/>
      <c r="BB567" s="861"/>
      <c r="BD567" s="861"/>
    </row>
    <row r="568" spans="1:56" s="525" customFormat="1">
      <c r="A568" s="525" t="s">
        <v>2078</v>
      </c>
      <c r="B568" s="856">
        <v>78</v>
      </c>
      <c r="C568" s="1468" t="s">
        <v>2726</v>
      </c>
      <c r="D568" s="889" t="s">
        <v>2725</v>
      </c>
      <c r="E568" s="889" t="s">
        <v>2724</v>
      </c>
      <c r="F568" s="888">
        <v>16</v>
      </c>
      <c r="G568" s="887">
        <v>16</v>
      </c>
      <c r="H568" s="872">
        <f>L568*R568</f>
        <v>111.13099541909999</v>
      </c>
      <c r="I568" s="886">
        <f>F568/H568</f>
        <v>0.14397423454780009</v>
      </c>
      <c r="J568" s="885" t="s">
        <v>3104</v>
      </c>
      <c r="K568" s="885" t="s">
        <v>151</v>
      </c>
      <c r="L568" s="885">
        <v>5.13</v>
      </c>
      <c r="M568" s="885">
        <v>6.01</v>
      </c>
      <c r="N568" s="869">
        <f>M568/L568</f>
        <v>1.1715399610136452</v>
      </c>
      <c r="O568" s="870">
        <v>6.01</v>
      </c>
      <c r="P568" s="869">
        <f>O568/L568</f>
        <v>1.1715399610136452</v>
      </c>
      <c r="Q568" s="525">
        <v>1</v>
      </c>
      <c r="R568" s="525">
        <v>21.662962069999999</v>
      </c>
      <c r="S568" s="525" t="s">
        <v>2723</v>
      </c>
      <c r="T568" s="852">
        <v>42893</v>
      </c>
      <c r="U568" s="525">
        <v>4.3899999999999997</v>
      </c>
      <c r="V568" s="869">
        <f>((U568*(1+X568/10)+Y568/10)/O568)</f>
        <v>0.7470881863560731</v>
      </c>
      <c r="W568" s="525" t="s">
        <v>2123</v>
      </c>
      <c r="X568" s="525">
        <v>0</v>
      </c>
      <c r="Y568" s="525">
        <v>1</v>
      </c>
      <c r="Z568" s="851" t="s">
        <v>2233</v>
      </c>
      <c r="BB568" s="852"/>
      <c r="BD568" s="851"/>
    </row>
    <row r="569" spans="1:56" s="525" customFormat="1">
      <c r="C569" s="867" t="s">
        <v>112</v>
      </c>
      <c r="D569" s="867" t="s">
        <v>113</v>
      </c>
      <c r="E569" s="867" t="s">
        <v>943</v>
      </c>
      <c r="F569" s="868" t="s">
        <v>411</v>
      </c>
      <c r="G569" s="868" t="s">
        <v>942</v>
      </c>
      <c r="H569" s="867" t="s">
        <v>231</v>
      </c>
    </row>
    <row r="570" spans="1:56" s="525" customFormat="1">
      <c r="C570" s="467" t="s">
        <v>3103</v>
      </c>
      <c r="D570" s="467"/>
      <c r="E570" s="467"/>
      <c r="F570" s="467"/>
      <c r="G570" s="866">
        <v>26622.2961</v>
      </c>
      <c r="H570" s="865">
        <v>15.999999949999999</v>
      </c>
    </row>
    <row r="571" spans="1:56" s="525" customFormat="1"/>
    <row r="572" spans="1:56" s="860" customFormat="1">
      <c r="A572" s="860" t="s">
        <v>2861</v>
      </c>
      <c r="B572" s="862" t="s">
        <v>2036</v>
      </c>
      <c r="C572" s="864" t="s">
        <v>126</v>
      </c>
      <c r="D572" s="864" t="s">
        <v>1583</v>
      </c>
      <c r="E572" s="864" t="s">
        <v>4</v>
      </c>
      <c r="F572" s="864" t="s">
        <v>2860</v>
      </c>
      <c r="G572" s="864" t="s">
        <v>2859</v>
      </c>
      <c r="H572" s="864" t="s">
        <v>2858</v>
      </c>
      <c r="I572" s="864" t="s">
        <v>751</v>
      </c>
      <c r="J572" s="862" t="s">
        <v>274</v>
      </c>
      <c r="K572" s="862" t="s">
        <v>273</v>
      </c>
      <c r="L572" s="862" t="s">
        <v>116</v>
      </c>
      <c r="M572" s="862" t="s">
        <v>110</v>
      </c>
      <c r="N572" s="862" t="s">
        <v>276</v>
      </c>
      <c r="O572" s="864" t="s">
        <v>1311</v>
      </c>
      <c r="P572" s="862" t="s">
        <v>275</v>
      </c>
      <c r="Q572" s="862" t="s">
        <v>111</v>
      </c>
      <c r="R572" s="862" t="s">
        <v>2857</v>
      </c>
      <c r="S572" s="862" t="s">
        <v>747</v>
      </c>
      <c r="T572" s="864" t="s">
        <v>12</v>
      </c>
      <c r="U572" s="863" t="s">
        <v>948</v>
      </c>
      <c r="V572" s="862" t="s">
        <v>129</v>
      </c>
      <c r="W572" s="862" t="s">
        <v>220</v>
      </c>
      <c r="X572" s="862" t="s">
        <v>749</v>
      </c>
      <c r="Y572" s="862" t="s">
        <v>750</v>
      </c>
      <c r="Z572" s="876" t="s">
        <v>748</v>
      </c>
      <c r="AA572" s="875"/>
      <c r="BB572" s="861"/>
      <c r="BD572" s="861"/>
    </row>
    <row r="573" spans="1:56" s="525" customFormat="1">
      <c r="A573" s="525" t="s">
        <v>2078</v>
      </c>
      <c r="B573" s="856">
        <v>79</v>
      </c>
      <c r="C573" s="1437" t="s">
        <v>2722</v>
      </c>
      <c r="D573" s="873" t="s">
        <v>2721</v>
      </c>
      <c r="E573" s="873" t="s">
        <v>2720</v>
      </c>
      <c r="F573" s="872">
        <v>30</v>
      </c>
      <c r="G573" s="870">
        <v>30</v>
      </c>
      <c r="H573" s="871">
        <f>L573*R573</f>
        <v>173.84677124999999</v>
      </c>
      <c r="I573" s="855">
        <f>F573/H573</f>
        <v>0.1725657588248134</v>
      </c>
      <c r="J573" s="856" t="s">
        <v>3102</v>
      </c>
      <c r="K573" s="884" t="s">
        <v>2719</v>
      </c>
      <c r="L573" s="467">
        <v>14.5</v>
      </c>
      <c r="M573" s="856">
        <v>13.35</v>
      </c>
      <c r="N573" s="869">
        <f>M573/L573</f>
        <v>0.92068965517241375</v>
      </c>
      <c r="O573" s="870">
        <v>13.63</v>
      </c>
      <c r="P573" s="869">
        <f>O573/L573</f>
        <v>0.94000000000000006</v>
      </c>
      <c r="Q573" s="525">
        <v>5</v>
      </c>
      <c r="R573" s="525">
        <v>11.989432499999999</v>
      </c>
      <c r="S573" s="525" t="s">
        <v>2718</v>
      </c>
      <c r="T573" s="852">
        <v>42893</v>
      </c>
      <c r="U573" s="525">
        <v>10.24</v>
      </c>
      <c r="V573" s="869">
        <f>((U573*(1+X573/10)+Y573/10)/O573)</f>
        <v>0.75128393250183412</v>
      </c>
      <c r="W573" s="525" t="s">
        <v>223</v>
      </c>
      <c r="X573" s="525">
        <v>0</v>
      </c>
      <c r="Y573" s="525">
        <v>0</v>
      </c>
      <c r="Z573" s="851" t="s">
        <v>2144</v>
      </c>
      <c r="BB573" s="852"/>
      <c r="BD573" s="851"/>
    </row>
    <row r="574" spans="1:56" s="525" customFormat="1">
      <c r="C574" s="867" t="s">
        <v>112</v>
      </c>
      <c r="D574" s="867" t="s">
        <v>113</v>
      </c>
      <c r="E574" s="867" t="s">
        <v>943</v>
      </c>
      <c r="F574" s="868" t="s">
        <v>411</v>
      </c>
      <c r="G574" s="868" t="s">
        <v>942</v>
      </c>
      <c r="H574" s="867" t="s">
        <v>231</v>
      </c>
    </row>
    <row r="575" spans="1:56" s="525" customFormat="1">
      <c r="C575" s="731" t="s">
        <v>285</v>
      </c>
      <c r="D575" s="468">
        <v>14.05</v>
      </c>
      <c r="E575" s="468">
        <v>5.9993499999999997</v>
      </c>
      <c r="F575" s="467"/>
      <c r="G575" s="877">
        <v>4401.5774000000001</v>
      </c>
      <c r="H575" s="730">
        <v>5.9993499962000003</v>
      </c>
    </row>
    <row r="576" spans="1:56" s="525" customFormat="1">
      <c r="C576" s="731" t="s">
        <v>235</v>
      </c>
      <c r="D576" s="468">
        <v>14.05</v>
      </c>
      <c r="E576" s="468">
        <v>7.1514499999999996</v>
      </c>
      <c r="F576" s="467"/>
      <c r="G576" s="877">
        <v>5246.8450999999995</v>
      </c>
      <c r="H576" s="730">
        <v>7.1514498712999996</v>
      </c>
    </row>
    <row r="577" spans="1:56" s="525" customFormat="1">
      <c r="C577" s="731" t="s">
        <v>1044</v>
      </c>
      <c r="D577" s="468">
        <v>14.05</v>
      </c>
      <c r="E577" s="468">
        <v>7.1992000000000003</v>
      </c>
      <c r="F577" s="467"/>
      <c r="G577" s="877">
        <v>5281.8927999999996</v>
      </c>
      <c r="H577" s="730">
        <v>7.1992198863999999</v>
      </c>
    </row>
    <row r="578" spans="1:56" s="525" customFormat="1">
      <c r="C578" s="731" t="s">
        <v>136</v>
      </c>
      <c r="D578" s="468">
        <v>13.8</v>
      </c>
      <c r="E578" s="468">
        <v>3.0001199999999999</v>
      </c>
      <c r="F578" s="467"/>
      <c r="G578" s="877">
        <v>2201.1151</v>
      </c>
      <c r="H578" s="730">
        <v>3.0001198812999998</v>
      </c>
    </row>
    <row r="579" spans="1:56" s="525" customFormat="1">
      <c r="C579" s="731"/>
      <c r="D579" s="468">
        <v>13.5</v>
      </c>
      <c r="E579" s="468">
        <v>3.2021999999999999</v>
      </c>
      <c r="F579" s="467"/>
      <c r="G579" s="877"/>
      <c r="H579" s="730"/>
    </row>
    <row r="580" spans="1:56" s="525" customFormat="1">
      <c r="C580" s="731" t="s">
        <v>278</v>
      </c>
      <c r="D580" s="468">
        <v>14.2</v>
      </c>
      <c r="E580" s="468">
        <v>3.0004599999999999</v>
      </c>
      <c r="F580" s="467"/>
      <c r="G580" s="877">
        <v>4878.8410000000003</v>
      </c>
      <c r="H580" s="730">
        <v>6.6498602829999998</v>
      </c>
    </row>
    <row r="581" spans="1:56" s="525" customFormat="1">
      <c r="C581" s="731"/>
      <c r="D581" s="468">
        <v>13.98</v>
      </c>
      <c r="E581" s="468">
        <v>6.000216</v>
      </c>
      <c r="F581" s="467"/>
      <c r="G581" s="877"/>
      <c r="H581" s="730"/>
    </row>
    <row r="582" spans="1:56" s="525" customFormat="1">
      <c r="C582" s="731"/>
      <c r="D582" s="468">
        <v>13.63</v>
      </c>
      <c r="E582" s="468">
        <v>15.0284</v>
      </c>
      <c r="F582" s="467"/>
      <c r="G582" s="877"/>
      <c r="H582" s="730"/>
    </row>
    <row r="583" spans="1:56" s="525" customFormat="1">
      <c r="C583" s="467" t="s">
        <v>1458</v>
      </c>
      <c r="D583" s="468">
        <v>13.4</v>
      </c>
      <c r="E583" s="468">
        <v>3.0026000000000002</v>
      </c>
      <c r="F583" s="467"/>
      <c r="G583" s="877"/>
      <c r="H583" s="730"/>
    </row>
    <row r="584" spans="1:56" s="525" customFormat="1">
      <c r="C584" s="467" t="s">
        <v>1861</v>
      </c>
      <c r="D584" s="468">
        <v>13.48</v>
      </c>
      <c r="E584" s="468">
        <v>3.000648</v>
      </c>
      <c r="F584" s="467"/>
      <c r="G584" s="877"/>
      <c r="H584" s="730"/>
    </row>
    <row r="585" spans="1:56" s="525" customFormat="1">
      <c r="C585" s="467"/>
      <c r="D585" s="468">
        <v>13.37</v>
      </c>
      <c r="E585" s="468">
        <v>3.2007780000000001</v>
      </c>
      <c r="F585" s="467"/>
      <c r="G585" s="877"/>
      <c r="H585" s="730"/>
    </row>
    <row r="586" spans="1:56" s="525" customFormat="1">
      <c r="C586" s="467" t="s">
        <v>120</v>
      </c>
      <c r="D586" s="468">
        <v>13.35</v>
      </c>
      <c r="E586" s="468">
        <v>2.9369999999999998</v>
      </c>
      <c r="F586" s="467"/>
      <c r="G586" s="877"/>
      <c r="H586" s="730"/>
    </row>
    <row r="587" spans="1:56" s="525" customFormat="1">
      <c r="C587" s="467" t="s">
        <v>552</v>
      </c>
      <c r="D587" s="468">
        <v>14</v>
      </c>
      <c r="E587" s="468">
        <v>2.9999999399999999</v>
      </c>
      <c r="F587" s="467"/>
      <c r="G587" s="877"/>
      <c r="H587" s="730"/>
    </row>
    <row r="588" spans="1:56" s="525" customFormat="1"/>
    <row r="589" spans="1:56" s="860" customFormat="1">
      <c r="A589" s="860" t="s">
        <v>2861</v>
      </c>
      <c r="B589" s="862" t="s">
        <v>2036</v>
      </c>
      <c r="C589" s="864" t="s">
        <v>126</v>
      </c>
      <c r="D589" s="864" t="s">
        <v>1583</v>
      </c>
      <c r="E589" s="864" t="s">
        <v>4</v>
      </c>
      <c r="F589" s="864" t="s">
        <v>2860</v>
      </c>
      <c r="G589" s="864" t="s">
        <v>2859</v>
      </c>
      <c r="H589" s="864" t="s">
        <v>2858</v>
      </c>
      <c r="I589" s="864" t="s">
        <v>751</v>
      </c>
      <c r="J589" s="862" t="s">
        <v>274</v>
      </c>
      <c r="K589" s="862" t="s">
        <v>273</v>
      </c>
      <c r="L589" s="862" t="s">
        <v>116</v>
      </c>
      <c r="M589" s="862" t="s">
        <v>110</v>
      </c>
      <c r="N589" s="862" t="s">
        <v>276</v>
      </c>
      <c r="O589" s="864" t="s">
        <v>1311</v>
      </c>
      <c r="P589" s="862" t="s">
        <v>275</v>
      </c>
      <c r="Q589" s="862" t="s">
        <v>111</v>
      </c>
      <c r="R589" s="862" t="s">
        <v>2857</v>
      </c>
      <c r="S589" s="862" t="s">
        <v>747</v>
      </c>
      <c r="T589" s="864" t="s">
        <v>12</v>
      </c>
      <c r="U589" s="863" t="s">
        <v>948</v>
      </c>
      <c r="V589" s="862" t="s">
        <v>129</v>
      </c>
      <c r="W589" s="862" t="s">
        <v>220</v>
      </c>
      <c r="X589" s="862" t="s">
        <v>749</v>
      </c>
      <c r="Y589" s="862" t="s">
        <v>750</v>
      </c>
      <c r="Z589" s="876" t="s">
        <v>748</v>
      </c>
      <c r="AA589" s="875"/>
      <c r="BB589" s="861"/>
      <c r="BD589" s="861"/>
    </row>
    <row r="590" spans="1:56" s="525" customFormat="1">
      <c r="A590" s="525" t="s">
        <v>2078</v>
      </c>
      <c r="B590" s="856">
        <v>80</v>
      </c>
      <c r="C590" s="1437" t="s">
        <v>2717</v>
      </c>
      <c r="D590" s="873" t="s">
        <v>2716</v>
      </c>
      <c r="E590" s="873" t="s">
        <v>2715</v>
      </c>
      <c r="F590" s="872">
        <v>7.8</v>
      </c>
      <c r="G590" s="870">
        <v>7.62</v>
      </c>
      <c r="H590" s="871">
        <f>L590*R590</f>
        <v>45.804384000000006</v>
      </c>
      <c r="I590" s="855">
        <f>F590/H590</f>
        <v>0.17028937666752594</v>
      </c>
      <c r="J590" s="856" t="s">
        <v>3101</v>
      </c>
      <c r="K590" s="467" t="s">
        <v>2089</v>
      </c>
      <c r="L590" s="467">
        <v>7.12</v>
      </c>
      <c r="M590" s="856">
        <v>6.99</v>
      </c>
      <c r="N590" s="869">
        <f>M590/L590</f>
        <v>0.9817415730337079</v>
      </c>
      <c r="O590" s="870">
        <v>6.99</v>
      </c>
      <c r="P590" s="869">
        <f>O590/L590</f>
        <v>0.9817415730337079</v>
      </c>
      <c r="Q590" s="525">
        <v>5</v>
      </c>
      <c r="R590" s="525">
        <v>6.4332000000000003</v>
      </c>
      <c r="S590" s="525" t="s">
        <v>2714</v>
      </c>
      <c r="T590" s="852">
        <v>42894</v>
      </c>
      <c r="U590" s="525">
        <v>6.82</v>
      </c>
      <c r="V590" s="869">
        <f>((U590*(1+X590/10)+Y590/10)/O590)</f>
        <v>0.97567954220314734</v>
      </c>
      <c r="W590" s="525" t="s">
        <v>223</v>
      </c>
      <c r="X590" s="525">
        <v>0</v>
      </c>
      <c r="Y590" s="525">
        <v>0</v>
      </c>
      <c r="Z590" s="851" t="s">
        <v>2713</v>
      </c>
      <c r="BB590" s="852"/>
      <c r="BD590" s="851"/>
    </row>
    <row r="591" spans="1:56" s="525" customFormat="1">
      <c r="C591" s="867" t="s">
        <v>112</v>
      </c>
      <c r="D591" s="867" t="s">
        <v>113</v>
      </c>
      <c r="E591" s="867" t="s">
        <v>943</v>
      </c>
      <c r="F591" s="868" t="s">
        <v>411</v>
      </c>
      <c r="G591" s="868" t="s">
        <v>942</v>
      </c>
      <c r="H591" s="867" t="s">
        <v>231</v>
      </c>
    </row>
    <row r="592" spans="1:56" s="525" customFormat="1" ht="16" customHeight="1">
      <c r="C592" s="731" t="s">
        <v>3546</v>
      </c>
      <c r="D592" s="732">
        <v>6.99</v>
      </c>
      <c r="E592" s="730">
        <v>2.5003229999999999</v>
      </c>
      <c r="F592" s="732"/>
      <c r="G592" s="877">
        <v>3577</v>
      </c>
      <c r="H592" s="730">
        <v>2.5003229999999999</v>
      </c>
      <c r="I592" s="881"/>
    </row>
    <row r="593" spans="1:56" s="525" customFormat="1" ht="16" customHeight="1">
      <c r="C593" s="1531" t="s">
        <v>3545</v>
      </c>
      <c r="D593" s="732">
        <v>6.99</v>
      </c>
      <c r="E593" s="730">
        <v>0.80035500000000004</v>
      </c>
      <c r="F593" s="732"/>
      <c r="G593" s="1589">
        <v>1146.3476000000001</v>
      </c>
      <c r="H593" s="1590">
        <v>0.80129697239999997</v>
      </c>
      <c r="I593" s="881"/>
    </row>
    <row r="594" spans="1:56" s="525" customFormat="1">
      <c r="C594" s="1531"/>
      <c r="D594" s="732">
        <v>7</v>
      </c>
      <c r="E594" s="730">
        <v>0.80010000000000003</v>
      </c>
      <c r="F594" s="732"/>
      <c r="G594" s="1589"/>
      <c r="H594" s="1590"/>
    </row>
    <row r="595" spans="1:56" s="525" customFormat="1">
      <c r="C595" s="1531"/>
      <c r="D595" s="732">
        <v>7.11</v>
      </c>
      <c r="E595" s="730">
        <v>0.80129700000000004</v>
      </c>
      <c r="F595" s="732"/>
      <c r="G595" s="467"/>
      <c r="H595" s="467"/>
    </row>
    <row r="596" spans="1:56" s="525" customFormat="1">
      <c r="C596" s="1531" t="s">
        <v>3544</v>
      </c>
      <c r="D596" s="732">
        <v>6.99</v>
      </c>
      <c r="E596" s="730">
        <v>0.94994100000000004</v>
      </c>
      <c r="F596" s="732"/>
      <c r="G596" s="1589">
        <v>1360.9699000000001</v>
      </c>
      <c r="H596" s="1590">
        <v>0.95131796010000003</v>
      </c>
      <c r="I596" s="881"/>
    </row>
    <row r="597" spans="1:56" s="525" customFormat="1">
      <c r="C597" s="1531"/>
      <c r="D597" s="732">
        <v>7</v>
      </c>
      <c r="E597" s="730">
        <v>0.94989999999999997</v>
      </c>
      <c r="F597" s="732"/>
      <c r="G597" s="1589"/>
      <c r="H597" s="1590"/>
    </row>
    <row r="598" spans="1:56" s="525" customFormat="1">
      <c r="C598" s="1531"/>
      <c r="D598" s="732">
        <v>7.11</v>
      </c>
      <c r="E598" s="730">
        <v>0.951318</v>
      </c>
      <c r="F598" s="732"/>
      <c r="G598" s="1589"/>
      <c r="H598" s="1590"/>
    </row>
    <row r="599" spans="1:56" s="525" customFormat="1">
      <c r="C599" s="734" t="s">
        <v>3543</v>
      </c>
      <c r="D599" s="732">
        <v>7.1</v>
      </c>
      <c r="E599" s="730">
        <v>2.0666000000000002</v>
      </c>
      <c r="F599" s="732"/>
      <c r="G599" s="877">
        <v>2956.5092</v>
      </c>
      <c r="H599" s="730">
        <v>2.0665999307999998</v>
      </c>
      <c r="I599" s="881"/>
    </row>
    <row r="600" spans="1:56" s="525" customFormat="1">
      <c r="C600" s="1531" t="s">
        <v>121</v>
      </c>
      <c r="D600" s="732">
        <v>6.99</v>
      </c>
      <c r="E600" s="730">
        <v>1.3001400000000001</v>
      </c>
      <c r="F600" s="732"/>
      <c r="G600" s="1589">
        <v>1860</v>
      </c>
      <c r="H600" s="1590">
        <v>1.3001400000000001</v>
      </c>
      <c r="I600" s="881"/>
    </row>
    <row r="601" spans="1:56" s="525" customFormat="1">
      <c r="C601" s="1531"/>
      <c r="D601" s="732">
        <v>7</v>
      </c>
      <c r="E601" s="730">
        <v>1.2999000000000001</v>
      </c>
      <c r="F601" s="732"/>
      <c r="G601" s="1589"/>
      <c r="H601" s="1590"/>
    </row>
    <row r="602" spans="1:56" s="525" customFormat="1">
      <c r="C602" s="1531"/>
      <c r="D602" s="732">
        <v>7.06</v>
      </c>
      <c r="E602" s="730">
        <v>1.2997460000000001</v>
      </c>
      <c r="F602" s="732"/>
      <c r="G602" s="1589"/>
      <c r="H602" s="1590"/>
      <c r="I602" s="883"/>
    </row>
    <row r="603" spans="1:56" s="525" customFormat="1"/>
    <row r="604" spans="1:56" s="860" customFormat="1">
      <c r="A604" s="860" t="s">
        <v>2861</v>
      </c>
      <c r="B604" s="862" t="s">
        <v>2036</v>
      </c>
      <c r="C604" s="864" t="s">
        <v>126</v>
      </c>
      <c r="D604" s="864" t="s">
        <v>1583</v>
      </c>
      <c r="E604" s="864" t="s">
        <v>4</v>
      </c>
      <c r="F604" s="864" t="s">
        <v>2860</v>
      </c>
      <c r="G604" s="864" t="s">
        <v>2859</v>
      </c>
      <c r="H604" s="864" t="s">
        <v>2858</v>
      </c>
      <c r="I604" s="864" t="s">
        <v>751</v>
      </c>
      <c r="J604" s="862" t="s">
        <v>274</v>
      </c>
      <c r="K604" s="862" t="s">
        <v>273</v>
      </c>
      <c r="L604" s="862" t="s">
        <v>116</v>
      </c>
      <c r="M604" s="862" t="s">
        <v>110</v>
      </c>
      <c r="N604" s="862" t="s">
        <v>276</v>
      </c>
      <c r="O604" s="864" t="s">
        <v>1311</v>
      </c>
      <c r="P604" s="862" t="s">
        <v>275</v>
      </c>
      <c r="Q604" s="862" t="s">
        <v>111</v>
      </c>
      <c r="R604" s="862" t="s">
        <v>2857</v>
      </c>
      <c r="S604" s="862" t="s">
        <v>747</v>
      </c>
      <c r="T604" s="864" t="s">
        <v>12</v>
      </c>
      <c r="U604" s="863" t="s">
        <v>948</v>
      </c>
      <c r="V604" s="862" t="s">
        <v>129</v>
      </c>
      <c r="W604" s="862" t="s">
        <v>220</v>
      </c>
      <c r="X604" s="862" t="s">
        <v>749</v>
      </c>
      <c r="Y604" s="862" t="s">
        <v>750</v>
      </c>
      <c r="Z604" s="876" t="s">
        <v>748</v>
      </c>
      <c r="AA604" s="875"/>
      <c r="BB604" s="861"/>
      <c r="BD604" s="861"/>
    </row>
    <row r="605" spans="1:56" s="525" customFormat="1">
      <c r="A605" s="525" t="s">
        <v>2078</v>
      </c>
      <c r="B605" s="856">
        <v>81</v>
      </c>
      <c r="C605" s="1437" t="s">
        <v>2712</v>
      </c>
      <c r="D605" s="873" t="s">
        <v>2711</v>
      </c>
      <c r="E605" s="873" t="s">
        <v>2710</v>
      </c>
      <c r="F605" s="872">
        <v>30</v>
      </c>
      <c r="G605" s="870">
        <v>30</v>
      </c>
      <c r="H605" s="871">
        <f>L605*R605</f>
        <v>111.39215999999999</v>
      </c>
      <c r="I605" s="855">
        <f>F605/H605</f>
        <v>0.26931877431948537</v>
      </c>
      <c r="J605" s="856" t="s">
        <v>3100</v>
      </c>
      <c r="K605" s="467" t="s">
        <v>2709</v>
      </c>
      <c r="L605" s="467">
        <v>11.56</v>
      </c>
      <c r="M605" s="856">
        <v>11.18</v>
      </c>
      <c r="N605" s="869">
        <f>M605/L605</f>
        <v>0.96712802768166084</v>
      </c>
      <c r="O605" s="870">
        <v>11.18</v>
      </c>
      <c r="P605" s="869">
        <f>O605/L605</f>
        <v>0.96712802768166084</v>
      </c>
      <c r="Q605" s="525">
        <v>6</v>
      </c>
      <c r="R605" s="525">
        <v>9.6359999999999992</v>
      </c>
      <c r="S605" s="525" t="s">
        <v>2708</v>
      </c>
      <c r="T605" s="852">
        <v>42894</v>
      </c>
      <c r="U605" s="525">
        <v>12.15</v>
      </c>
      <c r="V605" s="869">
        <f>((U605*(1+X605/10)+Y605/10)/O605)</f>
        <v>1.0912343470483006</v>
      </c>
      <c r="W605" s="525" t="s">
        <v>2105</v>
      </c>
      <c r="X605" s="525">
        <v>0</v>
      </c>
      <c r="Y605" s="525">
        <v>0.5</v>
      </c>
      <c r="Z605" s="851" t="s">
        <v>2519</v>
      </c>
      <c r="BB605" s="852"/>
      <c r="BD605" s="851"/>
    </row>
    <row r="606" spans="1:56" s="525" customFormat="1">
      <c r="C606" s="867" t="s">
        <v>112</v>
      </c>
      <c r="D606" s="867" t="s">
        <v>113</v>
      </c>
      <c r="E606" s="867" t="s">
        <v>943</v>
      </c>
      <c r="F606" s="868" t="s">
        <v>411</v>
      </c>
      <c r="G606" s="868" t="s">
        <v>942</v>
      </c>
      <c r="H606" s="867" t="s">
        <v>231</v>
      </c>
    </row>
    <row r="607" spans="1:56" s="525" customFormat="1">
      <c r="C607" s="734" t="s">
        <v>3542</v>
      </c>
      <c r="D607" s="732">
        <v>11.18</v>
      </c>
      <c r="E607" s="730">
        <v>3.000712</v>
      </c>
      <c r="F607" s="877"/>
      <c r="G607" s="877"/>
      <c r="H607" s="467"/>
      <c r="I607" s="881"/>
    </row>
    <row r="608" spans="1:56" s="525" customFormat="1">
      <c r="C608" s="734" t="s">
        <v>403</v>
      </c>
      <c r="D608" s="732">
        <v>11.18</v>
      </c>
      <c r="E608" s="730">
        <v>5.9991880000000002</v>
      </c>
      <c r="F608" s="877"/>
      <c r="G608" s="877">
        <v>5344.7106000000003</v>
      </c>
      <c r="H608" s="730">
        <v>5.9753864508000003</v>
      </c>
      <c r="I608" s="882"/>
      <c r="K608" s="881"/>
    </row>
    <row r="609" spans="1:56" s="525" customFormat="1" ht="16" customHeight="1">
      <c r="C609" s="1591" t="s">
        <v>383</v>
      </c>
      <c r="D609" s="732">
        <v>12</v>
      </c>
      <c r="E609" s="730">
        <v>3</v>
      </c>
      <c r="F609" s="877"/>
      <c r="G609" s="877">
        <v>2683.3631</v>
      </c>
      <c r="H609" s="730">
        <v>2.9999999458</v>
      </c>
      <c r="I609" s="882"/>
      <c r="K609" s="881"/>
    </row>
    <row r="610" spans="1:56" s="525" customFormat="1">
      <c r="C610" s="1592"/>
      <c r="D610" s="732">
        <v>12.5</v>
      </c>
      <c r="E610" s="730">
        <v>3</v>
      </c>
      <c r="F610" s="877"/>
      <c r="G610" s="877"/>
      <c r="H610" s="467"/>
      <c r="I610" s="881"/>
      <c r="J610" s="883"/>
    </row>
    <row r="611" spans="1:56" s="525" customFormat="1">
      <c r="C611" s="1593"/>
      <c r="D611" s="732">
        <v>15</v>
      </c>
      <c r="E611" s="730">
        <v>3</v>
      </c>
      <c r="F611" s="877"/>
      <c r="G611" s="877"/>
      <c r="H611" s="467"/>
      <c r="I611" s="881"/>
    </row>
    <row r="612" spans="1:56" s="525" customFormat="1">
      <c r="C612" s="734" t="s">
        <v>130</v>
      </c>
      <c r="D612" s="732">
        <v>11.18</v>
      </c>
      <c r="E612" s="730">
        <v>6.0003060000000001</v>
      </c>
      <c r="F612" s="877"/>
      <c r="G612" s="877">
        <v>2683.3631</v>
      </c>
      <c r="H612" s="730">
        <v>2.9999999458</v>
      </c>
      <c r="I612" s="882"/>
      <c r="K612" s="881"/>
    </row>
    <row r="613" spans="1:56" s="525" customFormat="1">
      <c r="C613" s="734" t="s">
        <v>278</v>
      </c>
      <c r="D613" s="732">
        <v>12</v>
      </c>
      <c r="E613" s="730">
        <v>6.024</v>
      </c>
      <c r="F613" s="877"/>
      <c r="G613" s="877">
        <v>5388.1931999999997</v>
      </c>
      <c r="H613" s="730">
        <v>6.0239999975999998</v>
      </c>
      <c r="I613" s="882"/>
      <c r="K613" s="881"/>
    </row>
    <row r="614" spans="1:56" s="525" customFormat="1">
      <c r="C614" s="734" t="s">
        <v>1029</v>
      </c>
      <c r="D614" s="732">
        <v>11.18</v>
      </c>
      <c r="E614" s="730">
        <v>6.0003060000000001</v>
      </c>
      <c r="F614" s="877"/>
      <c r="G614" s="877">
        <v>5388.1931999999997</v>
      </c>
      <c r="H614" s="730">
        <v>6.0239999975999998</v>
      </c>
      <c r="I614" s="882"/>
      <c r="K614" s="881"/>
    </row>
    <row r="615" spans="1:56" s="525" customFormat="1">
      <c r="C615" s="1531" t="s">
        <v>3541</v>
      </c>
      <c r="D615" s="1531"/>
      <c r="E615" s="467"/>
      <c r="F615" s="467"/>
      <c r="G615" s="877">
        <v>2683.3631</v>
      </c>
      <c r="H615" s="730">
        <v>2.9999999458</v>
      </c>
      <c r="I615" s="882"/>
      <c r="K615" s="881"/>
    </row>
    <row r="616" spans="1:56" s="525" customFormat="1"/>
    <row r="617" spans="1:56" s="860" customFormat="1">
      <c r="A617" s="860" t="s">
        <v>2861</v>
      </c>
      <c r="B617" s="862" t="s">
        <v>2036</v>
      </c>
      <c r="C617" s="864" t="s">
        <v>126</v>
      </c>
      <c r="D617" s="864" t="s">
        <v>1583</v>
      </c>
      <c r="E617" s="864" t="s">
        <v>4</v>
      </c>
      <c r="F617" s="864" t="s">
        <v>2860</v>
      </c>
      <c r="G617" s="864" t="s">
        <v>2859</v>
      </c>
      <c r="H617" s="864" t="s">
        <v>2858</v>
      </c>
      <c r="I617" s="880" t="s">
        <v>751</v>
      </c>
      <c r="J617" s="862" t="s">
        <v>274</v>
      </c>
      <c r="K617" s="862" t="s">
        <v>273</v>
      </c>
      <c r="L617" s="862" t="s">
        <v>116</v>
      </c>
      <c r="M617" s="862" t="s">
        <v>110</v>
      </c>
      <c r="N617" s="862" t="s">
        <v>276</v>
      </c>
      <c r="O617" s="864" t="s">
        <v>1311</v>
      </c>
      <c r="P617" s="862" t="s">
        <v>275</v>
      </c>
      <c r="Q617" s="862" t="s">
        <v>111</v>
      </c>
      <c r="R617" s="862" t="s">
        <v>2857</v>
      </c>
      <c r="S617" s="862" t="s">
        <v>747</v>
      </c>
      <c r="T617" s="864" t="s">
        <v>12</v>
      </c>
      <c r="U617" s="863" t="s">
        <v>948</v>
      </c>
      <c r="V617" s="862" t="s">
        <v>129</v>
      </c>
      <c r="W617" s="862" t="s">
        <v>220</v>
      </c>
      <c r="X617" s="862" t="s">
        <v>749</v>
      </c>
      <c r="Y617" s="862" t="s">
        <v>750</v>
      </c>
      <c r="Z617" s="862" t="s">
        <v>748</v>
      </c>
      <c r="BB617" s="861"/>
      <c r="BD617" s="861"/>
    </row>
    <row r="618" spans="1:56" s="525" customFormat="1">
      <c r="A618" s="525" t="s">
        <v>2078</v>
      </c>
      <c r="B618" s="856">
        <v>82</v>
      </c>
      <c r="C618" s="1471" t="s">
        <v>2707</v>
      </c>
      <c r="D618" s="858" t="s">
        <v>2706</v>
      </c>
      <c r="E618" s="858" t="s">
        <v>2705</v>
      </c>
      <c r="F618" s="857">
        <v>14.85</v>
      </c>
      <c r="G618" s="855">
        <v>14.04</v>
      </c>
      <c r="H618" s="855">
        <f>L618*R618</f>
        <v>67.5</v>
      </c>
      <c r="I618" s="879">
        <f>F618/H618</f>
        <v>0.22</v>
      </c>
      <c r="J618" s="856" t="s">
        <v>3099</v>
      </c>
      <c r="K618" s="467" t="s">
        <v>2704</v>
      </c>
      <c r="L618" s="467">
        <v>7.5</v>
      </c>
      <c r="M618" s="856">
        <v>7.42</v>
      </c>
      <c r="N618" s="468">
        <f>M618/L618</f>
        <v>0.98933333333333329</v>
      </c>
      <c r="O618" s="855">
        <v>7.42</v>
      </c>
      <c r="P618" s="468">
        <f>O618/L618</f>
        <v>0.98933333333333329</v>
      </c>
      <c r="Q618" s="467">
        <v>4</v>
      </c>
      <c r="R618" s="467">
        <v>9</v>
      </c>
      <c r="S618" s="467" t="s">
        <v>2703</v>
      </c>
      <c r="T618" s="854">
        <v>42535</v>
      </c>
      <c r="U618" s="467">
        <v>8.24</v>
      </c>
      <c r="V618" s="468">
        <f>((U618*(1+X618/10)+Y618/10)/O618)</f>
        <v>1.1105121293800539</v>
      </c>
      <c r="W618" s="467" t="s">
        <v>223</v>
      </c>
      <c r="X618" s="467">
        <v>0</v>
      </c>
      <c r="Y618" s="467">
        <v>0</v>
      </c>
      <c r="Z618" s="853" t="s">
        <v>2104</v>
      </c>
      <c r="BB618" s="852"/>
      <c r="BD618" s="851"/>
    </row>
    <row r="619" spans="1:56" s="525" customFormat="1">
      <c r="J619" s="467" t="s">
        <v>3092</v>
      </c>
      <c r="K619" s="467" t="s">
        <v>2702</v>
      </c>
      <c r="L619" s="467">
        <v>7.5</v>
      </c>
      <c r="M619" s="467"/>
      <c r="N619" s="468">
        <f>M618/L619</f>
        <v>0.98933333333333329</v>
      </c>
      <c r="O619" s="857"/>
      <c r="P619" s="878">
        <f>O618/L619</f>
        <v>0.98933333333333329</v>
      </c>
    </row>
    <row r="620" spans="1:56" s="525" customFormat="1">
      <c r="J620" s="467" t="s">
        <v>3098</v>
      </c>
      <c r="K620" s="467" t="s">
        <v>2701</v>
      </c>
      <c r="L620" s="467">
        <v>7.5</v>
      </c>
      <c r="M620" s="467"/>
      <c r="N620" s="468">
        <f>M618/L620</f>
        <v>0.98933333333333329</v>
      </c>
      <c r="O620" s="857"/>
      <c r="P620" s="468">
        <f>O618/L620</f>
        <v>0.98933333333333329</v>
      </c>
    </row>
    <row r="621" spans="1:56" s="525" customFormat="1">
      <c r="C621" s="867" t="s">
        <v>112</v>
      </c>
      <c r="D621" s="867" t="s">
        <v>113</v>
      </c>
      <c r="E621" s="867" t="s">
        <v>943</v>
      </c>
      <c r="F621" s="868" t="s">
        <v>411</v>
      </c>
      <c r="G621" s="868" t="s">
        <v>942</v>
      </c>
      <c r="H621" s="867" t="s">
        <v>231</v>
      </c>
    </row>
    <row r="622" spans="1:56" s="525" customFormat="1" ht="28">
      <c r="C622" s="731" t="s">
        <v>3540</v>
      </c>
      <c r="D622" s="732">
        <v>7.42</v>
      </c>
      <c r="E622" s="865">
        <v>5</v>
      </c>
      <c r="F622" s="467"/>
      <c r="G622" s="877">
        <v>6738.5443999999998</v>
      </c>
      <c r="H622" s="730">
        <v>4.9999999447999999</v>
      </c>
    </row>
    <row r="623" spans="1:56" s="525" customFormat="1" ht="28">
      <c r="C623" s="731" t="s">
        <v>3230</v>
      </c>
      <c r="D623" s="732">
        <v>7.42</v>
      </c>
      <c r="E623" s="865">
        <v>3.0421999999999998</v>
      </c>
      <c r="F623" s="467"/>
      <c r="G623" s="877">
        <v>4100</v>
      </c>
      <c r="H623" s="730">
        <v>3.0421999999999998</v>
      </c>
    </row>
    <row r="624" spans="1:56" s="525" customFormat="1" ht="28">
      <c r="C624" s="731" t="s">
        <v>3539</v>
      </c>
      <c r="D624" s="732">
        <v>7.42</v>
      </c>
      <c r="E624" s="865">
        <v>3</v>
      </c>
      <c r="F624" s="467"/>
      <c r="G624" s="877">
        <v>4043.1266000000001</v>
      </c>
      <c r="H624" s="730">
        <v>2.9999999372000001</v>
      </c>
    </row>
    <row r="625" spans="1:56" s="525" customFormat="1" ht="28">
      <c r="C625" s="731" t="s">
        <v>3538</v>
      </c>
      <c r="D625" s="732">
        <v>7.42</v>
      </c>
      <c r="E625" s="865">
        <v>3</v>
      </c>
      <c r="F625" s="467"/>
      <c r="G625" s="877">
        <v>4043.1266000000001</v>
      </c>
      <c r="H625" s="730">
        <v>2.9999999372000001</v>
      </c>
    </row>
    <row r="626" spans="1:56" s="525" customFormat="1"/>
    <row r="627" spans="1:56" s="860" customFormat="1">
      <c r="A627" s="860" t="s">
        <v>2861</v>
      </c>
      <c r="B627" s="862" t="s">
        <v>2036</v>
      </c>
      <c r="C627" s="864" t="s">
        <v>126</v>
      </c>
      <c r="D627" s="864" t="s">
        <v>1583</v>
      </c>
      <c r="E627" s="864" t="s">
        <v>4</v>
      </c>
      <c r="F627" s="864" t="s">
        <v>2860</v>
      </c>
      <c r="G627" s="864" t="s">
        <v>2859</v>
      </c>
      <c r="H627" s="864" t="s">
        <v>2858</v>
      </c>
      <c r="I627" s="864" t="s">
        <v>751</v>
      </c>
      <c r="J627" s="862" t="s">
        <v>274</v>
      </c>
      <c r="K627" s="862" t="s">
        <v>273</v>
      </c>
      <c r="L627" s="862" t="s">
        <v>116</v>
      </c>
      <c r="M627" s="862" t="s">
        <v>110</v>
      </c>
      <c r="N627" s="862" t="s">
        <v>276</v>
      </c>
      <c r="O627" s="864" t="s">
        <v>1311</v>
      </c>
      <c r="P627" s="862" t="s">
        <v>275</v>
      </c>
      <c r="Q627" s="862" t="s">
        <v>111</v>
      </c>
      <c r="R627" s="862" t="s">
        <v>2857</v>
      </c>
      <c r="S627" s="862" t="s">
        <v>747</v>
      </c>
      <c r="T627" s="864" t="s">
        <v>12</v>
      </c>
      <c r="U627" s="863" t="s">
        <v>948</v>
      </c>
      <c r="V627" s="862" t="s">
        <v>129</v>
      </c>
      <c r="W627" s="862" t="s">
        <v>220</v>
      </c>
      <c r="X627" s="862" t="s">
        <v>749</v>
      </c>
      <c r="Y627" s="862" t="s">
        <v>750</v>
      </c>
      <c r="Z627" s="876" t="s">
        <v>748</v>
      </c>
      <c r="AA627" s="875"/>
      <c r="BB627" s="861"/>
      <c r="BD627" s="861"/>
    </row>
    <row r="628" spans="1:56" s="525" customFormat="1">
      <c r="A628" s="525" t="s">
        <v>2078</v>
      </c>
      <c r="B628" s="856">
        <v>83</v>
      </c>
      <c r="C628" s="1437" t="s">
        <v>2700</v>
      </c>
      <c r="D628" s="873" t="s">
        <v>2699</v>
      </c>
      <c r="E628" s="873" t="s">
        <v>2698</v>
      </c>
      <c r="F628" s="872">
        <v>1.32</v>
      </c>
      <c r="G628" s="870">
        <v>1.32</v>
      </c>
      <c r="H628" s="871">
        <f>L628*R628</f>
        <v>73.39209919999999</v>
      </c>
      <c r="I628" s="855">
        <f>F628/H628</f>
        <v>1.7985587200645164E-2</v>
      </c>
      <c r="J628" s="856" t="s">
        <v>3097</v>
      </c>
      <c r="K628" s="467" t="s">
        <v>2089</v>
      </c>
      <c r="L628" s="467">
        <v>40.72</v>
      </c>
      <c r="M628" s="856">
        <v>36.35</v>
      </c>
      <c r="N628" s="869">
        <f>M628/L628</f>
        <v>0.89268172888015718</v>
      </c>
      <c r="O628" s="870">
        <v>36.35</v>
      </c>
      <c r="P628" s="869">
        <f>O628/L628</f>
        <v>0.89268172888015718</v>
      </c>
      <c r="Q628" s="525">
        <v>2</v>
      </c>
      <c r="R628" s="869">
        <v>1.80236</v>
      </c>
      <c r="S628" s="525" t="s">
        <v>2697</v>
      </c>
      <c r="T628" s="852">
        <v>42901</v>
      </c>
      <c r="U628" s="525">
        <v>13.28</v>
      </c>
      <c r="V628" s="869">
        <f>((U628*(1+X628/10)+Y628/10)/O628)</f>
        <v>0.73342503438789541</v>
      </c>
      <c r="W628" s="525" t="s">
        <v>891</v>
      </c>
      <c r="X628" s="525">
        <v>10</v>
      </c>
      <c r="Y628" s="525">
        <v>1</v>
      </c>
      <c r="Z628" s="851" t="s">
        <v>2411</v>
      </c>
      <c r="BB628" s="852"/>
      <c r="BD628" s="851"/>
    </row>
    <row r="629" spans="1:56" s="525" customFormat="1">
      <c r="C629" s="867" t="s">
        <v>112</v>
      </c>
      <c r="D629" s="867" t="s">
        <v>113</v>
      </c>
      <c r="E629" s="867" t="s">
        <v>943</v>
      </c>
      <c r="F629" s="868" t="s">
        <v>411</v>
      </c>
      <c r="G629" s="868" t="s">
        <v>942</v>
      </c>
      <c r="H629" s="867" t="s">
        <v>231</v>
      </c>
    </row>
    <row r="630" spans="1:56" s="525" customFormat="1">
      <c r="C630" s="467" t="s">
        <v>1471</v>
      </c>
      <c r="D630" s="467">
        <v>36.880000000000003</v>
      </c>
      <c r="E630" s="865">
        <v>0.27</v>
      </c>
      <c r="F630" s="467"/>
      <c r="G630" s="866">
        <v>74.277799999999999</v>
      </c>
      <c r="H630" s="865">
        <v>0.26999980299999998</v>
      </c>
    </row>
    <row r="631" spans="1:56" s="525" customFormat="1">
      <c r="C631" s="1594" t="s">
        <v>1861</v>
      </c>
      <c r="D631" s="467">
        <v>36.700000000000003</v>
      </c>
      <c r="E631" s="865">
        <v>0.27</v>
      </c>
      <c r="F631" s="467"/>
      <c r="G631" s="866">
        <v>289.73450000000003</v>
      </c>
      <c r="H631" s="865">
        <v>1.0531849074999999</v>
      </c>
    </row>
    <row r="632" spans="1:56" s="525" customFormat="1">
      <c r="C632" s="1595"/>
      <c r="D632" s="467">
        <v>36.35</v>
      </c>
      <c r="E632" s="865">
        <v>1.32</v>
      </c>
      <c r="F632" s="467"/>
      <c r="G632" s="467"/>
      <c r="H632" s="467"/>
    </row>
    <row r="633" spans="1:56" s="860" customFormat="1">
      <c r="A633" s="860" t="s">
        <v>2861</v>
      </c>
      <c r="B633" s="862" t="s">
        <v>2036</v>
      </c>
      <c r="C633" s="864" t="s">
        <v>126</v>
      </c>
      <c r="D633" s="864" t="s">
        <v>1583</v>
      </c>
      <c r="E633" s="864" t="s">
        <v>4</v>
      </c>
      <c r="F633" s="864" t="s">
        <v>2860</v>
      </c>
      <c r="G633" s="864" t="s">
        <v>2859</v>
      </c>
      <c r="H633" s="864" t="s">
        <v>2858</v>
      </c>
      <c r="I633" s="864" t="s">
        <v>751</v>
      </c>
      <c r="J633" s="862" t="s">
        <v>274</v>
      </c>
      <c r="K633" s="862" t="s">
        <v>273</v>
      </c>
      <c r="L633" s="862" t="s">
        <v>116</v>
      </c>
      <c r="M633" s="862" t="s">
        <v>110</v>
      </c>
      <c r="N633" s="862" t="s">
        <v>276</v>
      </c>
      <c r="O633" s="864" t="s">
        <v>1311</v>
      </c>
      <c r="P633" s="862" t="s">
        <v>275</v>
      </c>
      <c r="Q633" s="862" t="s">
        <v>111</v>
      </c>
      <c r="R633" s="862" t="s">
        <v>2857</v>
      </c>
      <c r="S633" s="862" t="s">
        <v>747</v>
      </c>
      <c r="T633" s="864" t="s">
        <v>12</v>
      </c>
      <c r="U633" s="863" t="s">
        <v>948</v>
      </c>
      <c r="V633" s="862" t="s">
        <v>129</v>
      </c>
      <c r="W633" s="862" t="s">
        <v>220</v>
      </c>
      <c r="X633" s="862" t="s">
        <v>749</v>
      </c>
      <c r="Y633" s="862" t="s">
        <v>750</v>
      </c>
      <c r="Z633" s="862" t="s">
        <v>748</v>
      </c>
      <c r="BB633" s="861"/>
      <c r="BD633" s="861"/>
    </row>
    <row r="634" spans="1:56" s="525" customFormat="1">
      <c r="A634" s="525" t="s">
        <v>2078</v>
      </c>
      <c r="B634" s="856">
        <v>84</v>
      </c>
      <c r="C634" s="1471" t="s">
        <v>2696</v>
      </c>
      <c r="D634" s="858" t="s">
        <v>2695</v>
      </c>
      <c r="E634" s="858" t="s">
        <v>2694</v>
      </c>
      <c r="F634" s="857">
        <v>5.93</v>
      </c>
      <c r="G634" s="855">
        <v>5.93</v>
      </c>
      <c r="H634" s="855">
        <f>L634*R634</f>
        <v>71.723022936000007</v>
      </c>
      <c r="I634" s="855">
        <f>F634/H634</f>
        <v>8.2679169913006403E-2</v>
      </c>
      <c r="J634" s="856" t="s">
        <v>3096</v>
      </c>
      <c r="K634" s="467" t="s">
        <v>2693</v>
      </c>
      <c r="L634" s="467">
        <v>22.28</v>
      </c>
      <c r="M634" s="856">
        <v>14.72</v>
      </c>
      <c r="N634" s="468">
        <f>M634/L634</f>
        <v>0.66068222621184913</v>
      </c>
      <c r="O634" s="855">
        <v>21.85</v>
      </c>
      <c r="P634" s="468">
        <f>O634/L634</f>
        <v>0.98070017953321365</v>
      </c>
      <c r="Q634" s="467">
        <v>5</v>
      </c>
      <c r="R634" s="468">
        <v>3.2191662000000001</v>
      </c>
      <c r="S634" s="467" t="s">
        <v>2692</v>
      </c>
      <c r="T634" s="854">
        <v>42901</v>
      </c>
      <c r="U634" s="467">
        <v>20.59</v>
      </c>
      <c r="V634" s="468">
        <f>((U634*(1+X634/10)+Y634/10)/O634)</f>
        <v>0.94233409610983976</v>
      </c>
      <c r="W634" s="467" t="s">
        <v>223</v>
      </c>
      <c r="X634" s="467">
        <v>0</v>
      </c>
      <c r="Y634" s="467">
        <v>0</v>
      </c>
      <c r="Z634" s="853" t="s">
        <v>2116</v>
      </c>
      <c r="BB634" s="852"/>
      <c r="BD634" s="851"/>
    </row>
    <row r="635" spans="1:56" s="525" customFormat="1">
      <c r="C635" s="849" t="s">
        <v>112</v>
      </c>
      <c r="D635" s="849" t="s">
        <v>113</v>
      </c>
      <c r="E635" s="849" t="s">
        <v>943</v>
      </c>
      <c r="F635" s="850" t="s">
        <v>411</v>
      </c>
      <c r="G635" s="850" t="s">
        <v>942</v>
      </c>
      <c r="H635" s="849" t="s">
        <v>231</v>
      </c>
    </row>
    <row r="636" spans="1:56" ht="28">
      <c r="C636" s="673" t="s">
        <v>3537</v>
      </c>
      <c r="D636" s="647">
        <v>22.58</v>
      </c>
      <c r="E636" s="643">
        <v>1.5</v>
      </c>
      <c r="F636" s="645"/>
      <c r="G636" s="644">
        <v>686.49879999999996</v>
      </c>
      <c r="H636" s="643">
        <f>149999987.8/100000000</f>
        <v>1.4999998780000001</v>
      </c>
    </row>
    <row r="637" spans="1:56">
      <c r="C637" s="1512" t="s">
        <v>115</v>
      </c>
      <c r="D637" s="647">
        <v>22.28</v>
      </c>
      <c r="E637" s="643">
        <v>1.012</v>
      </c>
      <c r="F637" s="645"/>
      <c r="G637" s="644">
        <v>463.15780000000001</v>
      </c>
      <c r="H637" s="643">
        <v>1.011999793</v>
      </c>
    </row>
    <row r="638" spans="1:56">
      <c r="C638" s="1512"/>
      <c r="D638" s="647">
        <v>19.7</v>
      </c>
      <c r="E638" s="643">
        <v>3.23</v>
      </c>
      <c r="F638" s="645"/>
      <c r="G638" s="645"/>
      <c r="H638" s="645"/>
    </row>
    <row r="639" spans="1:56">
      <c r="C639" s="1512"/>
      <c r="D639" s="647">
        <v>18.5</v>
      </c>
      <c r="E639" s="643">
        <v>5.71</v>
      </c>
      <c r="F639" s="645"/>
      <c r="G639" s="645"/>
      <c r="H639" s="645"/>
    </row>
    <row r="640" spans="1:56" ht="28">
      <c r="C640" s="673" t="s">
        <v>3536</v>
      </c>
      <c r="D640" s="647">
        <v>22.28</v>
      </c>
      <c r="E640" s="643">
        <v>0.6</v>
      </c>
      <c r="F640" s="645"/>
      <c r="G640" s="644">
        <v>274.59949999999998</v>
      </c>
      <c r="H640" s="643">
        <f>59999990.75/100000000</f>
        <v>0.59999990749999998</v>
      </c>
    </row>
    <row r="641" spans="3:8">
      <c r="C641" s="646" t="s">
        <v>2946</v>
      </c>
      <c r="D641" s="647">
        <v>21.92</v>
      </c>
      <c r="E641" s="643">
        <v>1.8</v>
      </c>
      <c r="F641" s="645"/>
      <c r="G641" s="644">
        <v>823.79859999999996</v>
      </c>
      <c r="H641" s="643">
        <v>1.799999941</v>
      </c>
    </row>
    <row r="642" spans="3:8">
      <c r="C642" s="673"/>
      <c r="D642" s="647">
        <v>20.059999999999999</v>
      </c>
      <c r="E642" s="643">
        <v>3.1</v>
      </c>
      <c r="F642" s="645"/>
      <c r="G642" s="645"/>
      <c r="H642" s="645"/>
    </row>
    <row r="643" spans="3:8">
      <c r="C643" s="1512" t="s">
        <v>278</v>
      </c>
      <c r="D643" s="647">
        <v>21.85</v>
      </c>
      <c r="E643" s="643">
        <v>2.8</v>
      </c>
      <c r="F643" s="645"/>
      <c r="G643" s="644">
        <v>464.25650000000002</v>
      </c>
      <c r="H643" s="643">
        <f>101440045.25/100000000</f>
        <v>1.0144004525000001</v>
      </c>
    </row>
    <row r="644" spans="3:8">
      <c r="C644" s="1512"/>
      <c r="D644" s="647">
        <v>21.5</v>
      </c>
      <c r="E644" s="643">
        <v>2.8730000000000002</v>
      </c>
      <c r="F644" s="645"/>
      <c r="G644" s="645"/>
      <c r="H644" s="645"/>
    </row>
    <row r="645" spans="3:8">
      <c r="C645" s="1512"/>
      <c r="D645" s="647">
        <v>21</v>
      </c>
      <c r="E645" s="643">
        <v>2.9729999999999999</v>
      </c>
      <c r="F645" s="645"/>
      <c r="G645" s="645"/>
      <c r="H645" s="645"/>
    </row>
    <row r="646" spans="3:8">
      <c r="C646" s="646" t="s">
        <v>3525</v>
      </c>
      <c r="D646" s="647">
        <v>21.81</v>
      </c>
      <c r="E646" s="643">
        <v>0.59299999999999997</v>
      </c>
      <c r="F646" s="645"/>
      <c r="G646" s="645"/>
      <c r="H646" s="645"/>
    </row>
    <row r="647" spans="3:8">
      <c r="C647" s="646" t="s">
        <v>417</v>
      </c>
      <c r="D647" s="647">
        <v>21.21</v>
      </c>
      <c r="E647" s="643">
        <v>0.60599999999999998</v>
      </c>
      <c r="F647" s="645"/>
      <c r="G647" s="645"/>
      <c r="H647" s="645"/>
    </row>
    <row r="648" spans="3:8">
      <c r="C648" s="646" t="s">
        <v>560</v>
      </c>
      <c r="D648" s="647">
        <v>21.2</v>
      </c>
      <c r="E648" s="643">
        <v>0.629</v>
      </c>
      <c r="F648" s="645"/>
      <c r="G648" s="645"/>
      <c r="H648" s="645"/>
    </row>
    <row r="649" spans="3:8">
      <c r="C649" s="1512" t="s">
        <v>148</v>
      </c>
      <c r="D649" s="647">
        <v>21.17</v>
      </c>
      <c r="E649" s="643">
        <v>0.6</v>
      </c>
      <c r="F649" s="645"/>
      <c r="G649" s="645"/>
      <c r="H649" s="645"/>
    </row>
    <row r="650" spans="3:8">
      <c r="C650" s="1512"/>
      <c r="D650" s="647">
        <v>19.28</v>
      </c>
      <c r="E650" s="643">
        <v>1.25</v>
      </c>
      <c r="F650" s="645"/>
      <c r="G650" s="645"/>
      <c r="H650" s="645"/>
    </row>
    <row r="651" spans="3:8">
      <c r="C651" s="646" t="s">
        <v>363</v>
      </c>
      <c r="D651" s="647">
        <v>20.86</v>
      </c>
      <c r="E651" s="643">
        <v>1.17</v>
      </c>
      <c r="F651" s="645"/>
      <c r="G651" s="645"/>
      <c r="H651" s="645"/>
    </row>
    <row r="652" spans="3:8">
      <c r="C652" s="646" t="s">
        <v>279</v>
      </c>
      <c r="D652" s="647">
        <v>20.8</v>
      </c>
      <c r="E652" s="643">
        <v>0.9</v>
      </c>
      <c r="F652" s="645"/>
      <c r="G652" s="645"/>
      <c r="H652" s="645"/>
    </row>
    <row r="653" spans="3:8">
      <c r="C653" s="1512" t="s">
        <v>131</v>
      </c>
      <c r="D653" s="647">
        <v>20.52</v>
      </c>
      <c r="E653" s="643">
        <v>0.6</v>
      </c>
      <c r="F653" s="645"/>
      <c r="G653" s="645"/>
      <c r="H653" s="645"/>
    </row>
    <row r="654" spans="3:8">
      <c r="C654" s="1512"/>
      <c r="D654" s="647">
        <v>17.72</v>
      </c>
      <c r="E654" s="643">
        <v>0.8</v>
      </c>
      <c r="F654" s="645"/>
      <c r="G654" s="645"/>
      <c r="H654" s="645"/>
    </row>
    <row r="655" spans="3:8">
      <c r="C655" s="1512"/>
      <c r="D655" s="647">
        <v>16.420000000000002</v>
      </c>
      <c r="E655" s="643">
        <v>2.4649999999999999</v>
      </c>
      <c r="F655" s="645"/>
      <c r="G655" s="645"/>
      <c r="H655" s="645"/>
    </row>
    <row r="656" spans="3:8">
      <c r="C656" s="1512" t="s">
        <v>139</v>
      </c>
      <c r="D656" s="647">
        <v>20.100000000000001</v>
      </c>
      <c r="E656" s="643">
        <v>1.1000000000000001</v>
      </c>
      <c r="F656" s="645"/>
      <c r="G656" s="645"/>
      <c r="H656" s="645"/>
    </row>
    <row r="657" spans="3:8">
      <c r="C657" s="1512"/>
      <c r="D657" s="647">
        <v>17.5</v>
      </c>
      <c r="E657" s="643">
        <v>1.625</v>
      </c>
      <c r="F657" s="645"/>
      <c r="G657" s="645"/>
      <c r="H657" s="645"/>
    </row>
    <row r="658" spans="3:8">
      <c r="C658" s="1512" t="s">
        <v>134</v>
      </c>
      <c r="D658" s="647">
        <v>20.05</v>
      </c>
      <c r="E658" s="643">
        <v>0.66</v>
      </c>
      <c r="F658" s="645"/>
      <c r="G658" s="645"/>
      <c r="H658" s="645"/>
    </row>
    <row r="659" spans="3:8">
      <c r="C659" s="1512"/>
      <c r="D659" s="647">
        <v>17.38</v>
      </c>
      <c r="E659" s="643">
        <v>0.96</v>
      </c>
      <c r="F659" s="645"/>
      <c r="G659" s="645"/>
      <c r="H659" s="645"/>
    </row>
    <row r="660" spans="3:8">
      <c r="C660" s="646" t="s">
        <v>382</v>
      </c>
      <c r="D660" s="647">
        <v>20.010000000000002</v>
      </c>
      <c r="E660" s="643">
        <v>0.6</v>
      </c>
      <c r="F660" s="645"/>
      <c r="G660" s="645"/>
      <c r="H660" s="645"/>
    </row>
    <row r="661" spans="3:8">
      <c r="C661" s="1512" t="s">
        <v>3535</v>
      </c>
      <c r="D661" s="647">
        <v>19.98</v>
      </c>
      <c r="E661" s="643">
        <f>108000000/100000000</f>
        <v>1.08</v>
      </c>
      <c r="F661" s="645"/>
      <c r="G661" s="645"/>
      <c r="H661" s="645"/>
    </row>
    <row r="662" spans="3:8">
      <c r="C662" s="1512"/>
      <c r="D662" s="647">
        <v>19.09</v>
      </c>
      <c r="E662" s="643">
        <f>108000000/100000000</f>
        <v>1.08</v>
      </c>
      <c r="F662" s="645"/>
      <c r="G662" s="645"/>
      <c r="H662" s="645"/>
    </row>
    <row r="663" spans="3:8">
      <c r="C663" s="1512"/>
      <c r="D663" s="647">
        <v>17.760000000000002</v>
      </c>
      <c r="E663" s="643">
        <f>108000000/100000000</f>
        <v>1.08</v>
      </c>
      <c r="F663" s="645"/>
      <c r="G663" s="645"/>
      <c r="H663" s="645"/>
    </row>
    <row r="664" spans="3:8">
      <c r="C664" s="1512" t="s">
        <v>316</v>
      </c>
      <c r="D664" s="647">
        <v>19.809999999999999</v>
      </c>
      <c r="E664" s="643">
        <f>106000000/100000000</f>
        <v>1.06</v>
      </c>
      <c r="F664" s="645"/>
      <c r="G664" s="645"/>
      <c r="H664" s="645"/>
    </row>
    <row r="665" spans="3:8">
      <c r="C665" s="1512"/>
      <c r="D665" s="647">
        <v>18.71</v>
      </c>
      <c r="E665" s="643">
        <f>187000000/100000000</f>
        <v>1.87</v>
      </c>
      <c r="F665" s="645"/>
      <c r="G665" s="645"/>
      <c r="H665" s="645"/>
    </row>
    <row r="666" spans="3:8">
      <c r="C666" s="646" t="s">
        <v>3534</v>
      </c>
      <c r="D666" s="647">
        <v>19.71</v>
      </c>
      <c r="E666" s="643">
        <f>59300000/100000000</f>
        <v>0.59299999999999997</v>
      </c>
      <c r="F666" s="645"/>
      <c r="G666" s="645"/>
      <c r="H666" s="645"/>
    </row>
    <row r="667" spans="3:8">
      <c r="C667" s="646" t="s">
        <v>233</v>
      </c>
      <c r="D667" s="647">
        <v>19.66</v>
      </c>
      <c r="E667" s="643">
        <f>85521000/100000000</f>
        <v>0.85521000000000003</v>
      </c>
      <c r="F667" s="645"/>
      <c r="G667" s="645"/>
      <c r="H667" s="645"/>
    </row>
    <row r="668" spans="3:8">
      <c r="C668" s="1512" t="s">
        <v>127</v>
      </c>
      <c r="D668" s="647">
        <v>19.53</v>
      </c>
      <c r="E668" s="643">
        <f>60000000/100000000</f>
        <v>0.6</v>
      </c>
      <c r="F668" s="645"/>
      <c r="G668" s="645"/>
      <c r="H668" s="645"/>
    </row>
    <row r="669" spans="3:8">
      <c r="C669" s="1512"/>
      <c r="D669" s="647">
        <v>18.22</v>
      </c>
      <c r="E669" s="643">
        <f>110000000/100000000</f>
        <v>1.1000000000000001</v>
      </c>
      <c r="F669" s="645"/>
      <c r="G669" s="645"/>
      <c r="H669" s="645"/>
    </row>
    <row r="670" spans="3:8">
      <c r="C670" s="646" t="s">
        <v>3533</v>
      </c>
      <c r="D670" s="647">
        <v>19.5</v>
      </c>
      <c r="E670" s="643">
        <f>59500000/100000000</f>
        <v>0.59499999999999997</v>
      </c>
      <c r="F670" s="645"/>
      <c r="G670" s="645"/>
      <c r="H670" s="645"/>
    </row>
    <row r="671" spans="3:8">
      <c r="C671" s="646" t="s">
        <v>1079</v>
      </c>
      <c r="D671" s="647">
        <v>19.3</v>
      </c>
      <c r="E671" s="643">
        <f>60000000/100000000</f>
        <v>0.6</v>
      </c>
      <c r="F671" s="645"/>
      <c r="G671" s="645"/>
      <c r="H671" s="645"/>
    </row>
    <row r="672" spans="3:8">
      <c r="C672" s="1512" t="s">
        <v>310</v>
      </c>
      <c r="D672" s="647">
        <v>19.18</v>
      </c>
      <c r="E672" s="643">
        <f>70000000/100000000</f>
        <v>0.7</v>
      </c>
      <c r="F672" s="645"/>
      <c r="G672" s="645"/>
      <c r="H672" s="645"/>
    </row>
    <row r="673" spans="3:8">
      <c r="C673" s="1512"/>
      <c r="D673" s="647">
        <v>17.18</v>
      </c>
      <c r="E673" s="643">
        <f>120000000/100000000</f>
        <v>1.2</v>
      </c>
      <c r="F673" s="645"/>
      <c r="G673" s="645"/>
      <c r="H673" s="645"/>
    </row>
    <row r="674" spans="3:8">
      <c r="C674" s="646" t="s">
        <v>385</v>
      </c>
      <c r="D674" s="647">
        <v>19</v>
      </c>
      <c r="E674" s="643">
        <f>59300000/100000000</f>
        <v>0.59299999999999997</v>
      </c>
      <c r="F674" s="645"/>
      <c r="G674" s="645"/>
      <c r="H674" s="645"/>
    </row>
    <row r="675" spans="3:8">
      <c r="C675" s="646" t="s">
        <v>119</v>
      </c>
      <c r="D675" s="647">
        <v>18.940000000000001</v>
      </c>
      <c r="E675" s="643">
        <f>59300000/100000000</f>
        <v>0.59299999999999997</v>
      </c>
      <c r="F675" s="645"/>
      <c r="G675" s="645"/>
      <c r="H675" s="645"/>
    </row>
    <row r="676" spans="3:8">
      <c r="C676" s="1512" t="s">
        <v>666</v>
      </c>
      <c r="D676" s="647">
        <v>18.829999999999998</v>
      </c>
      <c r="E676" s="643">
        <f>60000006.15/100000000</f>
        <v>0.60000006149999996</v>
      </c>
      <c r="F676" s="645"/>
      <c r="G676" s="645"/>
      <c r="H676" s="645"/>
    </row>
    <row r="677" spans="3:8">
      <c r="C677" s="1512"/>
      <c r="D677" s="647">
        <v>17.72</v>
      </c>
      <c r="E677" s="643">
        <f>70000007.08/100000000</f>
        <v>0.70000007079999993</v>
      </c>
      <c r="F677" s="645"/>
      <c r="G677" s="645"/>
      <c r="H677" s="645"/>
    </row>
    <row r="678" spans="3:8">
      <c r="C678" s="1512"/>
      <c r="D678" s="647">
        <v>15.48</v>
      </c>
      <c r="E678" s="643">
        <f>90000007.92/100000000</f>
        <v>0.90000007920000002</v>
      </c>
      <c r="F678" s="645"/>
      <c r="G678" s="645"/>
      <c r="H678" s="645"/>
    </row>
    <row r="679" spans="3:8">
      <c r="C679" s="1512" t="s">
        <v>122</v>
      </c>
      <c r="D679" s="647">
        <v>18.8</v>
      </c>
      <c r="E679" s="643">
        <f>59300000/100000000</f>
        <v>0.59299999999999997</v>
      </c>
      <c r="F679" s="645"/>
      <c r="G679" s="645"/>
      <c r="H679" s="645"/>
    </row>
    <row r="680" spans="3:8">
      <c r="C680" s="1512"/>
      <c r="D680" s="647">
        <v>17.8</v>
      </c>
      <c r="E680" s="643">
        <f>65000000/100000000</f>
        <v>0.65</v>
      </c>
      <c r="F680" s="645"/>
      <c r="G680" s="645"/>
      <c r="H680" s="645"/>
    </row>
    <row r="681" spans="3:8">
      <c r="C681" s="1512" t="s">
        <v>121</v>
      </c>
      <c r="D681" s="647">
        <v>18.309999999999999</v>
      </c>
      <c r="E681" s="643">
        <f>100000000/100000000</f>
        <v>1</v>
      </c>
      <c r="F681" s="645"/>
      <c r="G681" s="645"/>
      <c r="H681" s="645"/>
    </row>
    <row r="682" spans="3:8">
      <c r="C682" s="1512"/>
      <c r="D682" s="647">
        <v>17.13</v>
      </c>
      <c r="E682" s="643">
        <f>130000000/100000000</f>
        <v>1.3</v>
      </c>
      <c r="F682" s="645"/>
      <c r="G682" s="645"/>
      <c r="H682" s="645"/>
    </row>
    <row r="683" spans="3:8">
      <c r="C683" s="646" t="s">
        <v>138</v>
      </c>
      <c r="D683" s="647">
        <v>18.28</v>
      </c>
      <c r="E683" s="643">
        <f>70000000/100000000</f>
        <v>0.7</v>
      </c>
      <c r="F683" s="645"/>
      <c r="G683" s="645"/>
      <c r="H683" s="645"/>
    </row>
    <row r="684" spans="3:8">
      <c r="C684" s="1512" t="s">
        <v>147</v>
      </c>
      <c r="D684" s="647">
        <v>18.2</v>
      </c>
      <c r="E684" s="643">
        <f>77300000/100000000</f>
        <v>0.77300000000000002</v>
      </c>
      <c r="F684" s="645"/>
      <c r="G684" s="645"/>
      <c r="H684" s="645"/>
    </row>
    <row r="685" spans="3:8">
      <c r="C685" s="1512"/>
      <c r="D685" s="647">
        <v>16.82</v>
      </c>
      <c r="E685" s="643">
        <f>92300000/100000000</f>
        <v>0.92300000000000004</v>
      </c>
      <c r="F685" s="645"/>
      <c r="G685" s="645"/>
      <c r="H685" s="645"/>
    </row>
    <row r="686" spans="3:8">
      <c r="C686" s="1512"/>
      <c r="D686" s="647">
        <v>15.5</v>
      </c>
      <c r="E686" s="643">
        <f>142300000/100000000</f>
        <v>1.423</v>
      </c>
      <c r="F686" s="645"/>
      <c r="G686" s="645"/>
      <c r="H686" s="645"/>
    </row>
    <row r="687" spans="3:8">
      <c r="C687" s="646" t="s">
        <v>1035</v>
      </c>
      <c r="D687" s="647">
        <v>18</v>
      </c>
      <c r="E687" s="643">
        <f>60000000/100000000</f>
        <v>0.6</v>
      </c>
      <c r="F687" s="645"/>
      <c r="G687" s="645"/>
      <c r="H687" s="645"/>
    </row>
    <row r="688" spans="3:8" ht="28">
      <c r="C688" s="673" t="s">
        <v>3532</v>
      </c>
      <c r="D688" s="647">
        <v>18</v>
      </c>
      <c r="E688" s="643">
        <f>59300000/100000000</f>
        <v>0.59299999999999997</v>
      </c>
      <c r="F688" s="645"/>
      <c r="G688" s="645"/>
      <c r="H688" s="645"/>
    </row>
    <row r="689" spans="1:56">
      <c r="C689" s="646" t="s">
        <v>351</v>
      </c>
      <c r="D689" s="647">
        <v>17.82</v>
      </c>
      <c r="E689" s="643">
        <f>59300000/100000000</f>
        <v>0.59299999999999997</v>
      </c>
      <c r="F689" s="645"/>
      <c r="G689" s="645"/>
      <c r="H689" s="645"/>
    </row>
    <row r="690" spans="1:56">
      <c r="C690" s="646" t="s">
        <v>173</v>
      </c>
      <c r="D690" s="647">
        <v>17.78</v>
      </c>
      <c r="E690" s="643">
        <f>67000000/100000000</f>
        <v>0.67</v>
      </c>
      <c r="F690" s="645"/>
      <c r="G690" s="645"/>
      <c r="H690" s="645"/>
    </row>
    <row r="691" spans="1:56">
      <c r="C691" s="646" t="s">
        <v>124</v>
      </c>
      <c r="D691" s="647">
        <v>17.73</v>
      </c>
      <c r="E691" s="643">
        <f>75971277/100000000</f>
        <v>0.75971277000000004</v>
      </c>
      <c r="F691" s="645"/>
      <c r="G691" s="645"/>
      <c r="H691" s="645"/>
    </row>
    <row r="692" spans="1:56">
      <c r="C692" s="646" t="s">
        <v>128</v>
      </c>
      <c r="D692" s="647">
        <v>17.510000000000002</v>
      </c>
      <c r="E692" s="643">
        <f>59300000/100000000</f>
        <v>0.59299999999999997</v>
      </c>
      <c r="F692" s="645"/>
      <c r="G692" s="645"/>
      <c r="H692" s="645"/>
    </row>
    <row r="693" spans="1:56">
      <c r="C693" s="646" t="s">
        <v>336</v>
      </c>
      <c r="D693" s="647">
        <v>16.66</v>
      </c>
      <c r="E693" s="643">
        <f>106000000/100000000</f>
        <v>1.06</v>
      </c>
      <c r="F693" s="645"/>
      <c r="G693" s="645"/>
      <c r="H693" s="645"/>
    </row>
    <row r="694" spans="1:56">
      <c r="C694" s="646" t="s">
        <v>3531</v>
      </c>
      <c r="D694" s="647">
        <v>16.510000000000002</v>
      </c>
      <c r="E694" s="643">
        <f>60000000/100000000</f>
        <v>0.6</v>
      </c>
      <c r="F694" s="645"/>
      <c r="G694" s="645"/>
      <c r="H694" s="645"/>
    </row>
    <row r="695" spans="1:56">
      <c r="C695" s="1512" t="s">
        <v>3511</v>
      </c>
      <c r="D695" s="647">
        <v>16.41</v>
      </c>
      <c r="E695" s="643">
        <f>59896500/100000000</f>
        <v>0.59896499999999997</v>
      </c>
      <c r="F695" s="645"/>
      <c r="G695" s="645"/>
      <c r="H695" s="645"/>
    </row>
    <row r="696" spans="1:56">
      <c r="C696" s="1512"/>
      <c r="D696" s="647">
        <v>15.51</v>
      </c>
      <c r="E696" s="643">
        <f>77550000/100000000</f>
        <v>0.77549999999999997</v>
      </c>
      <c r="F696" s="645"/>
      <c r="G696" s="645"/>
      <c r="H696" s="645"/>
    </row>
    <row r="697" spans="1:56">
      <c r="C697" s="1512"/>
      <c r="D697" s="647">
        <v>14.76</v>
      </c>
      <c r="E697" s="643">
        <f>88560000/100000000</f>
        <v>0.88560000000000005</v>
      </c>
      <c r="F697" s="645"/>
      <c r="G697" s="645"/>
      <c r="H697" s="645"/>
    </row>
    <row r="698" spans="1:56">
      <c r="C698" s="646" t="s">
        <v>150</v>
      </c>
      <c r="D698" s="647">
        <v>16.05</v>
      </c>
      <c r="E698" s="643">
        <f>75000000/100000000</f>
        <v>0.75</v>
      </c>
      <c r="F698" s="645"/>
      <c r="G698" s="645"/>
      <c r="H698" s="645"/>
    </row>
    <row r="699" spans="1:56">
      <c r="C699" s="646" t="s">
        <v>576</v>
      </c>
      <c r="D699" s="647">
        <v>15.82</v>
      </c>
      <c r="E699" s="643">
        <f>60000000/100000000</f>
        <v>0.6</v>
      </c>
      <c r="F699" s="645"/>
      <c r="G699" s="645"/>
      <c r="H699" s="645"/>
    </row>
    <row r="700" spans="1:56">
      <c r="C700" s="646" t="s">
        <v>1246</v>
      </c>
      <c r="D700" s="647">
        <v>15.67</v>
      </c>
      <c r="E700" s="643">
        <f>60000000/100000000</f>
        <v>0.6</v>
      </c>
      <c r="F700" s="645"/>
      <c r="G700" s="645"/>
      <c r="H700" s="645"/>
    </row>
    <row r="701" spans="1:56">
      <c r="C701" s="646" t="s">
        <v>505</v>
      </c>
      <c r="D701" s="647">
        <v>15.61</v>
      </c>
      <c r="E701" s="643">
        <f>90000000/100000000</f>
        <v>0.9</v>
      </c>
      <c r="F701" s="645"/>
      <c r="G701" s="645"/>
      <c r="H701" s="645"/>
    </row>
    <row r="702" spans="1:56">
      <c r="C702" s="646" t="s">
        <v>120</v>
      </c>
      <c r="D702" s="647">
        <v>19</v>
      </c>
      <c r="E702" s="643">
        <f>59300000/100000000</f>
        <v>0.59299999999999997</v>
      </c>
      <c r="F702" s="645"/>
      <c r="G702" s="645"/>
      <c r="H702" s="645"/>
    </row>
    <row r="704" spans="1:56" s="663" customFormat="1">
      <c r="A704" s="663" t="s">
        <v>2861</v>
      </c>
      <c r="B704" s="665" t="s">
        <v>2036</v>
      </c>
      <c r="C704" s="667" t="s">
        <v>126</v>
      </c>
      <c r="D704" s="667" t="s">
        <v>1583</v>
      </c>
      <c r="E704" s="667" t="s">
        <v>4</v>
      </c>
      <c r="F704" s="667" t="s">
        <v>2860</v>
      </c>
      <c r="G704" s="667" t="s">
        <v>2859</v>
      </c>
      <c r="H704" s="667" t="s">
        <v>2858</v>
      </c>
      <c r="I704" s="667" t="s">
        <v>751</v>
      </c>
      <c r="J704" s="665" t="s">
        <v>274</v>
      </c>
      <c r="K704" s="665" t="s">
        <v>273</v>
      </c>
      <c r="L704" s="665" t="s">
        <v>116</v>
      </c>
      <c r="M704" s="665" t="s">
        <v>110</v>
      </c>
      <c r="N704" s="665" t="s">
        <v>276</v>
      </c>
      <c r="O704" s="667" t="s">
        <v>1311</v>
      </c>
      <c r="P704" s="665" t="s">
        <v>275</v>
      </c>
      <c r="Q704" s="665" t="s">
        <v>111</v>
      </c>
      <c r="R704" s="665" t="s">
        <v>2857</v>
      </c>
      <c r="S704" s="665" t="s">
        <v>747</v>
      </c>
      <c r="T704" s="667" t="s">
        <v>12</v>
      </c>
      <c r="U704" s="666" t="s">
        <v>948</v>
      </c>
      <c r="V704" s="665" t="s">
        <v>129</v>
      </c>
      <c r="W704" s="665" t="s">
        <v>220</v>
      </c>
      <c r="X704" s="665" t="s">
        <v>749</v>
      </c>
      <c r="Y704" s="665" t="s">
        <v>750</v>
      </c>
      <c r="Z704" s="668" t="s">
        <v>748</v>
      </c>
      <c r="AA704" s="716"/>
      <c r="BB704" s="664"/>
      <c r="BD704" s="664"/>
    </row>
    <row r="705" spans="1:56">
      <c r="A705" s="642" t="s">
        <v>2078</v>
      </c>
      <c r="B705" s="1436">
        <v>85</v>
      </c>
      <c r="C705" s="1437" t="s">
        <v>2691</v>
      </c>
      <c r="D705" s="662" t="s">
        <v>2690</v>
      </c>
      <c r="E705" s="662" t="s">
        <v>2689</v>
      </c>
      <c r="F705" s="661">
        <v>29.09</v>
      </c>
      <c r="G705" s="660">
        <v>29.09</v>
      </c>
      <c r="H705" s="659">
        <f>L705*R705</f>
        <v>201.16813920000001</v>
      </c>
      <c r="I705" s="656">
        <f>F705/H705</f>
        <v>0.14460540379646758</v>
      </c>
      <c r="J705" s="658" t="s">
        <v>3095</v>
      </c>
      <c r="K705" s="645" t="s">
        <v>151</v>
      </c>
      <c r="L705" s="645">
        <v>31.92</v>
      </c>
      <c r="M705" s="658">
        <v>31.31</v>
      </c>
      <c r="N705" s="699">
        <f>M705/L705</f>
        <v>0.98088972431077681</v>
      </c>
      <c r="O705" s="660">
        <v>31.31</v>
      </c>
      <c r="P705" s="699">
        <f>O705/L705</f>
        <v>0.98088972431077681</v>
      </c>
      <c r="Q705" s="642">
        <v>3</v>
      </c>
      <c r="R705" s="699">
        <v>6.3022600000000004</v>
      </c>
      <c r="S705" s="642" t="s">
        <v>2688</v>
      </c>
      <c r="T705" s="651">
        <v>42878</v>
      </c>
      <c r="U705" s="642">
        <v>12</v>
      </c>
      <c r="V705" s="699">
        <f>((U705*(1+X705/10)+Y705/10)/O705)</f>
        <v>0.76972213350367302</v>
      </c>
      <c r="W705" s="642" t="s">
        <v>891</v>
      </c>
      <c r="X705" s="642">
        <v>10</v>
      </c>
      <c r="Y705" s="642">
        <v>1</v>
      </c>
      <c r="Z705" s="650" t="s">
        <v>2411</v>
      </c>
      <c r="BB705" s="651"/>
      <c r="BD705" s="650"/>
    </row>
    <row r="706" spans="1:56">
      <c r="C706" s="648" t="s">
        <v>112</v>
      </c>
      <c r="D706" s="648" t="s">
        <v>113</v>
      </c>
      <c r="E706" s="648" t="s">
        <v>943</v>
      </c>
      <c r="F706" s="649" t="s">
        <v>411</v>
      </c>
      <c r="G706" s="649" t="s">
        <v>942</v>
      </c>
      <c r="H706" s="648" t="s">
        <v>231</v>
      </c>
    </row>
    <row r="707" spans="1:56">
      <c r="C707" s="646" t="s">
        <v>139</v>
      </c>
      <c r="D707" s="647">
        <v>31.41</v>
      </c>
      <c r="E707" s="709">
        <f>73000/10000</f>
        <v>7.3</v>
      </c>
      <c r="F707" s="647"/>
      <c r="G707" s="644">
        <f>23315200/10000</f>
        <v>2331.52</v>
      </c>
      <c r="H707" s="644">
        <f>729998912/100000000</f>
        <v>7.2999891200000002</v>
      </c>
      <c r="J707" s="705"/>
    </row>
    <row r="708" spans="1:56">
      <c r="C708" s="646" t="s">
        <v>234</v>
      </c>
      <c r="D708" s="647">
        <v>31.31</v>
      </c>
      <c r="E708" s="709">
        <f>113150/10000</f>
        <v>11.315</v>
      </c>
      <c r="F708" s="647"/>
      <c r="G708" s="644">
        <f>34461900/10000</f>
        <v>3446.19</v>
      </c>
      <c r="H708" s="644">
        <f>1079002089/100000000</f>
        <v>10.790020889999999</v>
      </c>
      <c r="J708" s="705"/>
    </row>
    <row r="709" spans="1:56">
      <c r="C709" s="1512" t="s">
        <v>3530</v>
      </c>
      <c r="D709" s="647">
        <v>33.03</v>
      </c>
      <c r="E709" s="709">
        <f>58180/10000</f>
        <v>5.8179999999999996</v>
      </c>
      <c r="F709" s="647"/>
      <c r="G709" s="1542">
        <f>35132500/10000</f>
        <v>3513.25</v>
      </c>
      <c r="H709" s="1542">
        <f>1099998575/100000000</f>
        <v>10.99998575</v>
      </c>
      <c r="J709" s="705"/>
    </row>
    <row r="710" spans="1:56">
      <c r="C710" s="1512"/>
      <c r="D710" s="647">
        <v>32.630000000000003</v>
      </c>
      <c r="E710" s="709">
        <f>80000/10000</f>
        <v>8</v>
      </c>
      <c r="F710" s="647"/>
      <c r="G710" s="1542"/>
      <c r="H710" s="1542"/>
      <c r="I710" s="705"/>
    </row>
    <row r="711" spans="1:56">
      <c r="C711" s="1512"/>
      <c r="D711" s="647">
        <v>32.53</v>
      </c>
      <c r="E711" s="709">
        <f>110000/10000</f>
        <v>11</v>
      </c>
      <c r="F711" s="647"/>
      <c r="G711" s="1542"/>
      <c r="H711" s="1542"/>
      <c r="I711" s="705"/>
    </row>
    <row r="712" spans="1:56">
      <c r="C712" s="646" t="s">
        <v>225</v>
      </c>
      <c r="D712" s="647">
        <v>31.31</v>
      </c>
      <c r="E712" s="709">
        <f>65000/10000</f>
        <v>6.5</v>
      </c>
      <c r="F712" s="647"/>
      <c r="G712" s="645"/>
      <c r="H712" s="644"/>
      <c r="I712" s="705"/>
    </row>
    <row r="714" spans="1:56" s="663" customFormat="1">
      <c r="A714" s="663" t="s">
        <v>2861</v>
      </c>
      <c r="B714" s="665" t="s">
        <v>2036</v>
      </c>
      <c r="C714" s="667" t="s">
        <v>126</v>
      </c>
      <c r="D714" s="667" t="s">
        <v>1583</v>
      </c>
      <c r="E714" s="667" t="s">
        <v>4</v>
      </c>
      <c r="F714" s="667" t="s">
        <v>2860</v>
      </c>
      <c r="G714" s="667" t="s">
        <v>2859</v>
      </c>
      <c r="H714" s="667" t="s">
        <v>2858</v>
      </c>
      <c r="I714" s="667" t="s">
        <v>751</v>
      </c>
      <c r="J714" s="665" t="s">
        <v>274</v>
      </c>
      <c r="K714" s="665" t="s">
        <v>273</v>
      </c>
      <c r="L714" s="665" t="s">
        <v>116</v>
      </c>
      <c r="M714" s="665" t="s">
        <v>110</v>
      </c>
      <c r="N714" s="665" t="s">
        <v>276</v>
      </c>
      <c r="O714" s="667" t="s">
        <v>1311</v>
      </c>
      <c r="P714" s="665" t="s">
        <v>275</v>
      </c>
      <c r="Q714" s="665" t="s">
        <v>111</v>
      </c>
      <c r="R714" s="665" t="s">
        <v>2857</v>
      </c>
      <c r="S714" s="665" t="s">
        <v>747</v>
      </c>
      <c r="T714" s="667" t="s">
        <v>12</v>
      </c>
      <c r="U714" s="666" t="s">
        <v>948</v>
      </c>
      <c r="V714" s="665" t="s">
        <v>129</v>
      </c>
      <c r="W714" s="665" t="s">
        <v>220</v>
      </c>
      <c r="X714" s="665" t="s">
        <v>749</v>
      </c>
      <c r="Y714" s="665" t="s">
        <v>750</v>
      </c>
      <c r="Z714" s="665" t="s">
        <v>748</v>
      </c>
      <c r="BB714" s="664"/>
      <c r="BD714" s="664"/>
    </row>
    <row r="715" spans="1:56">
      <c r="A715" s="642" t="s">
        <v>2078</v>
      </c>
      <c r="B715" s="1436">
        <v>86</v>
      </c>
      <c r="C715" s="1471" t="s">
        <v>2687</v>
      </c>
      <c r="D715" s="722" t="s">
        <v>2686</v>
      </c>
      <c r="E715" s="722" t="s">
        <v>2685</v>
      </c>
      <c r="F715" s="721">
        <v>15.95</v>
      </c>
      <c r="G715" s="656">
        <v>15.95</v>
      </c>
      <c r="H715" s="656">
        <f>L715*R715</f>
        <v>117.87301800000002</v>
      </c>
      <c r="I715" s="656">
        <f>F715/H715</f>
        <v>0.13531510663449711</v>
      </c>
      <c r="J715" s="658" t="s">
        <v>3094</v>
      </c>
      <c r="K715" s="645" t="s">
        <v>2638</v>
      </c>
      <c r="L715" s="645">
        <v>38.1</v>
      </c>
      <c r="M715" s="658">
        <v>30.21</v>
      </c>
      <c r="N715" s="653">
        <f>M715/L715</f>
        <v>0.79291338582677162</v>
      </c>
      <c r="O715" s="656">
        <v>34.5</v>
      </c>
      <c r="P715" s="653">
        <f>O715/L715</f>
        <v>0.90551181102362199</v>
      </c>
      <c r="Q715" s="645">
        <v>8</v>
      </c>
      <c r="R715" s="653">
        <v>3.0937800000000002</v>
      </c>
      <c r="S715" s="645" t="s">
        <v>2684</v>
      </c>
      <c r="T715" s="654">
        <v>42905</v>
      </c>
      <c r="U715" s="645">
        <v>13.29</v>
      </c>
      <c r="V715" s="653">
        <f>((U715*(1+X715/10)+Y715/10)/O715)</f>
        <v>0.85617391304347823</v>
      </c>
      <c r="W715" s="645" t="s">
        <v>2683</v>
      </c>
      <c r="X715" s="645">
        <v>12</v>
      </c>
      <c r="Y715" s="645">
        <v>3</v>
      </c>
      <c r="Z715" s="652" t="s">
        <v>2160</v>
      </c>
      <c r="BB715" s="651"/>
      <c r="BD715" s="650"/>
    </row>
    <row r="716" spans="1:56">
      <c r="C716" s="696" t="s">
        <v>112</v>
      </c>
      <c r="D716" s="696" t="s">
        <v>113</v>
      </c>
      <c r="E716" s="696" t="s">
        <v>943</v>
      </c>
      <c r="F716" s="697" t="s">
        <v>411</v>
      </c>
      <c r="G716" s="697" t="s">
        <v>942</v>
      </c>
      <c r="H716" s="696" t="s">
        <v>231</v>
      </c>
    </row>
    <row r="717" spans="1:56">
      <c r="C717" s="646" t="s">
        <v>279</v>
      </c>
      <c r="D717" s="647">
        <v>36.5</v>
      </c>
      <c r="E717" s="643">
        <v>1.94</v>
      </c>
      <c r="F717" s="645"/>
      <c r="G717" s="644">
        <f>5623188/10000</f>
        <v>562.31880000000001</v>
      </c>
      <c r="H717" s="643">
        <f>193999986/100000000</f>
        <v>1.9399998599999999</v>
      </c>
    </row>
    <row r="718" spans="1:56">
      <c r="C718" s="646" t="s">
        <v>1045</v>
      </c>
      <c r="D718" s="647">
        <v>36</v>
      </c>
      <c r="E718" s="643">
        <v>1.61</v>
      </c>
      <c r="F718" s="645"/>
      <c r="G718" s="644">
        <f>4666666/10000</f>
        <v>466.66660000000002</v>
      </c>
      <c r="H718" s="643">
        <f>160999977/100000000</f>
        <v>1.6099997699999999</v>
      </c>
    </row>
    <row r="719" spans="1:56">
      <c r="C719" s="646" t="s">
        <v>125</v>
      </c>
      <c r="D719" s="647">
        <v>35.1</v>
      </c>
      <c r="E719" s="643">
        <v>1.6</v>
      </c>
      <c r="F719" s="645"/>
      <c r="G719" s="644">
        <f>4637681/10000</f>
        <v>463.7681</v>
      </c>
      <c r="H719" s="643">
        <f>159999994.5/100000000</f>
        <v>1.599999945</v>
      </c>
    </row>
    <row r="720" spans="1:56">
      <c r="C720" s="1512" t="s">
        <v>371</v>
      </c>
      <c r="D720" s="647">
        <v>35</v>
      </c>
      <c r="E720" s="643">
        <v>1.6</v>
      </c>
      <c r="F720" s="645"/>
      <c r="G720" s="644">
        <f>4637681/10000</f>
        <v>463.7681</v>
      </c>
      <c r="H720" s="643">
        <f>159999994.5/100000000</f>
        <v>1.599999945</v>
      </c>
    </row>
    <row r="721" spans="3:8">
      <c r="C721" s="1512"/>
      <c r="D721" s="647">
        <v>32.700000000000003</v>
      </c>
      <c r="E721" s="643">
        <v>3.2</v>
      </c>
      <c r="F721" s="645"/>
      <c r="G721" s="645"/>
      <c r="H721" s="645"/>
    </row>
    <row r="722" spans="3:8" ht="28">
      <c r="C722" s="673" t="s">
        <v>3529</v>
      </c>
      <c r="D722" s="647">
        <v>35.1</v>
      </c>
      <c r="E722" s="643">
        <v>1.6</v>
      </c>
      <c r="F722" s="645"/>
      <c r="G722" s="644">
        <f>4637681/10000</f>
        <v>463.7681</v>
      </c>
      <c r="H722" s="643">
        <f>159999994.5/100000000</f>
        <v>1.599999945</v>
      </c>
    </row>
    <row r="723" spans="3:8">
      <c r="C723" s="646" t="s">
        <v>384</v>
      </c>
      <c r="D723" s="647">
        <v>34.5</v>
      </c>
      <c r="E723" s="643">
        <v>1.6</v>
      </c>
      <c r="F723" s="645"/>
      <c r="G723" s="644">
        <f>3342512/10000</f>
        <v>334.25119999999998</v>
      </c>
      <c r="H723" s="643">
        <f>115316664/100000000</f>
        <v>1.15316664</v>
      </c>
    </row>
    <row r="724" spans="3:8">
      <c r="C724" s="646" t="s">
        <v>115</v>
      </c>
      <c r="D724" s="647">
        <v>35.1</v>
      </c>
      <c r="E724" s="643">
        <f>48000/10000</f>
        <v>4.8</v>
      </c>
      <c r="F724" s="645"/>
      <c r="G724" s="644">
        <f>13913043/10000</f>
        <v>1391.3043</v>
      </c>
      <c r="H724" s="643">
        <f>479999983.5/100000000</f>
        <v>4.7999998350000004</v>
      </c>
    </row>
    <row r="725" spans="3:8">
      <c r="C725" s="1512" t="s">
        <v>278</v>
      </c>
      <c r="D725" s="647">
        <v>34.5</v>
      </c>
      <c r="E725" s="643">
        <v>1.65</v>
      </c>
      <c r="F725" s="645"/>
      <c r="G725" s="644">
        <f>4637681/10000</f>
        <v>463.7681</v>
      </c>
      <c r="H725" s="643">
        <f>159999994.5/100000000</f>
        <v>1.599999945</v>
      </c>
    </row>
    <row r="726" spans="3:8">
      <c r="C726" s="1512"/>
      <c r="D726" s="647">
        <v>32</v>
      </c>
      <c r="E726" s="643">
        <v>1.79</v>
      </c>
      <c r="F726" s="645"/>
      <c r="G726" s="645"/>
      <c r="H726" s="645"/>
    </row>
    <row r="727" spans="3:8">
      <c r="C727" s="1512"/>
      <c r="D727" s="647">
        <v>30.7</v>
      </c>
      <c r="E727" s="643">
        <v>1.84</v>
      </c>
      <c r="F727" s="645"/>
      <c r="G727" s="645"/>
      <c r="H727" s="645"/>
    </row>
    <row r="728" spans="3:8">
      <c r="C728" s="646" t="s">
        <v>316</v>
      </c>
      <c r="D728" s="647">
        <v>29.97</v>
      </c>
      <c r="E728" s="643">
        <v>1.6</v>
      </c>
      <c r="F728" s="645"/>
      <c r="G728" s="645"/>
      <c r="H728" s="645"/>
    </row>
    <row r="729" spans="3:8">
      <c r="C729" s="1512" t="s">
        <v>122</v>
      </c>
      <c r="D729" s="647">
        <v>32.700000000000003</v>
      </c>
      <c r="E729" s="643">
        <v>1.6</v>
      </c>
      <c r="F729" s="645"/>
      <c r="G729" s="645"/>
      <c r="H729" s="645"/>
    </row>
    <row r="730" spans="3:8">
      <c r="C730" s="1512"/>
      <c r="D730" s="647">
        <v>31.5</v>
      </c>
      <c r="E730" s="643">
        <v>1.8</v>
      </c>
      <c r="F730" s="645"/>
      <c r="G730" s="645"/>
      <c r="H730" s="645"/>
    </row>
    <row r="731" spans="3:8">
      <c r="C731" s="1512"/>
      <c r="D731" s="647">
        <v>30.1</v>
      </c>
      <c r="E731" s="643">
        <v>2</v>
      </c>
      <c r="F731" s="645"/>
      <c r="G731" s="645"/>
      <c r="H731" s="645"/>
    </row>
    <row r="732" spans="3:8">
      <c r="C732" s="646" t="s">
        <v>309</v>
      </c>
      <c r="D732" s="647">
        <v>32</v>
      </c>
      <c r="E732" s="643">
        <v>1.6</v>
      </c>
      <c r="F732" s="645"/>
      <c r="G732" s="645"/>
      <c r="H732" s="645"/>
    </row>
    <row r="733" spans="3:8">
      <c r="C733" s="646" t="s">
        <v>285</v>
      </c>
      <c r="D733" s="647">
        <v>33.5</v>
      </c>
      <c r="E733" s="643">
        <v>1.6</v>
      </c>
      <c r="F733" s="645"/>
      <c r="G733" s="645"/>
      <c r="H733" s="645"/>
    </row>
    <row r="734" spans="3:8">
      <c r="C734" s="1512" t="s">
        <v>13</v>
      </c>
      <c r="D734" s="647">
        <v>33.1</v>
      </c>
      <c r="E734" s="643">
        <v>2</v>
      </c>
      <c r="F734" s="645"/>
      <c r="G734" s="645"/>
      <c r="H734" s="645"/>
    </row>
    <row r="735" spans="3:8">
      <c r="C735" s="1512"/>
      <c r="D735" s="647">
        <v>30.1</v>
      </c>
      <c r="E735" s="643">
        <v>3</v>
      </c>
      <c r="F735" s="645"/>
      <c r="G735" s="645"/>
      <c r="H735" s="645"/>
    </row>
    <row r="736" spans="3:8">
      <c r="C736" s="1512" t="s">
        <v>127</v>
      </c>
      <c r="D736" s="647">
        <v>34.1</v>
      </c>
      <c r="E736" s="643">
        <v>1.7</v>
      </c>
      <c r="F736" s="645"/>
      <c r="G736" s="645"/>
      <c r="H736" s="645"/>
    </row>
    <row r="737" spans="3:8">
      <c r="C737" s="1512"/>
      <c r="D737" s="647">
        <v>31.2</v>
      </c>
      <c r="E737" s="643">
        <v>3.1</v>
      </c>
      <c r="F737" s="645"/>
      <c r="G737" s="645"/>
      <c r="H737" s="645"/>
    </row>
    <row r="738" spans="3:8">
      <c r="C738" s="646" t="s">
        <v>131</v>
      </c>
      <c r="D738" s="647">
        <v>30.5</v>
      </c>
      <c r="E738" s="643">
        <v>1.79</v>
      </c>
      <c r="F738" s="645"/>
      <c r="G738" s="645"/>
      <c r="H738" s="645"/>
    </row>
    <row r="739" spans="3:8">
      <c r="C739" s="646" t="s">
        <v>2969</v>
      </c>
      <c r="D739" s="647">
        <v>31.1</v>
      </c>
      <c r="E739" s="643">
        <v>1.6</v>
      </c>
      <c r="F739" s="645"/>
      <c r="G739" s="645"/>
      <c r="H739" s="645"/>
    </row>
    <row r="740" spans="3:8">
      <c r="C740" s="646" t="s">
        <v>505</v>
      </c>
      <c r="D740" s="647">
        <v>33.5</v>
      </c>
      <c r="E740" s="643">
        <v>1.8</v>
      </c>
      <c r="F740" s="645"/>
      <c r="G740" s="645"/>
      <c r="H740" s="645"/>
    </row>
    <row r="741" spans="3:8">
      <c r="C741" s="646" t="s">
        <v>173</v>
      </c>
      <c r="D741" s="647">
        <v>31</v>
      </c>
      <c r="E741" s="643">
        <v>1.79</v>
      </c>
      <c r="F741" s="645"/>
      <c r="G741" s="645"/>
      <c r="H741" s="645"/>
    </row>
    <row r="742" spans="3:8">
      <c r="C742" s="646" t="s">
        <v>552</v>
      </c>
      <c r="D742" s="647">
        <v>32.5</v>
      </c>
      <c r="E742" s="643">
        <v>1.6</v>
      </c>
      <c r="F742" s="645"/>
      <c r="G742" s="645"/>
      <c r="H742" s="645"/>
    </row>
    <row r="743" spans="3:8">
      <c r="C743" s="1512" t="s">
        <v>121</v>
      </c>
      <c r="D743" s="647">
        <v>30.5</v>
      </c>
      <c r="E743" s="643">
        <v>1.6</v>
      </c>
      <c r="F743" s="645"/>
      <c r="G743" s="645"/>
      <c r="H743" s="645"/>
    </row>
    <row r="744" spans="3:8">
      <c r="C744" s="1512"/>
      <c r="D744" s="647">
        <v>29.97</v>
      </c>
      <c r="E744" s="643">
        <v>1.61</v>
      </c>
      <c r="F744" s="645"/>
      <c r="G744" s="645"/>
      <c r="H744" s="645"/>
    </row>
    <row r="745" spans="3:8">
      <c r="C745" s="646" t="s">
        <v>459</v>
      </c>
      <c r="D745" s="647">
        <v>32</v>
      </c>
      <c r="E745" s="643">
        <v>1.6</v>
      </c>
      <c r="F745" s="645"/>
      <c r="G745" s="645"/>
      <c r="H745" s="645"/>
    </row>
    <row r="746" spans="3:8">
      <c r="C746" s="1512" t="s">
        <v>336</v>
      </c>
      <c r="D746" s="647">
        <v>34.200000000000003</v>
      </c>
      <c r="E746" s="643">
        <v>1.71</v>
      </c>
      <c r="F746" s="645"/>
      <c r="G746" s="645"/>
      <c r="H746" s="645"/>
    </row>
    <row r="747" spans="3:8">
      <c r="C747" s="1512"/>
      <c r="D747" s="647">
        <v>33</v>
      </c>
      <c r="E747" s="643">
        <v>2.21</v>
      </c>
      <c r="F747" s="645"/>
      <c r="G747" s="645"/>
      <c r="H747" s="645"/>
    </row>
    <row r="748" spans="3:8">
      <c r="C748" s="1512"/>
      <c r="D748" s="647">
        <v>32.299999999999997</v>
      </c>
      <c r="E748" s="643">
        <v>2.71</v>
      </c>
      <c r="F748" s="645"/>
      <c r="G748" s="645"/>
      <c r="H748" s="645"/>
    </row>
    <row r="749" spans="3:8">
      <c r="C749" s="1512" t="s">
        <v>147</v>
      </c>
      <c r="D749" s="647">
        <v>32.1</v>
      </c>
      <c r="E749" s="643">
        <v>2</v>
      </c>
      <c r="F749" s="645"/>
      <c r="G749" s="645"/>
      <c r="H749" s="645"/>
    </row>
    <row r="750" spans="3:8">
      <c r="C750" s="1512"/>
      <c r="D750" s="647">
        <v>30.8</v>
      </c>
      <c r="E750" s="643">
        <f>36000/10000</f>
        <v>3.6</v>
      </c>
      <c r="F750" s="645"/>
      <c r="G750" s="645"/>
      <c r="H750" s="645"/>
    </row>
    <row r="751" spans="3:8">
      <c r="C751" s="646" t="s">
        <v>136</v>
      </c>
      <c r="D751" s="647">
        <v>32.200000000000003</v>
      </c>
      <c r="E751" s="643">
        <v>1.69</v>
      </c>
      <c r="F751" s="645"/>
      <c r="G751" s="645"/>
      <c r="H751" s="645"/>
    </row>
    <row r="752" spans="3:8">
      <c r="C752" s="1512" t="s">
        <v>383</v>
      </c>
      <c r="D752" s="647">
        <v>31.6</v>
      </c>
      <c r="E752" s="643">
        <v>1.6</v>
      </c>
      <c r="F752" s="645"/>
      <c r="G752" s="645"/>
      <c r="H752" s="645"/>
    </row>
    <row r="753" spans="1:56">
      <c r="C753" s="1512"/>
      <c r="D753" s="647">
        <v>30.6</v>
      </c>
      <c r="E753" s="643">
        <v>1.6</v>
      </c>
      <c r="F753" s="645"/>
      <c r="G753" s="645"/>
      <c r="H753" s="645"/>
    </row>
    <row r="754" spans="1:56">
      <c r="C754" s="1512"/>
      <c r="D754" s="647">
        <v>29.97</v>
      </c>
      <c r="E754" s="643">
        <v>1.6</v>
      </c>
      <c r="F754" s="645"/>
      <c r="G754" s="645"/>
      <c r="H754" s="645"/>
    </row>
    <row r="755" spans="1:56">
      <c r="C755" s="646" t="s">
        <v>3275</v>
      </c>
      <c r="D755" s="647">
        <v>31.4</v>
      </c>
      <c r="E755" s="643">
        <v>1.6</v>
      </c>
      <c r="F755" s="645"/>
      <c r="G755" s="645"/>
      <c r="H755" s="645"/>
    </row>
    <row r="756" spans="1:56">
      <c r="C756" s="646" t="s">
        <v>974</v>
      </c>
      <c r="D756" s="647">
        <v>31.1</v>
      </c>
      <c r="E756" s="643">
        <v>1.6</v>
      </c>
      <c r="F756" s="645"/>
      <c r="G756" s="645"/>
      <c r="H756" s="645"/>
    </row>
    <row r="757" spans="1:56">
      <c r="C757" s="646" t="s">
        <v>138</v>
      </c>
      <c r="D757" s="647">
        <v>31.3</v>
      </c>
      <c r="E757" s="643">
        <v>1.6</v>
      </c>
      <c r="F757" s="645"/>
      <c r="G757" s="645"/>
      <c r="H757" s="645"/>
    </row>
    <row r="758" spans="1:56">
      <c r="C758" s="646" t="s">
        <v>1283</v>
      </c>
      <c r="D758" s="647">
        <v>31</v>
      </c>
      <c r="E758" s="643">
        <v>1.6</v>
      </c>
      <c r="F758" s="645"/>
      <c r="G758" s="645"/>
      <c r="H758" s="645"/>
    </row>
    <row r="759" spans="1:56">
      <c r="E759" s="777"/>
    </row>
    <row r="760" spans="1:56" s="663" customFormat="1">
      <c r="A760" s="663" t="s">
        <v>2861</v>
      </c>
      <c r="B760" s="665" t="s">
        <v>2036</v>
      </c>
      <c r="C760" s="667" t="s">
        <v>126</v>
      </c>
      <c r="D760" s="667" t="s">
        <v>1583</v>
      </c>
      <c r="E760" s="667" t="s">
        <v>4</v>
      </c>
      <c r="F760" s="667" t="s">
        <v>2860</v>
      </c>
      <c r="G760" s="667" t="s">
        <v>2859</v>
      </c>
      <c r="H760" s="667" t="s">
        <v>2858</v>
      </c>
      <c r="I760" s="667" t="s">
        <v>751</v>
      </c>
      <c r="J760" s="665" t="s">
        <v>274</v>
      </c>
      <c r="K760" s="665" t="s">
        <v>273</v>
      </c>
      <c r="L760" s="665" t="s">
        <v>116</v>
      </c>
      <c r="M760" s="665" t="s">
        <v>110</v>
      </c>
      <c r="N760" s="665" t="s">
        <v>276</v>
      </c>
      <c r="O760" s="667" t="s">
        <v>1311</v>
      </c>
      <c r="P760" s="665" t="s">
        <v>275</v>
      </c>
      <c r="Q760" s="665" t="s">
        <v>111</v>
      </c>
      <c r="R760" s="665" t="s">
        <v>2857</v>
      </c>
      <c r="S760" s="665" t="s">
        <v>747</v>
      </c>
      <c r="T760" s="667" t="s">
        <v>12</v>
      </c>
      <c r="U760" s="666" t="s">
        <v>948</v>
      </c>
      <c r="V760" s="665" t="s">
        <v>129</v>
      </c>
      <c r="W760" s="665" t="s">
        <v>220</v>
      </c>
      <c r="X760" s="665" t="s">
        <v>749</v>
      </c>
      <c r="Y760" s="665" t="s">
        <v>750</v>
      </c>
      <c r="Z760" s="668" t="s">
        <v>748</v>
      </c>
      <c r="AA760" s="716"/>
      <c r="BB760" s="664"/>
      <c r="BD760" s="664"/>
    </row>
    <row r="761" spans="1:56">
      <c r="A761" s="642" t="s">
        <v>2078</v>
      </c>
      <c r="B761" s="1436">
        <v>87</v>
      </c>
      <c r="C761" s="1437" t="s">
        <v>2682</v>
      </c>
      <c r="D761" s="662" t="s">
        <v>2681</v>
      </c>
      <c r="E761" s="662" t="s">
        <v>2680</v>
      </c>
      <c r="F761" s="661">
        <v>100</v>
      </c>
      <c r="G761" s="660">
        <v>90</v>
      </c>
      <c r="H761" s="659">
        <f>L761*R761</f>
        <v>913.24510350000003</v>
      </c>
      <c r="I761" s="656">
        <f>F761/H761</f>
        <v>0.10949962897884839</v>
      </c>
      <c r="J761" s="658" t="s">
        <v>3093</v>
      </c>
      <c r="K761" s="645" t="s">
        <v>2679</v>
      </c>
      <c r="L761" s="645">
        <v>8.49</v>
      </c>
      <c r="M761" s="658">
        <v>8.19</v>
      </c>
      <c r="N761" s="699">
        <f>M761/L761</f>
        <v>0.96466431095406358</v>
      </c>
      <c r="O761" s="660">
        <v>8.19</v>
      </c>
      <c r="P761" s="699">
        <f>O761/L761</f>
        <v>0.96466431095406358</v>
      </c>
      <c r="Q761" s="642">
        <v>4</v>
      </c>
      <c r="R761" s="699">
        <v>107.56715</v>
      </c>
      <c r="S761" s="642" t="s">
        <v>2678</v>
      </c>
      <c r="T761" s="651">
        <v>42906</v>
      </c>
      <c r="U761" s="642">
        <v>9.3800000000000008</v>
      </c>
      <c r="V761" s="699">
        <f>((U761*(1+X761/10)+Y761/10)/O761)</f>
        <v>1.1837606837606838</v>
      </c>
      <c r="W761" s="642" t="s">
        <v>2677</v>
      </c>
      <c r="X761" s="642">
        <v>0</v>
      </c>
      <c r="Y761" s="642">
        <v>3.15</v>
      </c>
      <c r="Z761" s="650" t="s">
        <v>2233</v>
      </c>
      <c r="BB761" s="651"/>
      <c r="BD761" s="650"/>
    </row>
    <row r="762" spans="1:56">
      <c r="C762" s="648" t="s">
        <v>112</v>
      </c>
      <c r="D762" s="648" t="s">
        <v>113</v>
      </c>
      <c r="E762" s="648" t="s">
        <v>943</v>
      </c>
      <c r="F762" s="649" t="s">
        <v>411</v>
      </c>
      <c r="G762" s="649" t="s">
        <v>942</v>
      </c>
      <c r="H762" s="648" t="s">
        <v>231</v>
      </c>
    </row>
    <row r="763" spans="1:56">
      <c r="C763" s="646" t="s">
        <v>3528</v>
      </c>
      <c r="D763" s="646" t="s">
        <v>294</v>
      </c>
      <c r="E763" s="645"/>
      <c r="F763" s="645"/>
      <c r="G763" s="644">
        <f>122100122/10000</f>
        <v>12210.012199999999</v>
      </c>
      <c r="H763" s="643">
        <f>999999999.18/100000000</f>
        <v>9.9999999917999993</v>
      </c>
    </row>
    <row r="764" spans="1:56">
      <c r="C764" s="646" t="s">
        <v>124</v>
      </c>
      <c r="D764" s="647">
        <v>8.19</v>
      </c>
      <c r="E764" s="653">
        <f>6000000003.27/100000000</f>
        <v>60.000000032700008</v>
      </c>
      <c r="F764" s="645"/>
      <c r="G764" s="644">
        <f>732600733/10000</f>
        <v>73260.073300000004</v>
      </c>
      <c r="H764" s="643">
        <f>6000000003.27/100000000</f>
        <v>60.000000032700008</v>
      </c>
    </row>
    <row r="765" spans="1:56">
      <c r="C765" s="646" t="s">
        <v>3527</v>
      </c>
      <c r="D765" s="647">
        <v>8.19</v>
      </c>
      <c r="E765" s="653">
        <f>1000000638/100000000</f>
        <v>10.00000638</v>
      </c>
      <c r="F765" s="645"/>
      <c r="G765" s="644">
        <f>122100195/10000</f>
        <v>12210.0195</v>
      </c>
      <c r="H765" s="643">
        <f>1000000597.05/100000000</f>
        <v>10.0000059705</v>
      </c>
    </row>
    <row r="766" spans="1:56">
      <c r="C766" s="646" t="s">
        <v>3258</v>
      </c>
      <c r="D766" s="647">
        <v>8.1999999999999993</v>
      </c>
      <c r="E766" s="653">
        <f>1000000004/100000000</f>
        <v>10.00000004</v>
      </c>
      <c r="F766" s="645"/>
      <c r="G766" s="644">
        <f>122100122/10000</f>
        <v>12210.012199999999</v>
      </c>
      <c r="H766" s="643">
        <f>999999999.18/100000000</f>
        <v>9.9999999917999993</v>
      </c>
    </row>
    <row r="768" spans="1:56" s="663" customFormat="1">
      <c r="A768" s="663" t="s">
        <v>2861</v>
      </c>
      <c r="B768" s="665" t="s">
        <v>2036</v>
      </c>
      <c r="C768" s="667" t="s">
        <v>126</v>
      </c>
      <c r="D768" s="667" t="s">
        <v>1583</v>
      </c>
      <c r="E768" s="667" t="s">
        <v>4</v>
      </c>
      <c r="F768" s="667" t="s">
        <v>2860</v>
      </c>
      <c r="G768" s="667" t="s">
        <v>2859</v>
      </c>
      <c r="H768" s="667" t="s">
        <v>2858</v>
      </c>
      <c r="I768" s="667" t="s">
        <v>751</v>
      </c>
      <c r="J768" s="665" t="s">
        <v>274</v>
      </c>
      <c r="K768" s="665" t="s">
        <v>273</v>
      </c>
      <c r="L768" s="665" t="s">
        <v>116</v>
      </c>
      <c r="M768" s="665" t="s">
        <v>110</v>
      </c>
      <c r="N768" s="665" t="s">
        <v>276</v>
      </c>
      <c r="O768" s="667" t="s">
        <v>1311</v>
      </c>
      <c r="P768" s="665" t="s">
        <v>275</v>
      </c>
      <c r="Q768" s="665" t="s">
        <v>111</v>
      </c>
      <c r="R768" s="665" t="s">
        <v>2857</v>
      </c>
      <c r="S768" s="665" t="s">
        <v>747</v>
      </c>
      <c r="T768" s="667" t="s">
        <v>12</v>
      </c>
      <c r="U768" s="666" t="s">
        <v>948</v>
      </c>
      <c r="V768" s="665" t="s">
        <v>129</v>
      </c>
      <c r="W768" s="665" t="s">
        <v>220</v>
      </c>
      <c r="X768" s="665" t="s">
        <v>749</v>
      </c>
      <c r="Y768" s="665" t="s">
        <v>750</v>
      </c>
      <c r="Z768" s="668" t="s">
        <v>748</v>
      </c>
      <c r="AA768" s="716"/>
      <c r="BB768" s="664"/>
      <c r="BD768" s="664"/>
    </row>
    <row r="769" spans="1:56">
      <c r="A769" s="642" t="s">
        <v>2078</v>
      </c>
      <c r="B769" s="1436">
        <v>88</v>
      </c>
      <c r="C769" s="786" t="s">
        <v>2676</v>
      </c>
      <c r="D769" s="722" t="s">
        <v>2675</v>
      </c>
      <c r="E769" s="722" t="s">
        <v>2674</v>
      </c>
      <c r="F769" s="721">
        <v>15</v>
      </c>
      <c r="G769" s="721">
        <v>14.87</v>
      </c>
      <c r="H769" s="721">
        <f>L769*R769</f>
        <v>59.669258799999994</v>
      </c>
      <c r="I769" s="721">
        <f>F769/H769</f>
        <v>0.25138572694990474</v>
      </c>
      <c r="J769" s="645" t="s">
        <v>3092</v>
      </c>
      <c r="K769" s="645" t="s">
        <v>2255</v>
      </c>
      <c r="L769" s="645">
        <v>10.54</v>
      </c>
      <c r="M769" s="645">
        <v>10.45</v>
      </c>
      <c r="N769" s="653">
        <f>M769/L769</f>
        <v>0.99146110056925996</v>
      </c>
      <c r="O769" s="721">
        <v>10.46</v>
      </c>
      <c r="P769" s="653">
        <f>O769/L769</f>
        <v>0.99240986717267565</v>
      </c>
      <c r="Q769" s="645">
        <v>5</v>
      </c>
      <c r="R769" s="653">
        <v>5.6612200000000001</v>
      </c>
      <c r="S769" s="784" t="s">
        <v>2673</v>
      </c>
      <c r="T769" s="654">
        <v>42907</v>
      </c>
      <c r="U769" s="781">
        <v>6.33</v>
      </c>
      <c r="V769" s="653">
        <f>((U769*(1+X769/10)+Y769/10)/O769)</f>
        <v>1.2198852772466537</v>
      </c>
      <c r="W769" s="658" t="s">
        <v>891</v>
      </c>
      <c r="X769" s="645">
        <v>10</v>
      </c>
      <c r="Y769" s="645">
        <v>1</v>
      </c>
      <c r="Z769" s="783" t="s">
        <v>2093</v>
      </c>
      <c r="AA769" s="688"/>
      <c r="BB769" s="749"/>
      <c r="BD769" s="748"/>
    </row>
    <row r="770" spans="1:56">
      <c r="C770" s="648" t="s">
        <v>112</v>
      </c>
      <c r="D770" s="648" t="s">
        <v>113</v>
      </c>
      <c r="E770" s="648" t="s">
        <v>943</v>
      </c>
      <c r="F770" s="649" t="s">
        <v>411</v>
      </c>
      <c r="G770" s="649" t="s">
        <v>942</v>
      </c>
      <c r="H770" s="648" t="s">
        <v>231</v>
      </c>
    </row>
    <row r="771" spans="1:56">
      <c r="C771" s="646" t="s">
        <v>1164</v>
      </c>
      <c r="D771" s="647">
        <v>10.48</v>
      </c>
      <c r="E771" s="643">
        <f>369000000/100000000</f>
        <v>3.69</v>
      </c>
      <c r="F771" s="645"/>
      <c r="G771" s="644">
        <f>35277246/10000</f>
        <v>3527.7246</v>
      </c>
      <c r="H771" s="643">
        <f>368999993.16/100000000</f>
        <v>3.6899999316000001</v>
      </c>
    </row>
    <row r="772" spans="1:56">
      <c r="C772" s="1512" t="s">
        <v>134</v>
      </c>
      <c r="D772" s="647">
        <v>10.53</v>
      </c>
      <c r="E772" s="643">
        <f>297000000/100000000</f>
        <v>2.97</v>
      </c>
      <c r="F772" s="645"/>
      <c r="G772" s="644">
        <f>28393881/10000</f>
        <v>2839.3881000000001</v>
      </c>
      <c r="H772" s="643">
        <f>296999995.26/100000000</f>
        <v>2.9699999525999998</v>
      </c>
    </row>
    <row r="773" spans="1:56">
      <c r="C773" s="1512"/>
      <c r="D773" s="647">
        <v>10.51</v>
      </c>
      <c r="E773" s="643">
        <f>297000000/100000000</f>
        <v>2.97</v>
      </c>
      <c r="F773" s="645"/>
      <c r="G773" s="645"/>
      <c r="H773" s="645"/>
    </row>
    <row r="774" spans="1:56">
      <c r="C774" s="1512"/>
      <c r="D774" s="647">
        <v>10.49</v>
      </c>
      <c r="E774" s="643">
        <f>297000000/100000000</f>
        <v>2.97</v>
      </c>
      <c r="F774" s="645"/>
      <c r="G774" s="645"/>
      <c r="H774" s="645"/>
    </row>
    <row r="775" spans="1:56" ht="28">
      <c r="C775" s="673" t="s">
        <v>3526</v>
      </c>
      <c r="D775" s="647">
        <v>10.46</v>
      </c>
      <c r="E775" s="643">
        <f>450000000/100000000</f>
        <v>4.5</v>
      </c>
      <c r="F775" s="645"/>
      <c r="G775" s="644">
        <f>35277246/10000</f>
        <v>3527.7246</v>
      </c>
      <c r="H775" s="643">
        <f>368999993.16/100000000</f>
        <v>3.6899999316000001</v>
      </c>
    </row>
    <row r="776" spans="1:56">
      <c r="C776" s="646" t="s">
        <v>974</v>
      </c>
      <c r="D776" s="647">
        <v>10.46</v>
      </c>
      <c r="E776" s="643">
        <f>370000000/100000000</f>
        <v>3.7</v>
      </c>
      <c r="F776" s="645"/>
      <c r="G776" s="644">
        <f>35372848/10000</f>
        <v>3537.2847999999999</v>
      </c>
      <c r="H776" s="643">
        <f>369999990.08/100000000</f>
        <v>3.6999999008</v>
      </c>
    </row>
    <row r="777" spans="1:56">
      <c r="C777" s="646" t="s">
        <v>131</v>
      </c>
      <c r="D777" s="647">
        <v>10.46</v>
      </c>
      <c r="E777" s="643">
        <f>52700000/100000000</f>
        <v>0.52700000000000002</v>
      </c>
      <c r="F777" s="645"/>
      <c r="G777" s="645"/>
      <c r="H777" s="645"/>
    </row>
    <row r="778" spans="1:56">
      <c r="C778" s="646" t="s">
        <v>115</v>
      </c>
      <c r="D778" s="647">
        <v>10.46</v>
      </c>
      <c r="E778" s="643">
        <f>60500000/100000000</f>
        <v>0.60499999999999998</v>
      </c>
      <c r="F778" s="645"/>
      <c r="G778" s="644">
        <f>114993/10000</f>
        <v>11.4993</v>
      </c>
      <c r="H778" s="643">
        <f>1202826.78/100000000</f>
        <v>1.2028267800000001E-2</v>
      </c>
    </row>
    <row r="780" spans="1:56" s="663" customFormat="1">
      <c r="A780" s="663" t="s">
        <v>2861</v>
      </c>
      <c r="B780" s="665" t="s">
        <v>2036</v>
      </c>
      <c r="C780" s="667" t="s">
        <v>126</v>
      </c>
      <c r="D780" s="667" t="s">
        <v>1583</v>
      </c>
      <c r="E780" s="667" t="s">
        <v>4</v>
      </c>
      <c r="F780" s="667" t="s">
        <v>2860</v>
      </c>
      <c r="G780" s="667" t="s">
        <v>2859</v>
      </c>
      <c r="H780" s="667" t="s">
        <v>2858</v>
      </c>
      <c r="I780" s="667" t="s">
        <v>751</v>
      </c>
      <c r="J780" s="665" t="s">
        <v>274</v>
      </c>
      <c r="K780" s="665" t="s">
        <v>273</v>
      </c>
      <c r="L780" s="665" t="s">
        <v>116</v>
      </c>
      <c r="M780" s="665" t="s">
        <v>110</v>
      </c>
      <c r="N780" s="665" t="s">
        <v>276</v>
      </c>
      <c r="O780" s="667" t="s">
        <v>1311</v>
      </c>
      <c r="P780" s="665" t="s">
        <v>275</v>
      </c>
      <c r="Q780" s="665" t="s">
        <v>111</v>
      </c>
      <c r="R780" s="665" t="s">
        <v>2857</v>
      </c>
      <c r="S780" s="665" t="s">
        <v>747</v>
      </c>
      <c r="T780" s="667" t="s">
        <v>12</v>
      </c>
      <c r="U780" s="666" t="s">
        <v>948</v>
      </c>
      <c r="V780" s="665" t="s">
        <v>129</v>
      </c>
      <c r="W780" s="665" t="s">
        <v>220</v>
      </c>
      <c r="X780" s="665" t="s">
        <v>749</v>
      </c>
      <c r="Y780" s="665" t="s">
        <v>750</v>
      </c>
      <c r="Z780" s="665" t="s">
        <v>748</v>
      </c>
      <c r="BB780" s="664"/>
      <c r="BD780" s="664"/>
    </row>
    <row r="781" spans="1:56">
      <c r="A781" s="642" t="s">
        <v>2078</v>
      </c>
      <c r="B781" s="1436">
        <v>89</v>
      </c>
      <c r="C781" s="1437" t="s">
        <v>2672</v>
      </c>
      <c r="D781" s="662" t="s">
        <v>2671</v>
      </c>
      <c r="E781" s="662" t="s">
        <v>2670</v>
      </c>
      <c r="F781" s="661">
        <v>5.8</v>
      </c>
      <c r="G781" s="660">
        <v>5.8</v>
      </c>
      <c r="H781" s="659">
        <f>L781*R781</f>
        <v>57.212157300000001</v>
      </c>
      <c r="I781" s="656">
        <f>F781/H781</f>
        <v>0.10137705469812794</v>
      </c>
      <c r="J781" s="658" t="s">
        <v>3091</v>
      </c>
      <c r="K781" s="645" t="s">
        <v>2089</v>
      </c>
      <c r="L781" s="645">
        <v>10.59</v>
      </c>
      <c r="M781" s="658">
        <v>9.89</v>
      </c>
      <c r="N781" s="653">
        <f>M781/L781</f>
        <v>0.93389990557129376</v>
      </c>
      <c r="O781" s="656">
        <v>9.89</v>
      </c>
      <c r="P781" s="653">
        <f>O781/L781</f>
        <v>0.93389990557129376</v>
      </c>
      <c r="Q781" s="645">
        <v>7</v>
      </c>
      <c r="R781" s="653">
        <v>5.4024700000000001</v>
      </c>
      <c r="S781" s="645" t="s">
        <v>2669</v>
      </c>
      <c r="T781" s="654">
        <v>42906</v>
      </c>
      <c r="U781" s="645">
        <v>6.84</v>
      </c>
      <c r="V781" s="653">
        <f>((U781*(1+X781/10)+Y781/10)/O781)</f>
        <v>0.97836198179979761</v>
      </c>
      <c r="W781" s="645" t="s">
        <v>2343</v>
      </c>
      <c r="X781" s="645">
        <v>4</v>
      </c>
      <c r="Y781" s="645">
        <v>1</v>
      </c>
      <c r="Z781" s="652" t="s">
        <v>2104</v>
      </c>
      <c r="BB781" s="651"/>
      <c r="BD781" s="650"/>
    </row>
    <row r="782" spans="1:56">
      <c r="C782" s="648" t="s">
        <v>112</v>
      </c>
      <c r="D782" s="648" t="s">
        <v>113</v>
      </c>
      <c r="E782" s="648" t="s">
        <v>943</v>
      </c>
      <c r="F782" s="649" t="s">
        <v>411</v>
      </c>
      <c r="G782" s="649" t="s">
        <v>942</v>
      </c>
      <c r="H782" s="648" t="s">
        <v>231</v>
      </c>
    </row>
    <row r="783" spans="1:56">
      <c r="C783" s="646" t="s">
        <v>3525</v>
      </c>
      <c r="D783" s="647">
        <v>10.64</v>
      </c>
      <c r="E783" s="643">
        <f>58000000/100000000</f>
        <v>0.57999999999999996</v>
      </c>
      <c r="F783" s="645"/>
      <c r="G783" s="644">
        <f>5864509/10000</f>
        <v>586.45090000000005</v>
      </c>
      <c r="H783" s="643">
        <f>57999994.01/100000000</f>
        <v>0.5799999401</v>
      </c>
    </row>
    <row r="784" spans="1:56">
      <c r="C784" s="646" t="s">
        <v>150</v>
      </c>
      <c r="D784" s="647">
        <v>10.58</v>
      </c>
      <c r="E784" s="643">
        <f>90000000/100000000</f>
        <v>0.9</v>
      </c>
      <c r="F784" s="645"/>
      <c r="G784" s="644">
        <f>13852376/10000</f>
        <v>1385.2375999999999</v>
      </c>
      <c r="H784" s="643">
        <f>136999998.64/100000000</f>
        <v>1.3699999863999999</v>
      </c>
    </row>
    <row r="785" spans="1:56">
      <c r="C785" s="646"/>
      <c r="D785" s="647">
        <v>10.1</v>
      </c>
      <c r="E785" s="643">
        <f>137000000/100000000</f>
        <v>1.37</v>
      </c>
      <c r="F785" s="645"/>
      <c r="G785" s="645"/>
      <c r="H785" s="645"/>
    </row>
    <row r="786" spans="1:56">
      <c r="C786" s="646" t="s">
        <v>152</v>
      </c>
      <c r="D786" s="647">
        <v>10.29</v>
      </c>
      <c r="E786" s="643">
        <f>178000000/100000000</f>
        <v>1.78</v>
      </c>
      <c r="F786" s="645"/>
      <c r="G786" s="644">
        <f>20141557/10000</f>
        <v>2014.1557</v>
      </c>
      <c r="H786" s="643">
        <f>199199998.73/100000000</f>
        <v>1.9919999872999998</v>
      </c>
    </row>
    <row r="787" spans="1:56">
      <c r="C787" s="646"/>
      <c r="D787" s="647">
        <v>9.98</v>
      </c>
      <c r="E787" s="643">
        <f>199200000/100000000</f>
        <v>1.992</v>
      </c>
      <c r="F787" s="645"/>
      <c r="G787" s="645"/>
      <c r="H787" s="645"/>
    </row>
    <row r="788" spans="1:56">
      <c r="C788" s="646" t="s">
        <v>234</v>
      </c>
      <c r="D788" s="647">
        <v>9.9499999999999993</v>
      </c>
      <c r="E788" s="643">
        <f>58000000/100000000</f>
        <v>0.57999999999999996</v>
      </c>
      <c r="F788" s="645"/>
      <c r="G788" s="644">
        <f>5864509/10000</f>
        <v>586.45090000000005</v>
      </c>
      <c r="H788" s="643">
        <f>57999994.01/100000000</f>
        <v>0.5799999401</v>
      </c>
    </row>
    <row r="789" spans="1:56">
      <c r="C789" s="646" t="s">
        <v>527</v>
      </c>
      <c r="D789" s="647">
        <v>9.9499999999999993</v>
      </c>
      <c r="E789" s="643">
        <f>58000000/100000000</f>
        <v>0.57999999999999996</v>
      </c>
      <c r="F789" s="645"/>
      <c r="G789" s="644">
        <f>5864509/10000</f>
        <v>586.45090000000005</v>
      </c>
      <c r="H789" s="643">
        <f>57999994.01/100000000</f>
        <v>0.5799999401</v>
      </c>
    </row>
    <row r="790" spans="1:56">
      <c r="C790" s="646"/>
      <c r="D790" s="647">
        <v>9.89</v>
      </c>
      <c r="E790" s="643">
        <f>58000000/100000000</f>
        <v>0.57999999999999996</v>
      </c>
      <c r="F790" s="645"/>
      <c r="G790" s="645"/>
      <c r="H790" s="645"/>
    </row>
    <row r="791" spans="1:56">
      <c r="C791" s="646" t="s">
        <v>173</v>
      </c>
      <c r="D791" s="647">
        <v>9.9</v>
      </c>
      <c r="E791" s="643">
        <f>59000000/100000000</f>
        <v>0.59</v>
      </c>
      <c r="F791" s="645"/>
      <c r="G791" s="644">
        <f>5965621/10000</f>
        <v>596.56209999999999</v>
      </c>
      <c r="H791" s="643">
        <f>58999991.69/100000000</f>
        <v>0.58999991689999998</v>
      </c>
    </row>
    <row r="792" spans="1:56">
      <c r="C792" s="646" t="s">
        <v>115</v>
      </c>
      <c r="D792" s="647">
        <v>9.89</v>
      </c>
      <c r="E792" s="643">
        <f>58000000/100000000</f>
        <v>0.57999999999999996</v>
      </c>
      <c r="F792" s="645"/>
      <c r="G792" s="644">
        <f>1092015/10000</f>
        <v>109.2015</v>
      </c>
      <c r="H792" s="643">
        <f>10800028.35/100000000</f>
        <v>0.1080002835</v>
      </c>
    </row>
    <row r="793" spans="1:56">
      <c r="C793" s="646" t="s">
        <v>147</v>
      </c>
      <c r="D793" s="647">
        <v>9.89</v>
      </c>
      <c r="E793" s="643">
        <f>58000000/100000000</f>
        <v>0.57999999999999996</v>
      </c>
      <c r="F793" s="645"/>
      <c r="G793" s="645"/>
      <c r="H793" s="645"/>
    </row>
    <row r="795" spans="1:56" s="663" customFormat="1">
      <c r="A795" s="663" t="s">
        <v>2861</v>
      </c>
      <c r="B795" s="665" t="s">
        <v>2036</v>
      </c>
      <c r="C795" s="667" t="s">
        <v>126</v>
      </c>
      <c r="D795" s="667" t="s">
        <v>1583</v>
      </c>
      <c r="E795" s="667" t="s">
        <v>4</v>
      </c>
      <c r="F795" s="667" t="s">
        <v>2860</v>
      </c>
      <c r="G795" s="667" t="s">
        <v>2859</v>
      </c>
      <c r="H795" s="667" t="s">
        <v>2858</v>
      </c>
      <c r="I795" s="667" t="s">
        <v>751</v>
      </c>
      <c r="J795" s="665" t="s">
        <v>274</v>
      </c>
      <c r="K795" s="665" t="s">
        <v>273</v>
      </c>
      <c r="L795" s="665" t="s">
        <v>116</v>
      </c>
      <c r="M795" s="665" t="s">
        <v>110</v>
      </c>
      <c r="N795" s="665" t="s">
        <v>276</v>
      </c>
      <c r="O795" s="667" t="s">
        <v>1311</v>
      </c>
      <c r="P795" s="665" t="s">
        <v>275</v>
      </c>
      <c r="Q795" s="665" t="s">
        <v>111</v>
      </c>
      <c r="R795" s="665" t="s">
        <v>2857</v>
      </c>
      <c r="S795" s="665" t="s">
        <v>747</v>
      </c>
      <c r="T795" s="667" t="s">
        <v>12</v>
      </c>
      <c r="U795" s="666" t="s">
        <v>948</v>
      </c>
      <c r="V795" s="665" t="s">
        <v>129</v>
      </c>
      <c r="W795" s="665" t="s">
        <v>220</v>
      </c>
      <c r="X795" s="665" t="s">
        <v>749</v>
      </c>
      <c r="Y795" s="665" t="s">
        <v>750</v>
      </c>
      <c r="Z795" s="665" t="s">
        <v>748</v>
      </c>
      <c r="BB795" s="664"/>
      <c r="BD795" s="664"/>
    </row>
    <row r="796" spans="1:56">
      <c r="A796" s="642" t="s">
        <v>2078</v>
      </c>
      <c r="B796" s="781">
        <v>90</v>
      </c>
      <c r="C796" s="1437" t="s">
        <v>2668</v>
      </c>
      <c r="D796" s="848" t="s">
        <v>2667</v>
      </c>
      <c r="E796" s="848" t="s">
        <v>2666</v>
      </c>
      <c r="F796" s="847">
        <v>6</v>
      </c>
      <c r="G796" s="776">
        <v>6</v>
      </c>
      <c r="H796" s="847">
        <f>L796*R796</f>
        <v>78.433608582000005</v>
      </c>
      <c r="I796" s="846">
        <f>F796/H796</f>
        <v>7.6497819091508185E-2</v>
      </c>
      <c r="J796" s="781" t="s">
        <v>3090</v>
      </c>
      <c r="K796" s="781" t="s">
        <v>2246</v>
      </c>
      <c r="L796" s="781">
        <v>21.35</v>
      </c>
      <c r="M796" s="781">
        <v>20</v>
      </c>
      <c r="N796" s="653">
        <f>M796/L796</f>
        <v>0.93676814988290391</v>
      </c>
      <c r="O796" s="656">
        <v>20.41</v>
      </c>
      <c r="P796" s="653">
        <f>O796/L796</f>
        <v>0.95597189695550344</v>
      </c>
      <c r="Q796" s="645">
        <v>2</v>
      </c>
      <c r="R796" s="653">
        <v>3.6737053199999998</v>
      </c>
      <c r="S796" s="645" t="s">
        <v>2665</v>
      </c>
      <c r="T796" s="654">
        <v>42906</v>
      </c>
      <c r="U796" s="645">
        <v>19.55</v>
      </c>
      <c r="V796" s="653">
        <f>((U796*(1+X796/10)+Y796/10)/O796)</f>
        <v>0.9627633512983832</v>
      </c>
      <c r="W796" s="645" t="s">
        <v>2123</v>
      </c>
      <c r="X796" s="645">
        <v>0</v>
      </c>
      <c r="Y796" s="645">
        <v>1</v>
      </c>
      <c r="Z796" s="652" t="s">
        <v>2166</v>
      </c>
      <c r="BB796" s="651"/>
      <c r="BD796" s="650"/>
    </row>
    <row r="797" spans="1:56">
      <c r="C797" s="648" t="s">
        <v>112</v>
      </c>
      <c r="D797" s="648" t="s">
        <v>113</v>
      </c>
      <c r="E797" s="648" t="s">
        <v>943</v>
      </c>
      <c r="F797" s="649" t="s">
        <v>411</v>
      </c>
      <c r="G797" s="649" t="s">
        <v>942</v>
      </c>
      <c r="H797" s="648" t="s">
        <v>231</v>
      </c>
    </row>
    <row r="798" spans="1:56">
      <c r="C798" s="1512" t="s">
        <v>115</v>
      </c>
      <c r="D798" s="647">
        <v>20.260000000000002</v>
      </c>
      <c r="E798" s="647">
        <v>1.2</v>
      </c>
      <c r="F798" s="645"/>
      <c r="G798" s="645"/>
      <c r="H798" s="645"/>
    </row>
    <row r="799" spans="1:56" ht="16" customHeight="1">
      <c r="C799" s="1512"/>
      <c r="D799" s="647">
        <v>20</v>
      </c>
      <c r="E799" s="647">
        <v>1.2</v>
      </c>
      <c r="F799" s="645"/>
      <c r="G799" s="645"/>
      <c r="H799" s="645"/>
    </row>
    <row r="800" spans="1:56">
      <c r="C800" s="646" t="s">
        <v>173</v>
      </c>
      <c r="D800" s="647">
        <v>20.350000000000001</v>
      </c>
      <c r="E800" s="647">
        <v>1.2</v>
      </c>
      <c r="F800" s="645"/>
      <c r="G800" s="645"/>
      <c r="H800" s="645"/>
    </row>
    <row r="801" spans="1:56" ht="28">
      <c r="C801" s="673" t="s">
        <v>3524</v>
      </c>
      <c r="D801" s="647">
        <v>21.31</v>
      </c>
      <c r="E801" s="647">
        <v>2</v>
      </c>
      <c r="F801" s="645"/>
      <c r="G801" s="644">
        <f>9799118/10000</f>
        <v>979.91179999999997</v>
      </c>
      <c r="H801" s="643">
        <f>199999998.38/100000000</f>
        <v>1.9999999838</v>
      </c>
    </row>
    <row r="802" spans="1:56">
      <c r="C802" s="1514" t="s">
        <v>3523</v>
      </c>
      <c r="D802" s="647">
        <v>21.31</v>
      </c>
      <c r="E802" s="647">
        <v>1.26</v>
      </c>
      <c r="F802" s="645"/>
      <c r="G802" s="644">
        <f>19598236/10000</f>
        <v>1959.8235999999999</v>
      </c>
      <c r="H802" s="643">
        <f>399999996.76/100000000</f>
        <v>3.9999999676</v>
      </c>
    </row>
    <row r="803" spans="1:56">
      <c r="C803" s="1514"/>
      <c r="D803" s="647">
        <v>20.41</v>
      </c>
      <c r="E803" s="647">
        <f>40000/10000</f>
        <v>4</v>
      </c>
      <c r="F803" s="645"/>
      <c r="G803" s="645"/>
      <c r="H803" s="645"/>
    </row>
    <row r="805" spans="1:56" s="663" customFormat="1">
      <c r="A805" s="663" t="s">
        <v>2861</v>
      </c>
      <c r="B805" s="665" t="s">
        <v>2036</v>
      </c>
      <c r="C805" s="667" t="s">
        <v>126</v>
      </c>
      <c r="D805" s="667" t="s">
        <v>1583</v>
      </c>
      <c r="E805" s="667" t="s">
        <v>4</v>
      </c>
      <c r="F805" s="667" t="s">
        <v>2860</v>
      </c>
      <c r="G805" s="667" t="s">
        <v>2859</v>
      </c>
      <c r="H805" s="667" t="s">
        <v>2858</v>
      </c>
      <c r="I805" s="667" t="s">
        <v>751</v>
      </c>
      <c r="J805" s="665" t="s">
        <v>274</v>
      </c>
      <c r="K805" s="665" t="s">
        <v>273</v>
      </c>
      <c r="L805" s="665" t="s">
        <v>116</v>
      </c>
      <c r="M805" s="665" t="s">
        <v>110</v>
      </c>
      <c r="N805" s="665" t="s">
        <v>276</v>
      </c>
      <c r="O805" s="678" t="s">
        <v>1311</v>
      </c>
      <c r="P805" s="665" t="s">
        <v>275</v>
      </c>
      <c r="Q805" s="665" t="s">
        <v>111</v>
      </c>
      <c r="R805" s="665" t="s">
        <v>2857</v>
      </c>
      <c r="S805" s="665" t="s">
        <v>747</v>
      </c>
      <c r="T805" s="667" t="s">
        <v>12</v>
      </c>
      <c r="U805" s="666" t="s">
        <v>948</v>
      </c>
      <c r="V805" s="665" t="s">
        <v>129</v>
      </c>
      <c r="W805" s="665" t="s">
        <v>220</v>
      </c>
      <c r="X805" s="665" t="s">
        <v>749</v>
      </c>
      <c r="Y805" s="665" t="s">
        <v>750</v>
      </c>
      <c r="Z805" s="665" t="s">
        <v>748</v>
      </c>
      <c r="BB805" s="664"/>
      <c r="BD805" s="664"/>
    </row>
    <row r="806" spans="1:56">
      <c r="A806" s="642" t="s">
        <v>2078</v>
      </c>
      <c r="B806" s="1436">
        <v>91</v>
      </c>
      <c r="C806" s="1471" t="s">
        <v>2664</v>
      </c>
      <c r="D806" s="722" t="s">
        <v>2663</v>
      </c>
      <c r="E806" s="722" t="s">
        <v>2662</v>
      </c>
      <c r="F806" s="721">
        <v>7.25</v>
      </c>
      <c r="G806" s="656">
        <v>7.25</v>
      </c>
      <c r="H806" s="656">
        <f>L806*R806</f>
        <v>77.470781849999995</v>
      </c>
      <c r="I806" s="656">
        <f>F806/H806</f>
        <v>9.358366892485416E-2</v>
      </c>
      <c r="J806" s="658" t="s">
        <v>3089</v>
      </c>
      <c r="K806" s="645" t="s">
        <v>2240</v>
      </c>
      <c r="L806" s="645">
        <v>12.6</v>
      </c>
      <c r="M806" s="658">
        <v>10.9</v>
      </c>
      <c r="N806" s="653">
        <f>M806/L806</f>
        <v>0.86507936507936511</v>
      </c>
      <c r="O806" s="742">
        <v>12.81</v>
      </c>
      <c r="P806" s="653">
        <f>O806/L806</f>
        <v>1.0166666666666668</v>
      </c>
      <c r="Q806" s="645">
        <v>4</v>
      </c>
      <c r="R806" s="653">
        <v>6.1484747500000001</v>
      </c>
      <c r="S806" s="658" t="s">
        <v>2661</v>
      </c>
      <c r="T806" s="654">
        <v>42542</v>
      </c>
      <c r="U806" s="645">
        <v>14.57</v>
      </c>
      <c r="V806" s="653">
        <f>((U806*(1+X806/10)+Y806/10)/O806)</f>
        <v>1.1373926619828258</v>
      </c>
      <c r="W806" s="645" t="s">
        <v>223</v>
      </c>
      <c r="X806" s="645">
        <v>0</v>
      </c>
      <c r="Y806" s="645">
        <v>0</v>
      </c>
      <c r="Z806" s="652" t="s">
        <v>2160</v>
      </c>
      <c r="BB806" s="651"/>
      <c r="BD806" s="650"/>
    </row>
    <row r="807" spans="1:56">
      <c r="C807" s="696" t="s">
        <v>112</v>
      </c>
      <c r="D807" s="696" t="s">
        <v>113</v>
      </c>
      <c r="E807" s="696" t="s">
        <v>943</v>
      </c>
      <c r="F807" s="697" t="s">
        <v>411</v>
      </c>
      <c r="G807" s="697" t="s">
        <v>942</v>
      </c>
      <c r="H807" s="696" t="s">
        <v>231</v>
      </c>
    </row>
    <row r="808" spans="1:56">
      <c r="C808" s="693" t="s">
        <v>122</v>
      </c>
      <c r="D808" s="796">
        <v>11</v>
      </c>
      <c r="E808" s="795">
        <v>1.5</v>
      </c>
    </row>
    <row r="809" spans="1:56">
      <c r="C809" s="1575" t="s">
        <v>130</v>
      </c>
      <c r="D809" s="796">
        <v>13.22</v>
      </c>
      <c r="E809" s="795">
        <v>2.2999999999999998</v>
      </c>
      <c r="G809" s="1583">
        <f>17954722/10000</f>
        <v>1795.4721999999999</v>
      </c>
      <c r="H809" s="1586">
        <f>229999988.82/100000000</f>
        <v>2.2999998881999999</v>
      </c>
    </row>
    <row r="810" spans="1:56">
      <c r="C810" s="1576"/>
      <c r="D810" s="796">
        <v>11.3</v>
      </c>
      <c r="E810" s="795">
        <v>2.2999999999999998</v>
      </c>
      <c r="G810" s="1584"/>
      <c r="H810" s="1587"/>
    </row>
    <row r="811" spans="1:56">
      <c r="C811" s="1577"/>
      <c r="D811" s="796">
        <v>10.91</v>
      </c>
      <c r="E811" s="795">
        <v>2.34</v>
      </c>
      <c r="G811" s="1585"/>
      <c r="H811" s="1588"/>
    </row>
    <row r="812" spans="1:56">
      <c r="C812" s="1575" t="s">
        <v>148</v>
      </c>
      <c r="D812" s="796">
        <v>13.38</v>
      </c>
      <c r="E812" s="795">
        <v>1.62</v>
      </c>
      <c r="G812" s="1583">
        <f>12646370/10000</f>
        <v>1264.6369999999999</v>
      </c>
      <c r="H812" s="1586">
        <f>161999999.7/100000000</f>
        <v>1.6199999969999999</v>
      </c>
    </row>
    <row r="813" spans="1:56">
      <c r="C813" s="1576"/>
      <c r="D813" s="796">
        <v>11.27</v>
      </c>
      <c r="E813" s="795">
        <v>1.62</v>
      </c>
      <c r="G813" s="1584"/>
      <c r="H813" s="1587"/>
    </row>
    <row r="814" spans="1:56">
      <c r="C814" s="1577"/>
      <c r="D814" s="796">
        <v>10.93</v>
      </c>
      <c r="E814" s="795">
        <v>1.64</v>
      </c>
      <c r="G814" s="1585"/>
      <c r="H814" s="1588"/>
    </row>
    <row r="815" spans="1:56">
      <c r="C815" s="693" t="s">
        <v>134</v>
      </c>
      <c r="D815" s="796">
        <v>12.81</v>
      </c>
      <c r="E815" s="795">
        <v>1.5</v>
      </c>
      <c r="G815" s="794">
        <f>11435934/10000</f>
        <v>1143.5934</v>
      </c>
      <c r="H815" s="795">
        <f>146494314.54/100000000</f>
        <v>1.4649431453999999</v>
      </c>
    </row>
    <row r="816" spans="1:56">
      <c r="C816" s="1575" t="s">
        <v>279</v>
      </c>
      <c r="D816" s="796">
        <v>13.16</v>
      </c>
      <c r="E816" s="795">
        <v>1.87</v>
      </c>
      <c r="G816" s="1583">
        <f>14597970/10000</f>
        <v>1459.797</v>
      </c>
      <c r="H816" s="1586">
        <f>186999995.7/100000000</f>
        <v>1.8699999569999999</v>
      </c>
    </row>
    <row r="817" spans="1:56">
      <c r="C817" s="1576"/>
      <c r="D817" s="796">
        <v>11.28</v>
      </c>
      <c r="E817" s="795">
        <v>1.88</v>
      </c>
      <c r="G817" s="1584"/>
      <c r="H817" s="1587"/>
    </row>
    <row r="818" spans="1:56">
      <c r="C818" s="1577"/>
      <c r="D818" s="796">
        <v>10.96</v>
      </c>
      <c r="E818" s="795">
        <v>1.92</v>
      </c>
      <c r="G818" s="1585"/>
      <c r="H818" s="1588"/>
    </row>
    <row r="819" spans="1:56">
      <c r="C819" s="693" t="s">
        <v>147</v>
      </c>
      <c r="D819" s="796">
        <v>10.9</v>
      </c>
      <c r="E819" s="795">
        <v>1.5</v>
      </c>
    </row>
    <row r="820" spans="1:56">
      <c r="C820" s="693" t="s">
        <v>115</v>
      </c>
      <c r="D820" s="796">
        <v>11.52</v>
      </c>
      <c r="E820" s="795">
        <v>2.5</v>
      </c>
    </row>
    <row r="821" spans="1:56">
      <c r="C821" s="1575" t="s">
        <v>383</v>
      </c>
      <c r="D821" s="796">
        <v>12.8</v>
      </c>
      <c r="E821" s="795">
        <v>1.5</v>
      </c>
    </row>
    <row r="822" spans="1:56">
      <c r="C822" s="1576"/>
      <c r="D822" s="796">
        <v>11.5</v>
      </c>
      <c r="E822" s="795">
        <v>1.5</v>
      </c>
    </row>
    <row r="823" spans="1:56">
      <c r="C823" s="1577"/>
      <c r="D823" s="796">
        <v>11</v>
      </c>
      <c r="E823" s="795">
        <v>1.5</v>
      </c>
    </row>
    <row r="824" spans="1:56">
      <c r="C824" s="693" t="s">
        <v>127</v>
      </c>
      <c r="D824" s="796">
        <v>11.06</v>
      </c>
      <c r="E824" s="795">
        <v>1.5</v>
      </c>
    </row>
    <row r="825" spans="1:56">
      <c r="E825" s="777"/>
    </row>
    <row r="826" spans="1:56" s="663" customFormat="1">
      <c r="A826" s="663" t="s">
        <v>2861</v>
      </c>
      <c r="B826" s="665" t="s">
        <v>2036</v>
      </c>
      <c r="C826" s="667" t="s">
        <v>126</v>
      </c>
      <c r="D826" s="667" t="s">
        <v>1583</v>
      </c>
      <c r="E826" s="667" t="s">
        <v>4</v>
      </c>
      <c r="F826" s="667" t="s">
        <v>2860</v>
      </c>
      <c r="G826" s="667" t="s">
        <v>2859</v>
      </c>
      <c r="H826" s="667" t="s">
        <v>2858</v>
      </c>
      <c r="I826" s="667" t="s">
        <v>751</v>
      </c>
      <c r="J826" s="665" t="s">
        <v>274</v>
      </c>
      <c r="K826" s="665" t="s">
        <v>273</v>
      </c>
      <c r="L826" s="665" t="s">
        <v>116</v>
      </c>
      <c r="M826" s="665" t="s">
        <v>110</v>
      </c>
      <c r="N826" s="665" t="s">
        <v>276</v>
      </c>
      <c r="O826" s="667" t="s">
        <v>1311</v>
      </c>
      <c r="P826" s="665" t="s">
        <v>275</v>
      </c>
      <c r="Q826" s="665" t="s">
        <v>111</v>
      </c>
      <c r="R826" s="665" t="s">
        <v>2857</v>
      </c>
      <c r="S826" s="665" t="s">
        <v>747</v>
      </c>
      <c r="T826" s="667" t="s">
        <v>12</v>
      </c>
      <c r="U826" s="666" t="s">
        <v>948</v>
      </c>
      <c r="V826" s="665" t="s">
        <v>129</v>
      </c>
      <c r="W826" s="665" t="s">
        <v>220</v>
      </c>
      <c r="X826" s="665" t="s">
        <v>749</v>
      </c>
      <c r="Y826" s="665" t="s">
        <v>750</v>
      </c>
      <c r="Z826" s="665" t="s">
        <v>748</v>
      </c>
      <c r="BB826" s="664"/>
      <c r="BD826" s="664"/>
    </row>
    <row r="827" spans="1:56">
      <c r="A827" s="642" t="s">
        <v>2078</v>
      </c>
      <c r="B827" s="1436">
        <v>92</v>
      </c>
      <c r="C827" s="1471" t="s">
        <v>2660</v>
      </c>
      <c r="D827" s="722" t="s">
        <v>2659</v>
      </c>
      <c r="E827" s="722" t="s">
        <v>2658</v>
      </c>
      <c r="F827" s="721">
        <v>11.75</v>
      </c>
      <c r="G827" s="656">
        <v>11.75</v>
      </c>
      <c r="H827" s="656">
        <f>L827*R827</f>
        <v>131.6693665656</v>
      </c>
      <c r="I827" s="656">
        <f>F827/H827</f>
        <v>8.9238676439944306E-2</v>
      </c>
      <c r="J827" s="658" t="s">
        <v>3088</v>
      </c>
      <c r="K827" s="645" t="s">
        <v>2657</v>
      </c>
      <c r="L827" s="645">
        <v>12.58</v>
      </c>
      <c r="M827" s="658">
        <v>7.35</v>
      </c>
      <c r="N827" s="653">
        <f>M827/L827</f>
        <v>0.5842607313195548</v>
      </c>
      <c r="O827" s="656">
        <v>9</v>
      </c>
      <c r="P827" s="653">
        <f>O827/L827</f>
        <v>0.71542130365659773</v>
      </c>
      <c r="Q827" s="645">
        <v>6</v>
      </c>
      <c r="R827" s="653">
        <v>10.466563320000001</v>
      </c>
      <c r="S827" s="645" t="s">
        <v>2656</v>
      </c>
      <c r="T827" s="654">
        <v>42912</v>
      </c>
      <c r="U827" s="645">
        <v>6.25</v>
      </c>
      <c r="V827" s="653">
        <f>((U827*(1+X827/10)+Y827/10)/O827)</f>
        <v>0.7</v>
      </c>
      <c r="W827" s="645" t="s">
        <v>2105</v>
      </c>
      <c r="X827" s="645">
        <v>0</v>
      </c>
      <c r="Y827" s="645">
        <v>0.5</v>
      </c>
      <c r="Z827" s="652" t="s">
        <v>2160</v>
      </c>
      <c r="BB827" s="651"/>
      <c r="BD827" s="650"/>
    </row>
    <row r="828" spans="1:56">
      <c r="C828" s="648" t="s">
        <v>112</v>
      </c>
      <c r="D828" s="648" t="s">
        <v>113</v>
      </c>
      <c r="E828" s="648" t="s">
        <v>943</v>
      </c>
      <c r="F828" s="649" t="s">
        <v>411</v>
      </c>
      <c r="G828" s="649" t="s">
        <v>942</v>
      </c>
      <c r="H828" s="648" t="s">
        <v>231</v>
      </c>
    </row>
    <row r="829" spans="1:56">
      <c r="C829" s="1512" t="s">
        <v>127</v>
      </c>
      <c r="D829" s="647">
        <v>10.8</v>
      </c>
      <c r="E829" s="643">
        <v>1.25</v>
      </c>
      <c r="F829" s="645"/>
      <c r="G829" s="644">
        <f>25555555/10000</f>
        <v>2555.5554999999999</v>
      </c>
      <c r="H829" s="643">
        <f>229999995/100000000</f>
        <v>2.2999999500000001</v>
      </c>
    </row>
    <row r="830" spans="1:56">
      <c r="C830" s="1512"/>
      <c r="D830" s="647">
        <v>10.3</v>
      </c>
      <c r="E830" s="643">
        <v>2.2999999999999998</v>
      </c>
      <c r="F830" s="645"/>
      <c r="G830" s="645"/>
      <c r="H830" s="712"/>
    </row>
    <row r="831" spans="1:56">
      <c r="C831" s="646" t="s">
        <v>115</v>
      </c>
      <c r="D831" s="647">
        <v>10.7</v>
      </c>
      <c r="E831" s="643">
        <f>45000/10000</f>
        <v>4.5</v>
      </c>
      <c r="F831" s="645"/>
      <c r="G831" s="644">
        <f>50000000/10000</f>
        <v>5000</v>
      </c>
      <c r="H831" s="643">
        <f>450000000/100000000</f>
        <v>4.5</v>
      </c>
    </row>
    <row r="832" spans="1:56">
      <c r="C832" s="1512" t="s">
        <v>2969</v>
      </c>
      <c r="D832" s="647">
        <v>10.199999999999999</v>
      </c>
      <c r="E832" s="643">
        <v>1.2</v>
      </c>
      <c r="F832" s="645"/>
      <c r="G832" s="644">
        <f>14666666/10000</f>
        <v>1466.6666</v>
      </c>
      <c r="H832" s="643">
        <f>131999994/100000000</f>
        <v>1.31999994</v>
      </c>
    </row>
    <row r="833" spans="3:8">
      <c r="C833" s="1512"/>
      <c r="D833" s="647">
        <v>9.1999999999999993</v>
      </c>
      <c r="E833" s="643">
        <v>1.32</v>
      </c>
      <c r="F833" s="645"/>
      <c r="G833" s="645"/>
      <c r="H833" s="712"/>
    </row>
    <row r="834" spans="3:8">
      <c r="C834" s="1512"/>
      <c r="D834" s="647">
        <v>7.8</v>
      </c>
      <c r="E834" s="643">
        <v>1.56</v>
      </c>
      <c r="F834" s="645"/>
      <c r="G834" s="645"/>
      <c r="H834" s="712"/>
    </row>
    <row r="835" spans="3:8">
      <c r="C835" s="646" t="s">
        <v>974</v>
      </c>
      <c r="D835" s="647">
        <v>9.1</v>
      </c>
      <c r="E835" s="643">
        <v>1.2</v>
      </c>
      <c r="F835" s="645"/>
      <c r="G835" s="644">
        <f>13333333/10000</f>
        <v>1333.3333</v>
      </c>
      <c r="H835" s="643">
        <f>119999997/100000000</f>
        <v>1.1999999699999999</v>
      </c>
    </row>
    <row r="836" spans="3:8">
      <c r="C836" s="646" t="s">
        <v>285</v>
      </c>
      <c r="D836" s="647">
        <v>9.1</v>
      </c>
      <c r="E836" s="643">
        <v>1.2</v>
      </c>
      <c r="F836" s="645"/>
      <c r="G836" s="644">
        <f>13333333/10000</f>
        <v>1333.3333</v>
      </c>
      <c r="H836" s="643">
        <f>119999997/100000000</f>
        <v>1.1999999699999999</v>
      </c>
    </row>
    <row r="837" spans="3:8">
      <c r="C837" s="1512" t="s">
        <v>278</v>
      </c>
      <c r="D837" s="647">
        <v>9</v>
      </c>
      <c r="E837" s="643">
        <v>1.87</v>
      </c>
      <c r="F837" s="645"/>
      <c r="G837" s="644">
        <f>13666668/10000</f>
        <v>1366.6668</v>
      </c>
      <c r="H837" s="643">
        <f>123000012/100000000</f>
        <v>1.2300001199999999</v>
      </c>
    </row>
    <row r="838" spans="3:8">
      <c r="C838" s="1512"/>
      <c r="D838" s="647">
        <v>7.8</v>
      </c>
      <c r="E838" s="643">
        <v>2.44</v>
      </c>
      <c r="F838" s="645"/>
      <c r="G838" s="645"/>
      <c r="H838" s="645"/>
    </row>
    <row r="839" spans="3:8">
      <c r="C839" s="1512"/>
      <c r="D839" s="647">
        <v>7.4</v>
      </c>
      <c r="E839" s="643">
        <v>2.4500000000000002</v>
      </c>
      <c r="F839" s="645"/>
      <c r="G839" s="645"/>
      <c r="H839" s="645"/>
    </row>
    <row r="840" spans="3:8">
      <c r="C840" s="1512" t="s">
        <v>122</v>
      </c>
      <c r="D840" s="647">
        <v>7.8</v>
      </c>
      <c r="E840" s="643">
        <v>1.2</v>
      </c>
      <c r="F840" s="645"/>
      <c r="G840" s="645"/>
      <c r="H840" s="645"/>
    </row>
    <row r="841" spans="3:8">
      <c r="C841" s="1512"/>
      <c r="D841" s="647">
        <v>7.6</v>
      </c>
      <c r="E841" s="643">
        <v>1.4</v>
      </c>
      <c r="F841" s="645"/>
      <c r="G841" s="645"/>
      <c r="H841" s="645"/>
    </row>
    <row r="842" spans="3:8">
      <c r="C842" s="1512"/>
      <c r="D842" s="647">
        <v>7.4</v>
      </c>
      <c r="E842" s="643">
        <v>1.6</v>
      </c>
      <c r="F842" s="645"/>
      <c r="G842" s="645"/>
      <c r="H842" s="645"/>
    </row>
    <row r="843" spans="3:8">
      <c r="C843" s="646" t="s">
        <v>3522</v>
      </c>
      <c r="D843" s="647">
        <v>7.35</v>
      </c>
      <c r="E843" s="643">
        <v>1.2</v>
      </c>
      <c r="F843" s="645"/>
      <c r="G843" s="645"/>
      <c r="H843" s="645"/>
    </row>
    <row r="844" spans="3:8">
      <c r="C844" s="646" t="s">
        <v>124</v>
      </c>
      <c r="D844" s="647">
        <v>7.6</v>
      </c>
      <c r="E844" s="643">
        <v>1.55</v>
      </c>
      <c r="F844" s="645"/>
      <c r="G844" s="645"/>
      <c r="H844" s="645"/>
    </row>
    <row r="845" spans="3:8">
      <c r="C845" s="646" t="s">
        <v>6</v>
      </c>
      <c r="D845" s="647">
        <v>8.8000000000000007</v>
      </c>
      <c r="E845" s="643">
        <v>1.2</v>
      </c>
      <c r="F845" s="645"/>
      <c r="G845" s="645"/>
      <c r="H845" s="645"/>
    </row>
    <row r="846" spans="3:8">
      <c r="C846" s="1512" t="s">
        <v>351</v>
      </c>
      <c r="D846" s="647">
        <v>8.5</v>
      </c>
      <c r="E846" s="643">
        <v>1.2</v>
      </c>
      <c r="F846" s="645"/>
      <c r="G846" s="645"/>
      <c r="H846" s="645"/>
    </row>
    <row r="847" spans="3:8">
      <c r="C847" s="1512"/>
      <c r="D847" s="647">
        <v>7.4</v>
      </c>
      <c r="E847" s="643">
        <v>1.3</v>
      </c>
      <c r="F847" s="645"/>
      <c r="G847" s="645"/>
      <c r="H847" s="645"/>
    </row>
    <row r="848" spans="3:8">
      <c r="C848" s="646" t="s">
        <v>131</v>
      </c>
      <c r="D848" s="647">
        <v>8.1</v>
      </c>
      <c r="E848" s="643">
        <v>2.71</v>
      </c>
      <c r="F848" s="645"/>
      <c r="G848" s="645"/>
      <c r="H848" s="645"/>
    </row>
    <row r="849" spans="1:56">
      <c r="C849" s="646" t="s">
        <v>148</v>
      </c>
      <c r="D849" s="647">
        <v>8.4</v>
      </c>
      <c r="E849" s="643">
        <v>1.42</v>
      </c>
      <c r="F849" s="645"/>
      <c r="G849" s="645"/>
      <c r="H849" s="645"/>
    </row>
    <row r="850" spans="1:56">
      <c r="C850" s="646" t="s">
        <v>120</v>
      </c>
      <c r="D850" s="647">
        <v>7.5</v>
      </c>
      <c r="E850" s="643">
        <v>1.2</v>
      </c>
      <c r="F850" s="645"/>
      <c r="G850" s="645"/>
      <c r="H850" s="645"/>
    </row>
    <row r="851" spans="1:56">
      <c r="C851" s="646" t="s">
        <v>173</v>
      </c>
      <c r="D851" s="647">
        <v>7.7</v>
      </c>
      <c r="E851" s="643">
        <v>1.2</v>
      </c>
      <c r="F851" s="645"/>
      <c r="G851" s="645"/>
      <c r="H851" s="645"/>
    </row>
    <row r="852" spans="1:56">
      <c r="C852" s="1512" t="s">
        <v>147</v>
      </c>
      <c r="D852" s="647">
        <v>8.5</v>
      </c>
      <c r="E852" s="643">
        <v>1.48</v>
      </c>
      <c r="F852" s="645"/>
      <c r="G852" s="645"/>
      <c r="H852" s="645"/>
    </row>
    <row r="853" spans="1:56">
      <c r="C853" s="1512"/>
      <c r="D853" s="647">
        <v>7.4</v>
      </c>
      <c r="E853" s="643">
        <v>2.68</v>
      </c>
      <c r="F853" s="645"/>
      <c r="G853" s="645"/>
      <c r="H853" s="645"/>
    </row>
    <row r="854" spans="1:56">
      <c r="C854" s="646" t="s">
        <v>138</v>
      </c>
      <c r="D854" s="647">
        <v>8.9</v>
      </c>
      <c r="E854" s="643">
        <v>1.3</v>
      </c>
      <c r="F854" s="645"/>
      <c r="G854" s="645"/>
      <c r="H854" s="645"/>
    </row>
    <row r="856" spans="1:56" s="663" customFormat="1">
      <c r="A856" s="663" t="s">
        <v>2861</v>
      </c>
      <c r="B856" s="665" t="s">
        <v>2036</v>
      </c>
      <c r="C856" s="667" t="s">
        <v>126</v>
      </c>
      <c r="D856" s="667" t="s">
        <v>1583</v>
      </c>
      <c r="E856" s="667" t="s">
        <v>4</v>
      </c>
      <c r="F856" s="667" t="s">
        <v>2860</v>
      </c>
      <c r="G856" s="667" t="s">
        <v>2859</v>
      </c>
      <c r="H856" s="667" t="s">
        <v>2858</v>
      </c>
      <c r="I856" s="667" t="s">
        <v>751</v>
      </c>
      <c r="J856" s="665" t="s">
        <v>274</v>
      </c>
      <c r="K856" s="665" t="s">
        <v>273</v>
      </c>
      <c r="L856" s="665" t="s">
        <v>116</v>
      </c>
      <c r="M856" s="665" t="s">
        <v>110</v>
      </c>
      <c r="N856" s="665" t="s">
        <v>276</v>
      </c>
      <c r="O856" s="667" t="s">
        <v>1311</v>
      </c>
      <c r="P856" s="665" t="s">
        <v>275</v>
      </c>
      <c r="Q856" s="665" t="s">
        <v>111</v>
      </c>
      <c r="R856" s="665" t="s">
        <v>2857</v>
      </c>
      <c r="S856" s="665" t="s">
        <v>747</v>
      </c>
      <c r="T856" s="667" t="s">
        <v>12</v>
      </c>
      <c r="U856" s="666" t="s">
        <v>948</v>
      </c>
      <c r="V856" s="665" t="s">
        <v>129</v>
      </c>
      <c r="W856" s="665" t="s">
        <v>220</v>
      </c>
      <c r="X856" s="665" t="s">
        <v>749</v>
      </c>
      <c r="Y856" s="665" t="s">
        <v>750</v>
      </c>
      <c r="Z856" s="665" t="s">
        <v>748</v>
      </c>
      <c r="BB856" s="664"/>
      <c r="BD856" s="664"/>
    </row>
    <row r="857" spans="1:56">
      <c r="A857" s="642" t="s">
        <v>2078</v>
      </c>
      <c r="B857" s="1436">
        <v>93</v>
      </c>
      <c r="C857" s="1471" t="s">
        <v>2655</v>
      </c>
      <c r="D857" s="722" t="s">
        <v>2654</v>
      </c>
      <c r="E857" s="722" t="s">
        <v>2653</v>
      </c>
      <c r="F857" s="721">
        <v>10.68</v>
      </c>
      <c r="G857" s="656">
        <v>10.68</v>
      </c>
      <c r="H857" s="656">
        <f>L857*R857</f>
        <v>81.916008362500008</v>
      </c>
      <c r="I857" s="656">
        <f>F857/H857</f>
        <v>0.1303774465271571</v>
      </c>
      <c r="J857" s="658" t="s">
        <v>3087</v>
      </c>
      <c r="K857" s="645" t="s">
        <v>2638</v>
      </c>
      <c r="L857" s="645">
        <v>16.25</v>
      </c>
      <c r="M857" s="658">
        <v>9.7899999999999991</v>
      </c>
      <c r="N857" s="653">
        <f>M857/L857</f>
        <v>0.60246153846153838</v>
      </c>
      <c r="O857" s="656">
        <v>14</v>
      </c>
      <c r="P857" s="653">
        <f>O857/L857</f>
        <v>0.86153846153846159</v>
      </c>
      <c r="Q857" s="645">
        <v>8</v>
      </c>
      <c r="R857" s="653">
        <v>5.0409851300000001</v>
      </c>
      <c r="S857" s="645" t="s">
        <v>2652</v>
      </c>
      <c r="T857" s="654">
        <v>42912</v>
      </c>
      <c r="U857" s="645">
        <v>11.77</v>
      </c>
      <c r="V857" s="653">
        <f>((U857*(1+X857/10)+Y857/10)/O857)</f>
        <v>0.84071428571428564</v>
      </c>
      <c r="W857" s="645" t="s">
        <v>223</v>
      </c>
      <c r="X857" s="645">
        <v>0</v>
      </c>
      <c r="Y857" s="645">
        <v>0</v>
      </c>
      <c r="Z857" s="652" t="s">
        <v>2233</v>
      </c>
      <c r="BB857" s="651"/>
      <c r="BD857" s="650"/>
    </row>
    <row r="858" spans="1:56">
      <c r="C858" s="696" t="s">
        <v>112</v>
      </c>
      <c r="D858" s="696" t="s">
        <v>113</v>
      </c>
      <c r="E858" s="696" t="s">
        <v>943</v>
      </c>
      <c r="F858" s="697" t="s">
        <v>411</v>
      </c>
      <c r="G858" s="697" t="s">
        <v>942</v>
      </c>
      <c r="H858" s="696" t="s">
        <v>231</v>
      </c>
    </row>
    <row r="859" spans="1:56">
      <c r="C859" s="1512" t="s">
        <v>1031</v>
      </c>
      <c r="D859" s="745">
        <v>15.1</v>
      </c>
      <c r="E859" s="643">
        <v>1.1000000000000001</v>
      </c>
      <c r="F859" s="645"/>
      <c r="G859" s="644">
        <f>7857142/10000</f>
        <v>785.71420000000001</v>
      </c>
      <c r="H859" s="643">
        <f>109999988/100000000</f>
        <v>1.0999998799999999</v>
      </c>
      <c r="J859" s="705"/>
    </row>
    <row r="860" spans="1:56">
      <c r="C860" s="1512"/>
      <c r="D860" s="745">
        <v>13.2</v>
      </c>
      <c r="E860" s="643">
        <v>1.3</v>
      </c>
      <c r="F860" s="645"/>
      <c r="G860" s="645"/>
      <c r="H860" s="712"/>
    </row>
    <row r="861" spans="1:56">
      <c r="C861" s="1512"/>
      <c r="D861" s="745">
        <v>12.2</v>
      </c>
      <c r="E861" s="643">
        <v>1.5</v>
      </c>
      <c r="F861" s="645"/>
      <c r="G861" s="645"/>
      <c r="H861" s="712"/>
    </row>
    <row r="862" spans="1:56">
      <c r="C862" s="646" t="s">
        <v>1056</v>
      </c>
      <c r="D862" s="845">
        <v>14</v>
      </c>
      <c r="E862" s="643">
        <v>1.6</v>
      </c>
      <c r="F862" s="645"/>
      <c r="G862" s="644">
        <f>6321433/10000</f>
        <v>632.14329999999995</v>
      </c>
      <c r="H862" s="643">
        <f>88500062/100000000</f>
        <v>0.88500062000000002</v>
      </c>
      <c r="J862" s="705"/>
    </row>
    <row r="863" spans="1:56">
      <c r="C863" s="1512" t="s">
        <v>279</v>
      </c>
      <c r="D863" s="745">
        <v>15.1</v>
      </c>
      <c r="E863" s="643">
        <v>1.1000000000000001</v>
      </c>
      <c r="F863" s="645"/>
      <c r="G863" s="644">
        <f>7857142/10000</f>
        <v>785.71420000000001</v>
      </c>
      <c r="H863" s="643">
        <f>109999988/100000000</f>
        <v>1.0999998799999999</v>
      </c>
      <c r="J863" s="705"/>
    </row>
    <row r="864" spans="1:56">
      <c r="C864" s="1512"/>
      <c r="D864" s="745">
        <v>12.8</v>
      </c>
      <c r="E864" s="643">
        <v>1.45</v>
      </c>
      <c r="F864" s="645"/>
      <c r="G864" s="645"/>
      <c r="H864" s="712"/>
    </row>
    <row r="865" spans="3:10">
      <c r="C865" s="1512"/>
      <c r="D865" s="745">
        <v>11.9</v>
      </c>
      <c r="E865" s="643">
        <v>1.82</v>
      </c>
      <c r="F865" s="645"/>
      <c r="G865" s="645"/>
      <c r="H865" s="712"/>
    </row>
    <row r="866" spans="3:10">
      <c r="C866" s="646" t="s">
        <v>127</v>
      </c>
      <c r="D866" s="745">
        <v>14.1</v>
      </c>
      <c r="E866" s="643">
        <v>2.1</v>
      </c>
      <c r="F866" s="645"/>
      <c r="G866" s="644">
        <f>15000000/10000</f>
        <v>1500</v>
      </c>
      <c r="H866" s="643">
        <f>210000000/100000000</f>
        <v>2.1</v>
      </c>
      <c r="J866" s="705"/>
    </row>
    <row r="867" spans="3:10">
      <c r="C867" s="646" t="s">
        <v>363</v>
      </c>
      <c r="D867" s="745">
        <v>15.8</v>
      </c>
      <c r="E867" s="643">
        <v>1.1000000000000001</v>
      </c>
      <c r="F867" s="645"/>
      <c r="G867" s="644">
        <f>7857142/10000</f>
        <v>785.71420000000001</v>
      </c>
      <c r="H867" s="643">
        <f>109999988/100000000</f>
        <v>1.0999998799999999</v>
      </c>
      <c r="J867" s="705"/>
    </row>
    <row r="868" spans="3:10">
      <c r="C868" s="1512" t="s">
        <v>1924</v>
      </c>
      <c r="D868" s="745">
        <v>14.7</v>
      </c>
      <c r="E868" s="643">
        <v>1.1000000000000001</v>
      </c>
      <c r="F868" s="645"/>
      <c r="G868" s="644">
        <f>7857142/10000</f>
        <v>785.71420000000001</v>
      </c>
      <c r="H868" s="643">
        <f>109999988/100000000</f>
        <v>1.0999998799999999</v>
      </c>
      <c r="J868" s="705"/>
    </row>
    <row r="869" spans="3:10">
      <c r="C869" s="1512"/>
      <c r="D869" s="745">
        <v>13.5</v>
      </c>
      <c r="E869" s="643">
        <v>1.5</v>
      </c>
      <c r="F869" s="645"/>
      <c r="G869" s="645"/>
      <c r="H869" s="712"/>
    </row>
    <row r="870" spans="3:10">
      <c r="C870" s="1512"/>
      <c r="D870" s="745">
        <v>12.5</v>
      </c>
      <c r="E870" s="643">
        <v>1.5</v>
      </c>
      <c r="F870" s="645"/>
      <c r="G870" s="645"/>
      <c r="H870" s="712"/>
    </row>
    <row r="871" spans="3:10">
      <c r="C871" s="1512" t="s">
        <v>3521</v>
      </c>
      <c r="D871" s="745">
        <v>14.7</v>
      </c>
      <c r="E871" s="643">
        <v>1.1000000000000001</v>
      </c>
      <c r="F871" s="645"/>
      <c r="G871" s="644">
        <f>7857142/10000</f>
        <v>785.71420000000001</v>
      </c>
      <c r="H871" s="643">
        <f>109999988/100000000</f>
        <v>1.0999998799999999</v>
      </c>
      <c r="J871" s="705"/>
    </row>
    <row r="872" spans="3:10">
      <c r="C872" s="1512"/>
      <c r="D872" s="745">
        <v>13.5</v>
      </c>
      <c r="E872" s="643">
        <v>1.5</v>
      </c>
      <c r="F872" s="645"/>
      <c r="G872" s="645"/>
      <c r="H872" s="712"/>
    </row>
    <row r="873" spans="3:10">
      <c r="C873" s="1512"/>
      <c r="D873" s="745">
        <v>12.5</v>
      </c>
      <c r="E873" s="643">
        <v>2</v>
      </c>
      <c r="F873" s="645"/>
      <c r="G873" s="645"/>
      <c r="H873" s="712"/>
    </row>
    <row r="874" spans="3:10">
      <c r="C874" s="646" t="s">
        <v>634</v>
      </c>
      <c r="D874" s="845">
        <v>14</v>
      </c>
      <c r="E874" s="643">
        <v>2.19</v>
      </c>
      <c r="F874" s="645"/>
      <c r="G874" s="644">
        <f>15642857/10000</f>
        <v>1564.2856999999999</v>
      </c>
      <c r="H874" s="643">
        <f>218999998/100000000</f>
        <v>2.1899999800000001</v>
      </c>
      <c r="J874" s="705"/>
    </row>
    <row r="875" spans="3:10">
      <c r="C875" s="1512" t="s">
        <v>122</v>
      </c>
      <c r="D875" s="745">
        <v>9.9</v>
      </c>
      <c r="E875" s="643">
        <v>1.1000000000000001</v>
      </c>
      <c r="F875" s="645"/>
      <c r="G875" s="645"/>
      <c r="H875" s="645"/>
    </row>
    <row r="876" spans="3:10">
      <c r="C876" s="1512"/>
      <c r="D876" s="745">
        <v>9.8000000000000007</v>
      </c>
      <c r="E876" s="643">
        <v>1.2</v>
      </c>
      <c r="F876" s="645"/>
      <c r="G876" s="645"/>
      <c r="H876" s="645"/>
    </row>
    <row r="877" spans="3:10">
      <c r="C877" s="646" t="s">
        <v>233</v>
      </c>
      <c r="D877" s="845">
        <v>10</v>
      </c>
      <c r="E877" s="643">
        <v>1.1000000000000001</v>
      </c>
      <c r="F877" s="645"/>
      <c r="G877" s="645"/>
      <c r="H877" s="645"/>
    </row>
    <row r="878" spans="3:10">
      <c r="C878" s="646" t="s">
        <v>124</v>
      </c>
      <c r="D878" s="745">
        <v>9.9</v>
      </c>
      <c r="E878" s="643">
        <v>1.1499999999999999</v>
      </c>
      <c r="F878" s="645"/>
      <c r="G878" s="645"/>
      <c r="H878" s="645"/>
    </row>
    <row r="879" spans="3:10">
      <c r="C879" s="646" t="s">
        <v>351</v>
      </c>
      <c r="D879" s="745">
        <v>9.8000000000000007</v>
      </c>
      <c r="E879" s="643">
        <v>1.1000000000000001</v>
      </c>
      <c r="F879" s="645"/>
      <c r="G879" s="645"/>
      <c r="H879" s="645"/>
    </row>
    <row r="880" spans="3:10">
      <c r="C880" s="646" t="s">
        <v>131</v>
      </c>
      <c r="D880" s="745">
        <v>11.1</v>
      </c>
      <c r="E880" s="643">
        <v>1.86</v>
      </c>
      <c r="F880" s="645"/>
      <c r="G880" s="645"/>
      <c r="H880" s="645"/>
    </row>
    <row r="881" spans="3:8">
      <c r="C881" s="646" t="s">
        <v>128</v>
      </c>
      <c r="D881" s="745">
        <v>11.5</v>
      </c>
      <c r="E881" s="643">
        <v>1.1000000000000001</v>
      </c>
      <c r="F881" s="645"/>
      <c r="G881" s="645"/>
      <c r="H881" s="645"/>
    </row>
    <row r="882" spans="3:8">
      <c r="C882" s="646" t="s">
        <v>552</v>
      </c>
      <c r="D882" s="745">
        <v>11.3</v>
      </c>
      <c r="E882" s="643">
        <v>1.1000000000000001</v>
      </c>
      <c r="F882" s="645"/>
      <c r="G882" s="645"/>
      <c r="H882" s="645"/>
    </row>
    <row r="883" spans="3:8">
      <c r="C883" s="646" t="s">
        <v>139</v>
      </c>
      <c r="D883" s="745">
        <v>10.1</v>
      </c>
      <c r="E883" s="643">
        <v>2.2999999999999998</v>
      </c>
      <c r="F883" s="645"/>
      <c r="G883" s="645"/>
      <c r="H883" s="645"/>
    </row>
    <row r="884" spans="3:8">
      <c r="C884" s="646" t="s">
        <v>974</v>
      </c>
      <c r="D884" s="845">
        <v>12</v>
      </c>
      <c r="E884" s="643">
        <v>1.1000000000000001</v>
      </c>
      <c r="F884" s="645"/>
      <c r="G884" s="645"/>
      <c r="H884" s="645"/>
    </row>
    <row r="885" spans="3:8">
      <c r="C885" s="646" t="s">
        <v>2969</v>
      </c>
      <c r="D885" s="745">
        <v>10.199999999999999</v>
      </c>
      <c r="E885" s="643">
        <v>1.1000000000000001</v>
      </c>
      <c r="F885" s="645"/>
      <c r="G885" s="645"/>
      <c r="H885" s="645"/>
    </row>
    <row r="886" spans="3:8">
      <c r="C886" s="1512" t="s">
        <v>115</v>
      </c>
      <c r="D886" s="745">
        <v>13.5</v>
      </c>
      <c r="E886" s="643">
        <f>40900/10000</f>
        <v>4.09</v>
      </c>
      <c r="F886" s="645"/>
      <c r="G886" s="645"/>
      <c r="H886" s="645"/>
    </row>
    <row r="887" spans="3:8">
      <c r="C887" s="1512"/>
      <c r="D887" s="745">
        <v>12.3</v>
      </c>
      <c r="E887" s="643">
        <f>104600/10000</f>
        <v>10.46</v>
      </c>
      <c r="F887" s="645"/>
      <c r="G887" s="645"/>
      <c r="H887" s="645"/>
    </row>
    <row r="888" spans="3:8">
      <c r="C888" s="646" t="s">
        <v>225</v>
      </c>
      <c r="D888" s="845">
        <v>14</v>
      </c>
      <c r="E888" s="643">
        <v>1.1399999999999999</v>
      </c>
      <c r="F888" s="645"/>
      <c r="G888" s="645"/>
      <c r="H888" s="645"/>
    </row>
    <row r="889" spans="3:8">
      <c r="C889" s="646" t="s">
        <v>1246</v>
      </c>
      <c r="D889" s="745">
        <v>10.1</v>
      </c>
      <c r="E889" s="643">
        <v>1.1000000000000001</v>
      </c>
      <c r="F889" s="645"/>
      <c r="G889" s="645"/>
      <c r="H889" s="645"/>
    </row>
    <row r="890" spans="3:8">
      <c r="C890" s="1512" t="s">
        <v>136</v>
      </c>
      <c r="D890" s="845">
        <v>11</v>
      </c>
      <c r="E890" s="643">
        <v>1.1499999999999999</v>
      </c>
      <c r="F890" s="645"/>
      <c r="G890" s="645"/>
      <c r="H890" s="645"/>
    </row>
    <row r="891" spans="3:8">
      <c r="C891" s="1512"/>
      <c r="D891" s="845">
        <v>10</v>
      </c>
      <c r="E891" s="643">
        <v>1.35</v>
      </c>
      <c r="F891" s="645"/>
      <c r="G891" s="645"/>
      <c r="H891" s="645"/>
    </row>
    <row r="892" spans="3:8">
      <c r="C892" s="1512" t="s">
        <v>150</v>
      </c>
      <c r="D892" s="745">
        <v>13.2</v>
      </c>
      <c r="E892" s="643">
        <v>1.1000000000000001</v>
      </c>
      <c r="F892" s="645"/>
      <c r="G892" s="645"/>
      <c r="H892" s="645"/>
    </row>
    <row r="893" spans="3:8">
      <c r="C893" s="1512"/>
      <c r="D893" s="745">
        <v>11.4</v>
      </c>
      <c r="E893" s="643">
        <v>1.56</v>
      </c>
      <c r="F893" s="645"/>
      <c r="G893" s="645"/>
      <c r="H893" s="645"/>
    </row>
    <row r="894" spans="3:8">
      <c r="C894" s="1512" t="s">
        <v>278</v>
      </c>
      <c r="D894" s="745">
        <v>12.3</v>
      </c>
      <c r="E894" s="643">
        <v>1.26</v>
      </c>
      <c r="F894" s="645"/>
      <c r="G894" s="645"/>
      <c r="H894" s="645"/>
    </row>
    <row r="895" spans="3:8">
      <c r="C895" s="1512"/>
      <c r="D895" s="745">
        <v>11.3</v>
      </c>
      <c r="E895" s="643">
        <v>1.7</v>
      </c>
      <c r="F895" s="645"/>
      <c r="G895" s="645"/>
      <c r="H895" s="645"/>
    </row>
    <row r="896" spans="3:8">
      <c r="C896" s="1512" t="s">
        <v>3520</v>
      </c>
      <c r="D896" s="745">
        <v>13.7</v>
      </c>
      <c r="E896" s="643">
        <v>1.1000000000000001</v>
      </c>
      <c r="F896" s="645"/>
      <c r="G896" s="645"/>
      <c r="H896" s="645"/>
    </row>
    <row r="897" spans="1:56">
      <c r="C897" s="1512"/>
      <c r="D897" s="745">
        <v>13.4</v>
      </c>
      <c r="E897" s="643">
        <v>1.1000000000000001</v>
      </c>
      <c r="F897" s="645"/>
      <c r="G897" s="645"/>
      <c r="H897" s="645"/>
    </row>
    <row r="898" spans="1:56">
      <c r="C898" s="1512"/>
      <c r="D898" s="745">
        <v>13.1</v>
      </c>
      <c r="E898" s="643">
        <v>1.1000000000000001</v>
      </c>
      <c r="F898" s="645"/>
      <c r="G898" s="645"/>
      <c r="H898" s="645"/>
    </row>
    <row r="899" spans="1:56">
      <c r="C899" s="1512" t="s">
        <v>147</v>
      </c>
      <c r="D899" s="745">
        <v>12.5</v>
      </c>
      <c r="E899" s="643">
        <v>1.67</v>
      </c>
      <c r="F899" s="645"/>
      <c r="G899" s="645"/>
      <c r="H899" s="645"/>
    </row>
    <row r="900" spans="1:56">
      <c r="C900" s="1512"/>
      <c r="D900" s="745">
        <v>10.1</v>
      </c>
      <c r="E900" s="643">
        <v>2.77</v>
      </c>
      <c r="F900" s="645"/>
      <c r="G900" s="645"/>
      <c r="H900" s="645"/>
    </row>
    <row r="902" spans="1:56" s="663" customFormat="1">
      <c r="A902" s="663" t="s">
        <v>2861</v>
      </c>
      <c r="B902" s="665" t="s">
        <v>2036</v>
      </c>
      <c r="C902" s="667" t="s">
        <v>126</v>
      </c>
      <c r="D902" s="667" t="s">
        <v>1583</v>
      </c>
      <c r="E902" s="667" t="s">
        <v>4</v>
      </c>
      <c r="F902" s="667" t="s">
        <v>2860</v>
      </c>
      <c r="G902" s="667" t="s">
        <v>2859</v>
      </c>
      <c r="H902" s="667" t="s">
        <v>2858</v>
      </c>
      <c r="I902" s="667" t="s">
        <v>751</v>
      </c>
      <c r="J902" s="665" t="s">
        <v>274</v>
      </c>
      <c r="K902" s="665" t="s">
        <v>273</v>
      </c>
      <c r="L902" s="665" t="s">
        <v>116</v>
      </c>
      <c r="M902" s="665" t="s">
        <v>110</v>
      </c>
      <c r="N902" s="665" t="s">
        <v>276</v>
      </c>
      <c r="O902" s="667" t="s">
        <v>1311</v>
      </c>
      <c r="P902" s="665" t="s">
        <v>275</v>
      </c>
      <c r="Q902" s="665" t="s">
        <v>111</v>
      </c>
      <c r="R902" s="665" t="s">
        <v>2857</v>
      </c>
      <c r="S902" s="665" t="s">
        <v>747</v>
      </c>
      <c r="T902" s="667" t="s">
        <v>12</v>
      </c>
      <c r="U902" s="666" t="s">
        <v>948</v>
      </c>
      <c r="V902" s="665" t="s">
        <v>129</v>
      </c>
      <c r="W902" s="665" t="s">
        <v>220</v>
      </c>
      <c r="X902" s="665" t="s">
        <v>749</v>
      </c>
      <c r="Y902" s="665" t="s">
        <v>750</v>
      </c>
      <c r="Z902" s="665" t="s">
        <v>748</v>
      </c>
      <c r="BB902" s="664"/>
      <c r="BD902" s="664"/>
    </row>
    <row r="903" spans="1:56">
      <c r="A903" s="642" t="s">
        <v>2078</v>
      </c>
      <c r="B903" s="1436">
        <v>94</v>
      </c>
      <c r="C903" s="1471" t="s">
        <v>2651</v>
      </c>
      <c r="D903" s="722" t="s">
        <v>2650</v>
      </c>
      <c r="E903" s="722" t="s">
        <v>2649</v>
      </c>
      <c r="F903" s="721">
        <v>7.25</v>
      </c>
      <c r="G903" s="656">
        <v>7.21</v>
      </c>
      <c r="H903" s="656">
        <f>L903*R903</f>
        <v>48.615699999999997</v>
      </c>
      <c r="I903" s="656">
        <f>F903/H903</f>
        <v>0.1491287793860831</v>
      </c>
      <c r="J903" s="658" t="s">
        <v>3086</v>
      </c>
      <c r="K903" s="645" t="s">
        <v>2125</v>
      </c>
      <c r="L903" s="645">
        <v>17.45</v>
      </c>
      <c r="M903" s="658">
        <v>15.42</v>
      </c>
      <c r="N903" s="653">
        <f>M903/L903</f>
        <v>0.88366762177650438</v>
      </c>
      <c r="O903" s="656">
        <v>17.88</v>
      </c>
      <c r="P903" s="653">
        <f>O903/L903</f>
        <v>1.0246418338108882</v>
      </c>
      <c r="Q903" s="645">
        <v>3</v>
      </c>
      <c r="R903" s="653">
        <v>2.786</v>
      </c>
      <c r="S903" s="645" t="s">
        <v>2648</v>
      </c>
      <c r="T903" s="654">
        <v>42912</v>
      </c>
      <c r="U903" s="645">
        <v>8</v>
      </c>
      <c r="V903" s="653">
        <f>((U903*(1+X903/10)+Y903/10)/O903)</f>
        <v>1.1241610738255035</v>
      </c>
      <c r="W903" s="645" t="s">
        <v>2647</v>
      </c>
      <c r="X903" s="645">
        <v>15</v>
      </c>
      <c r="Y903" s="645">
        <v>1</v>
      </c>
      <c r="Z903" s="652" t="s">
        <v>2316</v>
      </c>
      <c r="BB903" s="651"/>
      <c r="BD903" s="650"/>
    </row>
    <row r="904" spans="1:56">
      <c r="C904" s="696" t="s">
        <v>112</v>
      </c>
      <c r="D904" s="696" t="s">
        <v>113</v>
      </c>
      <c r="E904" s="696" t="s">
        <v>943</v>
      </c>
      <c r="F904" s="697" t="s">
        <v>411</v>
      </c>
      <c r="G904" s="697" t="s">
        <v>942</v>
      </c>
      <c r="H904" s="696" t="s">
        <v>231</v>
      </c>
    </row>
    <row r="905" spans="1:56">
      <c r="C905" s="646" t="s">
        <v>115</v>
      </c>
      <c r="D905" s="647">
        <v>17.88</v>
      </c>
      <c r="E905" s="643">
        <v>2.2799999999999998</v>
      </c>
      <c r="F905" s="645"/>
      <c r="G905" s="644">
        <f>10064914/10000</f>
        <v>1006.4914</v>
      </c>
      <c r="H905" s="643">
        <f>179960662.32/100000000</f>
        <v>1.7996066231999999</v>
      </c>
      <c r="J905" s="687"/>
    </row>
    <row r="906" spans="1:56">
      <c r="C906" s="646"/>
      <c r="D906" s="647">
        <v>16.010000000000002</v>
      </c>
      <c r="E906" s="643">
        <v>7.14</v>
      </c>
      <c r="F906" s="645"/>
      <c r="G906" s="644"/>
      <c r="H906" s="643"/>
      <c r="J906" s="687"/>
    </row>
    <row r="907" spans="1:56" ht="25" customHeight="1">
      <c r="C907" s="1514" t="s">
        <v>3519</v>
      </c>
      <c r="D907" s="647">
        <v>18.149999999999999</v>
      </c>
      <c r="E907" s="643">
        <f>241394983.44/100000000</f>
        <v>2.4139498343999999</v>
      </c>
      <c r="F907" s="645"/>
      <c r="G907" s="644">
        <f>13500838/10000</f>
        <v>1350.0838000000001</v>
      </c>
      <c r="H907" s="643">
        <f>241394983.44/100000000</f>
        <v>2.4139498343999999</v>
      </c>
      <c r="J907" s="687"/>
    </row>
    <row r="908" spans="1:56" ht="16" customHeight="1">
      <c r="C908" s="1514"/>
      <c r="D908" s="647">
        <v>17.45</v>
      </c>
      <c r="E908" s="643">
        <v>2.4655999999999998</v>
      </c>
      <c r="F908" s="645"/>
      <c r="G908" s="644"/>
      <c r="H908" s="643"/>
      <c r="J908" s="687"/>
    </row>
    <row r="909" spans="1:56" ht="27" customHeight="1">
      <c r="C909" s="673" t="s">
        <v>3354</v>
      </c>
      <c r="D909" s="647">
        <v>18.18</v>
      </c>
      <c r="E909" s="643">
        <f>299999991.24/100000000</f>
        <v>2.9999999124000003</v>
      </c>
      <c r="F909" s="645"/>
      <c r="G909" s="644">
        <f>16778523/10000</f>
        <v>1677.8523</v>
      </c>
      <c r="H909" s="643">
        <f>299999991.24/100000000</f>
        <v>2.9999999124000003</v>
      </c>
      <c r="J909" s="687"/>
    </row>
    <row r="910" spans="1:56" ht="16" customHeight="1">
      <c r="C910" s="467" t="s">
        <v>3518</v>
      </c>
      <c r="D910" s="467">
        <v>17.18</v>
      </c>
      <c r="E910" s="643">
        <v>1.5</v>
      </c>
      <c r="F910" s="645"/>
      <c r="G910" s="644"/>
      <c r="H910" s="643"/>
      <c r="J910" s="687"/>
    </row>
    <row r="911" spans="1:56" ht="16" customHeight="1">
      <c r="C911" s="467" t="s">
        <v>3517</v>
      </c>
      <c r="D911" s="647">
        <v>16.72</v>
      </c>
      <c r="E911" s="643">
        <v>2.5099999999999998</v>
      </c>
      <c r="F911" s="645"/>
      <c r="G911" s="644"/>
      <c r="H911" s="643"/>
      <c r="J911" s="687"/>
    </row>
    <row r="912" spans="1:56" ht="16" customHeight="1">
      <c r="C912" s="467" t="s">
        <v>3516</v>
      </c>
      <c r="D912" s="647">
        <v>16.2</v>
      </c>
      <c r="E912" s="643">
        <v>1.5</v>
      </c>
      <c r="F912" s="645"/>
      <c r="G912" s="644"/>
      <c r="H912" s="643"/>
      <c r="J912" s="687"/>
    </row>
    <row r="913" spans="1:56" ht="16" customHeight="1">
      <c r="C913" s="673"/>
      <c r="D913" s="647">
        <v>16</v>
      </c>
      <c r="E913" s="643">
        <v>1.5</v>
      </c>
      <c r="F913" s="645"/>
      <c r="G913" s="644"/>
      <c r="H913" s="643"/>
      <c r="J913" s="687"/>
    </row>
    <row r="914" spans="1:56" ht="16" customHeight="1">
      <c r="C914" s="467" t="s">
        <v>3515</v>
      </c>
      <c r="D914" s="647">
        <v>16</v>
      </c>
      <c r="E914" s="643">
        <v>2.5</v>
      </c>
      <c r="F914" s="645"/>
      <c r="G914" s="644"/>
      <c r="H914" s="643"/>
      <c r="J914" s="687"/>
    </row>
    <row r="915" spans="1:56" ht="16" customHeight="1">
      <c r="C915" s="467" t="s">
        <v>1494</v>
      </c>
      <c r="D915" s="647">
        <v>15.65</v>
      </c>
      <c r="E915" s="643">
        <v>1.45</v>
      </c>
      <c r="F915" s="645"/>
      <c r="G915" s="644"/>
      <c r="H915" s="643"/>
      <c r="J915" s="687"/>
    </row>
    <row r="916" spans="1:56">
      <c r="C916" s="844" t="s">
        <v>3153</v>
      </c>
      <c r="D916" s="754">
        <v>15.52</v>
      </c>
      <c r="E916" s="754">
        <v>1.45</v>
      </c>
      <c r="F916" s="754"/>
      <c r="G916" s="754"/>
      <c r="H916" s="754"/>
    </row>
    <row r="917" spans="1:56">
      <c r="C917" s="524"/>
      <c r="D917" s="843"/>
      <c r="E917" s="843"/>
      <c r="F917" s="843"/>
      <c r="G917" s="843"/>
      <c r="H917" s="843"/>
    </row>
    <row r="918" spans="1:56" s="663" customFormat="1">
      <c r="A918" s="663" t="s">
        <v>2861</v>
      </c>
      <c r="B918" s="665" t="s">
        <v>2036</v>
      </c>
      <c r="C918" s="842" t="s">
        <v>126</v>
      </c>
      <c r="D918" s="842" t="s">
        <v>1583</v>
      </c>
      <c r="E918" s="842" t="s">
        <v>4</v>
      </c>
      <c r="F918" s="842" t="s">
        <v>2860</v>
      </c>
      <c r="G918" s="842" t="s">
        <v>2859</v>
      </c>
      <c r="H918" s="842" t="s">
        <v>2858</v>
      </c>
      <c r="I918" s="667" t="s">
        <v>751</v>
      </c>
      <c r="J918" s="665" t="s">
        <v>274</v>
      </c>
      <c r="K918" s="665" t="s">
        <v>273</v>
      </c>
      <c r="L918" s="665" t="s">
        <v>116</v>
      </c>
      <c r="M918" s="665" t="s">
        <v>110</v>
      </c>
      <c r="N918" s="665" t="s">
        <v>276</v>
      </c>
      <c r="O918" s="667" t="s">
        <v>1311</v>
      </c>
      <c r="P918" s="665" t="s">
        <v>275</v>
      </c>
      <c r="Q918" s="665" t="s">
        <v>111</v>
      </c>
      <c r="R918" s="665" t="s">
        <v>2857</v>
      </c>
      <c r="S918" s="665" t="s">
        <v>747</v>
      </c>
      <c r="T918" s="667" t="s">
        <v>12</v>
      </c>
      <c r="U918" s="666" t="s">
        <v>948</v>
      </c>
      <c r="V918" s="665" t="s">
        <v>129</v>
      </c>
      <c r="W918" s="665" t="s">
        <v>220</v>
      </c>
      <c r="X918" s="665" t="s">
        <v>749</v>
      </c>
      <c r="Y918" s="665" t="s">
        <v>750</v>
      </c>
      <c r="Z918" s="665" t="s">
        <v>748</v>
      </c>
      <c r="BB918" s="664"/>
      <c r="BD918" s="664"/>
    </row>
    <row r="919" spans="1:56">
      <c r="A919" s="642" t="s">
        <v>2078</v>
      </c>
      <c r="B919" s="1436">
        <v>95</v>
      </c>
      <c r="C919" s="1437" t="s">
        <v>2646</v>
      </c>
      <c r="D919" s="662" t="s">
        <v>2645</v>
      </c>
      <c r="E919" s="662" t="s">
        <v>2644</v>
      </c>
      <c r="F919" s="661">
        <v>25.6</v>
      </c>
      <c r="G919" s="660">
        <v>25.6</v>
      </c>
      <c r="H919" s="659">
        <f>L919*R919</f>
        <v>186.36525564800002</v>
      </c>
      <c r="I919" s="656">
        <f>F919/H919</f>
        <v>0.13736466011858112</v>
      </c>
      <c r="J919" s="658" t="s">
        <v>3063</v>
      </c>
      <c r="K919" s="645" t="s">
        <v>2240</v>
      </c>
      <c r="L919" s="645">
        <v>31.87</v>
      </c>
      <c r="M919" s="658">
        <v>27.35</v>
      </c>
      <c r="N919" s="653">
        <f>M919/L919</f>
        <v>0.8581738311892062</v>
      </c>
      <c r="O919" s="656">
        <v>30.64</v>
      </c>
      <c r="P919" s="653">
        <f>O919/L919</f>
        <v>0.96140571069971759</v>
      </c>
      <c r="Q919" s="645">
        <v>8</v>
      </c>
      <c r="R919" s="653">
        <v>5.8476704000000002</v>
      </c>
      <c r="S919" s="645" t="s">
        <v>2643</v>
      </c>
      <c r="T919" s="654">
        <v>42912</v>
      </c>
      <c r="U919" s="645">
        <v>23</v>
      </c>
      <c r="V919" s="653">
        <f>((U919*(1+X919/10)+Y919/10)/O919)</f>
        <v>1.1390339425587466</v>
      </c>
      <c r="W919" s="645" t="s">
        <v>2642</v>
      </c>
      <c r="X919" s="645">
        <v>5</v>
      </c>
      <c r="Y919" s="645">
        <v>4</v>
      </c>
      <c r="Z919" s="652" t="s">
        <v>2072</v>
      </c>
      <c r="BB919" s="651"/>
      <c r="BD919" s="650"/>
    </row>
    <row r="920" spans="1:56">
      <c r="C920" s="648" t="s">
        <v>112</v>
      </c>
      <c r="D920" s="648" t="s">
        <v>113</v>
      </c>
      <c r="E920" s="648" t="s">
        <v>943</v>
      </c>
      <c r="F920" s="649" t="s">
        <v>411</v>
      </c>
      <c r="G920" s="649" t="s">
        <v>942</v>
      </c>
      <c r="H920" s="648" t="s">
        <v>231</v>
      </c>
    </row>
    <row r="921" spans="1:56">
      <c r="C921" s="646" t="s">
        <v>233</v>
      </c>
      <c r="D921" s="647">
        <v>29</v>
      </c>
      <c r="E921" s="643">
        <v>2.6</v>
      </c>
      <c r="F921" s="645"/>
      <c r="G921" s="645"/>
      <c r="H921" s="645"/>
    </row>
    <row r="922" spans="1:56">
      <c r="C922" s="646" t="s">
        <v>3044</v>
      </c>
      <c r="D922" s="647">
        <v>27.35</v>
      </c>
      <c r="E922" s="709">
        <f>34000/10000</f>
        <v>3.4</v>
      </c>
      <c r="F922" s="645"/>
      <c r="G922" s="645"/>
      <c r="H922" s="645"/>
    </row>
    <row r="923" spans="1:56">
      <c r="C923" s="646" t="s">
        <v>469</v>
      </c>
      <c r="D923" s="647">
        <v>27.41</v>
      </c>
      <c r="E923" s="709">
        <f>2.58</f>
        <v>2.58</v>
      </c>
      <c r="F923" s="645"/>
      <c r="G923" s="645"/>
      <c r="H923" s="645"/>
    </row>
    <row r="924" spans="1:56">
      <c r="C924" s="646" t="s">
        <v>1056</v>
      </c>
      <c r="D924" s="647">
        <v>29.02</v>
      </c>
      <c r="E924" s="709">
        <f>26000/10000</f>
        <v>2.6</v>
      </c>
      <c r="F924" s="645"/>
      <c r="G924" s="645"/>
      <c r="H924" s="645"/>
    </row>
    <row r="925" spans="1:56">
      <c r="C925" s="646" t="s">
        <v>13</v>
      </c>
      <c r="D925" s="647">
        <v>30.03</v>
      </c>
      <c r="E925" s="709">
        <f>3</f>
        <v>3</v>
      </c>
      <c r="F925" s="645"/>
      <c r="G925" s="645"/>
      <c r="H925" s="645"/>
    </row>
    <row r="926" spans="1:56">
      <c r="C926" s="646" t="s">
        <v>279</v>
      </c>
      <c r="D926" s="647">
        <v>30.63</v>
      </c>
      <c r="E926" s="709">
        <f>2.92</f>
        <v>2.92</v>
      </c>
      <c r="F926" s="645"/>
      <c r="G926" s="645"/>
      <c r="H926" s="645"/>
    </row>
    <row r="927" spans="1:56">
      <c r="C927" s="1512" t="s">
        <v>225</v>
      </c>
      <c r="D927" s="647">
        <v>30.8</v>
      </c>
      <c r="E927" s="709">
        <v>2.58</v>
      </c>
      <c r="F927" s="645"/>
      <c r="G927" s="644">
        <f>8420365/10000</f>
        <v>842.03650000000005</v>
      </c>
      <c r="H927" s="643">
        <f>257999983.6/100000000</f>
        <v>2.5799998359999998</v>
      </c>
    </row>
    <row r="928" spans="1:56">
      <c r="C928" s="1512"/>
      <c r="D928" s="647">
        <v>30.22</v>
      </c>
      <c r="E928" s="709">
        <f>37800/10000</f>
        <v>3.78</v>
      </c>
      <c r="F928" s="645"/>
      <c r="G928" s="645"/>
      <c r="H928" s="645"/>
    </row>
    <row r="929" spans="3:8">
      <c r="C929" s="646" t="s">
        <v>383</v>
      </c>
      <c r="D929" s="647">
        <v>36</v>
      </c>
      <c r="E929" s="709">
        <v>2.58</v>
      </c>
      <c r="F929" s="645"/>
      <c r="G929" s="644">
        <f>8420365/10000</f>
        <v>842.03650000000005</v>
      </c>
      <c r="H929" s="643">
        <f>257999983.6/100000000</f>
        <v>2.5799998359999998</v>
      </c>
    </row>
    <row r="930" spans="3:8">
      <c r="C930" s="646" t="s">
        <v>147</v>
      </c>
      <c r="D930" s="647">
        <v>27.98</v>
      </c>
      <c r="E930" s="709">
        <f>39700/10000</f>
        <v>3.97</v>
      </c>
      <c r="F930" s="645"/>
      <c r="G930" s="645"/>
      <c r="H930" s="645"/>
    </row>
    <row r="931" spans="3:8">
      <c r="C931" s="1512" t="s">
        <v>173</v>
      </c>
      <c r="D931" s="647">
        <v>30.96</v>
      </c>
      <c r="E931" s="709">
        <v>2.58</v>
      </c>
      <c r="F931" s="645"/>
      <c r="G931" s="644">
        <f>8420365/10000</f>
        <v>842.03650000000005</v>
      </c>
      <c r="H931" s="643">
        <f>257999983.6/100000000</f>
        <v>2.5799998359999998</v>
      </c>
    </row>
    <row r="932" spans="3:8">
      <c r="C932" s="1512"/>
      <c r="D932" s="647">
        <v>29.02</v>
      </c>
      <c r="E932" s="709">
        <f>48200/10000</f>
        <v>4.82</v>
      </c>
      <c r="F932" s="645"/>
      <c r="G932" s="645"/>
      <c r="H932" s="645"/>
    </row>
    <row r="933" spans="3:8">
      <c r="C933" s="1512" t="s">
        <v>371</v>
      </c>
      <c r="D933" s="647">
        <v>30.7</v>
      </c>
      <c r="E933" s="709">
        <v>2.58</v>
      </c>
      <c r="F933" s="645"/>
      <c r="G933" s="644">
        <f>13087470/10000</f>
        <v>1308.7470000000001</v>
      </c>
      <c r="H933" s="643">
        <f>401000080.8/100000000</f>
        <v>4.010000808</v>
      </c>
    </row>
    <row r="934" spans="3:8">
      <c r="C934" s="1512"/>
      <c r="D934" s="647">
        <v>30.64</v>
      </c>
      <c r="E934" s="709">
        <f>52100/10000</f>
        <v>5.21</v>
      </c>
      <c r="F934" s="645"/>
      <c r="G934" s="645"/>
      <c r="H934" s="645"/>
    </row>
    <row r="935" spans="3:8">
      <c r="C935" s="1512" t="s">
        <v>127</v>
      </c>
      <c r="D935" s="647">
        <v>29.52</v>
      </c>
      <c r="E935" s="709">
        <v>2.7</v>
      </c>
      <c r="F935" s="645"/>
      <c r="G935" s="645"/>
      <c r="H935" s="645"/>
    </row>
    <row r="936" spans="3:8">
      <c r="C936" s="1512"/>
      <c r="D936" s="647">
        <v>28.02</v>
      </c>
      <c r="E936" s="709">
        <f>38000/10000</f>
        <v>3.8</v>
      </c>
      <c r="F936" s="645"/>
      <c r="G936" s="645"/>
      <c r="H936" s="645"/>
    </row>
    <row r="937" spans="3:8">
      <c r="C937" s="1512"/>
      <c r="D937" s="647">
        <v>27.36</v>
      </c>
      <c r="E937" s="709">
        <f>50000/10000</f>
        <v>5</v>
      </c>
      <c r="F937" s="645"/>
      <c r="G937" s="645"/>
      <c r="H937" s="645"/>
    </row>
    <row r="938" spans="3:8">
      <c r="C938" s="646" t="s">
        <v>3514</v>
      </c>
      <c r="D938" s="647">
        <v>30.11</v>
      </c>
      <c r="E938" s="709">
        <f>48000/10000</f>
        <v>4.8</v>
      </c>
      <c r="F938" s="645"/>
      <c r="G938" s="645"/>
      <c r="H938" s="645"/>
    </row>
    <row r="939" spans="3:8">
      <c r="C939" s="1512" t="s">
        <v>278</v>
      </c>
      <c r="D939" s="647">
        <v>28.53</v>
      </c>
      <c r="E939" s="709">
        <v>2.95</v>
      </c>
      <c r="F939" s="645"/>
      <c r="G939" s="645"/>
      <c r="H939" s="645"/>
    </row>
    <row r="940" spans="3:8">
      <c r="C940" s="1512"/>
      <c r="D940" s="647">
        <v>28.33</v>
      </c>
      <c r="E940" s="709">
        <f>55300/10000</f>
        <v>5.53</v>
      </c>
      <c r="F940" s="645"/>
      <c r="G940" s="645"/>
      <c r="H940" s="645"/>
    </row>
    <row r="941" spans="3:8">
      <c r="C941" s="646" t="s">
        <v>150</v>
      </c>
      <c r="D941" s="647">
        <v>30.27</v>
      </c>
      <c r="E941" s="709">
        <v>2.7</v>
      </c>
      <c r="F941" s="645"/>
      <c r="G941" s="645"/>
      <c r="H941" s="645"/>
    </row>
    <row r="942" spans="3:8">
      <c r="C942" s="1512" t="s">
        <v>139</v>
      </c>
      <c r="D942" s="647">
        <v>29.1</v>
      </c>
      <c r="E942" s="709">
        <v>2.58</v>
      </c>
      <c r="F942" s="645"/>
      <c r="G942" s="645"/>
      <c r="H942" s="645"/>
    </row>
    <row r="943" spans="3:8">
      <c r="C943" s="1512"/>
      <c r="D943" s="647">
        <v>27.4</v>
      </c>
      <c r="E943" s="709">
        <v>2.63</v>
      </c>
      <c r="F943" s="645"/>
      <c r="G943" s="645"/>
      <c r="H943" s="645"/>
    </row>
    <row r="944" spans="3:8">
      <c r="C944" s="646" t="s">
        <v>1052</v>
      </c>
      <c r="D944" s="647">
        <v>28.5</v>
      </c>
      <c r="E944" s="709">
        <v>2.6</v>
      </c>
      <c r="F944" s="645"/>
      <c r="G944" s="645"/>
      <c r="H944" s="645"/>
    </row>
    <row r="945" spans="3:8">
      <c r="C945" s="1512" t="s">
        <v>148</v>
      </c>
      <c r="D945" s="647">
        <v>30.95</v>
      </c>
      <c r="E945" s="709">
        <v>2.99</v>
      </c>
      <c r="F945" s="645"/>
      <c r="G945" s="644">
        <f>9758485/10000</f>
        <v>975.84849999999994</v>
      </c>
      <c r="H945" s="643">
        <f>298999980.4/100000000</f>
        <v>2.989999804</v>
      </c>
    </row>
    <row r="946" spans="3:8">
      <c r="C946" s="1512"/>
      <c r="D946" s="647">
        <v>29.2</v>
      </c>
      <c r="E946" s="709">
        <f>39400/10000</f>
        <v>3.94</v>
      </c>
      <c r="F946" s="645"/>
      <c r="G946" s="645"/>
      <c r="H946" s="645"/>
    </row>
    <row r="947" spans="3:8">
      <c r="C947" s="646" t="s">
        <v>1921</v>
      </c>
      <c r="D947" s="647">
        <v>28.71</v>
      </c>
      <c r="E947" s="709">
        <v>2.58</v>
      </c>
      <c r="F947" s="645"/>
      <c r="G947" s="645"/>
      <c r="H947" s="645"/>
    </row>
    <row r="948" spans="3:8">
      <c r="C948" s="646" t="s">
        <v>3513</v>
      </c>
      <c r="D948" s="647">
        <v>30.5</v>
      </c>
      <c r="E948" s="709">
        <v>3.05</v>
      </c>
      <c r="F948" s="645"/>
      <c r="G948" s="645"/>
      <c r="H948" s="645"/>
    </row>
    <row r="949" spans="3:8">
      <c r="C949" s="646" t="s">
        <v>142</v>
      </c>
      <c r="D949" s="647">
        <v>27.5</v>
      </c>
      <c r="E949" s="709">
        <v>2.66</v>
      </c>
      <c r="F949" s="645"/>
      <c r="G949" s="645"/>
      <c r="H949" s="645"/>
    </row>
    <row r="950" spans="3:8">
      <c r="C950" s="646" t="s">
        <v>120</v>
      </c>
      <c r="D950" s="647">
        <v>30.5</v>
      </c>
      <c r="E950" s="709">
        <v>2.58</v>
      </c>
      <c r="F950" s="645"/>
      <c r="G950" s="645"/>
      <c r="H950" s="645"/>
    </row>
    <row r="951" spans="3:8">
      <c r="C951" s="1512" t="s">
        <v>121</v>
      </c>
      <c r="D951" s="647">
        <v>30.08</v>
      </c>
      <c r="E951" s="709">
        <v>2.58</v>
      </c>
      <c r="F951" s="645"/>
      <c r="G951" s="645"/>
      <c r="H951" s="645"/>
    </row>
    <row r="952" spans="3:8">
      <c r="C952" s="1512"/>
      <c r="D952" s="647">
        <v>29.02</v>
      </c>
      <c r="E952" s="709">
        <v>2.78</v>
      </c>
      <c r="F952" s="645"/>
      <c r="G952" s="645"/>
      <c r="H952" s="645"/>
    </row>
    <row r="953" spans="3:8">
      <c r="C953" s="1512" t="s">
        <v>316</v>
      </c>
      <c r="D953" s="647">
        <v>30.5</v>
      </c>
      <c r="E953" s="709">
        <v>3.11</v>
      </c>
      <c r="F953" s="645"/>
      <c r="G953" s="645"/>
      <c r="H953" s="645"/>
    </row>
    <row r="954" spans="3:8">
      <c r="C954" s="1512"/>
      <c r="D954" s="647">
        <v>30</v>
      </c>
      <c r="E954" s="709">
        <f>44400/10000</f>
        <v>4.4400000000000004</v>
      </c>
      <c r="F954" s="645"/>
      <c r="G954" s="645"/>
      <c r="H954" s="645"/>
    </row>
    <row r="955" spans="3:8">
      <c r="C955" s="1512"/>
      <c r="D955" s="647">
        <v>28.71</v>
      </c>
      <c r="E955" s="709">
        <f>56700/10000</f>
        <v>5.67</v>
      </c>
      <c r="F955" s="645"/>
      <c r="G955" s="645"/>
      <c r="H955" s="645"/>
    </row>
    <row r="956" spans="3:8">
      <c r="C956" s="1512" t="s">
        <v>134</v>
      </c>
      <c r="D956" s="647">
        <v>32.25</v>
      </c>
      <c r="E956" s="709">
        <v>2.58</v>
      </c>
      <c r="F956" s="645"/>
      <c r="G956" s="644">
        <f>8420365/10000</f>
        <v>842.03650000000005</v>
      </c>
      <c r="H956" s="643">
        <f>257999983.6/100000000</f>
        <v>2.5799998359999998</v>
      </c>
    </row>
    <row r="957" spans="3:8">
      <c r="C957" s="1512"/>
      <c r="D957" s="647">
        <v>29.87</v>
      </c>
      <c r="E957" s="709">
        <f>33800/10000</f>
        <v>3.38</v>
      </c>
      <c r="F957" s="645"/>
      <c r="G957" s="645"/>
      <c r="H957" s="645"/>
    </row>
    <row r="958" spans="3:8">
      <c r="C958" s="673" t="s">
        <v>3328</v>
      </c>
      <c r="D958" s="647">
        <v>28.13</v>
      </c>
      <c r="E958" s="709">
        <v>2.58</v>
      </c>
      <c r="F958" s="645"/>
      <c r="G958" s="645"/>
      <c r="H958" s="645"/>
    </row>
    <row r="959" spans="3:8">
      <c r="C959" s="1512" t="s">
        <v>115</v>
      </c>
      <c r="D959" s="647">
        <v>31.86</v>
      </c>
      <c r="E959" s="709">
        <f>58800/10000</f>
        <v>5.88</v>
      </c>
      <c r="F959" s="645"/>
      <c r="G959" s="644">
        <f>19190600/10000</f>
        <v>1919.06</v>
      </c>
      <c r="H959" s="643">
        <f>587999984/100000000</f>
        <v>5.87999984</v>
      </c>
    </row>
    <row r="960" spans="3:8">
      <c r="C960" s="1512"/>
      <c r="D960" s="647">
        <v>30.63</v>
      </c>
      <c r="E960" s="709">
        <f>103600/10000</f>
        <v>10.36</v>
      </c>
      <c r="F960" s="645"/>
      <c r="G960" s="645"/>
      <c r="H960" s="645"/>
    </row>
    <row r="961" spans="1:56">
      <c r="C961" s="1512"/>
      <c r="D961" s="647">
        <v>28.5</v>
      </c>
      <c r="E961" s="709">
        <f>206200/10000</f>
        <v>20.62</v>
      </c>
      <c r="F961" s="645"/>
      <c r="G961" s="645"/>
      <c r="H961" s="645"/>
    </row>
    <row r="962" spans="1:56">
      <c r="C962" s="673" t="s">
        <v>3512</v>
      </c>
      <c r="D962" s="645"/>
      <c r="E962" s="645"/>
      <c r="F962" s="645"/>
      <c r="G962" s="644">
        <f>7832898/10000</f>
        <v>783.28980000000001</v>
      </c>
      <c r="H962" s="643">
        <f>239999994.72/100000000</f>
        <v>2.3999999472</v>
      </c>
    </row>
    <row r="964" spans="1:56" s="663" customFormat="1">
      <c r="A964" s="663" t="s">
        <v>2861</v>
      </c>
      <c r="B964" s="665" t="s">
        <v>2036</v>
      </c>
      <c r="C964" s="667" t="s">
        <v>126</v>
      </c>
      <c r="D964" s="667" t="s">
        <v>1583</v>
      </c>
      <c r="E964" s="667" t="s">
        <v>4</v>
      </c>
      <c r="F964" s="667" t="s">
        <v>2860</v>
      </c>
      <c r="G964" s="667" t="s">
        <v>2859</v>
      </c>
      <c r="H964" s="667" t="s">
        <v>2858</v>
      </c>
      <c r="I964" s="667" t="s">
        <v>751</v>
      </c>
      <c r="J964" s="665" t="s">
        <v>274</v>
      </c>
      <c r="K964" s="665" t="s">
        <v>273</v>
      </c>
      <c r="L964" s="665" t="s">
        <v>116</v>
      </c>
      <c r="M964" s="665" t="s">
        <v>110</v>
      </c>
      <c r="N964" s="665" t="s">
        <v>276</v>
      </c>
      <c r="O964" s="667" t="s">
        <v>1311</v>
      </c>
      <c r="P964" s="665" t="s">
        <v>275</v>
      </c>
      <c r="Q964" s="665" t="s">
        <v>111</v>
      </c>
      <c r="R964" s="665" t="s">
        <v>2857</v>
      </c>
      <c r="S964" s="665" t="s">
        <v>747</v>
      </c>
      <c r="T964" s="667" t="s">
        <v>12</v>
      </c>
      <c r="U964" s="666" t="s">
        <v>948</v>
      </c>
      <c r="V964" s="665" t="s">
        <v>129</v>
      </c>
      <c r="W964" s="665" t="s">
        <v>220</v>
      </c>
      <c r="X964" s="665" t="s">
        <v>749</v>
      </c>
      <c r="Y964" s="665" t="s">
        <v>750</v>
      </c>
      <c r="Z964" s="665" t="s">
        <v>748</v>
      </c>
      <c r="BB964" s="664"/>
      <c r="BD964" s="664"/>
    </row>
    <row r="965" spans="1:56">
      <c r="A965" s="642" t="s">
        <v>2078</v>
      </c>
      <c r="B965" s="1436">
        <v>96</v>
      </c>
      <c r="C965" s="1471" t="s">
        <v>2641</v>
      </c>
      <c r="D965" s="722" t="s">
        <v>2640</v>
      </c>
      <c r="E965" s="722" t="s">
        <v>2639</v>
      </c>
      <c r="F965" s="721">
        <v>9.24</v>
      </c>
      <c r="G965" s="656">
        <v>9.24</v>
      </c>
      <c r="H965" s="656">
        <f>L965*R965</f>
        <v>67.555199999999999</v>
      </c>
      <c r="I965" s="656">
        <f>F965/H965</f>
        <v>0.1367770356686088</v>
      </c>
      <c r="J965" s="658" t="s">
        <v>3068</v>
      </c>
      <c r="K965" s="645" t="s">
        <v>2638</v>
      </c>
      <c r="L965" s="645">
        <v>18.16</v>
      </c>
      <c r="M965" s="658">
        <v>12.67</v>
      </c>
      <c r="N965" s="653">
        <f>M965/L965</f>
        <v>0.69768722466960353</v>
      </c>
      <c r="O965" s="656">
        <v>15.2</v>
      </c>
      <c r="P965" s="653">
        <f>O965/L965</f>
        <v>0.83700440528634357</v>
      </c>
      <c r="Q965" s="645">
        <v>4</v>
      </c>
      <c r="R965" s="645">
        <v>3.72</v>
      </c>
      <c r="S965" s="645" t="s">
        <v>2637</v>
      </c>
      <c r="T965" s="654">
        <v>42913</v>
      </c>
      <c r="U965" s="645">
        <v>11.69</v>
      </c>
      <c r="V965" s="653">
        <f>((U965*(1+X965/10)+Y965/10)/O965)</f>
        <v>0.76907894736842108</v>
      </c>
      <c r="W965" s="645" t="s">
        <v>223</v>
      </c>
      <c r="X965" s="645">
        <v>0</v>
      </c>
      <c r="Y965" s="645">
        <v>0</v>
      </c>
      <c r="Z965" s="652" t="s">
        <v>2072</v>
      </c>
      <c r="BB965" s="651"/>
      <c r="BD965" s="650"/>
    </row>
    <row r="966" spans="1:56">
      <c r="C966" s="648" t="s">
        <v>112</v>
      </c>
      <c r="D966" s="648" t="s">
        <v>113</v>
      </c>
      <c r="E966" s="648" t="s">
        <v>943</v>
      </c>
      <c r="F966" s="649" t="s">
        <v>411</v>
      </c>
      <c r="G966" s="649" t="s">
        <v>942</v>
      </c>
      <c r="H966" s="648" t="s">
        <v>231</v>
      </c>
    </row>
    <row r="967" spans="1:56">
      <c r="C967" s="646" t="s">
        <v>3511</v>
      </c>
      <c r="D967" s="647">
        <v>13.01</v>
      </c>
      <c r="E967" s="643">
        <f>100000000/100000000</f>
        <v>1</v>
      </c>
      <c r="F967" s="645"/>
      <c r="G967" s="645"/>
      <c r="H967" s="645"/>
    </row>
    <row r="968" spans="1:56">
      <c r="C968" s="646" t="s">
        <v>6</v>
      </c>
      <c r="D968" s="647">
        <v>13.11</v>
      </c>
      <c r="E968" s="643">
        <f>92500000/100000000</f>
        <v>0.92500000000000004</v>
      </c>
      <c r="F968" s="645"/>
      <c r="G968" s="645"/>
      <c r="H968" s="645"/>
    </row>
    <row r="969" spans="1:56">
      <c r="C969" s="1512" t="s">
        <v>127</v>
      </c>
      <c r="D969" s="647">
        <v>15.53</v>
      </c>
      <c r="E969" s="643">
        <f>100000000/100000000</f>
        <v>1</v>
      </c>
      <c r="F969" s="645"/>
      <c r="G969" s="644">
        <f>6578947/10000</f>
        <v>657.89469999999994</v>
      </c>
      <c r="H969" s="643">
        <f>99999994.4/100000000</f>
        <v>0.99999994400000003</v>
      </c>
      <c r="J969" s="687"/>
    </row>
    <row r="970" spans="1:56">
      <c r="C970" s="1512"/>
      <c r="D970" s="647">
        <v>14.75</v>
      </c>
      <c r="E970" s="643">
        <f>180000000/100000000</f>
        <v>1.8</v>
      </c>
      <c r="F970" s="645"/>
      <c r="G970" s="645"/>
      <c r="H970" s="645"/>
    </row>
    <row r="971" spans="1:56">
      <c r="C971" s="646" t="s">
        <v>173</v>
      </c>
      <c r="D971" s="647">
        <v>14.22</v>
      </c>
      <c r="E971" s="643">
        <f>100500000/100000000</f>
        <v>1.0049999999999999</v>
      </c>
      <c r="F971" s="645"/>
      <c r="G971" s="645"/>
      <c r="H971" s="645"/>
    </row>
    <row r="972" spans="1:56">
      <c r="C972" s="646" t="s">
        <v>154</v>
      </c>
      <c r="D972" s="647">
        <v>13.2</v>
      </c>
      <c r="E972" s="643">
        <f>92500000/100000000</f>
        <v>0.92500000000000004</v>
      </c>
      <c r="F972" s="645"/>
      <c r="G972" s="645"/>
      <c r="H972" s="645"/>
    </row>
    <row r="973" spans="1:56">
      <c r="C973" s="646" t="s">
        <v>131</v>
      </c>
      <c r="D973" s="647">
        <v>13.1</v>
      </c>
      <c r="E973" s="643">
        <f>166000000/100000000</f>
        <v>1.66</v>
      </c>
      <c r="F973" s="645"/>
      <c r="G973" s="645"/>
      <c r="H973" s="645"/>
    </row>
    <row r="974" spans="1:56">
      <c r="C974" s="646" t="s">
        <v>234</v>
      </c>
      <c r="D974" s="647">
        <v>14.6</v>
      </c>
      <c r="E974" s="643">
        <f>92500000/100000000</f>
        <v>0.92500000000000004</v>
      </c>
      <c r="F974" s="645"/>
      <c r="G974" s="645"/>
      <c r="H974" s="645"/>
    </row>
    <row r="975" spans="1:56">
      <c r="C975" s="1512" t="s">
        <v>115</v>
      </c>
      <c r="D975" s="647">
        <v>15.61</v>
      </c>
      <c r="E975" s="643">
        <f>449000000/100000000</f>
        <v>4.49</v>
      </c>
      <c r="F975" s="645"/>
      <c r="G975" s="644">
        <f>29539473/10000</f>
        <v>2953.9472999999998</v>
      </c>
      <c r="H975" s="643">
        <f>448999989.6/100000000</f>
        <v>4.4899998960000005</v>
      </c>
      <c r="J975" s="687"/>
    </row>
    <row r="976" spans="1:56">
      <c r="C976" s="1512"/>
      <c r="D976" s="647">
        <v>14.58</v>
      </c>
      <c r="E976" s="643">
        <f>924000000/100000000</f>
        <v>9.24</v>
      </c>
      <c r="F976" s="645"/>
      <c r="G976" s="645"/>
      <c r="H976" s="645"/>
    </row>
    <row r="977" spans="1:56">
      <c r="C977" s="646" t="s">
        <v>139</v>
      </c>
      <c r="D977" s="647">
        <v>14.5</v>
      </c>
      <c r="E977" s="643">
        <f>92500000/100000000</f>
        <v>0.92500000000000004</v>
      </c>
      <c r="F977" s="645"/>
      <c r="G977" s="645"/>
      <c r="H977" s="645"/>
    </row>
    <row r="978" spans="1:56">
      <c r="C978" s="646" t="s">
        <v>142</v>
      </c>
      <c r="D978" s="647">
        <v>15.44</v>
      </c>
      <c r="E978" s="643">
        <f>277500000/100000000</f>
        <v>2.7749999999999999</v>
      </c>
      <c r="F978" s="645"/>
      <c r="G978" s="644">
        <f>18256578/10000</f>
        <v>1825.6578</v>
      </c>
      <c r="H978" s="643">
        <f>277499985.6/100000000</f>
        <v>2.7749998560000004</v>
      </c>
      <c r="J978" s="687"/>
    </row>
    <row r="979" spans="1:56">
      <c r="C979" s="1512" t="s">
        <v>497</v>
      </c>
      <c r="D979" s="647">
        <v>13.62</v>
      </c>
      <c r="E979" s="643">
        <f>185000000/100000000</f>
        <v>1.85</v>
      </c>
      <c r="F979" s="645"/>
      <c r="G979" s="645"/>
      <c r="H979" s="645"/>
    </row>
    <row r="980" spans="1:56">
      <c r="C980" s="1512"/>
      <c r="D980" s="647">
        <v>12.67</v>
      </c>
      <c r="E980" s="643">
        <f>647500000/100000000</f>
        <v>6.4749999999999996</v>
      </c>
      <c r="F980" s="645"/>
      <c r="G980" s="645"/>
      <c r="H980" s="645"/>
    </row>
    <row r="981" spans="1:56">
      <c r="C981" s="646" t="s">
        <v>3510</v>
      </c>
      <c r="D981" s="647">
        <v>13.51</v>
      </c>
      <c r="E981" s="643">
        <f>160000000/100000000</f>
        <v>1.6</v>
      </c>
      <c r="F981" s="643"/>
      <c r="G981" s="645"/>
      <c r="H981" s="645"/>
    </row>
    <row r="982" spans="1:56">
      <c r="C982" s="1512" t="s">
        <v>147</v>
      </c>
      <c r="D982" s="647">
        <v>15.2</v>
      </c>
      <c r="E982" s="643">
        <f>121500000/100000000</f>
        <v>1.2150000000000001</v>
      </c>
      <c r="F982" s="643"/>
      <c r="G982" s="644">
        <f>6430923/10000</f>
        <v>643.09230000000002</v>
      </c>
      <c r="H982" s="643">
        <f>97750029.6/100000000</f>
        <v>0.97750029599999999</v>
      </c>
      <c r="J982" s="687"/>
    </row>
    <row r="983" spans="1:56">
      <c r="C983" s="1512"/>
      <c r="D983" s="647">
        <v>14.6</v>
      </c>
      <c r="E983" s="643">
        <f>124500000/100000000</f>
        <v>1.2450000000000001</v>
      </c>
      <c r="F983" s="643"/>
      <c r="G983" s="645"/>
      <c r="H983" s="645"/>
    </row>
    <row r="984" spans="1:56">
      <c r="C984" s="1512"/>
      <c r="D984" s="647">
        <v>13.68</v>
      </c>
      <c r="E984" s="643">
        <f>217000000/100000000</f>
        <v>2.17</v>
      </c>
      <c r="F984" s="643"/>
      <c r="G984" s="645"/>
      <c r="H984" s="645"/>
    </row>
    <row r="986" spans="1:56" s="663" customFormat="1">
      <c r="A986" s="665" t="s">
        <v>2861</v>
      </c>
      <c r="B986" s="665" t="s">
        <v>2036</v>
      </c>
      <c r="C986" s="667" t="s">
        <v>126</v>
      </c>
      <c r="D986" s="667" t="s">
        <v>1583</v>
      </c>
      <c r="E986" s="667" t="s">
        <v>4</v>
      </c>
      <c r="F986" s="667" t="s">
        <v>2860</v>
      </c>
      <c r="G986" s="667" t="s">
        <v>2859</v>
      </c>
      <c r="H986" s="667" t="s">
        <v>2858</v>
      </c>
      <c r="I986" s="667" t="s">
        <v>751</v>
      </c>
      <c r="J986" s="665" t="s">
        <v>274</v>
      </c>
      <c r="K986" s="665" t="s">
        <v>273</v>
      </c>
      <c r="L986" s="665" t="s">
        <v>116</v>
      </c>
      <c r="M986" s="665" t="s">
        <v>110</v>
      </c>
      <c r="N986" s="665" t="s">
        <v>276</v>
      </c>
      <c r="O986" s="667" t="s">
        <v>1311</v>
      </c>
      <c r="P986" s="665" t="s">
        <v>275</v>
      </c>
      <c r="Q986" s="665" t="s">
        <v>111</v>
      </c>
      <c r="R986" s="665" t="s">
        <v>2857</v>
      </c>
      <c r="S986" s="665" t="s">
        <v>747</v>
      </c>
      <c r="T986" s="667" t="s">
        <v>12</v>
      </c>
      <c r="U986" s="666" t="s">
        <v>948</v>
      </c>
      <c r="V986" s="665" t="s">
        <v>129</v>
      </c>
      <c r="W986" s="665" t="s">
        <v>220</v>
      </c>
      <c r="X986" s="665" t="s">
        <v>749</v>
      </c>
      <c r="Y986" s="665" t="s">
        <v>750</v>
      </c>
      <c r="Z986" s="665" t="s">
        <v>748</v>
      </c>
      <c r="BB986" s="664"/>
      <c r="BD986" s="664"/>
    </row>
    <row r="987" spans="1:56">
      <c r="A987" s="645" t="s">
        <v>2078</v>
      </c>
      <c r="B987" s="1436">
        <v>97</v>
      </c>
      <c r="C987" s="1471" t="s">
        <v>2636</v>
      </c>
      <c r="D987" s="722" t="s">
        <v>1701</v>
      </c>
      <c r="E987" s="722" t="s">
        <v>1700</v>
      </c>
      <c r="F987" s="721">
        <v>20</v>
      </c>
      <c r="G987" s="656">
        <v>20</v>
      </c>
      <c r="H987" s="656">
        <f>L987*R987</f>
        <v>135.51779134080002</v>
      </c>
      <c r="I987" s="656">
        <f>F987/H987</f>
        <v>0.14758209827744329</v>
      </c>
      <c r="J987" s="658" t="s">
        <v>3079</v>
      </c>
      <c r="K987" s="645" t="s">
        <v>2107</v>
      </c>
      <c r="L987" s="645">
        <v>6.42</v>
      </c>
      <c r="M987" s="658">
        <v>4.4000000000000004</v>
      </c>
      <c r="N987" s="653">
        <f>M987/L987</f>
        <v>0.68535825545171347</v>
      </c>
      <c r="O987" s="656">
        <v>5.71</v>
      </c>
      <c r="P987" s="653">
        <f>O987/L987</f>
        <v>0.88940809968847356</v>
      </c>
      <c r="Q987" s="645">
        <v>8</v>
      </c>
      <c r="R987" s="653">
        <v>21.108690240000001</v>
      </c>
      <c r="S987" s="645" t="s">
        <v>2635</v>
      </c>
      <c r="T987" s="654">
        <v>42914</v>
      </c>
      <c r="U987" s="645">
        <v>5.53</v>
      </c>
      <c r="V987" s="653">
        <f>((U987*(1+X987/10)+Y987/10)/O987)</f>
        <v>0.98248686514886174</v>
      </c>
      <c r="W987" s="645" t="s">
        <v>2630</v>
      </c>
      <c r="X987" s="645">
        <v>0</v>
      </c>
      <c r="Y987" s="645">
        <v>0.8</v>
      </c>
      <c r="Z987" s="652" t="s">
        <v>2454</v>
      </c>
      <c r="BB987" s="651"/>
      <c r="BD987" s="650"/>
    </row>
    <row r="988" spans="1:56">
      <c r="C988" s="648" t="s">
        <v>112</v>
      </c>
      <c r="D988" s="648" t="s">
        <v>113</v>
      </c>
      <c r="E988" s="648" t="s">
        <v>943</v>
      </c>
      <c r="F988" s="649" t="s">
        <v>411</v>
      </c>
      <c r="G988" s="649" t="s">
        <v>942</v>
      </c>
      <c r="H988" s="648" t="s">
        <v>231</v>
      </c>
    </row>
    <row r="989" spans="1:56">
      <c r="C989" s="1512" t="s">
        <v>3085</v>
      </c>
      <c r="D989" s="647">
        <v>4.5999999999999996</v>
      </c>
      <c r="E989" s="643">
        <v>2</v>
      </c>
      <c r="F989" s="645"/>
      <c r="G989" s="645"/>
      <c r="H989" s="645"/>
    </row>
    <row r="990" spans="1:56">
      <c r="C990" s="1512"/>
      <c r="D990" s="647">
        <v>4.5</v>
      </c>
      <c r="E990" s="643">
        <v>2</v>
      </c>
      <c r="F990" s="645"/>
      <c r="G990" s="645"/>
      <c r="H990" s="645"/>
    </row>
    <row r="991" spans="1:56">
      <c r="C991" s="1512"/>
      <c r="D991" s="647">
        <v>4.4000000000000004</v>
      </c>
      <c r="E991" s="643">
        <v>2</v>
      </c>
      <c r="F991" s="645"/>
      <c r="G991" s="645"/>
      <c r="H991" s="645"/>
    </row>
    <row r="992" spans="1:56">
      <c r="C992" s="646" t="s">
        <v>8</v>
      </c>
      <c r="D992" s="647">
        <v>4.8</v>
      </c>
      <c r="E992" s="643">
        <v>2</v>
      </c>
      <c r="F992" s="645"/>
      <c r="G992" s="645"/>
      <c r="H992" s="645"/>
    </row>
    <row r="993" spans="3:8">
      <c r="C993" s="646" t="s">
        <v>228</v>
      </c>
      <c r="D993" s="647">
        <v>5.68</v>
      </c>
      <c r="E993" s="643">
        <v>2.89</v>
      </c>
      <c r="F993" s="645"/>
      <c r="G993" s="645"/>
      <c r="H993" s="645"/>
    </row>
    <row r="994" spans="3:8">
      <c r="C994" s="646" t="s">
        <v>13</v>
      </c>
      <c r="D994" s="647">
        <v>4.88</v>
      </c>
      <c r="E994" s="643">
        <v>2.1</v>
      </c>
      <c r="F994" s="645"/>
      <c r="G994" s="645"/>
      <c r="H994" s="645"/>
    </row>
    <row r="995" spans="3:8">
      <c r="C995" s="1512" t="s">
        <v>3509</v>
      </c>
      <c r="D995" s="647">
        <v>5.93</v>
      </c>
      <c r="E995" s="643">
        <v>2</v>
      </c>
      <c r="F995" s="645"/>
      <c r="G995" s="644">
        <f>35026269/10000</f>
        <v>3502.6269000000002</v>
      </c>
      <c r="H995" s="643">
        <f>199999995.99/100000000</f>
        <v>1.9999999599</v>
      </c>
    </row>
    <row r="996" spans="3:8">
      <c r="C996" s="1512"/>
      <c r="D996" s="647">
        <v>5.41</v>
      </c>
      <c r="E996" s="643">
        <v>2.16</v>
      </c>
      <c r="F996" s="645"/>
      <c r="G996" s="645"/>
      <c r="H996" s="645"/>
    </row>
    <row r="997" spans="3:8">
      <c r="C997" s="1512"/>
      <c r="D997" s="647">
        <v>4.4400000000000004</v>
      </c>
      <c r="E997" s="643">
        <v>2.39</v>
      </c>
      <c r="F997" s="645"/>
      <c r="G997" s="645"/>
      <c r="H997" s="645"/>
    </row>
    <row r="998" spans="3:8">
      <c r="C998" s="646" t="s">
        <v>505</v>
      </c>
      <c r="D998" s="647">
        <v>5.41</v>
      </c>
      <c r="E998" s="643">
        <v>2.1</v>
      </c>
      <c r="F998" s="645"/>
      <c r="G998" s="645"/>
      <c r="H998" s="645"/>
    </row>
    <row r="999" spans="3:8">
      <c r="C999" s="646" t="s">
        <v>131</v>
      </c>
      <c r="D999" s="647">
        <v>4.51</v>
      </c>
      <c r="E999" s="643">
        <v>2.1</v>
      </c>
      <c r="F999" s="645"/>
      <c r="G999" s="645"/>
      <c r="H999" s="645"/>
    </row>
    <row r="1000" spans="3:8">
      <c r="C1000" s="1512" t="s">
        <v>127</v>
      </c>
      <c r="D1000" s="647">
        <v>5.53</v>
      </c>
      <c r="E1000" s="643">
        <v>2</v>
      </c>
      <c r="F1000" s="645"/>
      <c r="G1000" s="645"/>
      <c r="H1000" s="645"/>
    </row>
    <row r="1001" spans="3:8">
      <c r="C1001" s="1512"/>
      <c r="D1001" s="647">
        <v>5.12</v>
      </c>
      <c r="E1001" s="643">
        <f>40000/10000</f>
        <v>4</v>
      </c>
      <c r="F1001" s="645"/>
      <c r="G1001" s="645"/>
      <c r="H1001" s="645"/>
    </row>
    <row r="1002" spans="3:8">
      <c r="C1002" s="646" t="s">
        <v>3508</v>
      </c>
      <c r="D1002" s="647">
        <v>6.03</v>
      </c>
      <c r="E1002" s="643">
        <v>2.0880000000000001</v>
      </c>
      <c r="F1002" s="645"/>
      <c r="G1002" s="644">
        <f>36567425/10000</f>
        <v>3656.7424999999998</v>
      </c>
      <c r="H1002" s="643">
        <f>208799996.75/100000000</f>
        <v>2.0879999675000001</v>
      </c>
    </row>
    <row r="1003" spans="3:8" ht="28">
      <c r="C1003" s="646" t="s">
        <v>3507</v>
      </c>
      <c r="D1003" s="647">
        <v>5.0999999999999996</v>
      </c>
      <c r="E1003" s="643">
        <v>2</v>
      </c>
      <c r="F1003" s="645"/>
      <c r="G1003" s="645"/>
      <c r="H1003" s="645"/>
    </row>
    <row r="1004" spans="3:8">
      <c r="C1004" s="1512" t="s">
        <v>3506</v>
      </c>
      <c r="D1004" s="647">
        <v>5.71</v>
      </c>
      <c r="E1004" s="643">
        <f>62650/10000</f>
        <v>6.2649999999999997</v>
      </c>
      <c r="F1004" s="645"/>
      <c r="G1004" s="644">
        <f>33467605/10000</f>
        <v>3346.7604999999999</v>
      </c>
      <c r="H1004" s="643">
        <f>191100024.55/100000000</f>
        <v>1.9110002455000001</v>
      </c>
    </row>
    <row r="1005" spans="3:8">
      <c r="C1005" s="1512"/>
      <c r="D1005" s="647">
        <v>5.35</v>
      </c>
      <c r="E1005" s="643">
        <f>135520/10000</f>
        <v>13.552</v>
      </c>
      <c r="F1005" s="645"/>
      <c r="G1005" s="645"/>
      <c r="H1005" s="645"/>
    </row>
    <row r="1006" spans="3:8">
      <c r="C1006" s="1512"/>
      <c r="D1006" s="647">
        <v>4.8</v>
      </c>
      <c r="E1006" s="643">
        <f>191820/10000</f>
        <v>19.181999999999999</v>
      </c>
      <c r="F1006" s="645"/>
      <c r="G1006" s="645"/>
      <c r="H1006" s="645"/>
    </row>
    <row r="1007" spans="3:8">
      <c r="C1007" s="1512" t="s">
        <v>150</v>
      </c>
      <c r="D1007" s="647">
        <v>4.99</v>
      </c>
      <c r="E1007" s="643">
        <v>2</v>
      </c>
      <c r="F1007" s="645"/>
      <c r="G1007" s="645"/>
      <c r="H1007" s="645"/>
    </row>
    <row r="1008" spans="3:8">
      <c r="C1008" s="1512"/>
      <c r="D1008" s="647">
        <v>4.9000000000000004</v>
      </c>
      <c r="E1008" s="643">
        <v>2.75</v>
      </c>
      <c r="F1008" s="645"/>
      <c r="G1008" s="645"/>
      <c r="H1008" s="645"/>
    </row>
    <row r="1009" spans="1:56">
      <c r="C1009" s="646" t="s">
        <v>1037</v>
      </c>
      <c r="D1009" s="647">
        <v>5.39</v>
      </c>
      <c r="E1009" s="643">
        <f>40000/10000</f>
        <v>4</v>
      </c>
      <c r="F1009" s="645"/>
      <c r="G1009" s="645"/>
      <c r="H1009" s="645"/>
    </row>
    <row r="1010" spans="1:56">
      <c r="C1010" s="646" t="s">
        <v>147</v>
      </c>
      <c r="D1010" s="647">
        <v>5.36</v>
      </c>
      <c r="E1010" s="643">
        <v>2.79</v>
      </c>
      <c r="F1010" s="645"/>
      <c r="G1010" s="645"/>
      <c r="H1010" s="645"/>
    </row>
    <row r="1011" spans="1:56" ht="28">
      <c r="C1011" s="646" t="s">
        <v>3505</v>
      </c>
      <c r="D1011" s="647">
        <v>6.42</v>
      </c>
      <c r="E1011" s="643">
        <v>2</v>
      </c>
      <c r="F1011" s="645"/>
      <c r="G1011" s="644">
        <f>35026269/10000</f>
        <v>3502.6269000000002</v>
      </c>
      <c r="H1011" s="643">
        <f>199999995.99/100000000</f>
        <v>1.9999999599</v>
      </c>
    </row>
    <row r="1012" spans="1:56" ht="28">
      <c r="C1012" s="646" t="s">
        <v>3504</v>
      </c>
      <c r="D1012" s="647">
        <v>6.4</v>
      </c>
      <c r="E1012" s="643">
        <v>2</v>
      </c>
      <c r="F1012" s="645"/>
      <c r="G1012" s="644">
        <f>35026269/10000</f>
        <v>3502.6269000000002</v>
      </c>
      <c r="H1012" s="643">
        <f>199999995.99/100000000</f>
        <v>1.9999999599</v>
      </c>
    </row>
    <row r="1013" spans="1:56">
      <c r="C1013" s="646" t="s">
        <v>3503</v>
      </c>
      <c r="D1013" s="647">
        <v>6.38</v>
      </c>
      <c r="E1013" s="643">
        <f>60000/10000</f>
        <v>6</v>
      </c>
      <c r="F1013" s="645"/>
      <c r="G1013" s="644">
        <f>105078809/10000</f>
        <v>10507.8809</v>
      </c>
      <c r="H1013" s="643">
        <f>599999999.39/100000000</f>
        <v>5.9999999938999995</v>
      </c>
    </row>
    <row r="1014" spans="1:56">
      <c r="C1014" s="646" t="s">
        <v>3502</v>
      </c>
      <c r="D1014" s="647">
        <v>5.89</v>
      </c>
      <c r="E1014" s="643">
        <v>2</v>
      </c>
      <c r="F1014" s="645"/>
      <c r="G1014" s="644">
        <f>35026269/10000</f>
        <v>3502.6269000000002</v>
      </c>
      <c r="H1014" s="643">
        <f>199999995.99/100000000</f>
        <v>1.9999999599</v>
      </c>
    </row>
    <row r="1015" spans="1:56">
      <c r="C1015" s="646" t="s">
        <v>3501</v>
      </c>
      <c r="D1015" s="647">
        <v>5.75</v>
      </c>
      <c r="E1015" s="643">
        <v>2.0009999999999999</v>
      </c>
      <c r="F1015" s="645"/>
      <c r="G1015" s="644">
        <f>35043782/10000</f>
        <v>3504.3782000000001</v>
      </c>
      <c r="H1015" s="643">
        <f>200099995.22/100000000</f>
        <v>2.0009999521999999</v>
      </c>
    </row>
    <row r="1016" spans="1:56">
      <c r="C1016" s="1512"/>
      <c r="D1016" s="647">
        <v>5.2</v>
      </c>
      <c r="E1016" s="643">
        <v>2.351</v>
      </c>
      <c r="F1016" s="645"/>
      <c r="G1016" s="645"/>
      <c r="H1016" s="645"/>
    </row>
    <row r="1017" spans="1:56">
      <c r="C1017" s="1512"/>
      <c r="D1017" s="647">
        <v>4.62</v>
      </c>
      <c r="E1017" s="643">
        <f>43510/10000</f>
        <v>4.351</v>
      </c>
      <c r="F1017" s="645"/>
      <c r="G1017" s="645"/>
      <c r="H1017" s="645"/>
    </row>
    <row r="1018" spans="1:56" ht="28">
      <c r="C1018" s="646" t="s">
        <v>2920</v>
      </c>
      <c r="D1018" s="647">
        <v>5.13</v>
      </c>
      <c r="E1018" s="643">
        <v>2.1</v>
      </c>
      <c r="F1018" s="645"/>
      <c r="G1018" s="645"/>
      <c r="H1018" s="645"/>
    </row>
    <row r="1020" spans="1:56" s="663" customFormat="1">
      <c r="A1020" s="663" t="s">
        <v>2861</v>
      </c>
      <c r="B1020" s="665" t="s">
        <v>2036</v>
      </c>
      <c r="C1020" s="667" t="s">
        <v>126</v>
      </c>
      <c r="D1020" s="667" t="s">
        <v>1583</v>
      </c>
      <c r="E1020" s="667" t="s">
        <v>4</v>
      </c>
      <c r="F1020" s="667" t="s">
        <v>2860</v>
      </c>
      <c r="G1020" s="667" t="s">
        <v>2859</v>
      </c>
      <c r="H1020" s="667" t="s">
        <v>2858</v>
      </c>
      <c r="I1020" s="667" t="s">
        <v>751</v>
      </c>
      <c r="J1020" s="665" t="s">
        <v>274</v>
      </c>
      <c r="K1020" s="665" t="s">
        <v>273</v>
      </c>
      <c r="L1020" s="665" t="s">
        <v>116</v>
      </c>
      <c r="M1020" s="665" t="s">
        <v>110</v>
      </c>
      <c r="N1020" s="665" t="s">
        <v>276</v>
      </c>
      <c r="O1020" s="667" t="s">
        <v>1311</v>
      </c>
      <c r="P1020" s="665" t="s">
        <v>275</v>
      </c>
      <c r="Q1020" s="665" t="s">
        <v>111</v>
      </c>
      <c r="R1020" s="665" t="s">
        <v>2857</v>
      </c>
      <c r="S1020" s="665" t="s">
        <v>747</v>
      </c>
      <c r="T1020" s="667" t="s">
        <v>12</v>
      </c>
      <c r="U1020" s="666" t="s">
        <v>948</v>
      </c>
      <c r="V1020" s="665" t="s">
        <v>129</v>
      </c>
      <c r="W1020" s="665" t="s">
        <v>220</v>
      </c>
      <c r="X1020" s="665" t="s">
        <v>749</v>
      </c>
      <c r="Y1020" s="665" t="s">
        <v>750</v>
      </c>
      <c r="Z1020" s="668" t="s">
        <v>748</v>
      </c>
      <c r="AA1020" s="716"/>
      <c r="BB1020" s="664"/>
      <c r="BD1020" s="664"/>
    </row>
    <row r="1021" spans="1:56">
      <c r="A1021" s="642" t="s">
        <v>2078</v>
      </c>
      <c r="B1021" s="1436">
        <v>98</v>
      </c>
      <c r="C1021" s="1437" t="s">
        <v>2634</v>
      </c>
      <c r="D1021" s="662" t="s">
        <v>2633</v>
      </c>
      <c r="E1021" s="662" t="s">
        <v>2632</v>
      </c>
      <c r="F1021" s="661">
        <v>14</v>
      </c>
      <c r="G1021" s="660">
        <v>14</v>
      </c>
      <c r="H1021" s="659">
        <f>L1021*R1021</f>
        <v>223.14</v>
      </c>
      <c r="I1021" s="656">
        <f>F1021/H1021</f>
        <v>6.2740880164918883E-2</v>
      </c>
      <c r="J1021" s="658" t="s">
        <v>3084</v>
      </c>
      <c r="K1021" s="645" t="s">
        <v>2089</v>
      </c>
      <c r="L1021" s="645">
        <v>37.19</v>
      </c>
      <c r="M1021" s="658">
        <v>32.54</v>
      </c>
      <c r="N1021" s="699">
        <f>M1021/L1021</f>
        <v>0.87496638881419742</v>
      </c>
      <c r="O1021" s="660">
        <v>32.54</v>
      </c>
      <c r="P1021" s="699">
        <f>O1021/L1021</f>
        <v>0.87496638881419742</v>
      </c>
      <c r="Q1021" s="642">
        <v>7</v>
      </c>
      <c r="R1021" s="642">
        <v>6</v>
      </c>
      <c r="S1021" s="642" t="s">
        <v>2631</v>
      </c>
      <c r="T1021" s="651">
        <v>42914</v>
      </c>
      <c r="U1021" s="642">
        <v>28.1</v>
      </c>
      <c r="V1021" s="699">
        <f>((U1021*(1+X1021/10)+Y1021/10)/O1021)</f>
        <v>0.86601106330669941</v>
      </c>
      <c r="W1021" s="642" t="s">
        <v>2630</v>
      </c>
      <c r="X1021" s="642">
        <v>0</v>
      </c>
      <c r="Y1021" s="642">
        <v>0.8</v>
      </c>
      <c r="Z1021" s="650" t="s">
        <v>2160</v>
      </c>
      <c r="BB1021" s="651"/>
      <c r="BD1021" s="650"/>
    </row>
    <row r="1022" spans="1:56">
      <c r="C1022" s="648" t="s">
        <v>112</v>
      </c>
      <c r="D1022" s="648" t="s">
        <v>113</v>
      </c>
      <c r="E1022" s="648" t="s">
        <v>943</v>
      </c>
      <c r="F1022" s="649" t="s">
        <v>411</v>
      </c>
      <c r="G1022" s="649" t="s">
        <v>942</v>
      </c>
      <c r="H1022" s="648" t="s">
        <v>231</v>
      </c>
    </row>
    <row r="1023" spans="1:56">
      <c r="C1023" s="646" t="s">
        <v>115</v>
      </c>
      <c r="D1023" s="653">
        <v>32.58</v>
      </c>
      <c r="E1023" s="653">
        <v>7.1</v>
      </c>
      <c r="F1023" s="645"/>
      <c r="G1023" s="644">
        <f>21819299/10000</f>
        <v>2181.9299000000001</v>
      </c>
      <c r="H1023" s="643">
        <f>709999989.46/100000000</f>
        <v>7.0999998946000007</v>
      </c>
    </row>
    <row r="1024" spans="1:56">
      <c r="C1024" s="646" t="s">
        <v>279</v>
      </c>
      <c r="D1024" s="653">
        <v>35.46</v>
      </c>
      <c r="E1024" s="653">
        <v>1.4199900000000001</v>
      </c>
      <c r="F1024" s="645"/>
      <c r="G1024" s="644">
        <f>6115549/10000</f>
        <v>611.55489999999998</v>
      </c>
      <c r="H1024" s="643">
        <f>198999964.46/100000000</f>
        <v>1.9899996446000001</v>
      </c>
    </row>
    <row r="1025" spans="1:56">
      <c r="C1025" s="646" t="s">
        <v>227</v>
      </c>
      <c r="D1025" s="653">
        <v>32.54</v>
      </c>
      <c r="E1025" s="653">
        <v>1.4399</v>
      </c>
      <c r="F1025" s="645"/>
      <c r="G1025" s="644">
        <f>5808235/10000</f>
        <v>580.82349999999997</v>
      </c>
      <c r="H1025" s="643">
        <f>188999966.9/100000000</f>
        <v>1.889999669</v>
      </c>
    </row>
    <row r="1026" spans="1:56">
      <c r="C1026" s="646" t="s">
        <v>3083</v>
      </c>
      <c r="D1026" s="653">
        <v>32.54</v>
      </c>
      <c r="E1026" s="653">
        <v>1.3999900000000001</v>
      </c>
      <c r="F1026" s="645"/>
      <c r="G1026" s="644">
        <f>4302397/10000</f>
        <v>430.23970000000003</v>
      </c>
      <c r="H1026" s="643">
        <f>139999998.38/100000000</f>
        <v>1.3999999837999999</v>
      </c>
    </row>
    <row r="1027" spans="1:56">
      <c r="C1027" s="646"/>
      <c r="D1027" s="1582" t="s">
        <v>621</v>
      </c>
      <c r="E1027" s="1582"/>
      <c r="F1027" s="645"/>
      <c r="G1027" s="841" t="s">
        <v>3500</v>
      </c>
      <c r="H1027" s="643"/>
    </row>
    <row r="1028" spans="1:56">
      <c r="C1028" s="646" t="s">
        <v>279</v>
      </c>
      <c r="D1028" s="653">
        <v>32.54</v>
      </c>
      <c r="E1028" s="653">
        <v>0.56999999999999995</v>
      </c>
      <c r="F1028" s="645"/>
      <c r="G1028" s="644"/>
      <c r="H1028" s="643"/>
    </row>
    <row r="1029" spans="1:56">
      <c r="C1029" s="646" t="s">
        <v>227</v>
      </c>
      <c r="D1029" s="653">
        <v>32.54</v>
      </c>
      <c r="E1029" s="653">
        <v>0.45</v>
      </c>
      <c r="F1029" s="645"/>
      <c r="G1029" s="644"/>
      <c r="H1029" s="643"/>
    </row>
    <row r="1030" spans="1:56">
      <c r="C1030" s="646" t="s">
        <v>2969</v>
      </c>
      <c r="D1030" s="653">
        <v>32.54</v>
      </c>
      <c r="E1030" s="653">
        <v>1</v>
      </c>
      <c r="F1030" s="645"/>
      <c r="G1030" s="644">
        <f>3073140/10000</f>
        <v>307.31400000000002</v>
      </c>
      <c r="H1030" s="643">
        <f>99999975.6/100000000</f>
        <v>0.99999975599999991</v>
      </c>
    </row>
    <row r="1031" spans="1:56">
      <c r="C1031" s="646" t="s">
        <v>2883</v>
      </c>
      <c r="D1031" s="653">
        <v>32.54</v>
      </c>
      <c r="E1031" s="653">
        <v>0.505</v>
      </c>
      <c r="F1031" s="645"/>
      <c r="G1031" s="644">
        <f>1551936/10000</f>
        <v>155.1936</v>
      </c>
      <c r="H1031" s="643">
        <f>50499997.44/100000000</f>
        <v>0.5049999744</v>
      </c>
    </row>
    <row r="1032" spans="1:56">
      <c r="C1032" s="646" t="s">
        <v>3082</v>
      </c>
      <c r="D1032" s="653">
        <v>32.54</v>
      </c>
      <c r="E1032" s="653">
        <v>0.5</v>
      </c>
      <c r="F1032" s="645"/>
      <c r="G1032" s="644">
        <f>353414/10000</f>
        <v>35.3414</v>
      </c>
      <c r="H1032" s="643">
        <f>11500091.56/100000000</f>
        <v>0.1150009156</v>
      </c>
    </row>
    <row r="1034" spans="1:56" s="663" customFormat="1">
      <c r="A1034" s="663" t="s">
        <v>2861</v>
      </c>
      <c r="B1034" s="665" t="s">
        <v>2036</v>
      </c>
      <c r="C1034" s="667" t="s">
        <v>126</v>
      </c>
      <c r="D1034" s="667" t="s">
        <v>1583</v>
      </c>
      <c r="E1034" s="667" t="s">
        <v>4</v>
      </c>
      <c r="F1034" s="667" t="s">
        <v>2860</v>
      </c>
      <c r="G1034" s="667" t="s">
        <v>2859</v>
      </c>
      <c r="H1034" s="667" t="s">
        <v>2858</v>
      </c>
      <c r="I1034" s="667" t="s">
        <v>751</v>
      </c>
      <c r="J1034" s="665" t="s">
        <v>274</v>
      </c>
      <c r="K1034" s="665" t="s">
        <v>273</v>
      </c>
      <c r="L1034" s="665" t="s">
        <v>116</v>
      </c>
      <c r="M1034" s="665" t="s">
        <v>110</v>
      </c>
      <c r="N1034" s="665" t="s">
        <v>276</v>
      </c>
      <c r="O1034" s="667" t="s">
        <v>1311</v>
      </c>
      <c r="P1034" s="665" t="s">
        <v>275</v>
      </c>
      <c r="Q1034" s="665" t="s">
        <v>111</v>
      </c>
      <c r="R1034" s="665" t="s">
        <v>2857</v>
      </c>
      <c r="S1034" s="665" t="s">
        <v>747</v>
      </c>
      <c r="T1034" s="667" t="s">
        <v>12</v>
      </c>
      <c r="U1034" s="666" t="s">
        <v>948</v>
      </c>
      <c r="V1034" s="665" t="s">
        <v>129</v>
      </c>
      <c r="W1034" s="665" t="s">
        <v>220</v>
      </c>
      <c r="X1034" s="665" t="s">
        <v>749</v>
      </c>
      <c r="Y1034" s="665" t="s">
        <v>750</v>
      </c>
      <c r="Z1034" s="665" t="s">
        <v>748</v>
      </c>
      <c r="BB1034" s="664"/>
      <c r="BD1034" s="664"/>
    </row>
    <row r="1035" spans="1:56">
      <c r="A1035" s="642" t="s">
        <v>2078</v>
      </c>
      <c r="B1035" s="1436">
        <v>99</v>
      </c>
      <c r="C1035" s="1437" t="s">
        <v>4214</v>
      </c>
      <c r="D1035" s="662" t="s">
        <v>2628</v>
      </c>
      <c r="E1035" s="662" t="s">
        <v>2627</v>
      </c>
      <c r="F1035" s="661">
        <v>47.56</v>
      </c>
      <c r="G1035" s="660">
        <v>47.56</v>
      </c>
      <c r="H1035" s="659">
        <f>L1035*R1035</f>
        <v>165.16730999999999</v>
      </c>
      <c r="I1035" s="656">
        <f>F1035/H1035</f>
        <v>0.28795044249373564</v>
      </c>
      <c r="J1035" s="658" t="s">
        <v>3081</v>
      </c>
      <c r="K1035" s="645" t="s">
        <v>2626</v>
      </c>
      <c r="L1035" s="645">
        <v>16.5</v>
      </c>
      <c r="M1035" s="658">
        <v>12.39</v>
      </c>
      <c r="N1035" s="653">
        <f>M1035/L1035</f>
        <v>0.75090909090909097</v>
      </c>
      <c r="O1035" s="656">
        <v>13</v>
      </c>
      <c r="P1035" s="653">
        <f>O1035/L1035</f>
        <v>0.78787878787878785</v>
      </c>
      <c r="Q1035" s="645">
        <v>8</v>
      </c>
      <c r="R1035" s="653">
        <v>10.01014</v>
      </c>
      <c r="S1035" s="645" t="s">
        <v>2625</v>
      </c>
      <c r="T1035" s="654">
        <v>42914</v>
      </c>
      <c r="U1035" s="645">
        <v>5.19</v>
      </c>
      <c r="V1035" s="653">
        <f>((U1035*(1+X1035/10)+Y1035/10)/O1035)</f>
        <v>0.39923076923076928</v>
      </c>
      <c r="W1035" s="645" t="s">
        <v>2624</v>
      </c>
      <c r="X1035" s="645"/>
      <c r="Y1035" s="645"/>
      <c r="Z1035" s="652" t="s">
        <v>2468</v>
      </c>
      <c r="BB1035" s="651"/>
      <c r="BD1035" s="650"/>
    </row>
    <row r="1036" spans="1:56">
      <c r="C1036" s="648" t="s">
        <v>112</v>
      </c>
      <c r="D1036" s="648" t="s">
        <v>113</v>
      </c>
      <c r="E1036" s="648" t="s">
        <v>943</v>
      </c>
      <c r="F1036" s="649" t="s">
        <v>411</v>
      </c>
      <c r="G1036" s="649" t="s">
        <v>942</v>
      </c>
      <c r="H1036" s="648" t="s">
        <v>231</v>
      </c>
    </row>
    <row r="1037" spans="1:56">
      <c r="C1037" s="646" t="s">
        <v>309</v>
      </c>
      <c r="D1037" s="647">
        <v>13.5</v>
      </c>
      <c r="E1037" s="643">
        <f>50000/10000</f>
        <v>5</v>
      </c>
      <c r="F1037" s="645"/>
      <c r="G1037" s="644">
        <f>38461500/10000</f>
        <v>3846.15</v>
      </c>
      <c r="H1037" s="644">
        <f>499999500/100000000</f>
        <v>4.9999950000000002</v>
      </c>
      <c r="I1037" s="705"/>
    </row>
    <row r="1038" spans="1:56">
      <c r="C1038" s="646" t="s">
        <v>316</v>
      </c>
      <c r="D1038" s="647">
        <v>14</v>
      </c>
      <c r="E1038" s="643">
        <f>48000/10000</f>
        <v>4.8</v>
      </c>
      <c r="F1038" s="645"/>
      <c r="G1038" s="644">
        <f>36923000/10000</f>
        <v>3692.3</v>
      </c>
      <c r="H1038" s="644">
        <f>479999000/100000000</f>
        <v>4.7999900000000002</v>
      </c>
      <c r="I1038" s="705"/>
    </row>
    <row r="1039" spans="1:56">
      <c r="C1039" s="646" t="s">
        <v>3499</v>
      </c>
      <c r="D1039" s="647">
        <v>13</v>
      </c>
      <c r="E1039" s="643">
        <f>48000/10000</f>
        <v>4.8</v>
      </c>
      <c r="F1039" s="645"/>
      <c r="G1039" s="644">
        <f>15848700/10000</f>
        <v>1584.87</v>
      </c>
      <c r="H1039" s="644">
        <f>206033100/100000000</f>
        <v>2.0603310000000001</v>
      </c>
      <c r="I1039" s="705"/>
    </row>
    <row r="1040" spans="1:56">
      <c r="C1040" s="1512" t="s">
        <v>146</v>
      </c>
      <c r="D1040" s="647">
        <v>13</v>
      </c>
      <c r="E1040" s="643">
        <f>63000/10000</f>
        <v>6.3</v>
      </c>
      <c r="F1040" s="645"/>
      <c r="G1040" s="644">
        <f>48461500/10000</f>
        <v>4846.1499999999996</v>
      </c>
      <c r="H1040" s="644">
        <f>629999500/100000000</f>
        <v>6.299995</v>
      </c>
      <c r="I1040" s="705"/>
    </row>
    <row r="1041" spans="1:56">
      <c r="C1041" s="1512"/>
      <c r="D1041" s="647">
        <v>12.98</v>
      </c>
      <c r="E1041" s="643">
        <f>63000/10000</f>
        <v>6.3</v>
      </c>
      <c r="F1041" s="645"/>
      <c r="G1041" s="644"/>
      <c r="H1041" s="645"/>
    </row>
    <row r="1042" spans="1:56">
      <c r="C1042" s="1512"/>
      <c r="D1042" s="647">
        <v>12.39</v>
      </c>
      <c r="E1042" s="643">
        <f>63000/10000</f>
        <v>6.3</v>
      </c>
      <c r="F1042" s="645"/>
      <c r="G1042" s="645"/>
      <c r="H1042" s="645"/>
    </row>
    <row r="1043" spans="1:56">
      <c r="C1043" s="646" t="s">
        <v>320</v>
      </c>
      <c r="D1043" s="647">
        <v>13.05</v>
      </c>
      <c r="E1043" s="643">
        <f>50000/10000</f>
        <v>5</v>
      </c>
      <c r="F1043" s="645"/>
      <c r="G1043" s="644">
        <f>38461500/10000</f>
        <v>3846.15</v>
      </c>
      <c r="H1043" s="644">
        <f>499999500/100000000</f>
        <v>4.9999950000000002</v>
      </c>
      <c r="I1043" s="705"/>
    </row>
    <row r="1044" spans="1:56">
      <c r="C1044" s="646"/>
      <c r="D1044" s="647">
        <v>12.39</v>
      </c>
      <c r="E1044" s="643">
        <f>60000/10000</f>
        <v>6</v>
      </c>
      <c r="F1044" s="645"/>
      <c r="G1044" s="645"/>
      <c r="H1044" s="645"/>
    </row>
    <row r="1045" spans="1:56">
      <c r="C1045" s="646" t="s">
        <v>120</v>
      </c>
      <c r="D1045" s="647">
        <v>13.7</v>
      </c>
      <c r="E1045" s="643">
        <f>48000/10000</f>
        <v>4.8</v>
      </c>
      <c r="F1045" s="645"/>
      <c r="G1045" s="644">
        <f>36923000/10000</f>
        <v>3692.3</v>
      </c>
      <c r="H1045" s="644">
        <f>479999000/100000000</f>
        <v>4.7999900000000002</v>
      </c>
      <c r="I1045" s="705"/>
    </row>
    <row r="1046" spans="1:56">
      <c r="C1046" s="646" t="s">
        <v>115</v>
      </c>
      <c r="D1046" s="647">
        <v>14.4</v>
      </c>
      <c r="E1046" s="643">
        <f>88000/10000</f>
        <v>8.8000000000000007</v>
      </c>
      <c r="F1046" s="645"/>
      <c r="G1046" s="644">
        <f>105769200/10000</f>
        <v>10576.92</v>
      </c>
      <c r="H1046" s="644">
        <f>1374999600/100000000</f>
        <v>13.749995999999999</v>
      </c>
      <c r="I1046" s="705"/>
    </row>
    <row r="1047" spans="1:56">
      <c r="C1047" s="646"/>
      <c r="D1047" s="647">
        <v>13.5</v>
      </c>
      <c r="E1047" s="643">
        <f>137500/10000</f>
        <v>13.75</v>
      </c>
      <c r="F1047" s="645"/>
      <c r="G1047" s="645"/>
      <c r="H1047" s="645"/>
    </row>
    <row r="1048" spans="1:56">
      <c r="C1048" s="646"/>
      <c r="D1048" s="647">
        <v>12.55</v>
      </c>
      <c r="E1048" s="643">
        <f>175500/10000</f>
        <v>17.55</v>
      </c>
      <c r="F1048" s="645"/>
      <c r="G1048" s="645"/>
      <c r="H1048" s="645"/>
    </row>
    <row r="1049" spans="1:56">
      <c r="C1049" s="646" t="s">
        <v>121</v>
      </c>
      <c r="D1049" s="647">
        <v>12.43</v>
      </c>
      <c r="E1049" s="643">
        <f>48000/10000</f>
        <v>4.8</v>
      </c>
      <c r="F1049" s="645"/>
      <c r="G1049" s="645"/>
      <c r="H1049" s="645"/>
    </row>
    <row r="1050" spans="1:56">
      <c r="C1050" s="646" t="s">
        <v>337</v>
      </c>
      <c r="D1050" s="647">
        <v>14.5</v>
      </c>
      <c r="E1050" s="643">
        <f>58500/10000</f>
        <v>5.85</v>
      </c>
      <c r="F1050" s="645"/>
      <c r="G1050" s="644">
        <f>45000000/10000</f>
        <v>4500</v>
      </c>
      <c r="H1050" s="644">
        <f>585000000/100000000</f>
        <v>5.85</v>
      </c>
      <c r="I1050" s="705"/>
    </row>
    <row r="1051" spans="1:56">
      <c r="C1051" s="646"/>
      <c r="D1051" s="647">
        <v>12.8</v>
      </c>
      <c r="E1051" s="643">
        <f>58500/10000</f>
        <v>5.85</v>
      </c>
      <c r="F1051" s="645"/>
      <c r="G1051" s="645"/>
      <c r="H1051" s="645"/>
    </row>
    <row r="1053" spans="1:56" s="663" customFormat="1">
      <c r="A1053" s="663" t="s">
        <v>2861</v>
      </c>
      <c r="B1053" s="665" t="s">
        <v>2036</v>
      </c>
      <c r="C1053" s="667" t="s">
        <v>126</v>
      </c>
      <c r="D1053" s="667" t="s">
        <v>1583</v>
      </c>
      <c r="E1053" s="667" t="s">
        <v>4</v>
      </c>
      <c r="F1053" s="667" t="s">
        <v>2860</v>
      </c>
      <c r="G1053" s="667" t="s">
        <v>2859</v>
      </c>
      <c r="H1053" s="667" t="s">
        <v>2858</v>
      </c>
      <c r="I1053" s="667" t="s">
        <v>751</v>
      </c>
      <c r="J1053" s="665" t="s">
        <v>274</v>
      </c>
      <c r="K1053" s="665" t="s">
        <v>273</v>
      </c>
      <c r="L1053" s="665" t="s">
        <v>116</v>
      </c>
      <c r="M1053" s="665" t="s">
        <v>110</v>
      </c>
      <c r="N1053" s="665" t="s">
        <v>276</v>
      </c>
      <c r="O1053" s="667" t="s">
        <v>1311</v>
      </c>
      <c r="P1053" s="665" t="s">
        <v>275</v>
      </c>
      <c r="Q1053" s="665" t="s">
        <v>111</v>
      </c>
      <c r="R1053" s="665" t="s">
        <v>2857</v>
      </c>
      <c r="S1053" s="665" t="s">
        <v>747</v>
      </c>
      <c r="T1053" s="667" t="s">
        <v>12</v>
      </c>
      <c r="U1053" s="666" t="s">
        <v>948</v>
      </c>
      <c r="V1053" s="665" t="s">
        <v>129</v>
      </c>
      <c r="W1053" s="665" t="s">
        <v>220</v>
      </c>
      <c r="X1053" s="665" t="s">
        <v>749</v>
      </c>
      <c r="Y1053" s="665" t="s">
        <v>750</v>
      </c>
      <c r="Z1053" s="665" t="s">
        <v>748</v>
      </c>
      <c r="BB1053" s="664"/>
      <c r="BD1053" s="664"/>
    </row>
    <row r="1054" spans="1:56">
      <c r="A1054" s="642" t="s">
        <v>2078</v>
      </c>
      <c r="B1054" s="1436">
        <v>100</v>
      </c>
      <c r="C1054" s="1437" t="s">
        <v>2623</v>
      </c>
      <c r="D1054" s="662" t="s">
        <v>2622</v>
      </c>
      <c r="E1054" s="662" t="s">
        <v>2621</v>
      </c>
      <c r="F1054" s="661">
        <v>40</v>
      </c>
      <c r="G1054" s="660">
        <v>40</v>
      </c>
      <c r="H1054" s="659">
        <f>L1054*R1054</f>
        <v>265.67848125</v>
      </c>
      <c r="I1054" s="656">
        <f>F1054/H1054</f>
        <v>0.15055792178501848</v>
      </c>
      <c r="J1054" s="658" t="s">
        <v>3080</v>
      </c>
      <c r="K1054" s="645" t="s">
        <v>2620</v>
      </c>
      <c r="L1054" s="645">
        <v>11.85</v>
      </c>
      <c r="M1054" s="658">
        <v>11.85</v>
      </c>
      <c r="N1054" s="653">
        <f>M1054/L1054</f>
        <v>1</v>
      </c>
      <c r="O1054" s="656">
        <v>11.85</v>
      </c>
      <c r="P1054" s="653">
        <f>O1054/L1054</f>
        <v>1</v>
      </c>
      <c r="Q1054" s="645">
        <v>5</v>
      </c>
      <c r="R1054" s="653">
        <v>22.420124999999999</v>
      </c>
      <c r="S1054" s="645" t="s">
        <v>2619</v>
      </c>
      <c r="T1054" s="654">
        <v>42914</v>
      </c>
      <c r="U1054" s="645">
        <v>11.37</v>
      </c>
      <c r="V1054" s="653">
        <f>((U1054*(1+X1054/10)+Y1054/10)/O1054)</f>
        <v>1.0101265822784808</v>
      </c>
      <c r="W1054" s="645" t="s">
        <v>2618</v>
      </c>
      <c r="X1054" s="645">
        <v>0</v>
      </c>
      <c r="Y1054" s="645">
        <v>6</v>
      </c>
      <c r="Z1054" s="652" t="s">
        <v>2233</v>
      </c>
      <c r="BB1054" s="651"/>
      <c r="BD1054" s="650"/>
    </row>
    <row r="1055" spans="1:56">
      <c r="C1055" s="648" t="s">
        <v>112</v>
      </c>
      <c r="D1055" s="648" t="s">
        <v>113</v>
      </c>
      <c r="E1055" s="648" t="s">
        <v>943</v>
      </c>
      <c r="F1055" s="649" t="s">
        <v>411</v>
      </c>
      <c r="G1055" s="649" t="s">
        <v>942</v>
      </c>
      <c r="H1055" s="648" t="s">
        <v>231</v>
      </c>
    </row>
    <row r="1056" spans="1:56">
      <c r="C1056" s="673" t="s">
        <v>3498</v>
      </c>
      <c r="D1056" s="645"/>
      <c r="E1056" s="645"/>
      <c r="F1056" s="645"/>
      <c r="G1056" s="644">
        <f>33755274/10000</f>
        <v>3375.5273999999999</v>
      </c>
      <c r="H1056" s="643">
        <f>399999996.9/100000000</f>
        <v>3.9999999689999997</v>
      </c>
    </row>
    <row r="1057" spans="1:56">
      <c r="C1057" s="646" t="s">
        <v>403</v>
      </c>
      <c r="D1057" s="645">
        <v>12.01</v>
      </c>
      <c r="E1057" s="653">
        <v>6.0001959999999999</v>
      </c>
      <c r="F1057" s="645"/>
      <c r="G1057" s="644">
        <f>50634565/10000</f>
        <v>5063.4565000000002</v>
      </c>
      <c r="H1057" s="643">
        <f>600019595.25/100000000</f>
        <v>6.0001959525000004</v>
      </c>
    </row>
    <row r="1058" spans="1:56">
      <c r="C1058" s="646" t="s">
        <v>552</v>
      </c>
      <c r="D1058" s="645">
        <v>11.99</v>
      </c>
      <c r="E1058" s="653">
        <v>7.9997280000000002</v>
      </c>
      <c r="F1058" s="645"/>
      <c r="G1058" s="644">
        <f>67508253/10000</f>
        <v>6750.8253000000004</v>
      </c>
      <c r="H1058" s="643">
        <f>799972798.05/100000000</f>
        <v>7.9997279804999994</v>
      </c>
    </row>
    <row r="1059" spans="1:56">
      <c r="C1059" s="646"/>
      <c r="D1059" s="645">
        <v>11.85</v>
      </c>
      <c r="E1059" s="653">
        <v>7.9999349999999998</v>
      </c>
      <c r="F1059" s="645"/>
      <c r="G1059" s="644"/>
      <c r="H1059" s="643"/>
    </row>
    <row r="1060" spans="1:56">
      <c r="C1060" s="646" t="s">
        <v>130</v>
      </c>
      <c r="D1060" s="645">
        <v>11.87</v>
      </c>
      <c r="E1060" s="653">
        <v>8.0003799999999998</v>
      </c>
      <c r="F1060" s="645"/>
      <c r="G1060" s="644">
        <f>67513755/10000</f>
        <v>6751.3755000000001</v>
      </c>
      <c r="H1060" s="643">
        <f>800037996.75/100000000</f>
        <v>8.0003799675000007</v>
      </c>
    </row>
    <row r="1061" spans="1:56">
      <c r="C1061" s="646" t="s">
        <v>3497</v>
      </c>
      <c r="D1061" s="645">
        <v>11.85</v>
      </c>
      <c r="E1061" s="653">
        <v>14.99973</v>
      </c>
      <c r="F1061" s="645"/>
      <c r="G1061" s="644">
        <f>118140895/10000</f>
        <v>11814.0895</v>
      </c>
      <c r="H1061" s="643">
        <f>1399969605.75/100000000</f>
        <v>13.9996960575</v>
      </c>
    </row>
    <row r="1063" spans="1:56" s="663" customFormat="1">
      <c r="A1063" s="663" t="s">
        <v>2861</v>
      </c>
      <c r="B1063" s="665" t="s">
        <v>2036</v>
      </c>
      <c r="C1063" s="667" t="s">
        <v>126</v>
      </c>
      <c r="D1063" s="667" t="s">
        <v>1583</v>
      </c>
      <c r="E1063" s="667" t="s">
        <v>4</v>
      </c>
      <c r="F1063" s="667" t="s">
        <v>2860</v>
      </c>
      <c r="G1063" s="667" t="s">
        <v>2859</v>
      </c>
      <c r="H1063" s="667" t="s">
        <v>2858</v>
      </c>
      <c r="I1063" s="667" t="s">
        <v>751</v>
      </c>
      <c r="J1063" s="665" t="s">
        <v>274</v>
      </c>
      <c r="K1063" s="665" t="s">
        <v>273</v>
      </c>
      <c r="L1063" s="665" t="s">
        <v>116</v>
      </c>
      <c r="M1063" s="665" t="s">
        <v>110</v>
      </c>
      <c r="N1063" s="665" t="s">
        <v>276</v>
      </c>
      <c r="O1063" s="667" t="s">
        <v>1311</v>
      </c>
      <c r="P1063" s="665" t="s">
        <v>275</v>
      </c>
      <c r="Q1063" s="665" t="s">
        <v>111</v>
      </c>
      <c r="R1063" s="665" t="s">
        <v>2857</v>
      </c>
      <c r="S1063" s="665" t="s">
        <v>747</v>
      </c>
      <c r="T1063" s="667" t="s">
        <v>12</v>
      </c>
      <c r="U1063" s="666" t="s">
        <v>948</v>
      </c>
      <c r="V1063" s="665" t="s">
        <v>129</v>
      </c>
      <c r="W1063" s="665" t="s">
        <v>220</v>
      </c>
      <c r="X1063" s="665" t="s">
        <v>749</v>
      </c>
      <c r="Y1063" s="665" t="s">
        <v>750</v>
      </c>
      <c r="Z1063" s="668" t="s">
        <v>748</v>
      </c>
      <c r="AA1063" s="716"/>
      <c r="BB1063" s="664"/>
      <c r="BD1063" s="664"/>
    </row>
    <row r="1064" spans="1:56">
      <c r="A1064" s="642" t="s">
        <v>2078</v>
      </c>
      <c r="B1064" s="1436">
        <v>101</v>
      </c>
      <c r="C1064" s="1437" t="s">
        <v>2617</v>
      </c>
      <c r="D1064" s="662" t="s">
        <v>2616</v>
      </c>
      <c r="E1064" s="662" t="s">
        <v>2615</v>
      </c>
      <c r="F1064" s="661">
        <v>7.5</v>
      </c>
      <c r="G1064" s="660">
        <v>7.36</v>
      </c>
      <c r="H1064" s="659">
        <f>L1064*R1064</f>
        <v>43.740900000000003</v>
      </c>
      <c r="I1064" s="656">
        <f>F1064/H1064</f>
        <v>0.17146423598965727</v>
      </c>
      <c r="J1064" s="658" t="s">
        <v>3079</v>
      </c>
      <c r="K1064" s="645" t="s">
        <v>2614</v>
      </c>
      <c r="L1064" s="645">
        <v>39.75</v>
      </c>
      <c r="M1064" s="658">
        <v>25.05</v>
      </c>
      <c r="N1064" s="699">
        <f>M1064/L1064</f>
        <v>0.63018867924528299</v>
      </c>
      <c r="O1064" s="660">
        <v>35.020000000000003</v>
      </c>
      <c r="P1064" s="699">
        <f>O1064/L1064</f>
        <v>0.88100628930817615</v>
      </c>
      <c r="Q1064" s="642">
        <v>8</v>
      </c>
      <c r="R1064" s="699">
        <v>1.1004</v>
      </c>
      <c r="S1064" s="642" t="s">
        <v>2613</v>
      </c>
      <c r="T1064" s="651">
        <v>42916</v>
      </c>
      <c r="U1064" s="642">
        <v>41.53</v>
      </c>
      <c r="V1064" s="699">
        <f>((U1064*(1+X1064/10)+Y1064/10)/O1064)</f>
        <v>1.1924614505996571</v>
      </c>
      <c r="W1064" s="642" t="s">
        <v>2612</v>
      </c>
      <c r="X1064" s="642">
        <v>0</v>
      </c>
      <c r="Y1064" s="642">
        <v>2.3000000000000003</v>
      </c>
      <c r="Z1064" s="650" t="s">
        <v>2374</v>
      </c>
      <c r="BB1064" s="651"/>
      <c r="BD1064" s="650"/>
    </row>
    <row r="1065" spans="1:56">
      <c r="C1065" s="648" t="s">
        <v>112</v>
      </c>
      <c r="D1065" s="648" t="s">
        <v>113</v>
      </c>
      <c r="E1065" s="648" t="s">
        <v>943</v>
      </c>
      <c r="F1065" s="649" t="s">
        <v>411</v>
      </c>
      <c r="G1065" s="649" t="s">
        <v>942</v>
      </c>
      <c r="H1065" s="648" t="s">
        <v>231</v>
      </c>
    </row>
    <row r="1066" spans="1:56">
      <c r="C1066" s="646" t="s">
        <v>3496</v>
      </c>
      <c r="D1066" s="646" t="s">
        <v>294</v>
      </c>
      <c r="E1066" s="643">
        <f>100000000/100000000</f>
        <v>1</v>
      </c>
      <c r="F1066" s="645"/>
      <c r="G1066" s="833">
        <f>2855511/10000</f>
        <v>285.55110000000002</v>
      </c>
      <c r="H1066" s="643">
        <f>99999995.22/100000000</f>
        <v>0.99999995220000004</v>
      </c>
    </row>
    <row r="1067" spans="1:56">
      <c r="C1067" s="1512" t="s">
        <v>3495</v>
      </c>
      <c r="D1067" s="647">
        <v>38</v>
      </c>
      <c r="E1067" s="643">
        <f>75000000/100000000</f>
        <v>0.75</v>
      </c>
      <c r="F1067" s="645"/>
      <c r="G1067" s="833">
        <f>2141633/10000</f>
        <v>214.16329999999999</v>
      </c>
      <c r="H1067" s="1535">
        <f>74999987.66/100000000</f>
        <v>0.7499998766</v>
      </c>
    </row>
    <row r="1068" spans="1:56">
      <c r="C1068" s="1512"/>
      <c r="D1068" s="647">
        <v>35</v>
      </c>
      <c r="E1068" s="643">
        <f>90000000/100000000</f>
        <v>0.9</v>
      </c>
      <c r="F1068" s="645"/>
      <c r="G1068" s="833"/>
      <c r="H1068" s="1535"/>
    </row>
    <row r="1069" spans="1:56" ht="28">
      <c r="C1069" s="673" t="s">
        <v>3494</v>
      </c>
      <c r="D1069" s="647">
        <v>31</v>
      </c>
      <c r="E1069" s="643">
        <f>150000000/100000000</f>
        <v>1.5</v>
      </c>
      <c r="F1069" s="645"/>
      <c r="G1069" s="840"/>
      <c r="H1069" s="673"/>
    </row>
    <row r="1070" spans="1:56" ht="28">
      <c r="C1070" s="673" t="s">
        <v>3493</v>
      </c>
      <c r="D1070" s="647">
        <v>36.799999999999997</v>
      </c>
      <c r="E1070" s="643">
        <f>75000000/100000000</f>
        <v>0.75</v>
      </c>
      <c r="F1070" s="645"/>
      <c r="G1070" s="833">
        <f>2141633/10000</f>
        <v>214.16329999999999</v>
      </c>
      <c r="H1070" s="643">
        <f>74999987.66/100000000</f>
        <v>0.7499998766</v>
      </c>
    </row>
    <row r="1071" spans="1:56">
      <c r="C1071" s="1514" t="s">
        <v>3492</v>
      </c>
      <c r="D1071" s="647">
        <v>36</v>
      </c>
      <c r="E1071" s="643">
        <f>75000000/100000000</f>
        <v>0.75</v>
      </c>
      <c r="F1071" s="645"/>
      <c r="G1071" s="833">
        <f>2141633/10000</f>
        <v>214.16329999999999</v>
      </c>
      <c r="H1071" s="1535">
        <f>74999987.66/100000000</f>
        <v>0.7499998766</v>
      </c>
    </row>
    <row r="1072" spans="1:56">
      <c r="C1072" s="1514"/>
      <c r="D1072" s="647">
        <v>34</v>
      </c>
      <c r="E1072" s="643">
        <f>80000000/100000000</f>
        <v>0.8</v>
      </c>
      <c r="F1072" s="645"/>
      <c r="G1072" s="833"/>
      <c r="H1072" s="1535"/>
    </row>
    <row r="1073" spans="1:56">
      <c r="C1073" s="1514"/>
      <c r="D1073" s="647">
        <v>30</v>
      </c>
      <c r="E1073" s="643">
        <f>90000000/100000000</f>
        <v>0.9</v>
      </c>
      <c r="F1073" s="645"/>
      <c r="G1073" s="833"/>
      <c r="H1073" s="1535"/>
    </row>
    <row r="1074" spans="1:56">
      <c r="C1074" s="1514" t="s">
        <v>3491</v>
      </c>
      <c r="D1074" s="647">
        <v>35.75</v>
      </c>
      <c r="E1074" s="643">
        <f>184000000/100000000</f>
        <v>1.84</v>
      </c>
      <c r="F1074" s="645"/>
      <c r="G1074" s="833">
        <f>5254140/10000</f>
        <v>525.41399999999999</v>
      </c>
      <c r="H1074" s="1535">
        <f>183999982.8/100000000</f>
        <v>1.8399998280000001</v>
      </c>
    </row>
    <row r="1075" spans="1:56">
      <c r="C1075" s="1514"/>
      <c r="D1075" s="647">
        <v>33.75</v>
      </c>
      <c r="E1075" s="643">
        <f>603000000/100000000</f>
        <v>6.03</v>
      </c>
      <c r="F1075" s="645"/>
      <c r="G1075" s="833"/>
      <c r="H1075" s="1535"/>
    </row>
    <row r="1076" spans="1:56">
      <c r="C1076" s="1514" t="s">
        <v>3368</v>
      </c>
      <c r="D1076" s="647">
        <v>35.5</v>
      </c>
      <c r="E1076" s="643">
        <f>80000000/100000000</f>
        <v>0.8</v>
      </c>
      <c r="F1076" s="645"/>
      <c r="G1076" s="833">
        <f>2284408/10000</f>
        <v>228.4408</v>
      </c>
      <c r="H1076" s="1535">
        <f>79999968.16/100000000</f>
        <v>0.79999968160000001</v>
      </c>
    </row>
    <row r="1077" spans="1:56">
      <c r="C1077" s="1514"/>
      <c r="D1077" s="647">
        <v>31.8</v>
      </c>
      <c r="E1077" s="643">
        <f>80000000/100000000</f>
        <v>0.8</v>
      </c>
      <c r="F1077" s="645"/>
      <c r="G1077" s="833"/>
      <c r="H1077" s="1535"/>
    </row>
    <row r="1078" spans="1:56">
      <c r="C1078" s="1514" t="s">
        <v>3490</v>
      </c>
      <c r="D1078" s="647">
        <v>35.03</v>
      </c>
      <c r="E1078" s="643">
        <f>80000000/100000000</f>
        <v>0.8</v>
      </c>
      <c r="F1078" s="645"/>
      <c r="G1078" s="833">
        <f>2284408/10000</f>
        <v>228.4408</v>
      </c>
      <c r="H1078" s="1535">
        <f>79999968.16/100000000</f>
        <v>0.79999968160000001</v>
      </c>
    </row>
    <row r="1079" spans="1:56">
      <c r="C1079" s="1514"/>
      <c r="D1079" s="647">
        <v>33.520000000000003</v>
      </c>
      <c r="E1079" s="643">
        <f>145000000/100000000</f>
        <v>1.45</v>
      </c>
      <c r="F1079" s="645"/>
      <c r="G1079" s="833"/>
      <c r="H1079" s="1535"/>
    </row>
    <row r="1080" spans="1:56">
      <c r="C1080" s="1514" t="s">
        <v>3489</v>
      </c>
      <c r="D1080" s="647">
        <v>35.020000000000003</v>
      </c>
      <c r="E1080" s="643">
        <f>80000000/100000000</f>
        <v>0.8</v>
      </c>
      <c r="F1080" s="645"/>
      <c r="G1080" s="833">
        <f>1921191/10000</f>
        <v>192.1191</v>
      </c>
      <c r="H1080" s="1535">
        <f>67280108.82/100000000</f>
        <v>0.67280108819999995</v>
      </c>
    </row>
    <row r="1081" spans="1:56">
      <c r="C1081" s="1514"/>
      <c r="D1081" s="647">
        <v>31.02</v>
      </c>
      <c r="E1081" s="643">
        <f>115000000/100000000</f>
        <v>1.1499999999999999</v>
      </c>
      <c r="F1081" s="645"/>
      <c r="G1081" s="644"/>
      <c r="H1081" s="1535"/>
    </row>
    <row r="1083" spans="1:56" s="663" customFormat="1">
      <c r="A1083" s="663" t="s">
        <v>2861</v>
      </c>
      <c r="B1083" s="665" t="s">
        <v>2036</v>
      </c>
      <c r="C1083" s="667" t="s">
        <v>126</v>
      </c>
      <c r="D1083" s="667" t="s">
        <v>1583</v>
      </c>
      <c r="E1083" s="667" t="s">
        <v>4</v>
      </c>
      <c r="F1083" s="667" t="s">
        <v>2860</v>
      </c>
      <c r="G1083" s="667" t="s">
        <v>2859</v>
      </c>
      <c r="H1083" s="667" t="s">
        <v>2858</v>
      </c>
      <c r="I1083" s="678" t="s">
        <v>751</v>
      </c>
      <c r="J1083" s="665" t="s">
        <v>274</v>
      </c>
      <c r="K1083" s="665" t="s">
        <v>273</v>
      </c>
      <c r="L1083" s="665" t="s">
        <v>116</v>
      </c>
      <c r="M1083" s="665" t="s">
        <v>110</v>
      </c>
      <c r="N1083" s="665" t="s">
        <v>276</v>
      </c>
      <c r="O1083" s="667" t="s">
        <v>1311</v>
      </c>
      <c r="P1083" s="665" t="s">
        <v>275</v>
      </c>
      <c r="Q1083" s="665" t="s">
        <v>111</v>
      </c>
      <c r="R1083" s="665" t="s">
        <v>2857</v>
      </c>
      <c r="S1083" s="665" t="s">
        <v>747</v>
      </c>
      <c r="T1083" s="667" t="s">
        <v>12</v>
      </c>
      <c r="U1083" s="666" t="s">
        <v>948</v>
      </c>
      <c r="V1083" s="665" t="s">
        <v>129</v>
      </c>
      <c r="W1083" s="665" t="s">
        <v>220</v>
      </c>
      <c r="X1083" s="665" t="s">
        <v>749</v>
      </c>
      <c r="Y1083" s="665" t="s">
        <v>750</v>
      </c>
      <c r="Z1083" s="665" t="s">
        <v>748</v>
      </c>
      <c r="BB1083" s="664"/>
      <c r="BD1083" s="664"/>
    </row>
    <row r="1084" spans="1:56">
      <c r="A1084" s="642" t="s">
        <v>2078</v>
      </c>
      <c r="B1084" s="1436">
        <v>102</v>
      </c>
      <c r="C1084" s="1471" t="s">
        <v>2611</v>
      </c>
      <c r="D1084" s="722" t="s">
        <v>2610</v>
      </c>
      <c r="E1084" s="722" t="s">
        <v>2609</v>
      </c>
      <c r="F1084" s="721">
        <v>150</v>
      </c>
      <c r="G1084" s="656">
        <v>85.48</v>
      </c>
      <c r="H1084" s="656">
        <f>L1084*R1084</f>
        <v>600.460383288</v>
      </c>
      <c r="I1084" s="742">
        <f>F1084/H1084</f>
        <v>0.24980832070657225</v>
      </c>
      <c r="J1084" s="838" t="s">
        <v>3078</v>
      </c>
      <c r="K1084" s="645" t="s">
        <v>2240</v>
      </c>
      <c r="L1084" s="645">
        <v>7.08</v>
      </c>
      <c r="M1084" s="658">
        <v>6.44</v>
      </c>
      <c r="N1084" s="653">
        <f>M1084/L1084</f>
        <v>0.90960451977401136</v>
      </c>
      <c r="O1084" s="656">
        <v>6.44</v>
      </c>
      <c r="P1084" s="653">
        <f>O1084/L1084</f>
        <v>0.90960451977401136</v>
      </c>
      <c r="Q1084" s="645">
        <v>4</v>
      </c>
      <c r="R1084" s="653">
        <v>84.810788599999995</v>
      </c>
      <c r="S1084" s="645" t="s">
        <v>2608</v>
      </c>
      <c r="T1084" s="654">
        <v>42919</v>
      </c>
      <c r="U1084" s="645">
        <v>6.8</v>
      </c>
      <c r="V1084" s="653">
        <f>((U1084*(1+X1084/10)+Y1084/10)/O1084)</f>
        <v>1.0638198757763975</v>
      </c>
      <c r="W1084" s="645" t="s">
        <v>2607</v>
      </c>
      <c r="X1084" s="645">
        <v>0</v>
      </c>
      <c r="Y1084" s="645">
        <v>0.51</v>
      </c>
      <c r="Z1084" s="652" t="s">
        <v>2204</v>
      </c>
      <c r="BB1084" s="651"/>
      <c r="BD1084" s="650"/>
    </row>
    <row r="1085" spans="1:56">
      <c r="C1085" s="651"/>
      <c r="D1085" s="650"/>
      <c r="E1085" s="650"/>
      <c r="F1085" s="660"/>
      <c r="G1085" s="660"/>
      <c r="H1085" s="660"/>
      <c r="I1085" s="660"/>
      <c r="J1085" s="839" t="s">
        <v>3077</v>
      </c>
      <c r="K1085" s="645" t="s">
        <v>2606</v>
      </c>
      <c r="L1085" s="259">
        <v>6.76</v>
      </c>
      <c r="M1085" s="259"/>
      <c r="N1085" s="462">
        <f>M1084/L1085</f>
        <v>0.95266272189349122</v>
      </c>
      <c r="O1085" s="782"/>
      <c r="P1085" s="462">
        <f>O1084/L1085</f>
        <v>0.95266272189349122</v>
      </c>
      <c r="R1085" s="1581" t="s">
        <v>2605</v>
      </c>
      <c r="S1085" s="1581"/>
      <c r="T1085" s="1581"/>
      <c r="V1085" s="699"/>
      <c r="Z1085" s="650"/>
      <c r="BB1085" s="651"/>
      <c r="BD1085" s="650"/>
    </row>
    <row r="1086" spans="1:56">
      <c r="B1086" s="750"/>
      <c r="C1086" s="749"/>
      <c r="D1086" s="748"/>
      <c r="E1086" s="748"/>
      <c r="F1086" s="747"/>
      <c r="G1086" s="660"/>
      <c r="H1086" s="660"/>
      <c r="I1086" s="660"/>
      <c r="J1086" s="838" t="s">
        <v>2954</v>
      </c>
      <c r="K1086" s="720">
        <v>0.5</v>
      </c>
      <c r="L1086" s="259">
        <v>6.66</v>
      </c>
      <c r="M1086" s="259"/>
      <c r="N1086" s="462">
        <f>M1084/L1086</f>
        <v>0.96696696696696705</v>
      </c>
      <c r="O1086" s="782"/>
      <c r="P1086" s="462">
        <f>O1084/L1086</f>
        <v>0.96696696696696705</v>
      </c>
      <c r="R1086" s="699"/>
      <c r="T1086" s="651"/>
      <c r="V1086" s="699"/>
      <c r="Z1086" s="650"/>
      <c r="BB1086" s="651"/>
      <c r="BD1086" s="650"/>
    </row>
    <row r="1087" spans="1:56">
      <c r="C1087" s="648" t="s">
        <v>112</v>
      </c>
      <c r="D1087" s="648" t="s">
        <v>113</v>
      </c>
      <c r="E1087" s="648" t="s">
        <v>943</v>
      </c>
      <c r="F1087" s="649" t="s">
        <v>411</v>
      </c>
      <c r="G1087" s="649" t="s">
        <v>942</v>
      </c>
      <c r="H1087" s="648" t="s">
        <v>231</v>
      </c>
    </row>
    <row r="1088" spans="1:56">
      <c r="C1088" s="646" t="s">
        <v>3076</v>
      </c>
      <c r="D1088" s="645">
        <v>6.44</v>
      </c>
      <c r="E1088" s="741">
        <f>3000000000/100000000</f>
        <v>30</v>
      </c>
      <c r="F1088" s="645"/>
      <c r="G1088" s="644">
        <f>465838509/10000</f>
        <v>46583.850899999998</v>
      </c>
      <c r="H1088" s="643">
        <f>2999999997.96/100000000</f>
        <v>29.999999979600002</v>
      </c>
    </row>
    <row r="1089" spans="1:56">
      <c r="C1089" s="646" t="s">
        <v>3075</v>
      </c>
      <c r="D1089" s="645">
        <v>6.44</v>
      </c>
      <c r="E1089" s="741">
        <f>3000000000/100000000</f>
        <v>30</v>
      </c>
      <c r="F1089" s="645"/>
      <c r="G1089" s="644">
        <f>465838509/10000</f>
        <v>46583.850899999998</v>
      </c>
      <c r="H1089" s="643">
        <f>2999999997.96/100000000</f>
        <v>29.999999979600002</v>
      </c>
    </row>
    <row r="1090" spans="1:56">
      <c r="B1090" s="642" t="s">
        <v>3010</v>
      </c>
      <c r="C1090" s="646" t="s">
        <v>3074</v>
      </c>
      <c r="D1090" s="645">
        <v>6.44</v>
      </c>
      <c r="E1090" s="712">
        <f>1499999995.76/100000000</f>
        <v>14.9999999576</v>
      </c>
      <c r="F1090" s="645"/>
      <c r="G1090" s="644">
        <f>232919254/10000</f>
        <v>23291.9254</v>
      </c>
      <c r="H1090" s="643">
        <f>1499999995.76/100000000</f>
        <v>14.9999999576</v>
      </c>
    </row>
    <row r="1091" spans="1:56">
      <c r="B1091" s="642" t="s">
        <v>3010</v>
      </c>
      <c r="C1091" s="646" t="s">
        <v>115</v>
      </c>
      <c r="D1091" s="645">
        <v>6.44</v>
      </c>
      <c r="E1091" s="712">
        <f>1048499942/100000000</f>
        <v>10.484999419999999</v>
      </c>
      <c r="F1091" s="645"/>
      <c r="G1091" s="644">
        <f>162810550/10000</f>
        <v>16281.055</v>
      </c>
      <c r="H1091" s="643">
        <f>1048499942/100000000</f>
        <v>10.484999419999999</v>
      </c>
    </row>
    <row r="1093" spans="1:56" s="663" customFormat="1">
      <c r="A1093" s="663" t="s">
        <v>2861</v>
      </c>
      <c r="B1093" s="665" t="s">
        <v>2036</v>
      </c>
      <c r="C1093" s="667" t="s">
        <v>126</v>
      </c>
      <c r="D1093" s="667" t="s">
        <v>1583</v>
      </c>
      <c r="E1093" s="667" t="s">
        <v>4</v>
      </c>
      <c r="F1093" s="667" t="s">
        <v>2860</v>
      </c>
      <c r="G1093" s="667" t="s">
        <v>2859</v>
      </c>
      <c r="H1093" s="667" t="s">
        <v>2858</v>
      </c>
      <c r="I1093" s="667" t="s">
        <v>751</v>
      </c>
      <c r="J1093" s="665" t="s">
        <v>274</v>
      </c>
      <c r="K1093" s="665" t="s">
        <v>273</v>
      </c>
      <c r="L1093" s="665" t="s">
        <v>116</v>
      </c>
      <c r="M1093" s="665" t="s">
        <v>110</v>
      </c>
      <c r="N1093" s="665" t="s">
        <v>276</v>
      </c>
      <c r="O1093" s="667" t="s">
        <v>1311</v>
      </c>
      <c r="P1093" s="665" t="s">
        <v>275</v>
      </c>
      <c r="Q1093" s="665" t="s">
        <v>111</v>
      </c>
      <c r="R1093" s="665" t="s">
        <v>2857</v>
      </c>
      <c r="S1093" s="665" t="s">
        <v>747</v>
      </c>
      <c r="T1093" s="667" t="s">
        <v>12</v>
      </c>
      <c r="U1093" s="666" t="s">
        <v>948</v>
      </c>
      <c r="V1093" s="665" t="s">
        <v>129</v>
      </c>
      <c r="W1093" s="665" t="s">
        <v>220</v>
      </c>
      <c r="X1093" s="665" t="s">
        <v>749</v>
      </c>
      <c r="Y1093" s="665" t="s">
        <v>750</v>
      </c>
      <c r="Z1093" s="665" t="s">
        <v>748</v>
      </c>
      <c r="BB1093" s="664"/>
      <c r="BD1093" s="664"/>
    </row>
    <row r="1094" spans="1:56">
      <c r="A1094" s="642" t="s">
        <v>2078</v>
      </c>
      <c r="B1094" s="1436">
        <v>103</v>
      </c>
      <c r="C1094" s="1437" t="s">
        <v>2604</v>
      </c>
      <c r="D1094" s="662" t="s">
        <v>2603</v>
      </c>
      <c r="E1094" s="662" t="s">
        <v>2602</v>
      </c>
      <c r="F1094" s="661">
        <v>6.3</v>
      </c>
      <c r="G1094" s="660">
        <v>6.3</v>
      </c>
      <c r="H1094" s="659">
        <f>L1094*R1094</f>
        <v>40.189020000000006</v>
      </c>
      <c r="I1094" s="656">
        <f>F1094/H1094</f>
        <v>0.15675923423860544</v>
      </c>
      <c r="J1094" s="658" t="s">
        <v>3073</v>
      </c>
      <c r="K1094" s="645" t="s">
        <v>2089</v>
      </c>
      <c r="L1094" s="645">
        <v>38.130000000000003</v>
      </c>
      <c r="M1094" s="658">
        <v>32.89</v>
      </c>
      <c r="N1094" s="653">
        <f>M1094/L1094</f>
        <v>0.86257539994754784</v>
      </c>
      <c r="O1094" s="656">
        <v>35.68</v>
      </c>
      <c r="P1094" s="653">
        <f>O1094/L1094</f>
        <v>0.93574613165486487</v>
      </c>
      <c r="Q1094" s="645">
        <v>6</v>
      </c>
      <c r="R1094" s="645">
        <v>1.054</v>
      </c>
      <c r="S1094" s="645" t="s">
        <v>2601</v>
      </c>
      <c r="T1094" s="654">
        <v>42916</v>
      </c>
      <c r="U1094" s="645">
        <v>11.58</v>
      </c>
      <c r="V1094" s="653">
        <f>((U1094*(1+X1094/10)+Y1094/10)/O1094)</f>
        <v>0.84943946188340802</v>
      </c>
      <c r="W1094" s="645" t="s">
        <v>2600</v>
      </c>
      <c r="X1094" s="645">
        <v>16</v>
      </c>
      <c r="Y1094" s="645">
        <v>2</v>
      </c>
      <c r="Z1094" s="652" t="s">
        <v>2172</v>
      </c>
      <c r="BB1094" s="651"/>
      <c r="BD1094" s="650"/>
    </row>
    <row r="1095" spans="1:56">
      <c r="C1095" s="648" t="s">
        <v>112</v>
      </c>
      <c r="D1095" s="648" t="s">
        <v>113</v>
      </c>
      <c r="E1095" s="648" t="s">
        <v>943</v>
      </c>
      <c r="F1095" s="649" t="s">
        <v>411</v>
      </c>
      <c r="G1095" s="649" t="s">
        <v>942</v>
      </c>
      <c r="H1095" s="648" t="s">
        <v>231</v>
      </c>
    </row>
    <row r="1096" spans="1:56">
      <c r="C1096" s="1512" t="s">
        <v>1707</v>
      </c>
      <c r="D1096" s="647">
        <v>38</v>
      </c>
      <c r="E1096" s="643">
        <v>0.98</v>
      </c>
      <c r="F1096" s="645"/>
      <c r="G1096" s="644">
        <f>2774663/10000</f>
        <v>277.46629999999999</v>
      </c>
      <c r="H1096" s="1535">
        <f>98999975.84/100000000</f>
        <v>0.98999975839999999</v>
      </c>
    </row>
    <row r="1097" spans="1:56">
      <c r="C1097" s="1512"/>
      <c r="D1097" s="647">
        <v>36</v>
      </c>
      <c r="E1097" s="643">
        <v>0.99</v>
      </c>
      <c r="F1097" s="645"/>
      <c r="G1097" s="644"/>
      <c r="H1097" s="1535"/>
    </row>
    <row r="1098" spans="1:56">
      <c r="C1098" s="1512"/>
      <c r="D1098" s="647">
        <v>34.6</v>
      </c>
      <c r="E1098" s="643">
        <v>1</v>
      </c>
      <c r="F1098" s="645"/>
      <c r="G1098" s="644"/>
      <c r="H1098" s="1535"/>
    </row>
    <row r="1099" spans="1:56">
      <c r="C1099" s="1512" t="s">
        <v>3488</v>
      </c>
      <c r="D1099" s="647">
        <v>37.5</v>
      </c>
      <c r="E1099" s="643">
        <v>1.39</v>
      </c>
      <c r="F1099" s="645"/>
      <c r="G1099" s="644">
        <f>3895739/10000</f>
        <v>389.57389999999998</v>
      </c>
      <c r="H1099" s="1535">
        <f>138999967.52/100000000</f>
        <v>1.3899996752000001</v>
      </c>
    </row>
    <row r="1100" spans="1:56">
      <c r="C1100" s="1512"/>
      <c r="D1100" s="647">
        <v>35.5</v>
      </c>
      <c r="E1100" s="643">
        <v>1.4</v>
      </c>
      <c r="F1100" s="645"/>
      <c r="G1100" s="644"/>
      <c r="H1100" s="1535"/>
    </row>
    <row r="1101" spans="1:56">
      <c r="C1101" s="1512" t="s">
        <v>3487</v>
      </c>
      <c r="D1101" s="647">
        <v>37</v>
      </c>
      <c r="E1101" s="643">
        <v>1.28</v>
      </c>
      <c r="F1101" s="645"/>
      <c r="G1101" s="644">
        <f>3587443/10000</f>
        <v>358.74430000000001</v>
      </c>
      <c r="H1101" s="1535">
        <f>127999966.24/100000000</f>
        <v>1.2799996623999998</v>
      </c>
    </row>
    <row r="1102" spans="1:56">
      <c r="C1102" s="1512"/>
      <c r="D1102" s="647">
        <v>35</v>
      </c>
      <c r="E1102" s="643">
        <v>1.29</v>
      </c>
      <c r="F1102" s="645"/>
      <c r="G1102" s="644"/>
      <c r="H1102" s="1535"/>
    </row>
    <row r="1103" spans="1:56">
      <c r="C1103" s="1512"/>
      <c r="D1103" s="647">
        <v>33</v>
      </c>
      <c r="E1103" s="643">
        <v>1.3</v>
      </c>
      <c r="F1103" s="645"/>
      <c r="G1103" s="644"/>
      <c r="H1103" s="1535"/>
    </row>
    <row r="1104" spans="1:56">
      <c r="C1104" s="1512" t="s">
        <v>332</v>
      </c>
      <c r="D1104" s="647">
        <v>37</v>
      </c>
      <c r="E1104" s="643">
        <v>1.9</v>
      </c>
      <c r="F1104" s="645"/>
      <c r="G1104" s="644">
        <f>5325112/10000</f>
        <v>532.51120000000003</v>
      </c>
      <c r="H1104" s="643">
        <f>189999996.16/100000000</f>
        <v>1.8999999616000001</v>
      </c>
    </row>
    <row r="1105" spans="1:56">
      <c r="C1105" s="1512"/>
      <c r="D1105" s="647">
        <v>36</v>
      </c>
      <c r="E1105" s="643">
        <v>1.9</v>
      </c>
      <c r="F1105" s="645"/>
      <c r="G1105" s="645"/>
      <c r="H1105" s="645"/>
    </row>
    <row r="1106" spans="1:56">
      <c r="C1106" s="1512"/>
      <c r="D1106" s="647">
        <v>33.5</v>
      </c>
      <c r="E1106" s="643">
        <v>1.9</v>
      </c>
      <c r="F1106" s="645"/>
      <c r="G1106" s="645"/>
      <c r="H1106" s="645"/>
    </row>
    <row r="1107" spans="1:56" ht="28">
      <c r="C1107" s="673" t="s">
        <v>3486</v>
      </c>
      <c r="D1107" s="647">
        <v>35.68</v>
      </c>
      <c r="E1107" s="643">
        <v>0.7</v>
      </c>
      <c r="F1107" s="645"/>
      <c r="G1107" s="644">
        <f>392379/10000</f>
        <v>39.237900000000003</v>
      </c>
      <c r="H1107" s="643">
        <f>14000082.72/100000000</f>
        <v>0.14000082720000001</v>
      </c>
    </row>
    <row r="1108" spans="1:56">
      <c r="C1108" s="646" t="s">
        <v>3485</v>
      </c>
      <c r="D1108" s="1536" t="s">
        <v>3484</v>
      </c>
      <c r="E1108" s="1536"/>
      <c r="F1108" s="645"/>
      <c r="G1108" s="644">
        <f>1681614/10000</f>
        <v>168.16139999999999</v>
      </c>
      <c r="H1108" s="643">
        <f>59999987.52/100000000</f>
        <v>0.59999987520000009</v>
      </c>
    </row>
    <row r="1109" spans="1:56" ht="28">
      <c r="C1109" s="673" t="s">
        <v>3294</v>
      </c>
      <c r="D1109" s="647">
        <v>33.51</v>
      </c>
      <c r="E1109" s="643">
        <v>1.1000000000000001</v>
      </c>
      <c r="F1109" s="645"/>
      <c r="G1109" s="645"/>
      <c r="H1109" s="645"/>
    </row>
    <row r="1110" spans="1:56" ht="28">
      <c r="C1110" s="673" t="s">
        <v>3483</v>
      </c>
      <c r="D1110" s="647">
        <v>35</v>
      </c>
      <c r="E1110" s="643">
        <v>1.2</v>
      </c>
      <c r="F1110" s="645"/>
      <c r="G1110" s="645"/>
      <c r="H1110" s="645"/>
    </row>
    <row r="1111" spans="1:56">
      <c r="C1111" s="1512" t="s">
        <v>173</v>
      </c>
      <c r="D1111" s="647">
        <v>35.35</v>
      </c>
      <c r="E1111" s="643">
        <v>0.9</v>
      </c>
      <c r="F1111" s="645"/>
      <c r="G1111" s="645"/>
      <c r="H1111" s="645"/>
    </row>
    <row r="1112" spans="1:56">
      <c r="C1112" s="1512"/>
      <c r="D1112" s="647">
        <v>33.479999999999997</v>
      </c>
      <c r="E1112" s="643">
        <v>1.74</v>
      </c>
      <c r="F1112" s="645"/>
      <c r="G1112" s="645"/>
      <c r="H1112" s="645"/>
    </row>
    <row r="1113" spans="1:56" ht="16" customHeight="1">
      <c r="C1113" s="1512" t="s">
        <v>115</v>
      </c>
      <c r="D1113" s="647">
        <v>34.049999999999997</v>
      </c>
      <c r="E1113" s="643">
        <v>0.78</v>
      </c>
      <c r="F1113" s="645"/>
      <c r="G1113" s="645"/>
      <c r="H1113" s="645"/>
    </row>
    <row r="1114" spans="1:56">
      <c r="C1114" s="1512"/>
      <c r="D1114" s="647">
        <v>33.450000000000003</v>
      </c>
      <c r="E1114" s="643">
        <v>1.1399999999999999</v>
      </c>
      <c r="F1114" s="645"/>
      <c r="G1114" s="645"/>
      <c r="H1114" s="645"/>
    </row>
    <row r="1115" spans="1:56">
      <c r="C1115" s="1512"/>
      <c r="D1115" s="647">
        <v>32.89</v>
      </c>
      <c r="E1115" s="643">
        <v>1.24</v>
      </c>
      <c r="F1115" s="645"/>
      <c r="G1115" s="645"/>
      <c r="H1115" s="645"/>
    </row>
    <row r="1117" spans="1:56" s="663" customFormat="1">
      <c r="A1117" s="663" t="s">
        <v>2861</v>
      </c>
      <c r="B1117" s="665" t="s">
        <v>2036</v>
      </c>
      <c r="C1117" s="667" t="s">
        <v>126</v>
      </c>
      <c r="D1117" s="667" t="s">
        <v>1583</v>
      </c>
      <c r="E1117" s="667" t="s">
        <v>4</v>
      </c>
      <c r="F1117" s="667" t="s">
        <v>2860</v>
      </c>
      <c r="G1117" s="667" t="s">
        <v>2859</v>
      </c>
      <c r="H1117" s="667" t="s">
        <v>2858</v>
      </c>
      <c r="I1117" s="667" t="s">
        <v>751</v>
      </c>
      <c r="J1117" s="665" t="s">
        <v>274</v>
      </c>
      <c r="K1117" s="665" t="s">
        <v>273</v>
      </c>
      <c r="L1117" s="665" t="s">
        <v>116</v>
      </c>
      <c r="M1117" s="665" t="s">
        <v>110</v>
      </c>
      <c r="N1117" s="665" t="s">
        <v>276</v>
      </c>
      <c r="O1117" s="667" t="s">
        <v>1311</v>
      </c>
      <c r="P1117" s="665" t="s">
        <v>275</v>
      </c>
      <c r="Q1117" s="665" t="s">
        <v>111</v>
      </c>
      <c r="R1117" s="665" t="s">
        <v>2857</v>
      </c>
      <c r="S1117" s="665" t="s">
        <v>747</v>
      </c>
      <c r="T1117" s="667" t="s">
        <v>12</v>
      </c>
      <c r="U1117" s="666" t="s">
        <v>948</v>
      </c>
      <c r="V1117" s="665" t="s">
        <v>129</v>
      </c>
      <c r="W1117" s="665" t="s">
        <v>220</v>
      </c>
      <c r="X1117" s="665" t="s">
        <v>749</v>
      </c>
      <c r="Y1117" s="665" t="s">
        <v>750</v>
      </c>
      <c r="Z1117" s="665" t="s">
        <v>748</v>
      </c>
      <c r="BB1117" s="664"/>
      <c r="BD1117" s="664"/>
    </row>
    <row r="1118" spans="1:56">
      <c r="A1118" s="642" t="s">
        <v>2078</v>
      </c>
      <c r="B1118" s="1436">
        <v>104</v>
      </c>
      <c r="C1118" s="1471" t="s">
        <v>2599</v>
      </c>
      <c r="D1118" s="722" t="s">
        <v>2598</v>
      </c>
      <c r="E1118" s="722" t="s">
        <v>2597</v>
      </c>
      <c r="F1118" s="721">
        <v>10.1</v>
      </c>
      <c r="G1118" s="656">
        <v>9.41</v>
      </c>
      <c r="H1118" s="656">
        <f>L1118*R1118</f>
        <v>163.66691589570001</v>
      </c>
      <c r="I1118" s="656">
        <f>F1118/H1118</f>
        <v>6.1710700325265641E-2</v>
      </c>
      <c r="J1118" s="838" t="s">
        <v>3072</v>
      </c>
      <c r="K1118" s="645" t="s">
        <v>2240</v>
      </c>
      <c r="L1118" s="645">
        <v>4.49</v>
      </c>
      <c r="M1118" s="658">
        <v>3.58</v>
      </c>
      <c r="N1118" s="653">
        <f>M1118/L1118</f>
        <v>0.79732739420935406</v>
      </c>
      <c r="O1118" s="656">
        <v>3.58</v>
      </c>
      <c r="P1118" s="653">
        <f>O1118/L1118</f>
        <v>0.79732739420935406</v>
      </c>
      <c r="Q1118" s="645">
        <v>4</v>
      </c>
      <c r="R1118" s="653">
        <v>36.451428929999999</v>
      </c>
      <c r="S1118" s="645" t="s">
        <v>2596</v>
      </c>
      <c r="T1118" s="654">
        <v>42922</v>
      </c>
      <c r="U1118" s="645">
        <v>4.16</v>
      </c>
      <c r="V1118" s="653">
        <f>((U1118*(1+X1118/10)+Y1118/10)/O1118)</f>
        <v>1.1620111731843576</v>
      </c>
      <c r="W1118" s="645" t="s">
        <v>223</v>
      </c>
      <c r="X1118" s="645">
        <v>0</v>
      </c>
      <c r="Y1118" s="645">
        <v>0</v>
      </c>
      <c r="Z1118" s="652" t="s">
        <v>2595</v>
      </c>
      <c r="BB1118" s="651"/>
      <c r="BD1118" s="650"/>
    </row>
    <row r="1119" spans="1:56">
      <c r="C1119" s="648" t="s">
        <v>112</v>
      </c>
      <c r="D1119" s="648" t="s">
        <v>113</v>
      </c>
      <c r="E1119" s="648" t="s">
        <v>943</v>
      </c>
      <c r="F1119" s="649" t="s">
        <v>411</v>
      </c>
      <c r="G1119" s="649" t="s">
        <v>942</v>
      </c>
      <c r="H1119" s="648" t="s">
        <v>231</v>
      </c>
    </row>
    <row r="1120" spans="1:56">
      <c r="C1120" s="645" t="s">
        <v>2999</v>
      </c>
      <c r="D1120" s="645">
        <v>3.58</v>
      </c>
      <c r="E1120" s="653">
        <f>D1120*28367597/100000000</f>
        <v>1.0155599726</v>
      </c>
      <c r="F1120" s="645"/>
      <c r="G1120" s="653">
        <f>28367597/10000</f>
        <v>2836.7597000000001</v>
      </c>
      <c r="H1120" s="653">
        <f>101555997.26/100000000</f>
        <v>1.0155599726</v>
      </c>
    </row>
    <row r="1121" spans="1:56">
      <c r="C1121" s="645" t="s">
        <v>131</v>
      </c>
      <c r="D1121" s="645">
        <v>3.58</v>
      </c>
      <c r="E1121" s="653">
        <f>D1121*28659217/100000000</f>
        <v>1.0259999686000001</v>
      </c>
      <c r="F1121" s="645"/>
      <c r="G1121" s="653">
        <f>28659217/10000</f>
        <v>2865.9216999999999</v>
      </c>
      <c r="H1121" s="653">
        <f>102599996.86/100000000</f>
        <v>1.0259999686000001</v>
      </c>
    </row>
    <row r="1122" spans="1:56">
      <c r="C1122" s="785" t="s">
        <v>3071</v>
      </c>
      <c r="D1122" s="645">
        <v>3.58</v>
      </c>
      <c r="E1122" s="653">
        <f>D1122*51170502/100000000</f>
        <v>1.8319039716000001</v>
      </c>
      <c r="F1122" s="645"/>
      <c r="G1122" s="653">
        <f>51170502/10000</f>
        <v>5117.0501999999997</v>
      </c>
      <c r="H1122" s="653">
        <f>183190397.16/100000000</f>
        <v>1.8319039716000001</v>
      </c>
    </row>
    <row r="1123" spans="1:56">
      <c r="C1123" s="645" t="s">
        <v>115</v>
      </c>
      <c r="D1123" s="645">
        <v>3.58</v>
      </c>
      <c r="E1123" s="653">
        <f>D1123*154770000/100000000</f>
        <v>5.5407659999999996</v>
      </c>
      <c r="F1123" s="645"/>
      <c r="G1123" s="653">
        <f>154770000/10000</f>
        <v>15477</v>
      </c>
      <c r="H1123" s="653">
        <f>554076600/100000000</f>
        <v>5.5407659999999996</v>
      </c>
    </row>
    <row r="1125" spans="1:56" s="663" customFormat="1">
      <c r="A1125" s="663" t="s">
        <v>2861</v>
      </c>
      <c r="B1125" s="665" t="s">
        <v>2036</v>
      </c>
      <c r="C1125" s="667" t="s">
        <v>126</v>
      </c>
      <c r="D1125" s="667" t="s">
        <v>1583</v>
      </c>
      <c r="E1125" s="667" t="s">
        <v>4</v>
      </c>
      <c r="F1125" s="667" t="s">
        <v>2860</v>
      </c>
      <c r="G1125" s="667" t="s">
        <v>2859</v>
      </c>
      <c r="H1125" s="667" t="s">
        <v>2858</v>
      </c>
      <c r="I1125" s="667" t="s">
        <v>751</v>
      </c>
      <c r="J1125" s="665" t="s">
        <v>274</v>
      </c>
      <c r="K1125" s="665" t="s">
        <v>273</v>
      </c>
      <c r="L1125" s="665" t="s">
        <v>116</v>
      </c>
      <c r="M1125" s="665" t="s">
        <v>110</v>
      </c>
      <c r="N1125" s="665" t="s">
        <v>276</v>
      </c>
      <c r="O1125" s="667" t="s">
        <v>1311</v>
      </c>
      <c r="P1125" s="665" t="s">
        <v>275</v>
      </c>
      <c r="Q1125" s="665" t="s">
        <v>111</v>
      </c>
      <c r="R1125" s="665" t="s">
        <v>2857</v>
      </c>
      <c r="S1125" s="665" t="s">
        <v>747</v>
      </c>
      <c r="T1125" s="667" t="s">
        <v>12</v>
      </c>
      <c r="U1125" s="666" t="s">
        <v>948</v>
      </c>
      <c r="V1125" s="665" t="s">
        <v>129</v>
      </c>
      <c r="W1125" s="665" t="s">
        <v>220</v>
      </c>
      <c r="X1125" s="665" t="s">
        <v>749</v>
      </c>
      <c r="Y1125" s="665" t="s">
        <v>750</v>
      </c>
      <c r="Z1125" s="668" t="s">
        <v>748</v>
      </c>
      <c r="AA1125" s="716"/>
      <c r="BB1125" s="664"/>
      <c r="BD1125" s="664"/>
    </row>
    <row r="1126" spans="1:56">
      <c r="A1126" s="642" t="s">
        <v>2078</v>
      </c>
      <c r="B1126" s="1436">
        <v>105</v>
      </c>
      <c r="C1126" s="1437" t="s">
        <v>2594</v>
      </c>
      <c r="D1126" s="662" t="s">
        <v>2593</v>
      </c>
      <c r="E1126" s="662" t="s">
        <v>2592</v>
      </c>
      <c r="F1126" s="661">
        <v>15.5</v>
      </c>
      <c r="G1126" s="660">
        <v>15.34</v>
      </c>
      <c r="H1126" s="659">
        <f>L1126*R1126</f>
        <v>80.128557143999998</v>
      </c>
      <c r="I1126" s="656">
        <f>F1126/H1126</f>
        <v>0.19343915019142005</v>
      </c>
      <c r="J1126" s="658" t="s">
        <v>3070</v>
      </c>
      <c r="K1126" s="645" t="s">
        <v>2089</v>
      </c>
      <c r="L1126" s="645">
        <v>5.49</v>
      </c>
      <c r="M1126" s="658">
        <v>5.64</v>
      </c>
      <c r="N1126" s="699">
        <f>M1126/L1126</f>
        <v>1.0273224043715845</v>
      </c>
      <c r="O1126" s="660">
        <v>5.64</v>
      </c>
      <c r="P1126" s="699">
        <f>O1126/L1126</f>
        <v>1.0273224043715845</v>
      </c>
      <c r="Q1126" s="642">
        <v>4</v>
      </c>
      <c r="R1126" s="699">
        <v>14.595365599999999</v>
      </c>
      <c r="S1126" s="642" t="s">
        <v>2591</v>
      </c>
      <c r="T1126" s="651">
        <v>42921</v>
      </c>
      <c r="U1126" s="642">
        <v>5.47</v>
      </c>
      <c r="V1126" s="699">
        <f>((U1126*(1+X1126/10)+Y1126/10)/O1126)</f>
        <v>0.97872340425531912</v>
      </c>
      <c r="W1126" s="642" t="s">
        <v>2105</v>
      </c>
      <c r="X1126" s="642">
        <v>0</v>
      </c>
      <c r="Y1126" s="642">
        <v>0.5</v>
      </c>
      <c r="Z1126" s="650" t="s">
        <v>2233</v>
      </c>
      <c r="BB1126" s="651"/>
      <c r="BD1126" s="650"/>
    </row>
    <row r="1127" spans="1:56">
      <c r="C1127" s="648" t="s">
        <v>112</v>
      </c>
      <c r="D1127" s="648" t="s">
        <v>113</v>
      </c>
      <c r="E1127" s="648" t="s">
        <v>943</v>
      </c>
      <c r="F1127" s="649" t="s">
        <v>411</v>
      </c>
      <c r="G1127" s="649" t="s">
        <v>942</v>
      </c>
      <c r="H1127" s="648" t="s">
        <v>231</v>
      </c>
    </row>
    <row r="1128" spans="1:56">
      <c r="C1128" s="1512" t="s">
        <v>128</v>
      </c>
      <c r="D1128" s="1517">
        <v>5.65</v>
      </c>
      <c r="E1128" s="1535">
        <v>1.07</v>
      </c>
      <c r="F1128" s="645"/>
      <c r="G1128" s="1579">
        <v>18971.631000000001</v>
      </c>
      <c r="H1128" s="1580">
        <v>1.06999</v>
      </c>
    </row>
    <row r="1129" spans="1:56">
      <c r="C1129" s="1512"/>
      <c r="D1129" s="1517"/>
      <c r="E1129" s="1535"/>
      <c r="F1129" s="645"/>
      <c r="G1129" s="1579"/>
      <c r="H1129" s="1580"/>
    </row>
    <row r="1130" spans="1:56">
      <c r="C1130" s="1512"/>
      <c r="D1130" s="1517"/>
      <c r="E1130" s="1535"/>
      <c r="F1130" s="645"/>
      <c r="G1130" s="1579"/>
      <c r="H1130" s="645"/>
    </row>
    <row r="1131" spans="1:56">
      <c r="C1131" s="1512"/>
      <c r="D1131" s="1517"/>
      <c r="E1131" s="1535"/>
      <c r="F1131" s="645"/>
      <c r="G1131" s="1579"/>
      <c r="H1131" s="645"/>
    </row>
    <row r="1132" spans="1:56">
      <c r="C1132" s="1512" t="s">
        <v>974</v>
      </c>
      <c r="D1132" s="1517">
        <v>5.64</v>
      </c>
      <c r="E1132" s="1535">
        <f>37300/10000</f>
        <v>3.73</v>
      </c>
      <c r="F1132" s="645"/>
      <c r="G1132" s="1579">
        <v>6613.4750999999997</v>
      </c>
      <c r="H1132" s="1580">
        <v>3.7299899999999999</v>
      </c>
    </row>
    <row r="1133" spans="1:56">
      <c r="C1133" s="1512"/>
      <c r="D1133" s="1517"/>
      <c r="E1133" s="1535"/>
      <c r="F1133" s="645"/>
      <c r="G1133" s="1579"/>
      <c r="H1133" s="1580"/>
    </row>
    <row r="1134" spans="1:56">
      <c r="C1134" s="673"/>
      <c r="D1134" s="673"/>
      <c r="E1134" s="714"/>
      <c r="F1134" s="645"/>
      <c r="G1134" s="1579"/>
      <c r="H1134" s="645"/>
    </row>
    <row r="1135" spans="1:56" ht="28">
      <c r="C1135" s="673" t="s">
        <v>3482</v>
      </c>
      <c r="D1135" s="647">
        <v>5.64</v>
      </c>
      <c r="E1135" s="643">
        <f>45000/10000</f>
        <v>4.5</v>
      </c>
      <c r="F1135" s="645"/>
      <c r="G1135" s="644">
        <f>79787234/10000</f>
        <v>7978.7233999999999</v>
      </c>
      <c r="H1135" s="643">
        <f>449999999.76/100000000</f>
        <v>4.4999999975999998</v>
      </c>
    </row>
    <row r="1136" spans="1:56">
      <c r="C1136" s="646" t="s">
        <v>3069</v>
      </c>
      <c r="D1136" s="645" t="s">
        <v>3481</v>
      </c>
      <c r="E1136" s="645" t="s">
        <v>3481</v>
      </c>
      <c r="F1136" s="645"/>
      <c r="G1136" s="644">
        <f>109929078/10000</f>
        <v>10992.907800000001</v>
      </c>
      <c r="H1136" s="643">
        <f>619999999.92/100000000</f>
        <v>6.1999999991999992</v>
      </c>
    </row>
    <row r="1138" spans="1:56" s="663" customFormat="1">
      <c r="A1138" s="663" t="s">
        <v>2861</v>
      </c>
      <c r="B1138" s="665" t="s">
        <v>2036</v>
      </c>
      <c r="C1138" s="667" t="s">
        <v>126</v>
      </c>
      <c r="D1138" s="667" t="s">
        <v>1583</v>
      </c>
      <c r="E1138" s="667" t="s">
        <v>4</v>
      </c>
      <c r="F1138" s="667" t="s">
        <v>2860</v>
      </c>
      <c r="G1138" s="667" t="s">
        <v>2859</v>
      </c>
      <c r="H1138" s="667" t="s">
        <v>2858</v>
      </c>
      <c r="I1138" s="667" t="s">
        <v>751</v>
      </c>
      <c r="J1138" s="665" t="s">
        <v>274</v>
      </c>
      <c r="K1138" s="665" t="s">
        <v>273</v>
      </c>
      <c r="L1138" s="665" t="s">
        <v>116</v>
      </c>
      <c r="M1138" s="665" t="s">
        <v>110</v>
      </c>
      <c r="N1138" s="665" t="s">
        <v>276</v>
      </c>
      <c r="O1138" s="667" t="s">
        <v>1311</v>
      </c>
      <c r="P1138" s="665" t="s">
        <v>275</v>
      </c>
      <c r="Q1138" s="665" t="s">
        <v>111</v>
      </c>
      <c r="R1138" s="665" t="s">
        <v>2857</v>
      </c>
      <c r="S1138" s="665" t="s">
        <v>747</v>
      </c>
      <c r="T1138" s="667" t="s">
        <v>12</v>
      </c>
      <c r="U1138" s="666" t="s">
        <v>948</v>
      </c>
      <c r="V1138" s="665" t="s">
        <v>129</v>
      </c>
      <c r="W1138" s="665" t="s">
        <v>220</v>
      </c>
      <c r="X1138" s="665" t="s">
        <v>749</v>
      </c>
      <c r="Y1138" s="665" t="s">
        <v>750</v>
      </c>
      <c r="Z1138" s="665" t="s">
        <v>748</v>
      </c>
      <c r="BB1138" s="664"/>
      <c r="BD1138" s="664"/>
    </row>
    <row r="1139" spans="1:56">
      <c r="A1139" s="642" t="s">
        <v>2078</v>
      </c>
      <c r="B1139" s="1436">
        <v>106</v>
      </c>
      <c r="C1139" s="1437" t="s">
        <v>2590</v>
      </c>
      <c r="D1139" s="662" t="s">
        <v>2589</v>
      </c>
      <c r="E1139" s="662" t="s">
        <v>2588</v>
      </c>
      <c r="F1139" s="661">
        <v>7.61</v>
      </c>
      <c r="G1139" s="660">
        <v>7.61</v>
      </c>
      <c r="H1139" s="659">
        <f>L1139*R1139</f>
        <v>38.773976640000001</v>
      </c>
      <c r="I1139" s="656">
        <f>F1139/H1139</f>
        <v>0.19626565700638954</v>
      </c>
      <c r="J1139" s="658" t="s">
        <v>3068</v>
      </c>
      <c r="K1139" s="645" t="s">
        <v>2174</v>
      </c>
      <c r="L1139" s="645">
        <v>7.46</v>
      </c>
      <c r="M1139" s="658">
        <v>6.75</v>
      </c>
      <c r="N1139" s="653">
        <f>M1139/L1139</f>
        <v>0.9048257372654156</v>
      </c>
      <c r="O1139" s="656">
        <v>7.01</v>
      </c>
      <c r="P1139" s="653">
        <f>O1139/L1139</f>
        <v>0.93967828418230559</v>
      </c>
      <c r="Q1139" s="645">
        <v>7</v>
      </c>
      <c r="R1139" s="653">
        <v>5.197584</v>
      </c>
      <c r="S1139" s="645" t="s">
        <v>2587</v>
      </c>
      <c r="T1139" s="654">
        <v>42922</v>
      </c>
      <c r="U1139" s="645">
        <v>5.71</v>
      </c>
      <c r="V1139" s="653">
        <f>((U1139*(1+X1139/10)+Y1139/10)/O1139)</f>
        <v>1.0589158345221112</v>
      </c>
      <c r="W1139" s="645" t="s">
        <v>2586</v>
      </c>
      <c r="X1139" s="645">
        <v>3</v>
      </c>
      <c r="Y1139" s="645">
        <v>0</v>
      </c>
      <c r="Z1139" s="652" t="s">
        <v>2380</v>
      </c>
      <c r="BB1139" s="651"/>
      <c r="BD1139" s="650"/>
    </row>
    <row r="1140" spans="1:56">
      <c r="C1140" s="648" t="s">
        <v>112</v>
      </c>
      <c r="D1140" s="648" t="s">
        <v>113</v>
      </c>
      <c r="E1140" s="648" t="s">
        <v>943</v>
      </c>
      <c r="F1140" s="649" t="s">
        <v>411</v>
      </c>
      <c r="G1140" s="649" t="s">
        <v>942</v>
      </c>
      <c r="H1140" s="648" t="s">
        <v>231</v>
      </c>
    </row>
    <row r="1141" spans="1:56">
      <c r="C1141" s="646" t="s">
        <v>127</v>
      </c>
      <c r="D1141" s="647">
        <v>6.76</v>
      </c>
      <c r="E1141" s="643">
        <v>0.8</v>
      </c>
      <c r="F1141" s="645"/>
      <c r="G1141" s="645"/>
      <c r="H1141" s="645"/>
    </row>
    <row r="1142" spans="1:56">
      <c r="C1142" s="646" t="s">
        <v>115</v>
      </c>
      <c r="D1142" s="647">
        <v>7</v>
      </c>
      <c r="E1142" s="643">
        <v>0.78</v>
      </c>
      <c r="F1142" s="645"/>
      <c r="G1142" s="645"/>
      <c r="H1142" s="645"/>
    </row>
    <row r="1143" spans="1:56">
      <c r="C1143" s="673"/>
      <c r="D1143" s="647">
        <v>6.8</v>
      </c>
      <c r="E1143" s="643">
        <v>1.57</v>
      </c>
      <c r="F1143" s="645"/>
      <c r="G1143" s="645"/>
      <c r="H1143" s="645"/>
    </row>
    <row r="1144" spans="1:56">
      <c r="C1144" s="645"/>
      <c r="D1144" s="647">
        <v>6.75</v>
      </c>
      <c r="E1144" s="643">
        <v>2.2200000000000002</v>
      </c>
      <c r="F1144" s="645"/>
      <c r="G1144" s="645"/>
      <c r="H1144" s="645"/>
    </row>
    <row r="1145" spans="1:56">
      <c r="C1145" s="646" t="s">
        <v>130</v>
      </c>
      <c r="D1145" s="647">
        <v>7.01</v>
      </c>
      <c r="E1145" s="643">
        <v>1.56</v>
      </c>
      <c r="F1145" s="645"/>
      <c r="G1145" s="708">
        <v>2225.3921999999998</v>
      </c>
      <c r="H1145" s="712">
        <v>1.5599999322</v>
      </c>
    </row>
    <row r="1146" spans="1:56">
      <c r="C1146" s="646" t="s">
        <v>1846</v>
      </c>
      <c r="D1146" s="647">
        <v>7.01</v>
      </c>
      <c r="E1146" s="643">
        <v>1.54</v>
      </c>
      <c r="F1146" s="645"/>
      <c r="G1146" s="708">
        <v>2196.8616000000002</v>
      </c>
      <c r="H1146" s="712">
        <v>1.5399999816000001</v>
      </c>
    </row>
    <row r="1147" spans="1:56">
      <c r="C1147" s="673"/>
      <c r="D1147" s="647">
        <v>6.86</v>
      </c>
      <c r="E1147" s="643">
        <v>1.54</v>
      </c>
      <c r="F1147" s="645"/>
      <c r="G1147" s="708"/>
      <c r="H1147" s="834"/>
    </row>
    <row r="1148" spans="1:56">
      <c r="C1148" s="673"/>
      <c r="D1148" s="647">
        <v>6.76</v>
      </c>
      <c r="E1148" s="643">
        <v>1.54</v>
      </c>
      <c r="F1148" s="645"/>
      <c r="G1148" s="708"/>
      <c r="H1148" s="834"/>
    </row>
    <row r="1149" spans="1:56">
      <c r="C1149" s="646" t="s">
        <v>235</v>
      </c>
      <c r="D1149" s="647">
        <v>7.05</v>
      </c>
      <c r="E1149" s="643">
        <v>0.78</v>
      </c>
      <c r="F1149" s="645"/>
      <c r="G1149" s="709">
        <f>1112.6961</f>
        <v>1112.6960999999999</v>
      </c>
      <c r="H1149" s="833">
        <f>7799.999661/10000</f>
        <v>0.7799999661</v>
      </c>
    </row>
    <row r="1150" spans="1:56">
      <c r="C1150" s="646" t="s">
        <v>358</v>
      </c>
      <c r="D1150" s="647">
        <v>7.01</v>
      </c>
      <c r="E1150" s="643">
        <v>0.77</v>
      </c>
      <c r="F1150" s="645"/>
      <c r="G1150" s="709">
        <f>807.4183</f>
        <v>807.41830000000004</v>
      </c>
      <c r="H1150" s="833">
        <f>5660.002283/10000</f>
        <v>0.56600022829999996</v>
      </c>
    </row>
    <row r="1151" spans="1:56">
      <c r="C1151" s="673"/>
      <c r="D1151" s="647">
        <v>6.86</v>
      </c>
      <c r="E1151" s="643">
        <v>0.77</v>
      </c>
      <c r="F1151" s="645"/>
      <c r="G1151" s="708"/>
      <c r="H1151" s="834"/>
    </row>
    <row r="1152" spans="1:56">
      <c r="C1152" s="645"/>
      <c r="D1152" s="647">
        <v>6.76</v>
      </c>
      <c r="E1152" s="643">
        <v>0.77</v>
      </c>
      <c r="F1152" s="645"/>
      <c r="G1152" s="645"/>
      <c r="H1152" s="645"/>
    </row>
    <row r="1153" spans="1:56">
      <c r="C1153" s="646" t="s">
        <v>373</v>
      </c>
      <c r="D1153" s="647">
        <v>7.04</v>
      </c>
      <c r="E1153" s="643">
        <v>1.56</v>
      </c>
      <c r="F1153" s="645"/>
      <c r="G1153" s="708">
        <v>2225.3921999999998</v>
      </c>
      <c r="H1153" s="712">
        <v>1.5599999322</v>
      </c>
    </row>
    <row r="1154" spans="1:56">
      <c r="C1154" s="646" t="s">
        <v>336</v>
      </c>
      <c r="D1154" s="647">
        <v>7.03</v>
      </c>
      <c r="E1154" s="643">
        <v>0.76800000000000002</v>
      </c>
      <c r="F1154" s="645"/>
      <c r="G1154" s="709">
        <f>1095.5777</f>
        <v>1095.5777</v>
      </c>
      <c r="H1154" s="833">
        <f>7679.999677/10000</f>
        <v>0.76799996770000001</v>
      </c>
    </row>
    <row r="1155" spans="1:56">
      <c r="C1155" s="646" t="s">
        <v>147</v>
      </c>
      <c r="D1155" s="647">
        <v>7.01</v>
      </c>
      <c r="E1155" s="643">
        <v>0.83499999999999996</v>
      </c>
      <c r="F1155" s="645"/>
      <c r="G1155" s="709">
        <f>1191.1554</f>
        <v>1191.1554000000001</v>
      </c>
      <c r="H1155" s="833">
        <f>8349.999354/10000</f>
        <v>0.83499993539999995</v>
      </c>
    </row>
    <row r="1156" spans="1:56">
      <c r="C1156" s="645"/>
      <c r="D1156" s="647">
        <v>6.88</v>
      </c>
      <c r="E1156" s="643">
        <v>1.5959000000000001</v>
      </c>
      <c r="F1156" s="645"/>
      <c r="G1156" s="645"/>
      <c r="H1156" s="645"/>
    </row>
    <row r="1160" spans="1:56" s="663" customFormat="1">
      <c r="A1160" s="663" t="s">
        <v>2861</v>
      </c>
      <c r="B1160" s="665" t="s">
        <v>2036</v>
      </c>
      <c r="C1160" s="667" t="s">
        <v>126</v>
      </c>
      <c r="D1160" s="667" t="s">
        <v>1583</v>
      </c>
      <c r="E1160" s="667" t="s">
        <v>4</v>
      </c>
      <c r="F1160" s="667" t="s">
        <v>2860</v>
      </c>
      <c r="G1160" s="667" t="s">
        <v>2859</v>
      </c>
      <c r="H1160" s="667" t="s">
        <v>2858</v>
      </c>
      <c r="I1160" s="667" t="s">
        <v>751</v>
      </c>
      <c r="J1160" s="665" t="s">
        <v>274</v>
      </c>
      <c r="K1160" s="665" t="s">
        <v>273</v>
      </c>
      <c r="L1160" s="665" t="s">
        <v>116</v>
      </c>
      <c r="M1160" s="665" t="s">
        <v>110</v>
      </c>
      <c r="N1160" s="665" t="s">
        <v>276</v>
      </c>
      <c r="O1160" s="667" t="s">
        <v>1311</v>
      </c>
      <c r="P1160" s="665" t="s">
        <v>275</v>
      </c>
      <c r="Q1160" s="665" t="s">
        <v>111</v>
      </c>
      <c r="R1160" s="665" t="s">
        <v>2857</v>
      </c>
      <c r="S1160" s="665" t="s">
        <v>747</v>
      </c>
      <c r="T1160" s="667" t="s">
        <v>12</v>
      </c>
      <c r="U1160" s="666" t="s">
        <v>948</v>
      </c>
      <c r="V1160" s="665" t="s">
        <v>129</v>
      </c>
      <c r="W1160" s="665" t="s">
        <v>220</v>
      </c>
      <c r="X1160" s="665" t="s">
        <v>749</v>
      </c>
      <c r="Y1160" s="665" t="s">
        <v>750</v>
      </c>
      <c r="Z1160" s="665" t="s">
        <v>748</v>
      </c>
      <c r="BB1160" s="664"/>
      <c r="BD1160" s="664"/>
    </row>
    <row r="1161" spans="1:56">
      <c r="A1161" s="642" t="s">
        <v>2078</v>
      </c>
      <c r="B1161" s="1436">
        <v>107</v>
      </c>
      <c r="C1161" s="1437" t="s">
        <v>2585</v>
      </c>
      <c r="D1161" s="662" t="s">
        <v>2584</v>
      </c>
      <c r="E1161" s="662" t="s">
        <v>2583</v>
      </c>
      <c r="F1161" s="661">
        <v>134.82</v>
      </c>
      <c r="G1161" s="660">
        <v>134.82</v>
      </c>
      <c r="H1161" s="659">
        <f>L1161*R1161</f>
        <v>450.36775</v>
      </c>
      <c r="I1161" s="656">
        <f>F1161/H1161</f>
        <v>0.29935536014734626</v>
      </c>
      <c r="J1161" s="658" t="s">
        <v>3067</v>
      </c>
      <c r="K1161" s="645" t="s">
        <v>2089</v>
      </c>
      <c r="L1161" s="645">
        <v>35</v>
      </c>
      <c r="M1161" s="658">
        <v>25.9</v>
      </c>
      <c r="N1161" s="653">
        <f>M1161/L1161</f>
        <v>0.74</v>
      </c>
      <c r="O1161" s="656">
        <v>29.8</v>
      </c>
      <c r="P1161" s="653">
        <f>O1161/L1161</f>
        <v>0.85142857142857142</v>
      </c>
      <c r="Q1161" s="645">
        <v>6</v>
      </c>
      <c r="R1161" s="653">
        <v>12.867649999999999</v>
      </c>
      <c r="S1161" s="645" t="s">
        <v>2582</v>
      </c>
      <c r="T1161" s="654">
        <v>42926</v>
      </c>
      <c r="U1161" s="645">
        <v>25.51</v>
      </c>
      <c r="V1161" s="653">
        <f>((U1161*(1+X1161/10)+Y1161/10)/O1161)</f>
        <v>0.86342281879194627</v>
      </c>
      <c r="W1161" s="645" t="s">
        <v>2581</v>
      </c>
      <c r="X1161" s="645">
        <v>0</v>
      </c>
      <c r="Y1161" s="645">
        <v>2.2000000000000002</v>
      </c>
      <c r="Z1161" s="652" t="s">
        <v>2386</v>
      </c>
      <c r="BB1161" s="651"/>
      <c r="BD1161" s="650"/>
    </row>
    <row r="1162" spans="1:56">
      <c r="C1162" s="648" t="s">
        <v>112</v>
      </c>
      <c r="D1162" s="648" t="s">
        <v>113</v>
      </c>
      <c r="E1162" s="648" t="s">
        <v>943</v>
      </c>
      <c r="F1162" s="649" t="s">
        <v>411</v>
      </c>
      <c r="G1162" s="649" t="s">
        <v>942</v>
      </c>
      <c r="H1162" s="648" t="s">
        <v>231</v>
      </c>
    </row>
    <row r="1163" spans="1:56">
      <c r="C1163" s="646" t="s">
        <v>3066</v>
      </c>
      <c r="D1163" s="837"/>
      <c r="E1163" s="837"/>
      <c r="F1163" s="645"/>
      <c r="G1163" s="644">
        <f>67863790/10000</f>
        <v>6786.3789999999999</v>
      </c>
      <c r="H1163" s="643">
        <f>2022340942/100000000</f>
        <v>20.223409419999999</v>
      </c>
    </row>
    <row r="1164" spans="1:56">
      <c r="C1164" s="646" t="s">
        <v>618</v>
      </c>
      <c r="D1164" s="837"/>
      <c r="E1164" s="837"/>
      <c r="F1164" s="645"/>
      <c r="G1164" s="644">
        <f>100666107/10000</f>
        <v>10066.610699999999</v>
      </c>
      <c r="H1164" s="643">
        <f>2999849988.6/100000000</f>
        <v>29.998499885999998</v>
      </c>
    </row>
    <row r="1165" spans="1:56">
      <c r="C1165" s="646" t="s">
        <v>361</v>
      </c>
      <c r="D1165" s="837"/>
      <c r="E1165" s="837"/>
      <c r="F1165" s="645"/>
      <c r="G1165" s="644">
        <f>50335570/10000</f>
        <v>5033.5569999999998</v>
      </c>
      <c r="H1165" s="643">
        <f>1499999986/100000000</f>
        <v>14.999999860000001</v>
      </c>
    </row>
    <row r="1166" spans="1:56">
      <c r="C1166" s="646" t="s">
        <v>677</v>
      </c>
      <c r="D1166" s="837"/>
      <c r="E1166" s="837"/>
      <c r="F1166" s="645"/>
      <c r="G1166" s="644">
        <f>143617449/10000</f>
        <v>14361.7449</v>
      </c>
      <c r="H1166" s="643">
        <f>4279799980.2/100000000</f>
        <v>42.797999802</v>
      </c>
    </row>
    <row r="1167" spans="1:56">
      <c r="C1167" s="646" t="s">
        <v>158</v>
      </c>
      <c r="D1167" s="837"/>
      <c r="E1167" s="837"/>
      <c r="F1167" s="645"/>
      <c r="G1167" s="644">
        <f>42955006/10000</f>
        <v>4295.5006000000003</v>
      </c>
      <c r="H1167" s="643">
        <f>1280059178.8/100000000</f>
        <v>12.800591788</v>
      </c>
    </row>
    <row r="1168" spans="1:56">
      <c r="C1168" s="645" t="s">
        <v>3065</v>
      </c>
      <c r="D1168" s="837"/>
      <c r="E1168" s="837"/>
      <c r="F1168" s="645"/>
      <c r="G1168" s="741">
        <v>4698.7345999999998</v>
      </c>
      <c r="H1168" s="712">
        <f>1400222910.8/100000000</f>
        <v>14.002229108</v>
      </c>
    </row>
    <row r="1170" spans="1:56" s="663" customFormat="1">
      <c r="A1170" s="663" t="s">
        <v>2861</v>
      </c>
      <c r="B1170" s="665" t="s">
        <v>2036</v>
      </c>
      <c r="C1170" s="667" t="s">
        <v>126</v>
      </c>
      <c r="D1170" s="667" t="s">
        <v>1583</v>
      </c>
      <c r="E1170" s="667" t="s">
        <v>4</v>
      </c>
      <c r="F1170" s="667" t="s">
        <v>2860</v>
      </c>
      <c r="G1170" s="667" t="s">
        <v>2859</v>
      </c>
      <c r="H1170" s="667" t="s">
        <v>2858</v>
      </c>
      <c r="I1170" s="667" t="s">
        <v>751</v>
      </c>
      <c r="J1170" s="665" t="s">
        <v>274</v>
      </c>
      <c r="K1170" s="665" t="s">
        <v>273</v>
      </c>
      <c r="L1170" s="665" t="s">
        <v>116</v>
      </c>
      <c r="M1170" s="665" t="s">
        <v>110</v>
      </c>
      <c r="N1170" s="665" t="s">
        <v>276</v>
      </c>
      <c r="O1170" s="667" t="s">
        <v>1311</v>
      </c>
      <c r="P1170" s="665" t="s">
        <v>275</v>
      </c>
      <c r="Q1170" s="665" t="s">
        <v>111</v>
      </c>
      <c r="R1170" s="665" t="s">
        <v>2857</v>
      </c>
      <c r="S1170" s="665" t="s">
        <v>747</v>
      </c>
      <c r="T1170" s="667" t="s">
        <v>12</v>
      </c>
      <c r="U1170" s="666" t="s">
        <v>948</v>
      </c>
      <c r="V1170" s="665" t="s">
        <v>129</v>
      </c>
      <c r="W1170" s="665" t="s">
        <v>220</v>
      </c>
      <c r="X1170" s="665" t="s">
        <v>749</v>
      </c>
      <c r="Y1170" s="665" t="s">
        <v>750</v>
      </c>
      <c r="Z1170" s="665" t="s">
        <v>748</v>
      </c>
      <c r="BB1170" s="664"/>
      <c r="BD1170" s="664"/>
    </row>
    <row r="1171" spans="1:56">
      <c r="A1171" s="642" t="s">
        <v>2078</v>
      </c>
      <c r="B1171" s="1436">
        <v>108</v>
      </c>
      <c r="C1171" s="1437" t="s">
        <v>2580</v>
      </c>
      <c r="D1171" s="662" t="s">
        <v>2579</v>
      </c>
      <c r="E1171" s="662" t="s">
        <v>2578</v>
      </c>
      <c r="F1171" s="661">
        <v>20</v>
      </c>
      <c r="G1171" s="660">
        <v>20</v>
      </c>
      <c r="H1171" s="659">
        <f>L1171*R1171</f>
        <v>106.2276970584</v>
      </c>
      <c r="I1171" s="656">
        <f>F1171/H1171</f>
        <v>0.1882748148913061</v>
      </c>
      <c r="J1171" s="658" t="s">
        <v>3064</v>
      </c>
      <c r="K1171" s="645" t="s">
        <v>2174</v>
      </c>
      <c r="L1171" s="645">
        <v>2.82</v>
      </c>
      <c r="M1171" s="658">
        <v>2.4500000000000002</v>
      </c>
      <c r="N1171" s="653">
        <f>M1171/L1171</f>
        <v>0.86879432624113484</v>
      </c>
      <c r="O1171" s="656">
        <v>2.5499999999999998</v>
      </c>
      <c r="P1171" s="653">
        <f>O1171/L1171</f>
        <v>0.9042553191489362</v>
      </c>
      <c r="Q1171" s="645">
        <v>5</v>
      </c>
      <c r="R1171" s="653">
        <v>37.669396120000002</v>
      </c>
      <c r="S1171" s="645" t="s">
        <v>2577</v>
      </c>
      <c r="T1171" s="654">
        <v>42923</v>
      </c>
      <c r="U1171" s="645">
        <v>3.89</v>
      </c>
      <c r="V1171" s="653">
        <f>((U1171*(1+X1171/10)+Y1171/10)/O1171)</f>
        <v>1.5352941176470589</v>
      </c>
      <c r="W1171" s="645" t="s">
        <v>2576</v>
      </c>
      <c r="X1171" s="645">
        <v>0</v>
      </c>
      <c r="Y1171" s="645">
        <v>0.25</v>
      </c>
      <c r="Z1171" s="652" t="s">
        <v>2575</v>
      </c>
      <c r="BB1171" s="651"/>
      <c r="BD1171" s="650"/>
    </row>
    <row r="1172" spans="1:56">
      <c r="C1172" s="648" t="s">
        <v>112</v>
      </c>
      <c r="D1172" s="648" t="s">
        <v>113</v>
      </c>
      <c r="E1172" s="648" t="s">
        <v>943</v>
      </c>
      <c r="F1172" s="649" t="s">
        <v>411</v>
      </c>
      <c r="G1172" s="649" t="s">
        <v>942</v>
      </c>
      <c r="H1172" s="648" t="s">
        <v>231</v>
      </c>
    </row>
    <row r="1173" spans="1:56">
      <c r="C1173" s="1512" t="s">
        <v>115</v>
      </c>
      <c r="D1173" s="745">
        <v>2.6</v>
      </c>
      <c r="E1173" s="745">
        <f>200000000/100000000</f>
        <v>2</v>
      </c>
      <c r="F1173" s="769"/>
      <c r="G1173" s="1578">
        <f>78431372/10000</f>
        <v>7843.1372000000001</v>
      </c>
      <c r="H1173" s="1578">
        <f>199999998.6/100000000</f>
        <v>1.999999986</v>
      </c>
    </row>
    <row r="1174" spans="1:56">
      <c r="C1174" s="1512"/>
      <c r="D1174" s="745">
        <v>2.5099999999999998</v>
      </c>
      <c r="E1174" s="745">
        <f>288000000/100000000</f>
        <v>2.88</v>
      </c>
      <c r="F1174" s="769"/>
      <c r="G1174" s="1578"/>
      <c r="H1174" s="1578"/>
    </row>
    <row r="1175" spans="1:56">
      <c r="C1175" s="1512"/>
      <c r="D1175" s="745">
        <v>2.48</v>
      </c>
      <c r="E1175" s="745">
        <f>337000000/100000000</f>
        <v>3.37</v>
      </c>
      <c r="F1175" s="769"/>
      <c r="G1175" s="1578"/>
      <c r="H1175" s="1578"/>
    </row>
    <row r="1176" spans="1:56">
      <c r="C1176" s="1512" t="s">
        <v>316</v>
      </c>
      <c r="D1176" s="745">
        <v>2.5499999999999998</v>
      </c>
      <c r="E1176" s="745">
        <f t="shared" ref="E1176:E1181" si="0">500000000/100000000</f>
        <v>5</v>
      </c>
      <c r="F1176" s="769"/>
      <c r="G1176" s="1578">
        <f>196078431/10000</f>
        <v>19607.843099999998</v>
      </c>
      <c r="H1176" s="1578">
        <f>499999999.05/100000000</f>
        <v>4.9999999905000001</v>
      </c>
    </row>
    <row r="1177" spans="1:56">
      <c r="C1177" s="1512"/>
      <c r="D1177" s="745">
        <v>2.48</v>
      </c>
      <c r="E1177" s="745">
        <f t="shared" si="0"/>
        <v>5</v>
      </c>
      <c r="F1177" s="769"/>
      <c r="G1177" s="1578"/>
      <c r="H1177" s="1578"/>
    </row>
    <row r="1178" spans="1:56">
      <c r="C1178" s="1512"/>
      <c r="D1178" s="745">
        <v>2.4500000000000002</v>
      </c>
      <c r="E1178" s="745">
        <f t="shared" si="0"/>
        <v>5</v>
      </c>
      <c r="F1178" s="769"/>
      <c r="G1178" s="1578"/>
      <c r="H1178" s="1578"/>
    </row>
    <row r="1179" spans="1:56">
      <c r="C1179" s="1514" t="s">
        <v>3480</v>
      </c>
      <c r="D1179" s="745">
        <v>2.5499999999999998</v>
      </c>
      <c r="E1179" s="745">
        <f t="shared" si="0"/>
        <v>5</v>
      </c>
      <c r="F1179" s="769"/>
      <c r="G1179" s="1578">
        <f>196078431/10000</f>
        <v>19607.843099999998</v>
      </c>
      <c r="H1179" s="1578">
        <f>499999999.05/100000000</f>
        <v>4.9999999905000001</v>
      </c>
    </row>
    <row r="1180" spans="1:56">
      <c r="C1180" s="1514"/>
      <c r="D1180" s="745">
        <v>2.48</v>
      </c>
      <c r="E1180" s="745">
        <f t="shared" si="0"/>
        <v>5</v>
      </c>
      <c r="F1180" s="769"/>
      <c r="G1180" s="1578"/>
      <c r="H1180" s="1578"/>
    </row>
    <row r="1181" spans="1:56">
      <c r="C1181" s="1514"/>
      <c r="D1181" s="745">
        <v>2.4500000000000002</v>
      </c>
      <c r="E1181" s="745">
        <f t="shared" si="0"/>
        <v>5</v>
      </c>
      <c r="F1181" s="769"/>
      <c r="G1181" s="1578"/>
      <c r="H1181" s="1578"/>
    </row>
    <row r="1182" spans="1:56">
      <c r="C1182" s="1514" t="s">
        <v>3479</v>
      </c>
      <c r="D1182" s="745">
        <v>2.5499999999999998</v>
      </c>
      <c r="E1182" s="745">
        <f>501000000/100000000</f>
        <v>5.01</v>
      </c>
      <c r="F1182" s="769"/>
      <c r="G1182" s="1578">
        <f>196470588/10000</f>
        <v>19647.058799999999</v>
      </c>
      <c r="H1182" s="1578">
        <f>500999999.4/100000000</f>
        <v>5.0099999940000002</v>
      </c>
    </row>
    <row r="1183" spans="1:56">
      <c r="C1183" s="1514"/>
      <c r="D1183" s="745">
        <v>2.4500000000000002</v>
      </c>
      <c r="E1183" s="745">
        <f>501000000/100000000</f>
        <v>5.01</v>
      </c>
      <c r="F1183" s="769"/>
      <c r="G1183" s="1578"/>
      <c r="H1183" s="1578"/>
    </row>
    <row r="1184" spans="1:56" ht="28">
      <c r="C1184" s="673" t="s">
        <v>3478</v>
      </c>
      <c r="D1184" s="745">
        <v>2.5499999999999998</v>
      </c>
      <c r="E1184" s="745">
        <f>463000000/100000000</f>
        <v>4.63</v>
      </c>
      <c r="F1184" s="769"/>
      <c r="G1184" s="745">
        <f>117254903/10000</f>
        <v>11725.490299999999</v>
      </c>
      <c r="H1184" s="745">
        <f>299000002.65/100000000</f>
        <v>2.9900000264999997</v>
      </c>
    </row>
    <row r="1186" spans="1:56" s="663" customFormat="1">
      <c r="A1186" s="663" t="s">
        <v>2861</v>
      </c>
      <c r="B1186" s="665" t="s">
        <v>2036</v>
      </c>
      <c r="C1186" s="667" t="s">
        <v>126</v>
      </c>
      <c r="D1186" s="667" t="s">
        <v>1583</v>
      </c>
      <c r="E1186" s="667" t="s">
        <v>4</v>
      </c>
      <c r="F1186" s="667" t="s">
        <v>2860</v>
      </c>
      <c r="G1186" s="667" t="s">
        <v>2859</v>
      </c>
      <c r="H1186" s="667" t="s">
        <v>2858</v>
      </c>
      <c r="I1186" s="667" t="s">
        <v>751</v>
      </c>
      <c r="J1186" s="665" t="s">
        <v>274</v>
      </c>
      <c r="K1186" s="665" t="s">
        <v>273</v>
      </c>
      <c r="L1186" s="665" t="s">
        <v>116</v>
      </c>
      <c r="M1186" s="665" t="s">
        <v>110</v>
      </c>
      <c r="N1186" s="665" t="s">
        <v>276</v>
      </c>
      <c r="O1186" s="667" t="s">
        <v>1311</v>
      </c>
      <c r="P1186" s="665" t="s">
        <v>275</v>
      </c>
      <c r="Q1186" s="665" t="s">
        <v>111</v>
      </c>
      <c r="R1186" s="665" t="s">
        <v>2857</v>
      </c>
      <c r="S1186" s="665" t="s">
        <v>747</v>
      </c>
      <c r="T1186" s="667" t="s">
        <v>12</v>
      </c>
      <c r="U1186" s="666" t="s">
        <v>948</v>
      </c>
      <c r="V1186" s="665" t="s">
        <v>129</v>
      </c>
      <c r="W1186" s="665" t="s">
        <v>220</v>
      </c>
      <c r="X1186" s="665" t="s">
        <v>749</v>
      </c>
      <c r="Y1186" s="665" t="s">
        <v>750</v>
      </c>
      <c r="Z1186" s="665" t="s">
        <v>748</v>
      </c>
      <c r="BB1186" s="664"/>
      <c r="BD1186" s="664"/>
    </row>
    <row r="1187" spans="1:56">
      <c r="A1187" s="642" t="s">
        <v>2078</v>
      </c>
      <c r="B1187" s="1436">
        <v>109</v>
      </c>
      <c r="C1187" s="1471" t="s">
        <v>2574</v>
      </c>
      <c r="D1187" s="722" t="s">
        <v>2573</v>
      </c>
      <c r="E1187" s="722" t="s">
        <v>2572</v>
      </c>
      <c r="F1187" s="721">
        <v>12</v>
      </c>
      <c r="G1187" s="656">
        <v>12</v>
      </c>
      <c r="H1187" s="656">
        <f>L1187*R1187</f>
        <v>213.714682686</v>
      </c>
      <c r="I1187" s="656">
        <f>F1187/H1187</f>
        <v>5.6149628323061841E-2</v>
      </c>
      <c r="J1187" s="658" t="s">
        <v>3064</v>
      </c>
      <c r="K1187" s="645" t="s">
        <v>2240</v>
      </c>
      <c r="L1187" s="645">
        <v>10.26</v>
      </c>
      <c r="M1187" s="658">
        <v>7.58</v>
      </c>
      <c r="N1187" s="653">
        <f>M1187/L1187</f>
        <v>0.73879142300194933</v>
      </c>
      <c r="O1187" s="656">
        <v>8.8000000000000007</v>
      </c>
      <c r="P1187" s="653">
        <f>O1187/L1187</f>
        <v>0.85769980506822618</v>
      </c>
      <c r="Q1187" s="645">
        <v>6</v>
      </c>
      <c r="R1187" s="653">
        <v>20.829891100000001</v>
      </c>
      <c r="S1187" s="645" t="s">
        <v>2571</v>
      </c>
      <c r="T1187" s="654">
        <v>42923</v>
      </c>
      <c r="U1187" s="645">
        <v>6.9</v>
      </c>
      <c r="V1187" s="653">
        <f>((U1187*(1+X1187/10)+Y1187/10)/O1187)</f>
        <v>0.78409090909090906</v>
      </c>
      <c r="W1187" s="645" t="s">
        <v>223</v>
      </c>
      <c r="X1187" s="645">
        <v>0</v>
      </c>
      <c r="Y1187" s="645">
        <v>0</v>
      </c>
      <c r="Z1187" s="652" t="s">
        <v>2122</v>
      </c>
      <c r="BB1187" s="651"/>
      <c r="BD1187" s="650"/>
    </row>
    <row r="1188" spans="1:56">
      <c r="C1188" s="648" t="s">
        <v>112</v>
      </c>
      <c r="D1188" s="648" t="s">
        <v>113</v>
      </c>
      <c r="E1188" s="648" t="s">
        <v>943</v>
      </c>
      <c r="F1188" s="649" t="s">
        <v>411</v>
      </c>
      <c r="G1188" s="649" t="s">
        <v>942</v>
      </c>
      <c r="H1188" s="648" t="s">
        <v>231</v>
      </c>
    </row>
    <row r="1189" spans="1:56">
      <c r="C1189" s="646" t="s">
        <v>3465</v>
      </c>
      <c r="D1189" s="647">
        <v>8.24</v>
      </c>
      <c r="E1189" s="836">
        <v>1.2</v>
      </c>
      <c r="F1189" s="645"/>
      <c r="G1189" s="645"/>
      <c r="H1189" s="645"/>
    </row>
    <row r="1190" spans="1:56">
      <c r="C1190" s="646" t="s">
        <v>2997</v>
      </c>
      <c r="D1190" s="647">
        <v>9.1</v>
      </c>
      <c r="E1190" s="836">
        <v>1.2</v>
      </c>
      <c r="F1190" s="645"/>
      <c r="G1190" s="644">
        <f>13636363/10000</f>
        <v>1363.6362999999999</v>
      </c>
      <c r="H1190" s="643">
        <f>119999994.4/100000000</f>
        <v>1.199999944</v>
      </c>
    </row>
    <row r="1191" spans="1:56">
      <c r="C1191" s="646" t="s">
        <v>120</v>
      </c>
      <c r="D1191" s="647">
        <v>8.5</v>
      </c>
      <c r="E1191" s="836">
        <v>1.2</v>
      </c>
      <c r="F1191" s="645"/>
      <c r="G1191" s="645"/>
      <c r="H1191" s="645"/>
    </row>
    <row r="1192" spans="1:56">
      <c r="C1192" s="1512" t="s">
        <v>316</v>
      </c>
      <c r="D1192" s="647">
        <v>9.6</v>
      </c>
      <c r="E1192" s="836">
        <v>1.2</v>
      </c>
      <c r="F1192" s="645"/>
      <c r="G1192" s="644">
        <f>36704545/10000</f>
        <v>3670.4544999999998</v>
      </c>
      <c r="H1192" s="643">
        <f>322999996/100000000</f>
        <v>3.2299999599999998</v>
      </c>
    </row>
    <row r="1193" spans="1:56">
      <c r="C1193" s="1512"/>
      <c r="D1193" s="647">
        <v>9.15</v>
      </c>
      <c r="E1193" s="836">
        <v>2.59</v>
      </c>
      <c r="F1193" s="645"/>
      <c r="G1193" s="645"/>
      <c r="H1193" s="645"/>
    </row>
    <row r="1194" spans="1:56">
      <c r="C1194" s="1512"/>
      <c r="D1194" s="647">
        <v>8.9</v>
      </c>
      <c r="E1194" s="836">
        <v>3.23</v>
      </c>
      <c r="F1194" s="645"/>
      <c r="G1194" s="645"/>
      <c r="H1194" s="645"/>
    </row>
    <row r="1195" spans="1:56">
      <c r="C1195" s="646" t="s">
        <v>8</v>
      </c>
      <c r="D1195" s="647">
        <v>7.8</v>
      </c>
      <c r="E1195" s="836">
        <v>1.2</v>
      </c>
      <c r="F1195" s="645"/>
      <c r="G1195" s="645"/>
      <c r="H1195" s="645"/>
    </row>
    <row r="1196" spans="1:56">
      <c r="C1196" s="1512" t="s">
        <v>127</v>
      </c>
      <c r="D1196" s="647">
        <v>9.16</v>
      </c>
      <c r="E1196" s="836">
        <v>1.5</v>
      </c>
      <c r="F1196" s="645"/>
      <c r="G1196" s="644">
        <f>17045454/10000</f>
        <v>1704.5454</v>
      </c>
      <c r="H1196" s="643">
        <f>149999995.2/100000000</f>
        <v>1.4999999519999998</v>
      </c>
    </row>
    <row r="1197" spans="1:56">
      <c r="C1197" s="1512"/>
      <c r="D1197" s="647">
        <v>8.5299999999999994</v>
      </c>
      <c r="E1197" s="836">
        <v>2.4</v>
      </c>
      <c r="F1197" s="645"/>
      <c r="G1197" s="645"/>
      <c r="H1197" s="645"/>
    </row>
    <row r="1198" spans="1:56">
      <c r="C1198" s="646" t="s">
        <v>1214</v>
      </c>
      <c r="D1198" s="647">
        <v>8.1</v>
      </c>
      <c r="E1198" s="836">
        <v>1.2</v>
      </c>
      <c r="F1198" s="645"/>
      <c r="G1198" s="645"/>
      <c r="H1198" s="645"/>
    </row>
    <row r="1199" spans="1:56">
      <c r="C1199" s="646" t="s">
        <v>2969</v>
      </c>
      <c r="D1199" s="647">
        <v>7.59</v>
      </c>
      <c r="E1199" s="836">
        <v>1.2</v>
      </c>
      <c r="F1199" s="645"/>
      <c r="G1199" s="645"/>
      <c r="H1199" s="645"/>
    </row>
    <row r="1200" spans="1:56">
      <c r="C1200" s="646" t="s">
        <v>584</v>
      </c>
      <c r="D1200" s="647">
        <v>8.7200000000000006</v>
      </c>
      <c r="E1200" s="836">
        <v>1.2</v>
      </c>
      <c r="F1200" s="645"/>
      <c r="G1200" s="645"/>
      <c r="H1200" s="645"/>
    </row>
    <row r="1201" spans="1:56">
      <c r="C1201" s="646" t="s">
        <v>3477</v>
      </c>
      <c r="D1201" s="647">
        <v>8.8000000000000007</v>
      </c>
      <c r="E1201" s="836">
        <v>1.2</v>
      </c>
      <c r="F1201" s="645"/>
      <c r="G1201" s="645"/>
      <c r="H1201" s="645"/>
    </row>
    <row r="1202" spans="1:56">
      <c r="C1202" s="1512" t="s">
        <v>351</v>
      </c>
      <c r="D1202" s="647">
        <v>8.5</v>
      </c>
      <c r="E1202" s="836">
        <v>1.2</v>
      </c>
      <c r="F1202" s="645"/>
      <c r="G1202" s="645"/>
      <c r="H1202" s="645"/>
    </row>
    <row r="1203" spans="1:56">
      <c r="C1203" s="1512"/>
      <c r="D1203" s="647">
        <v>7.6</v>
      </c>
      <c r="E1203" s="836">
        <v>1.5</v>
      </c>
      <c r="F1203" s="645"/>
      <c r="G1203" s="645"/>
      <c r="H1203" s="645"/>
    </row>
    <row r="1204" spans="1:56">
      <c r="C1204" s="1512" t="s">
        <v>115</v>
      </c>
      <c r="D1204" s="647">
        <v>9.4700000000000006</v>
      </c>
      <c r="E1204" s="836">
        <v>1.64</v>
      </c>
      <c r="F1204" s="645"/>
      <c r="G1204" s="644">
        <f>37727275/10000</f>
        <v>3772.7275</v>
      </c>
      <c r="H1204" s="643">
        <f>332000020/100000000</f>
        <v>3.3200002</v>
      </c>
    </row>
    <row r="1205" spans="1:56">
      <c r="C1205" s="1512"/>
      <c r="D1205" s="647">
        <v>8.8000000000000007</v>
      </c>
      <c r="E1205" s="836">
        <v>6.77</v>
      </c>
      <c r="F1205" s="645"/>
      <c r="G1205" s="645"/>
      <c r="H1205" s="645"/>
    </row>
    <row r="1206" spans="1:56">
      <c r="C1206" s="1512"/>
      <c r="D1206" s="647">
        <v>8.2799999999999994</v>
      </c>
      <c r="E1206" s="836">
        <v>9.8800000000000008</v>
      </c>
      <c r="F1206" s="645"/>
      <c r="G1206" s="645"/>
      <c r="H1206" s="645"/>
    </row>
    <row r="1207" spans="1:56">
      <c r="C1207" s="1512" t="s">
        <v>136</v>
      </c>
      <c r="D1207" s="647">
        <v>9.3000000000000007</v>
      </c>
      <c r="E1207" s="836">
        <v>1.2</v>
      </c>
      <c r="F1207" s="645"/>
      <c r="G1207" s="644">
        <f>17613636/10000</f>
        <v>1761.3635999999999</v>
      </c>
      <c r="H1207" s="643">
        <f>154999996.8/100000000</f>
        <v>1.5499999680000001</v>
      </c>
    </row>
    <row r="1208" spans="1:56">
      <c r="C1208" s="1512"/>
      <c r="D1208" s="647">
        <v>9.06</v>
      </c>
      <c r="E1208" s="836">
        <v>1.5</v>
      </c>
      <c r="F1208" s="645"/>
      <c r="G1208" s="645"/>
      <c r="H1208" s="645"/>
    </row>
    <row r="1209" spans="1:56">
      <c r="C1209" s="1512"/>
      <c r="D1209" s="647">
        <v>9</v>
      </c>
      <c r="E1209" s="836">
        <v>1.55</v>
      </c>
      <c r="F1209" s="645"/>
      <c r="G1209" s="645"/>
      <c r="H1209" s="645"/>
    </row>
    <row r="1210" spans="1:56">
      <c r="C1210" s="646" t="s">
        <v>285</v>
      </c>
      <c r="D1210" s="647">
        <v>10</v>
      </c>
      <c r="E1210" s="836">
        <v>1.2</v>
      </c>
      <c r="F1210" s="645"/>
      <c r="G1210" s="644">
        <f>13636363/10000</f>
        <v>1363.6362999999999</v>
      </c>
      <c r="H1210" s="643">
        <f>119999994.4/100000000</f>
        <v>1.199999944</v>
      </c>
    </row>
    <row r="1211" spans="1:56">
      <c r="C1211" s="646" t="s">
        <v>147</v>
      </c>
      <c r="D1211" s="647">
        <v>8.68</v>
      </c>
      <c r="E1211" s="836">
        <v>2.02</v>
      </c>
      <c r="F1211" s="645"/>
      <c r="G1211" s="645"/>
      <c r="H1211" s="645"/>
    </row>
    <row r="1212" spans="1:56">
      <c r="C1212" s="646" t="s">
        <v>138</v>
      </c>
      <c r="D1212" s="647">
        <v>8.7100000000000009</v>
      </c>
      <c r="E1212" s="836">
        <v>1.6</v>
      </c>
      <c r="F1212" s="645"/>
      <c r="G1212" s="645"/>
      <c r="H1212" s="645"/>
    </row>
    <row r="1214" spans="1:56" s="663" customFormat="1">
      <c r="A1214" s="663" t="s">
        <v>2861</v>
      </c>
      <c r="B1214" s="665" t="s">
        <v>2036</v>
      </c>
      <c r="C1214" s="667" t="s">
        <v>126</v>
      </c>
      <c r="D1214" s="667" t="s">
        <v>1583</v>
      </c>
      <c r="E1214" s="667" t="s">
        <v>4</v>
      </c>
      <c r="F1214" s="667" t="s">
        <v>2860</v>
      </c>
      <c r="G1214" s="667" t="s">
        <v>2859</v>
      </c>
      <c r="H1214" s="667" t="s">
        <v>2858</v>
      </c>
      <c r="I1214" s="667" t="s">
        <v>751</v>
      </c>
      <c r="J1214" s="665" t="s">
        <v>274</v>
      </c>
      <c r="K1214" s="665" t="s">
        <v>273</v>
      </c>
      <c r="L1214" s="665" t="s">
        <v>116</v>
      </c>
      <c r="M1214" s="665" t="s">
        <v>110</v>
      </c>
      <c r="N1214" s="665" t="s">
        <v>276</v>
      </c>
      <c r="O1214" s="667" t="s">
        <v>1311</v>
      </c>
      <c r="P1214" s="665" t="s">
        <v>275</v>
      </c>
      <c r="Q1214" s="665" t="s">
        <v>111</v>
      </c>
      <c r="R1214" s="665" t="s">
        <v>2857</v>
      </c>
      <c r="S1214" s="665" t="s">
        <v>747</v>
      </c>
      <c r="T1214" s="667" t="s">
        <v>12</v>
      </c>
      <c r="U1214" s="666" t="s">
        <v>948</v>
      </c>
      <c r="V1214" s="665" t="s">
        <v>129</v>
      </c>
      <c r="W1214" s="665" t="s">
        <v>220</v>
      </c>
      <c r="X1214" s="665" t="s">
        <v>749</v>
      </c>
      <c r="Y1214" s="665" t="s">
        <v>750</v>
      </c>
      <c r="Z1214" s="665" t="s">
        <v>748</v>
      </c>
      <c r="BB1214" s="664"/>
      <c r="BD1214" s="664"/>
    </row>
    <row r="1215" spans="1:56">
      <c r="A1215" s="642" t="s">
        <v>2078</v>
      </c>
      <c r="B1215" s="1436">
        <v>110</v>
      </c>
      <c r="C1215" s="1437" t="s">
        <v>2570</v>
      </c>
      <c r="D1215" s="662" t="s">
        <v>2569</v>
      </c>
      <c r="E1215" s="662" t="s">
        <v>2568</v>
      </c>
      <c r="F1215" s="661">
        <v>17.96</v>
      </c>
      <c r="G1215" s="660">
        <v>17.96</v>
      </c>
      <c r="H1215" s="659">
        <f>L1215*R1215</f>
        <v>146.61160000000001</v>
      </c>
      <c r="I1215" s="656">
        <f>F1215/H1215</f>
        <v>0.12250053883867307</v>
      </c>
      <c r="J1215" s="658" t="s">
        <v>3063</v>
      </c>
      <c r="K1215" s="645" t="s">
        <v>2174</v>
      </c>
      <c r="L1215" s="645">
        <v>19.190000000000001</v>
      </c>
      <c r="M1215" s="658">
        <v>16.809999999999999</v>
      </c>
      <c r="N1215" s="653">
        <f>M1215/L1215</f>
        <v>0.8759770713913495</v>
      </c>
      <c r="O1215" s="656">
        <v>17.809999999999999</v>
      </c>
      <c r="P1215" s="653">
        <f>O1215/L1215</f>
        <v>0.92808754559666484</v>
      </c>
      <c r="Q1215" s="645">
        <v>4</v>
      </c>
      <c r="R1215" s="645">
        <v>7.64</v>
      </c>
      <c r="S1215" s="645" t="s">
        <v>2567</v>
      </c>
      <c r="T1215" s="654">
        <v>42926</v>
      </c>
      <c r="U1215" s="645">
        <v>13.1</v>
      </c>
      <c r="V1215" s="653">
        <f>((U1215*(1+X1215/10)+Y1215/10)/O1215)</f>
        <v>0.73554183043234145</v>
      </c>
      <c r="W1215" s="645" t="s">
        <v>223</v>
      </c>
      <c r="X1215" s="645">
        <v>0</v>
      </c>
      <c r="Y1215" s="645">
        <v>0</v>
      </c>
      <c r="Z1215" s="652" t="s">
        <v>2411</v>
      </c>
      <c r="BB1215" s="651"/>
      <c r="BD1215" s="650"/>
    </row>
    <row r="1216" spans="1:56">
      <c r="C1216" s="648" t="s">
        <v>112</v>
      </c>
      <c r="D1216" s="648" t="s">
        <v>113</v>
      </c>
      <c r="E1216" s="648" t="s">
        <v>943</v>
      </c>
      <c r="F1216" s="649" t="s">
        <v>411</v>
      </c>
      <c r="G1216" s="649" t="s">
        <v>942</v>
      </c>
      <c r="H1216" s="648" t="s">
        <v>231</v>
      </c>
    </row>
    <row r="1217" spans="1:56">
      <c r="C1217" s="646" t="s">
        <v>278</v>
      </c>
      <c r="D1217" s="647">
        <v>18.27</v>
      </c>
      <c r="E1217" s="643">
        <f>71000/10000</f>
        <v>7.1</v>
      </c>
      <c r="F1217" s="647"/>
      <c r="G1217" s="644">
        <f>39865244/10000</f>
        <v>3986.5243999999998</v>
      </c>
      <c r="H1217" s="643">
        <f>709999995.64/100000000</f>
        <v>7.0999999563999996</v>
      </c>
    </row>
    <row r="1218" spans="1:56">
      <c r="C1218" s="646"/>
      <c r="D1218" s="647">
        <v>17.32</v>
      </c>
      <c r="E1218" s="643">
        <f>71900/10000</f>
        <v>7.19</v>
      </c>
      <c r="F1218" s="647"/>
      <c r="G1218" s="645"/>
      <c r="H1218" s="644"/>
    </row>
    <row r="1219" spans="1:56">
      <c r="C1219" s="646"/>
      <c r="D1219" s="647">
        <v>16.88</v>
      </c>
      <c r="E1219" s="643">
        <f>72000/10000</f>
        <v>7.2</v>
      </c>
      <c r="F1219" s="647"/>
      <c r="G1219" s="645"/>
      <c r="H1219" s="644"/>
    </row>
    <row r="1220" spans="1:56">
      <c r="C1220" s="646" t="s">
        <v>115</v>
      </c>
      <c r="D1220" s="647">
        <v>17.27</v>
      </c>
      <c r="E1220" s="643">
        <f>50900/10000</f>
        <v>5.09</v>
      </c>
      <c r="F1220" s="647"/>
      <c r="G1220" s="645"/>
      <c r="H1220" s="644"/>
    </row>
    <row r="1221" spans="1:56">
      <c r="C1221" s="646"/>
      <c r="D1221" s="647">
        <v>16.88</v>
      </c>
      <c r="E1221" s="643">
        <f>62900/10000</f>
        <v>6.29</v>
      </c>
      <c r="F1221" s="647"/>
      <c r="G1221" s="645"/>
      <c r="H1221" s="644"/>
    </row>
    <row r="1222" spans="1:56">
      <c r="C1222" s="646"/>
      <c r="D1222" s="647">
        <v>16.809999999999999</v>
      </c>
      <c r="E1222" s="643">
        <f>64400/10000</f>
        <v>6.44</v>
      </c>
      <c r="F1222" s="647"/>
      <c r="G1222" s="645"/>
      <c r="H1222" s="644"/>
    </row>
    <row r="1223" spans="1:56">
      <c r="C1223" s="646" t="s">
        <v>225</v>
      </c>
      <c r="D1223" s="647">
        <v>17.809999999999999</v>
      </c>
      <c r="E1223" s="643">
        <f>37000/10000</f>
        <v>3.7</v>
      </c>
      <c r="F1223" s="647"/>
      <c r="G1223" s="644">
        <f>20550253/10000</f>
        <v>2055.0252999999998</v>
      </c>
      <c r="H1223" s="644">
        <f>366000005.93/100000000</f>
        <v>3.6600000593000002</v>
      </c>
    </row>
    <row r="1224" spans="1:56">
      <c r="C1224" s="646"/>
      <c r="D1224" s="647">
        <v>16.82</v>
      </c>
      <c r="E1224" s="643">
        <f>42000/10000</f>
        <v>4.2</v>
      </c>
      <c r="F1224" s="647"/>
      <c r="G1224" s="645"/>
      <c r="H1224" s="644"/>
    </row>
    <row r="1225" spans="1:56">
      <c r="C1225" s="646" t="s">
        <v>136</v>
      </c>
      <c r="D1225" s="647">
        <v>18.010000000000002</v>
      </c>
      <c r="E1225" s="643">
        <f>36000/10000</f>
        <v>3.6</v>
      </c>
      <c r="F1225" s="647"/>
      <c r="G1225" s="645">
        <f>20213363/10000</f>
        <v>2021.3362999999999</v>
      </c>
      <c r="H1225" s="643">
        <f>359999995.03/100000000</f>
        <v>3.5999999502999995</v>
      </c>
    </row>
    <row r="1226" spans="1:56">
      <c r="C1226" s="1512" t="s">
        <v>3062</v>
      </c>
      <c r="D1226" s="745">
        <v>17.899999999999999</v>
      </c>
      <c r="E1226" s="1535">
        <f>36000/10000</f>
        <v>3.6</v>
      </c>
      <c r="F1226" s="745"/>
      <c r="G1226" s="1536">
        <f>20213363/10000</f>
        <v>2021.3362999999999</v>
      </c>
      <c r="H1226" s="1542">
        <f>359999995.03/100000000</f>
        <v>3.5999999502999995</v>
      </c>
    </row>
    <row r="1227" spans="1:56">
      <c r="C1227" s="1512"/>
      <c r="D1227" s="745">
        <v>17.5</v>
      </c>
      <c r="E1227" s="1535"/>
      <c r="F1227" s="745"/>
      <c r="G1227" s="1536"/>
      <c r="H1227" s="1542"/>
    </row>
    <row r="1228" spans="1:56">
      <c r="C1228" s="1512"/>
      <c r="D1228" s="745">
        <v>16.899999999999999</v>
      </c>
      <c r="E1228" s="1535"/>
      <c r="F1228" s="745"/>
      <c r="G1228" s="1536"/>
      <c r="H1228" s="1542"/>
    </row>
    <row r="1230" spans="1:56" s="663" customFormat="1">
      <c r="A1230" s="663" t="s">
        <v>2861</v>
      </c>
      <c r="B1230" s="665" t="s">
        <v>2036</v>
      </c>
      <c r="C1230" s="667" t="s">
        <v>126</v>
      </c>
      <c r="D1230" s="667" t="s">
        <v>1583</v>
      </c>
      <c r="E1230" s="667" t="s">
        <v>4</v>
      </c>
      <c r="F1230" s="667" t="s">
        <v>2860</v>
      </c>
      <c r="G1230" s="667" t="s">
        <v>2859</v>
      </c>
      <c r="H1230" s="667" t="s">
        <v>2858</v>
      </c>
      <c r="I1230" s="667" t="s">
        <v>751</v>
      </c>
      <c r="J1230" s="665" t="s">
        <v>274</v>
      </c>
      <c r="K1230" s="665" t="s">
        <v>273</v>
      </c>
      <c r="L1230" s="665" t="s">
        <v>116</v>
      </c>
      <c r="M1230" s="665" t="s">
        <v>110</v>
      </c>
      <c r="N1230" s="665" t="s">
        <v>276</v>
      </c>
      <c r="O1230" s="667" t="s">
        <v>1311</v>
      </c>
      <c r="P1230" s="665" t="s">
        <v>275</v>
      </c>
      <c r="Q1230" s="665" t="s">
        <v>111</v>
      </c>
      <c r="R1230" s="665" t="s">
        <v>2857</v>
      </c>
      <c r="S1230" s="665" t="s">
        <v>747</v>
      </c>
      <c r="T1230" s="667" t="s">
        <v>12</v>
      </c>
      <c r="U1230" s="666" t="s">
        <v>948</v>
      </c>
      <c r="V1230" s="665" t="s">
        <v>129</v>
      </c>
      <c r="W1230" s="665" t="s">
        <v>220</v>
      </c>
      <c r="X1230" s="665" t="s">
        <v>749</v>
      </c>
      <c r="Y1230" s="665" t="s">
        <v>750</v>
      </c>
      <c r="Z1230" s="665" t="s">
        <v>748</v>
      </c>
      <c r="BB1230" s="664"/>
      <c r="BD1230" s="664"/>
    </row>
    <row r="1231" spans="1:56">
      <c r="A1231" s="642" t="s">
        <v>2078</v>
      </c>
      <c r="B1231" s="1436">
        <v>111</v>
      </c>
      <c r="C1231" s="1471" t="s">
        <v>2566</v>
      </c>
      <c r="D1231" s="722" t="s">
        <v>2565</v>
      </c>
      <c r="E1231" s="722" t="s">
        <v>2564</v>
      </c>
      <c r="F1231" s="721">
        <v>4.5</v>
      </c>
      <c r="G1231" s="656">
        <v>4.5</v>
      </c>
      <c r="H1231" s="656">
        <f>L1231*R1231</f>
        <v>89.207745172000003</v>
      </c>
      <c r="I1231" s="656">
        <f>F1231/H1231</f>
        <v>5.0444050472564048E-2</v>
      </c>
      <c r="J1231" s="658" t="s">
        <v>3061</v>
      </c>
      <c r="K1231" s="720" t="s">
        <v>2563</v>
      </c>
      <c r="L1231" s="645">
        <v>18.2</v>
      </c>
      <c r="M1231" s="658">
        <v>15.17</v>
      </c>
      <c r="N1231" s="653">
        <f>M1231/L1231</f>
        <v>0.83351648351648355</v>
      </c>
      <c r="O1231" s="656">
        <v>16.8</v>
      </c>
      <c r="P1231" s="653">
        <f>O1231/L1231</f>
        <v>0.92307692307692313</v>
      </c>
      <c r="Q1231" s="645">
        <v>5</v>
      </c>
      <c r="R1231" s="653">
        <v>4.9015244600000001</v>
      </c>
      <c r="S1231" s="645" t="s">
        <v>2562</v>
      </c>
      <c r="T1231" s="654">
        <v>42927</v>
      </c>
      <c r="U1231" s="645">
        <v>12.4</v>
      </c>
      <c r="V1231" s="653">
        <f>((U1231*(1+X1231/10)+Y1231/10)/O1231)</f>
        <v>0.74095238095238092</v>
      </c>
      <c r="W1231" s="645" t="s">
        <v>2561</v>
      </c>
      <c r="X1231" s="645">
        <v>0</v>
      </c>
      <c r="Y1231" s="645">
        <v>0.48</v>
      </c>
      <c r="Z1231" s="652" t="s">
        <v>2160</v>
      </c>
      <c r="BB1231" s="651"/>
      <c r="BD1231" s="650"/>
    </row>
    <row r="1232" spans="1:56">
      <c r="C1232" s="648" t="s">
        <v>112</v>
      </c>
      <c r="D1232" s="648" t="s">
        <v>113</v>
      </c>
      <c r="E1232" s="648" t="s">
        <v>943</v>
      </c>
      <c r="F1232" s="649" t="s">
        <v>411</v>
      </c>
      <c r="G1232" s="649" t="s">
        <v>942</v>
      </c>
      <c r="H1232" s="648" t="s">
        <v>231</v>
      </c>
    </row>
    <row r="1233" spans="3:8" ht="16" customHeight="1">
      <c r="C1233" s="646" t="s">
        <v>3476</v>
      </c>
      <c r="D1233" s="647">
        <v>19.010000000000002</v>
      </c>
      <c r="E1233" s="643">
        <v>0.7</v>
      </c>
      <c r="F1233" s="647"/>
      <c r="G1233" s="835">
        <f>4166666/10000</f>
        <v>416.66660000000002</v>
      </c>
      <c r="H1233" s="643">
        <f>69999988.8/100000000</f>
        <v>0.69999988800000001</v>
      </c>
    </row>
    <row r="1234" spans="3:8">
      <c r="C1234" s="646"/>
      <c r="D1234" s="647">
        <v>18.940000000000001</v>
      </c>
      <c r="E1234" s="643">
        <v>0.7</v>
      </c>
      <c r="F1234" s="647"/>
      <c r="G1234" s="645"/>
      <c r="H1234" s="645"/>
    </row>
    <row r="1235" spans="3:8">
      <c r="C1235" s="646"/>
      <c r="D1235" s="647">
        <v>18.12</v>
      </c>
      <c r="E1235" s="643">
        <v>0.7</v>
      </c>
      <c r="F1235" s="647"/>
      <c r="G1235" s="645"/>
      <c r="H1235" s="645"/>
    </row>
    <row r="1236" spans="3:8">
      <c r="C1236" s="646" t="s">
        <v>544</v>
      </c>
      <c r="D1236" s="647">
        <v>16.02</v>
      </c>
      <c r="E1236" s="643">
        <v>0.7</v>
      </c>
      <c r="F1236" s="647"/>
      <c r="G1236" s="645"/>
      <c r="H1236" s="645"/>
    </row>
    <row r="1237" spans="3:8">
      <c r="C1237" s="646"/>
      <c r="D1237" s="647">
        <v>15.52</v>
      </c>
      <c r="E1237" s="643">
        <v>0.71</v>
      </c>
      <c r="F1237" s="647"/>
      <c r="G1237" s="645"/>
      <c r="H1237" s="645"/>
    </row>
    <row r="1238" spans="3:8">
      <c r="C1238" s="646"/>
      <c r="D1238" s="647">
        <v>15.2</v>
      </c>
      <c r="E1238" s="643">
        <v>0.72</v>
      </c>
      <c r="F1238" s="647"/>
      <c r="G1238" s="645"/>
      <c r="H1238" s="645"/>
    </row>
    <row r="1239" spans="3:8">
      <c r="C1239" s="646" t="s">
        <v>8</v>
      </c>
      <c r="D1239" s="647">
        <v>15.17</v>
      </c>
      <c r="E1239" s="643">
        <v>0.7</v>
      </c>
      <c r="F1239" s="647"/>
      <c r="G1239" s="645"/>
      <c r="H1239" s="645"/>
    </row>
    <row r="1240" spans="3:8">
      <c r="C1240" s="646" t="s">
        <v>115</v>
      </c>
      <c r="D1240" s="647">
        <v>17</v>
      </c>
      <c r="E1240" s="643">
        <v>1.1200000000000001</v>
      </c>
      <c r="F1240" s="647"/>
      <c r="G1240" s="644">
        <f>6666666/10000</f>
        <v>666.66660000000002</v>
      </c>
      <c r="H1240" s="643">
        <f>111999988.8/100000000</f>
        <v>1.1199998879999999</v>
      </c>
    </row>
    <row r="1241" spans="3:8">
      <c r="C1241" s="646"/>
      <c r="D1241" s="647">
        <v>16.350000000000001</v>
      </c>
      <c r="E1241" s="643">
        <v>2.7</v>
      </c>
      <c r="F1241" s="647"/>
      <c r="G1241" s="645"/>
      <c r="H1241" s="645"/>
    </row>
    <row r="1242" spans="3:8">
      <c r="C1242" s="646" t="s">
        <v>295</v>
      </c>
      <c r="D1242" s="647">
        <v>17.5</v>
      </c>
      <c r="E1242" s="643">
        <v>0.7</v>
      </c>
      <c r="F1242" s="647"/>
      <c r="G1242" s="644">
        <f>4166666/10000</f>
        <v>416.66660000000002</v>
      </c>
      <c r="H1242" s="643">
        <f>69999988.8/100000000</f>
        <v>0.69999988800000001</v>
      </c>
    </row>
    <row r="1243" spans="3:8">
      <c r="C1243" s="646" t="s">
        <v>136</v>
      </c>
      <c r="D1243" s="647">
        <v>16.8</v>
      </c>
      <c r="E1243" s="643">
        <v>0.8</v>
      </c>
      <c r="F1243" s="647"/>
      <c r="G1243" s="644">
        <f>6666666/10000</f>
        <v>666.66660000000002</v>
      </c>
      <c r="H1243" s="643">
        <f>111999988.8/100000000</f>
        <v>1.1199998879999999</v>
      </c>
    </row>
    <row r="1244" spans="3:8">
      <c r="C1244" s="646"/>
      <c r="D1244" s="647">
        <v>16.02</v>
      </c>
      <c r="E1244" s="643">
        <v>1.05</v>
      </c>
      <c r="F1244" s="647"/>
      <c r="G1244" s="645"/>
      <c r="H1244" s="645"/>
    </row>
    <row r="1245" spans="3:8">
      <c r="C1245" s="646" t="s">
        <v>147</v>
      </c>
      <c r="D1245" s="647">
        <v>15.48</v>
      </c>
      <c r="E1245" s="643">
        <v>0.89</v>
      </c>
      <c r="F1245" s="647"/>
      <c r="G1245" s="645"/>
      <c r="H1245" s="645"/>
    </row>
    <row r="1246" spans="3:8">
      <c r="C1246" s="646"/>
      <c r="D1246" s="647">
        <v>15.3</v>
      </c>
      <c r="E1246" s="643">
        <v>1.07</v>
      </c>
      <c r="F1246" s="647"/>
      <c r="G1246" s="645"/>
      <c r="H1246" s="645"/>
    </row>
    <row r="1247" spans="3:8">
      <c r="C1247" s="646" t="s">
        <v>3475</v>
      </c>
      <c r="D1247" s="646"/>
      <c r="E1247" s="645"/>
      <c r="F1247" s="645"/>
      <c r="G1247" s="644">
        <f>10714285/10000</f>
        <v>1071.4285</v>
      </c>
      <c r="H1247" s="643">
        <f>179999988/100000000</f>
        <v>1.7999998800000001</v>
      </c>
    </row>
    <row r="1249" spans="1:56" s="663" customFormat="1">
      <c r="A1249" s="663" t="s">
        <v>2861</v>
      </c>
      <c r="B1249" s="665" t="s">
        <v>2036</v>
      </c>
      <c r="C1249" s="667" t="s">
        <v>126</v>
      </c>
      <c r="D1249" s="667" t="s">
        <v>1583</v>
      </c>
      <c r="E1249" s="667" t="s">
        <v>4</v>
      </c>
      <c r="F1249" s="667" t="s">
        <v>2860</v>
      </c>
      <c r="G1249" s="667" t="s">
        <v>2859</v>
      </c>
      <c r="H1249" s="667" t="s">
        <v>2858</v>
      </c>
      <c r="I1249" s="667" t="s">
        <v>751</v>
      </c>
      <c r="J1249" s="665" t="s">
        <v>274</v>
      </c>
      <c r="K1249" s="665" t="s">
        <v>273</v>
      </c>
      <c r="L1249" s="665" t="s">
        <v>116</v>
      </c>
      <c r="M1249" s="665" t="s">
        <v>110</v>
      </c>
      <c r="N1249" s="665" t="s">
        <v>276</v>
      </c>
      <c r="O1249" s="667" t="s">
        <v>1311</v>
      </c>
      <c r="P1249" s="665" t="s">
        <v>275</v>
      </c>
      <c r="Q1249" s="665" t="s">
        <v>111</v>
      </c>
      <c r="R1249" s="665" t="s">
        <v>2857</v>
      </c>
      <c r="S1249" s="665" t="s">
        <v>747</v>
      </c>
      <c r="T1249" s="667" t="s">
        <v>12</v>
      </c>
      <c r="U1249" s="666" t="s">
        <v>948</v>
      </c>
      <c r="V1249" s="665" t="s">
        <v>129</v>
      </c>
      <c r="W1249" s="665" t="s">
        <v>220</v>
      </c>
      <c r="X1249" s="665" t="s">
        <v>749</v>
      </c>
      <c r="Y1249" s="665" t="s">
        <v>750</v>
      </c>
      <c r="Z1249" s="665" t="s">
        <v>748</v>
      </c>
      <c r="BB1249" s="664"/>
      <c r="BD1249" s="664"/>
    </row>
    <row r="1250" spans="1:56">
      <c r="A1250" s="642" t="s">
        <v>2078</v>
      </c>
      <c r="B1250" s="1436">
        <v>112</v>
      </c>
      <c r="C1250" s="1437" t="s">
        <v>2560</v>
      </c>
      <c r="D1250" s="662" t="s">
        <v>2559</v>
      </c>
      <c r="E1250" s="662" t="s">
        <v>2558</v>
      </c>
      <c r="F1250" s="661">
        <v>0.39</v>
      </c>
      <c r="G1250" s="660">
        <v>0.39</v>
      </c>
      <c r="H1250" s="659">
        <f>L1250*R1250</f>
        <v>31.387161232000004</v>
      </c>
      <c r="I1250" s="656">
        <f>F1250/H1250</f>
        <v>1.2425462663453143E-2</v>
      </c>
      <c r="J1250" s="658" t="s">
        <v>3060</v>
      </c>
      <c r="K1250" s="645" t="s">
        <v>2445</v>
      </c>
      <c r="L1250" s="645">
        <v>16.100000000000001</v>
      </c>
      <c r="M1250" s="658">
        <v>16.100000000000001</v>
      </c>
      <c r="N1250" s="653">
        <f>M1250/L1250</f>
        <v>1</v>
      </c>
      <c r="O1250" s="656">
        <v>16.239999999999998</v>
      </c>
      <c r="P1250" s="653">
        <f>O1250/L1250</f>
        <v>1.0086956521739128</v>
      </c>
      <c r="Q1250" s="645">
        <v>1</v>
      </c>
      <c r="R1250" s="653">
        <v>1.94951312</v>
      </c>
      <c r="S1250" s="645" t="s">
        <v>2557</v>
      </c>
      <c r="T1250" s="654">
        <v>42563</v>
      </c>
      <c r="U1250" s="645">
        <v>17.03</v>
      </c>
      <c r="V1250" s="653">
        <f>((U1250*(1+X1250/10)+Y1250/10)/O1250)</f>
        <v>1.0486453201970445</v>
      </c>
      <c r="W1250" s="645" t="s">
        <v>223</v>
      </c>
      <c r="X1250" s="645">
        <v>0</v>
      </c>
      <c r="Y1250" s="645">
        <v>0</v>
      </c>
      <c r="Z1250" s="652" t="s">
        <v>2556</v>
      </c>
      <c r="BB1250" s="651"/>
      <c r="BD1250" s="650"/>
    </row>
    <row r="1251" spans="1:56">
      <c r="C1251" s="648" t="s">
        <v>112</v>
      </c>
      <c r="D1251" s="648" t="s">
        <v>113</v>
      </c>
      <c r="E1251" s="648" t="s">
        <v>943</v>
      </c>
      <c r="F1251" s="649" t="s">
        <v>411</v>
      </c>
      <c r="G1251" s="649" t="s">
        <v>942</v>
      </c>
      <c r="H1251" s="648" t="s">
        <v>231</v>
      </c>
    </row>
    <row r="1252" spans="1:56">
      <c r="C1252" s="645" t="s">
        <v>3059</v>
      </c>
      <c r="D1252" s="645"/>
      <c r="E1252" s="645"/>
      <c r="F1252" s="645"/>
      <c r="G1252" s="741">
        <f>2401477/10000</f>
        <v>240.14769999999999</v>
      </c>
      <c r="H1252" s="834">
        <v>0.38999</v>
      </c>
    </row>
    <row r="1254" spans="1:56" s="663" customFormat="1">
      <c r="A1254" s="663" t="s">
        <v>2861</v>
      </c>
      <c r="B1254" s="665" t="s">
        <v>2036</v>
      </c>
      <c r="C1254" s="667" t="s">
        <v>126</v>
      </c>
      <c r="D1254" s="667" t="s">
        <v>1583</v>
      </c>
      <c r="E1254" s="667" t="s">
        <v>4</v>
      </c>
      <c r="F1254" s="667" t="s">
        <v>2860</v>
      </c>
      <c r="G1254" s="667" t="s">
        <v>2859</v>
      </c>
      <c r="H1254" s="667" t="s">
        <v>2858</v>
      </c>
      <c r="I1254" s="667" t="s">
        <v>751</v>
      </c>
      <c r="J1254" s="665" t="s">
        <v>274</v>
      </c>
      <c r="K1254" s="665" t="s">
        <v>273</v>
      </c>
      <c r="L1254" s="665" t="s">
        <v>116</v>
      </c>
      <c r="M1254" s="665" t="s">
        <v>110</v>
      </c>
      <c r="N1254" s="665" t="s">
        <v>276</v>
      </c>
      <c r="O1254" s="667" t="s">
        <v>1311</v>
      </c>
      <c r="P1254" s="665" t="s">
        <v>275</v>
      </c>
      <c r="Q1254" s="665" t="s">
        <v>111</v>
      </c>
      <c r="R1254" s="665" t="s">
        <v>2857</v>
      </c>
      <c r="S1254" s="665" t="s">
        <v>747</v>
      </c>
      <c r="T1254" s="667" t="s">
        <v>12</v>
      </c>
      <c r="U1254" s="666" t="s">
        <v>948</v>
      </c>
      <c r="V1254" s="665" t="s">
        <v>129</v>
      </c>
      <c r="W1254" s="665" t="s">
        <v>220</v>
      </c>
      <c r="X1254" s="665" t="s">
        <v>749</v>
      </c>
      <c r="Y1254" s="665" t="s">
        <v>750</v>
      </c>
      <c r="Z1254" s="665" t="s">
        <v>748</v>
      </c>
      <c r="BB1254" s="664"/>
      <c r="BD1254" s="664"/>
    </row>
    <row r="1255" spans="1:56">
      <c r="A1255" s="642" t="s">
        <v>2078</v>
      </c>
      <c r="B1255" s="1436">
        <v>113</v>
      </c>
      <c r="C1255" s="1437" t="s">
        <v>4215</v>
      </c>
      <c r="D1255" s="662" t="s">
        <v>2554</v>
      </c>
      <c r="E1255" s="662" t="s">
        <v>2553</v>
      </c>
      <c r="F1255" s="661">
        <v>1.73</v>
      </c>
      <c r="G1255" s="660">
        <v>1.73</v>
      </c>
      <c r="H1255" s="659">
        <f>L1255*R1255</f>
        <v>76.1691</v>
      </c>
      <c r="I1255" s="656">
        <f>F1255/H1255</f>
        <v>2.2712622310096877E-2</v>
      </c>
      <c r="J1255" s="658" t="s">
        <v>3058</v>
      </c>
      <c r="K1255" s="645" t="s">
        <v>2552</v>
      </c>
      <c r="L1255" s="645">
        <v>95.45</v>
      </c>
      <c r="M1255" s="658">
        <v>77.86</v>
      </c>
      <c r="N1255" s="653">
        <f>M1255/L1255</f>
        <v>0.8157150340492404</v>
      </c>
      <c r="O1255" s="656">
        <v>95.72</v>
      </c>
      <c r="P1255" s="653">
        <f>O1255/L1255</f>
        <v>1.0028287061288632</v>
      </c>
      <c r="Q1255" s="645">
        <v>1</v>
      </c>
      <c r="R1255" s="645">
        <v>0.79800000000000004</v>
      </c>
      <c r="S1255" s="645" t="s">
        <v>2551</v>
      </c>
      <c r="T1255" s="654">
        <v>42563</v>
      </c>
      <c r="U1255" s="645">
        <v>131.69999999999999</v>
      </c>
      <c r="V1255" s="653">
        <f>((U1255*(1+X1255/10)+Y1255/10)/O1255)</f>
        <v>1.3781863769327203</v>
      </c>
      <c r="W1255" s="645" t="s">
        <v>2550</v>
      </c>
      <c r="X1255" s="645">
        <v>0</v>
      </c>
      <c r="Y1255" s="645">
        <v>2.2000000000000002</v>
      </c>
      <c r="Z1255" s="652" t="s">
        <v>2116</v>
      </c>
      <c r="BB1255" s="651"/>
      <c r="BD1255" s="650"/>
    </row>
    <row r="1256" spans="1:56">
      <c r="C1256" s="648" t="s">
        <v>112</v>
      </c>
      <c r="D1256" s="648" t="s">
        <v>113</v>
      </c>
      <c r="E1256" s="648" t="s">
        <v>943</v>
      </c>
      <c r="F1256" s="649" t="s">
        <v>411</v>
      </c>
      <c r="G1256" s="649" t="s">
        <v>942</v>
      </c>
      <c r="H1256" s="648" t="s">
        <v>231</v>
      </c>
    </row>
    <row r="1257" spans="1:56" ht="28">
      <c r="C1257" s="673" t="s">
        <v>3474</v>
      </c>
      <c r="D1257" s="647">
        <v>84</v>
      </c>
      <c r="E1257" s="643">
        <v>0.34599999999999997</v>
      </c>
      <c r="F1257" s="645"/>
      <c r="G1257" s="645"/>
      <c r="H1257" s="645"/>
    </row>
    <row r="1258" spans="1:56" ht="28">
      <c r="C1258" s="673" t="s">
        <v>3473</v>
      </c>
      <c r="D1258" s="647">
        <v>78.010000000000005</v>
      </c>
      <c r="E1258" s="643">
        <v>0.55000000000000004</v>
      </c>
      <c r="F1258" s="645"/>
      <c r="G1258" s="645"/>
      <c r="H1258" s="645"/>
    </row>
    <row r="1259" spans="1:56">
      <c r="C1259" s="1514" t="s">
        <v>3472</v>
      </c>
      <c r="D1259" s="647">
        <v>88.3</v>
      </c>
      <c r="E1259" s="643">
        <v>0.38</v>
      </c>
      <c r="F1259" s="645"/>
      <c r="G1259" s="645"/>
      <c r="H1259" s="645"/>
    </row>
    <row r="1260" spans="1:56">
      <c r="C1260" s="1514"/>
      <c r="D1260" s="647">
        <v>78</v>
      </c>
      <c r="E1260" s="643">
        <v>1.08</v>
      </c>
      <c r="F1260" s="645"/>
      <c r="G1260" s="645"/>
      <c r="H1260" s="645"/>
    </row>
    <row r="1261" spans="1:56" ht="28">
      <c r="C1261" s="673" t="s">
        <v>3471</v>
      </c>
      <c r="D1261" s="647">
        <v>95.72</v>
      </c>
      <c r="E1261" s="643">
        <v>1.73</v>
      </c>
      <c r="F1261" s="645"/>
      <c r="G1261" s="644">
        <f>1807354/10000</f>
        <v>180.7354</v>
      </c>
      <c r="H1261" s="643">
        <f>172999924.88/100000000</f>
        <v>1.7299992488</v>
      </c>
    </row>
    <row r="1262" spans="1:56" ht="28">
      <c r="C1262" s="673" t="s">
        <v>3470</v>
      </c>
      <c r="D1262" s="647">
        <v>95.71</v>
      </c>
      <c r="E1262" s="643">
        <v>0.34599999999999997</v>
      </c>
      <c r="F1262" s="645"/>
      <c r="G1262" s="645"/>
      <c r="H1262" s="645"/>
    </row>
    <row r="1264" spans="1:56" s="663" customFormat="1">
      <c r="A1264" s="663" t="s">
        <v>2861</v>
      </c>
      <c r="B1264" s="665" t="s">
        <v>2036</v>
      </c>
      <c r="C1264" s="667" t="s">
        <v>126</v>
      </c>
      <c r="D1264" s="667" t="s">
        <v>1583</v>
      </c>
      <c r="E1264" s="667" t="s">
        <v>4</v>
      </c>
      <c r="F1264" s="667" t="s">
        <v>2860</v>
      </c>
      <c r="G1264" s="667" t="s">
        <v>2859</v>
      </c>
      <c r="H1264" s="667" t="s">
        <v>2858</v>
      </c>
      <c r="I1264" s="667" t="s">
        <v>751</v>
      </c>
      <c r="J1264" s="665" t="s">
        <v>274</v>
      </c>
      <c r="K1264" s="665" t="s">
        <v>273</v>
      </c>
      <c r="L1264" s="665" t="s">
        <v>116</v>
      </c>
      <c r="M1264" s="665" t="s">
        <v>110</v>
      </c>
      <c r="N1264" s="665" t="s">
        <v>276</v>
      </c>
      <c r="O1264" s="667" t="s">
        <v>1311</v>
      </c>
      <c r="P1264" s="665" t="s">
        <v>275</v>
      </c>
      <c r="Q1264" s="665" t="s">
        <v>111</v>
      </c>
      <c r="R1264" s="665" t="s">
        <v>2857</v>
      </c>
      <c r="S1264" s="665" t="s">
        <v>747</v>
      </c>
      <c r="T1264" s="667" t="s">
        <v>12</v>
      </c>
      <c r="U1264" s="666" t="s">
        <v>948</v>
      </c>
      <c r="V1264" s="665" t="s">
        <v>129</v>
      </c>
      <c r="W1264" s="665" t="s">
        <v>220</v>
      </c>
      <c r="X1264" s="665" t="s">
        <v>749</v>
      </c>
      <c r="Y1264" s="665" t="s">
        <v>750</v>
      </c>
      <c r="Z1264" s="665" t="s">
        <v>748</v>
      </c>
      <c r="BB1264" s="664"/>
      <c r="BD1264" s="664"/>
    </row>
    <row r="1265" spans="1:56">
      <c r="A1265" s="642" t="s">
        <v>2078</v>
      </c>
      <c r="B1265" s="1436">
        <v>114</v>
      </c>
      <c r="C1265" s="1437" t="s">
        <v>2549</v>
      </c>
      <c r="D1265" s="662" t="s">
        <v>2548</v>
      </c>
      <c r="E1265" s="662" t="s">
        <v>2547</v>
      </c>
      <c r="F1265" s="661">
        <v>11.2</v>
      </c>
      <c r="G1265" s="660">
        <v>11.2</v>
      </c>
      <c r="H1265" s="659">
        <f>L1265*R1265</f>
        <v>124.09558577499999</v>
      </c>
      <c r="I1265" s="656">
        <f>F1265/H1265</f>
        <v>9.0253008840354143E-2</v>
      </c>
      <c r="J1265" s="658" t="s">
        <v>3057</v>
      </c>
      <c r="K1265" s="645" t="s">
        <v>2546</v>
      </c>
      <c r="L1265" s="645">
        <v>24.5</v>
      </c>
      <c r="M1265" s="658">
        <v>22.08</v>
      </c>
      <c r="N1265" s="653">
        <f>M1265/L1265</f>
        <v>0.90122448979591829</v>
      </c>
      <c r="O1265" s="656">
        <v>22.09</v>
      </c>
      <c r="P1265" s="653">
        <f>O1265/L1265</f>
        <v>0.90163265306122453</v>
      </c>
      <c r="Q1265" s="645">
        <v>5</v>
      </c>
      <c r="R1265" s="653">
        <v>5.0651259499999997</v>
      </c>
      <c r="S1265" s="645" t="s">
        <v>2545</v>
      </c>
      <c r="T1265" s="654">
        <v>42934</v>
      </c>
      <c r="U1265" s="645">
        <v>17</v>
      </c>
      <c r="V1265" s="653">
        <f>((U1265*(1+X1265/10)+Y1265/10)/O1265)</f>
        <v>0.77863286555002265</v>
      </c>
      <c r="W1265" s="645" t="s">
        <v>2348</v>
      </c>
      <c r="X1265" s="645">
        <v>0</v>
      </c>
      <c r="Y1265" s="645">
        <v>2</v>
      </c>
      <c r="Z1265" s="652" t="s">
        <v>2192</v>
      </c>
      <c r="BB1265" s="651"/>
      <c r="BD1265" s="650"/>
    </row>
    <row r="1266" spans="1:56">
      <c r="C1266" s="648" t="s">
        <v>112</v>
      </c>
      <c r="D1266" s="648" t="s">
        <v>113</v>
      </c>
      <c r="E1266" s="648" t="s">
        <v>943</v>
      </c>
      <c r="F1266" s="649" t="s">
        <v>411</v>
      </c>
      <c r="G1266" s="649" t="s">
        <v>942</v>
      </c>
      <c r="H1266" s="648" t="s">
        <v>231</v>
      </c>
    </row>
    <row r="1267" spans="1:56" ht="28">
      <c r="C1267" s="646" t="s">
        <v>3056</v>
      </c>
      <c r="D1267" s="647">
        <v>24.8</v>
      </c>
      <c r="E1267" s="643">
        <v>2.2400000000000002</v>
      </c>
      <c r="F1267" s="645"/>
      <c r="G1267" s="644">
        <f>10140334/10000</f>
        <v>1014.0334</v>
      </c>
      <c r="H1267" s="643">
        <f>223999978.06/100000000</f>
        <v>2.2399997805999998</v>
      </c>
    </row>
    <row r="1268" spans="1:56">
      <c r="C1268" s="646" t="s">
        <v>121</v>
      </c>
      <c r="D1268" s="647">
        <v>22.71</v>
      </c>
      <c r="E1268" s="643">
        <v>2.2400000000000002</v>
      </c>
      <c r="F1268" s="645"/>
      <c r="G1268" s="644">
        <f>15572657/10000</f>
        <v>1557.2656999999999</v>
      </c>
      <c r="H1268" s="643">
        <f>343999993.13/100000000</f>
        <v>3.4399999313</v>
      </c>
    </row>
    <row r="1269" spans="1:56">
      <c r="C1269" s="646"/>
      <c r="D1269" s="647">
        <v>22.7</v>
      </c>
      <c r="E1269" s="643">
        <f>34400/10000</f>
        <v>3.44</v>
      </c>
      <c r="F1269" s="645"/>
      <c r="G1269" s="645"/>
      <c r="H1269" s="645"/>
    </row>
    <row r="1270" spans="1:56">
      <c r="C1270" s="646"/>
      <c r="D1270" s="647">
        <v>22.08</v>
      </c>
      <c r="E1270" s="643">
        <f>36500/10000</f>
        <v>3.65</v>
      </c>
      <c r="F1270" s="645"/>
      <c r="G1270" s="645"/>
      <c r="H1270" s="645"/>
    </row>
    <row r="1271" spans="1:56">
      <c r="C1271" s="646" t="s">
        <v>3469</v>
      </c>
      <c r="D1271" s="647">
        <v>22.5</v>
      </c>
      <c r="E1271" s="643">
        <v>2.2799999999999998</v>
      </c>
      <c r="F1271" s="645"/>
      <c r="G1271" s="644">
        <f>11588954/10000</f>
        <v>1158.8954000000001</v>
      </c>
      <c r="H1271" s="643">
        <f>255999993.86/100000000</f>
        <v>2.5599999386000003</v>
      </c>
    </row>
    <row r="1272" spans="1:56">
      <c r="C1272" s="646"/>
      <c r="D1272" s="647">
        <v>22.13</v>
      </c>
      <c r="E1272" s="643">
        <v>2.56</v>
      </c>
      <c r="F1272" s="645"/>
      <c r="G1272" s="645"/>
      <c r="H1272" s="645"/>
    </row>
    <row r="1273" spans="1:56">
      <c r="C1273" s="646"/>
      <c r="D1273" s="647">
        <v>22.08</v>
      </c>
      <c r="E1273" s="643">
        <v>2.82</v>
      </c>
      <c r="F1273" s="645"/>
      <c r="G1273" s="645"/>
      <c r="H1273" s="645"/>
    </row>
    <row r="1274" spans="1:56" ht="28">
      <c r="C1274" s="673" t="s">
        <v>3468</v>
      </c>
      <c r="D1274" s="647">
        <v>22.18</v>
      </c>
      <c r="E1274" s="643">
        <v>2.4</v>
      </c>
      <c r="F1274" s="645"/>
      <c r="G1274" s="644">
        <v>1086</v>
      </c>
      <c r="H1274" s="643">
        <v>2.399</v>
      </c>
    </row>
    <row r="1275" spans="1:56" ht="28">
      <c r="C1275" s="673" t="s">
        <v>3467</v>
      </c>
      <c r="D1275" s="647">
        <v>22.09</v>
      </c>
      <c r="E1275" s="643">
        <v>2.2400000000000002</v>
      </c>
      <c r="F1275" s="645"/>
      <c r="G1275" s="644">
        <f>2535085/10000</f>
        <v>253.5085</v>
      </c>
      <c r="H1275" s="643">
        <f>56000027.65/100000000</f>
        <v>0.56000027649999995</v>
      </c>
    </row>
    <row r="1277" spans="1:56" s="663" customFormat="1">
      <c r="A1277" s="663" t="s">
        <v>2861</v>
      </c>
      <c r="B1277" s="665" t="s">
        <v>2036</v>
      </c>
      <c r="C1277" s="667" t="s">
        <v>126</v>
      </c>
      <c r="D1277" s="667" t="s">
        <v>1583</v>
      </c>
      <c r="E1277" s="667" t="s">
        <v>4</v>
      </c>
      <c r="F1277" s="667" t="s">
        <v>2860</v>
      </c>
      <c r="G1277" s="667" t="s">
        <v>2859</v>
      </c>
      <c r="H1277" s="667" t="s">
        <v>2858</v>
      </c>
      <c r="I1277" s="667" t="s">
        <v>751</v>
      </c>
      <c r="J1277" s="665" t="s">
        <v>274</v>
      </c>
      <c r="K1277" s="665" t="s">
        <v>273</v>
      </c>
      <c r="L1277" s="665" t="s">
        <v>116</v>
      </c>
      <c r="M1277" s="665" t="s">
        <v>110</v>
      </c>
      <c r="N1277" s="665" t="s">
        <v>276</v>
      </c>
      <c r="O1277" s="667" t="s">
        <v>1311</v>
      </c>
      <c r="P1277" s="665" t="s">
        <v>275</v>
      </c>
      <c r="Q1277" s="665" t="s">
        <v>111</v>
      </c>
      <c r="R1277" s="665" t="s">
        <v>2857</v>
      </c>
      <c r="S1277" s="665" t="s">
        <v>747</v>
      </c>
      <c r="T1277" s="667" t="s">
        <v>12</v>
      </c>
      <c r="U1277" s="666" t="s">
        <v>948</v>
      </c>
      <c r="V1277" s="665" t="s">
        <v>129</v>
      </c>
      <c r="W1277" s="665" t="s">
        <v>220</v>
      </c>
      <c r="X1277" s="665" t="s">
        <v>749</v>
      </c>
      <c r="Y1277" s="665" t="s">
        <v>750</v>
      </c>
      <c r="Z1277" s="665" t="s">
        <v>748</v>
      </c>
      <c r="BB1277" s="664"/>
      <c r="BD1277" s="664"/>
    </row>
    <row r="1278" spans="1:56">
      <c r="A1278" s="642" t="s">
        <v>2078</v>
      </c>
      <c r="B1278" s="1436">
        <v>115</v>
      </c>
      <c r="C1278" s="1437" t="s">
        <v>2544</v>
      </c>
      <c r="D1278" s="662" t="s">
        <v>2543</v>
      </c>
      <c r="E1278" s="662" t="s">
        <v>2542</v>
      </c>
      <c r="F1278" s="661">
        <v>33</v>
      </c>
      <c r="G1278" s="660">
        <v>26.5</v>
      </c>
      <c r="H1278" s="659">
        <f>L1278*R1278</f>
        <v>162.3099160854</v>
      </c>
      <c r="I1278" s="656">
        <f>F1278/H1278</f>
        <v>0.20331474992961562</v>
      </c>
      <c r="J1278" s="658" t="s">
        <v>3055</v>
      </c>
      <c r="K1278" s="645" t="s">
        <v>2240</v>
      </c>
      <c r="L1278" s="645">
        <v>24.54</v>
      </c>
      <c r="M1278" s="658">
        <v>20.66</v>
      </c>
      <c r="N1278" s="653">
        <f>M1278/L1278</f>
        <v>0.84189079054604732</v>
      </c>
      <c r="O1278" s="656">
        <v>22.08</v>
      </c>
      <c r="P1278" s="653">
        <f>O1278/L1278</f>
        <v>0.89975550122249381</v>
      </c>
      <c r="Q1278" s="645">
        <v>4</v>
      </c>
      <c r="R1278" s="653">
        <v>6.6140960099999999</v>
      </c>
      <c r="S1278" s="645" t="s">
        <v>2541</v>
      </c>
      <c r="T1278" s="654">
        <v>42934</v>
      </c>
      <c r="U1278" s="645">
        <v>10.33</v>
      </c>
      <c r="V1278" s="653">
        <f>((U1278*(1+X1278/10)+Y1278/10)/O1278)</f>
        <v>0.85062768387681176</v>
      </c>
      <c r="W1278" s="645" t="s">
        <v>2540</v>
      </c>
      <c r="X1278" s="259">
        <v>8</v>
      </c>
      <c r="Y1278" s="259">
        <f>1+0.488107*1.8</f>
        <v>1.8785926000000002</v>
      </c>
      <c r="Z1278" s="652" t="s">
        <v>2122</v>
      </c>
      <c r="BB1278" s="651"/>
      <c r="BD1278" s="650"/>
    </row>
    <row r="1279" spans="1:56">
      <c r="C1279" s="648" t="s">
        <v>112</v>
      </c>
      <c r="D1279" s="648" t="s">
        <v>113</v>
      </c>
      <c r="E1279" s="648" t="s">
        <v>943</v>
      </c>
      <c r="F1279" s="649" t="s">
        <v>411</v>
      </c>
      <c r="G1279" s="649" t="s">
        <v>942</v>
      </c>
      <c r="H1279" s="648" t="s">
        <v>231</v>
      </c>
    </row>
    <row r="1280" spans="1:56" ht="28">
      <c r="C1280" s="646" t="s">
        <v>3054</v>
      </c>
      <c r="D1280" s="647">
        <v>20.96</v>
      </c>
      <c r="E1280" s="643">
        <f>524000000/100000000</f>
        <v>5.24</v>
      </c>
      <c r="F1280" s="645"/>
      <c r="G1280" s="644">
        <f>25108695/10000</f>
        <v>2510.8694999999998</v>
      </c>
      <c r="H1280" s="643">
        <f>554399985.6/100000000</f>
        <v>5.5439998560000001</v>
      </c>
    </row>
    <row r="1281" spans="1:56" ht="28">
      <c r="C1281" s="646" t="s">
        <v>3053</v>
      </c>
      <c r="D1281" s="647">
        <v>22.83</v>
      </c>
      <c r="E1281" s="643">
        <f>547920000/100000000</f>
        <v>5.4791999999999996</v>
      </c>
      <c r="F1281" s="645"/>
      <c r="G1281" s="644">
        <f>24815217/10000</f>
        <v>2481.5216999999998</v>
      </c>
      <c r="H1281" s="643">
        <f>547919991.36/100000000</f>
        <v>5.4791999136000005</v>
      </c>
    </row>
    <row r="1282" spans="1:56">
      <c r="C1282" s="679"/>
      <c r="D1282" s="647">
        <v>22.08</v>
      </c>
      <c r="E1282" s="643">
        <f>595276800/100000000</f>
        <v>5.9527679999999998</v>
      </c>
      <c r="F1282" s="645"/>
      <c r="G1282" s="645"/>
      <c r="H1282" s="645"/>
    </row>
    <row r="1283" spans="1:56" ht="28">
      <c r="C1283" s="646" t="s">
        <v>3052</v>
      </c>
      <c r="D1283" s="647">
        <v>22.6</v>
      </c>
      <c r="E1283" s="643">
        <f>542400000/100000000</f>
        <v>5.4240000000000004</v>
      </c>
      <c r="F1283" s="645"/>
      <c r="G1283" s="644">
        <f>24565217/10000</f>
        <v>2456.5216999999998</v>
      </c>
      <c r="H1283" s="643">
        <f>542399991.36/100000000</f>
        <v>5.4239999136000003</v>
      </c>
    </row>
    <row r="1284" spans="1:56">
      <c r="C1284" s="679"/>
      <c r="D1284" s="647">
        <v>21.11</v>
      </c>
      <c r="E1284" s="643">
        <f>1013280000/100000000</f>
        <v>10.1328</v>
      </c>
      <c r="F1284" s="645"/>
      <c r="G1284" s="645"/>
      <c r="H1284" s="645"/>
    </row>
    <row r="1285" spans="1:56">
      <c r="C1285" s="646" t="s">
        <v>3051</v>
      </c>
      <c r="D1285" s="647">
        <v>22</v>
      </c>
      <c r="E1285" s="643">
        <f>528000000/100000000</f>
        <v>5.28</v>
      </c>
      <c r="F1285" s="645"/>
      <c r="G1285" s="645"/>
      <c r="H1285" s="645"/>
    </row>
    <row r="1286" spans="1:56">
      <c r="C1286" s="646"/>
      <c r="D1286" s="647">
        <v>21.15</v>
      </c>
      <c r="E1286" s="643">
        <f>507600000/100000000</f>
        <v>5.0759999999999996</v>
      </c>
      <c r="F1286" s="645"/>
      <c r="G1286" s="645"/>
      <c r="H1286" s="645"/>
    </row>
    <row r="1287" spans="1:56">
      <c r="C1287" s="646"/>
      <c r="D1287" s="647">
        <v>20.8</v>
      </c>
      <c r="E1287" s="643">
        <f>499200000/100000000</f>
        <v>4.992</v>
      </c>
      <c r="F1287" s="645"/>
      <c r="G1287" s="645"/>
      <c r="H1287" s="645"/>
    </row>
    <row r="1288" spans="1:56">
      <c r="C1288" s="646" t="s">
        <v>115</v>
      </c>
      <c r="D1288" s="647">
        <v>23</v>
      </c>
      <c r="E1288" s="643">
        <f>570860000/100000000</f>
        <v>5.7085999999999997</v>
      </c>
      <c r="F1288" s="645"/>
      <c r="G1288" s="644">
        <f>45510871/10000</f>
        <v>4551.0870999999997</v>
      </c>
      <c r="H1288" s="643">
        <f>1004880031.68/100000000</f>
        <v>10.0488003168</v>
      </c>
    </row>
    <row r="1289" spans="1:56">
      <c r="C1289" s="646"/>
      <c r="D1289" s="647">
        <v>22.7</v>
      </c>
      <c r="E1289" s="643">
        <f>720498000/100000000</f>
        <v>7.2049799999999999</v>
      </c>
      <c r="F1289" s="645"/>
      <c r="G1289" s="645"/>
      <c r="H1289" s="645"/>
    </row>
    <row r="1290" spans="1:56">
      <c r="C1290" s="646"/>
      <c r="D1290" s="647">
        <v>22.08</v>
      </c>
      <c r="E1290" s="643">
        <f>1161849600/100000000</f>
        <v>11.618496</v>
      </c>
      <c r="F1290" s="645"/>
      <c r="G1290" s="645"/>
      <c r="H1290" s="645"/>
    </row>
    <row r="1291" spans="1:56" ht="28">
      <c r="C1291" s="646" t="s">
        <v>3050</v>
      </c>
      <c r="D1291" s="647">
        <v>23.1</v>
      </c>
      <c r="E1291" s="643">
        <f>554400000/100000000</f>
        <v>5.5439999999999996</v>
      </c>
      <c r="F1291" s="645"/>
      <c r="G1291" s="645"/>
      <c r="H1291" s="645"/>
    </row>
    <row r="1292" spans="1:56" ht="28">
      <c r="C1292" s="646" t="s">
        <v>3049</v>
      </c>
      <c r="D1292" s="647">
        <v>22</v>
      </c>
      <c r="E1292" s="643">
        <f>1056000000/100000000</f>
        <v>10.56</v>
      </c>
      <c r="F1292" s="645"/>
      <c r="G1292" s="645"/>
      <c r="H1292" s="645"/>
    </row>
    <row r="1294" spans="1:56" s="663" customFormat="1">
      <c r="A1294" s="663" t="s">
        <v>2861</v>
      </c>
      <c r="B1294" s="665" t="s">
        <v>2036</v>
      </c>
      <c r="C1294" s="667" t="s">
        <v>126</v>
      </c>
      <c r="D1294" s="667" t="s">
        <v>1583</v>
      </c>
      <c r="E1294" s="667" t="s">
        <v>4</v>
      </c>
      <c r="F1294" s="667" t="s">
        <v>2860</v>
      </c>
      <c r="G1294" s="667" t="s">
        <v>2859</v>
      </c>
      <c r="H1294" s="667" t="s">
        <v>2858</v>
      </c>
      <c r="I1294" s="667" t="s">
        <v>751</v>
      </c>
      <c r="J1294" s="665" t="s">
        <v>274</v>
      </c>
      <c r="K1294" s="665" t="s">
        <v>273</v>
      </c>
      <c r="L1294" s="665" t="s">
        <v>116</v>
      </c>
      <c r="M1294" s="665" t="s">
        <v>110</v>
      </c>
      <c r="N1294" s="665" t="s">
        <v>276</v>
      </c>
      <c r="O1294" s="667" t="s">
        <v>1311</v>
      </c>
      <c r="P1294" s="665" t="s">
        <v>275</v>
      </c>
      <c r="Q1294" s="665" t="s">
        <v>111</v>
      </c>
      <c r="R1294" s="665" t="s">
        <v>2857</v>
      </c>
      <c r="S1294" s="665" t="s">
        <v>747</v>
      </c>
      <c r="T1294" s="667" t="s">
        <v>12</v>
      </c>
      <c r="U1294" s="666" t="s">
        <v>948</v>
      </c>
      <c r="V1294" s="665" t="s">
        <v>129</v>
      </c>
      <c r="W1294" s="665" t="s">
        <v>220</v>
      </c>
      <c r="X1294" s="665" t="s">
        <v>749</v>
      </c>
      <c r="Y1294" s="665" t="s">
        <v>750</v>
      </c>
      <c r="Z1294" s="665" t="s">
        <v>748</v>
      </c>
      <c r="BB1294" s="664"/>
      <c r="BD1294" s="664"/>
    </row>
    <row r="1295" spans="1:56">
      <c r="A1295" s="642" t="s">
        <v>2078</v>
      </c>
      <c r="B1295" s="1436">
        <v>116</v>
      </c>
      <c r="C1295" s="1437" t="s">
        <v>2539</v>
      </c>
      <c r="D1295" s="662" t="s">
        <v>2538</v>
      </c>
      <c r="E1295" s="662" t="s">
        <v>2537</v>
      </c>
      <c r="F1295" s="661">
        <v>32</v>
      </c>
      <c r="G1295" s="660">
        <v>27.38</v>
      </c>
      <c r="H1295" s="659">
        <f>L1295*R1295</f>
        <v>196.1048330319</v>
      </c>
      <c r="I1295" s="656">
        <f>F1295/H1295</f>
        <v>0.16317802832934067</v>
      </c>
      <c r="J1295" s="658" t="s">
        <v>3047</v>
      </c>
      <c r="K1295" s="645" t="s">
        <v>2147</v>
      </c>
      <c r="L1295" s="645">
        <v>15.97</v>
      </c>
      <c r="M1295" s="658">
        <v>15.36</v>
      </c>
      <c r="N1295" s="653">
        <f>M1295/L1295</f>
        <v>0.96180338134001242</v>
      </c>
      <c r="O1295" s="656">
        <v>15.36</v>
      </c>
      <c r="P1295" s="653">
        <f>O1295/L1295</f>
        <v>0.96180338134001242</v>
      </c>
      <c r="Q1295" s="645">
        <v>4</v>
      </c>
      <c r="R1295" s="653">
        <v>12.27957627</v>
      </c>
      <c r="S1295" s="645" t="s">
        <v>2536</v>
      </c>
      <c r="T1295" s="654">
        <v>42933</v>
      </c>
      <c r="U1295" s="645">
        <v>14.96</v>
      </c>
      <c r="V1295" s="653">
        <f>((U1295*(1+X1295/10)+Y1295/10)/O1295)</f>
        <v>0.97395833333333337</v>
      </c>
      <c r="W1295" s="645" t="s">
        <v>223</v>
      </c>
      <c r="X1295" s="645">
        <v>0</v>
      </c>
      <c r="Y1295" s="645">
        <v>0</v>
      </c>
      <c r="Z1295" s="652" t="s">
        <v>2233</v>
      </c>
      <c r="BB1295" s="651"/>
      <c r="BD1295" s="650"/>
    </row>
    <row r="1296" spans="1:56">
      <c r="C1296" s="648" t="s">
        <v>112</v>
      </c>
      <c r="D1296" s="648" t="s">
        <v>113</v>
      </c>
      <c r="E1296" s="648" t="s">
        <v>943</v>
      </c>
      <c r="F1296" s="649" t="s">
        <v>411</v>
      </c>
      <c r="G1296" s="649" t="s">
        <v>942</v>
      </c>
      <c r="H1296" s="648" t="s">
        <v>231</v>
      </c>
    </row>
    <row r="1297" spans="1:56">
      <c r="C1297" s="646" t="s">
        <v>148</v>
      </c>
      <c r="D1297" s="647">
        <v>15.36</v>
      </c>
      <c r="E1297" s="643">
        <f>66000/10000</f>
        <v>6.6</v>
      </c>
      <c r="F1297" s="647"/>
      <c r="G1297" s="644">
        <f>42968700/10000</f>
        <v>4296.87</v>
      </c>
      <c r="H1297" s="643">
        <f>659999232/100000000</f>
        <v>6.5999923200000001</v>
      </c>
    </row>
    <row r="1298" spans="1:56">
      <c r="C1298" s="646" t="s">
        <v>3466</v>
      </c>
      <c r="D1298" s="647">
        <v>15.45</v>
      </c>
      <c r="E1298" s="643">
        <f>60500/10000</f>
        <v>6.05</v>
      </c>
      <c r="F1298" s="647"/>
      <c r="G1298" s="644">
        <f>41666600/10000</f>
        <v>4166.66</v>
      </c>
      <c r="H1298" s="643">
        <f>639998976/100000000</f>
        <v>6.3999897600000004</v>
      </c>
    </row>
    <row r="1299" spans="1:56">
      <c r="C1299" s="646"/>
      <c r="D1299" s="647">
        <v>15.38</v>
      </c>
      <c r="E1299" s="643">
        <f>62600/10000</f>
        <v>6.26</v>
      </c>
      <c r="F1299" s="647"/>
      <c r="G1299" s="645"/>
      <c r="H1299" s="712"/>
    </row>
    <row r="1300" spans="1:56">
      <c r="C1300" s="646"/>
      <c r="D1300" s="647">
        <v>15.36</v>
      </c>
      <c r="E1300" s="643">
        <f>64000/10000</f>
        <v>6.4</v>
      </c>
      <c r="F1300" s="647"/>
      <c r="G1300" s="645"/>
      <c r="H1300" s="712"/>
    </row>
    <row r="1301" spans="1:56">
      <c r="C1301" s="646" t="s">
        <v>300</v>
      </c>
      <c r="D1301" s="647">
        <v>15.45</v>
      </c>
      <c r="E1301" s="643">
        <f>88000/10000</f>
        <v>8.8000000000000007</v>
      </c>
      <c r="F1301" s="647"/>
      <c r="G1301" s="644">
        <f>58593700/10000</f>
        <v>5859.37</v>
      </c>
      <c r="H1301" s="643">
        <f>899999232/100000000</f>
        <v>8.9999923200000005</v>
      </c>
    </row>
    <row r="1302" spans="1:56">
      <c r="C1302" s="646"/>
      <c r="D1302" s="647">
        <v>15.4</v>
      </c>
      <c r="E1302" s="643">
        <f>89000/10000</f>
        <v>8.9</v>
      </c>
      <c r="F1302" s="647"/>
      <c r="G1302" s="645"/>
      <c r="H1302" s="712"/>
    </row>
    <row r="1303" spans="1:56">
      <c r="C1303" s="646"/>
      <c r="D1303" s="647">
        <v>15.36</v>
      </c>
      <c r="E1303" s="643">
        <f>90000/10000</f>
        <v>9</v>
      </c>
      <c r="F1303" s="647"/>
      <c r="G1303" s="645"/>
      <c r="H1303" s="712"/>
    </row>
    <row r="1304" spans="1:56">
      <c r="C1304" s="646" t="s">
        <v>121</v>
      </c>
      <c r="D1304" s="647">
        <v>15.45</v>
      </c>
      <c r="E1304" s="643">
        <f>53300/10000</f>
        <v>5.33</v>
      </c>
      <c r="F1304" s="647"/>
      <c r="G1304" s="644">
        <f>35026000/10000</f>
        <v>3502.6</v>
      </c>
      <c r="H1304" s="643">
        <f>537999360/100000000</f>
        <v>5.3799935999999997</v>
      </c>
    </row>
    <row r="1305" spans="1:56">
      <c r="C1305" s="646"/>
      <c r="D1305" s="647">
        <v>15.42</v>
      </c>
      <c r="E1305" s="643">
        <f>53500/10000</f>
        <v>5.35</v>
      </c>
      <c r="F1305" s="647"/>
      <c r="G1305" s="645"/>
      <c r="H1305" s="644"/>
    </row>
    <row r="1306" spans="1:56">
      <c r="C1306" s="646"/>
      <c r="D1306" s="647">
        <v>15.38</v>
      </c>
      <c r="E1306" s="643">
        <f>53800/10000</f>
        <v>5.38</v>
      </c>
      <c r="F1306" s="647"/>
      <c r="G1306" s="645"/>
      <c r="H1306" s="644"/>
    </row>
    <row r="1308" spans="1:56" s="663" customFormat="1">
      <c r="A1308" s="663" t="s">
        <v>2861</v>
      </c>
      <c r="B1308" s="665" t="s">
        <v>2036</v>
      </c>
      <c r="C1308" s="667" t="s">
        <v>126</v>
      </c>
      <c r="D1308" s="667" t="s">
        <v>1583</v>
      </c>
      <c r="E1308" s="667" t="s">
        <v>4</v>
      </c>
      <c r="F1308" s="667" t="s">
        <v>2860</v>
      </c>
      <c r="G1308" s="667" t="s">
        <v>2859</v>
      </c>
      <c r="H1308" s="667" t="s">
        <v>2858</v>
      </c>
      <c r="I1308" s="667" t="s">
        <v>751</v>
      </c>
      <c r="J1308" s="665" t="s">
        <v>274</v>
      </c>
      <c r="K1308" s="665" t="s">
        <v>273</v>
      </c>
      <c r="L1308" s="665" t="s">
        <v>116</v>
      </c>
      <c r="M1308" s="665" t="s">
        <v>110</v>
      </c>
      <c r="N1308" s="665" t="s">
        <v>276</v>
      </c>
      <c r="O1308" s="667" t="s">
        <v>1311</v>
      </c>
      <c r="P1308" s="665" t="s">
        <v>275</v>
      </c>
      <c r="Q1308" s="665" t="s">
        <v>111</v>
      </c>
      <c r="R1308" s="665" t="s">
        <v>2857</v>
      </c>
      <c r="S1308" s="665" t="s">
        <v>747</v>
      </c>
      <c r="T1308" s="667" t="s">
        <v>12</v>
      </c>
      <c r="U1308" s="666" t="s">
        <v>948</v>
      </c>
      <c r="V1308" s="665" t="s">
        <v>129</v>
      </c>
      <c r="W1308" s="665" t="s">
        <v>220</v>
      </c>
      <c r="X1308" s="665" t="s">
        <v>749</v>
      </c>
      <c r="Y1308" s="665" t="s">
        <v>750</v>
      </c>
      <c r="Z1308" s="665" t="s">
        <v>748</v>
      </c>
      <c r="BB1308" s="664"/>
      <c r="BD1308" s="664"/>
    </row>
    <row r="1309" spans="1:56">
      <c r="A1309" s="642" t="s">
        <v>2078</v>
      </c>
      <c r="B1309" s="1436">
        <v>117</v>
      </c>
      <c r="C1309" s="1437" t="s">
        <v>2535</v>
      </c>
      <c r="D1309" s="662" t="s">
        <v>2534</v>
      </c>
      <c r="E1309" s="662" t="s">
        <v>2533</v>
      </c>
      <c r="F1309" s="661">
        <v>12</v>
      </c>
      <c r="G1309" s="660">
        <v>12</v>
      </c>
      <c r="H1309" s="659">
        <f>L1309*R1309</f>
        <v>93.4919779178</v>
      </c>
      <c r="I1309" s="656">
        <f>F1309/H1309</f>
        <v>0.12835325839988793</v>
      </c>
      <c r="J1309" s="658" t="s">
        <v>3048</v>
      </c>
      <c r="K1309" s="645" t="s">
        <v>2125</v>
      </c>
      <c r="L1309" s="645">
        <v>10.69</v>
      </c>
      <c r="M1309" s="658">
        <v>9</v>
      </c>
      <c r="N1309" s="653">
        <f>M1309/L1309</f>
        <v>0.84190832553788586</v>
      </c>
      <c r="O1309" s="656">
        <v>9.6300000000000008</v>
      </c>
      <c r="P1309" s="653">
        <f>O1309/L1309</f>
        <v>0.90084190832553801</v>
      </c>
      <c r="Q1309" s="645">
        <v>6</v>
      </c>
      <c r="R1309" s="653">
        <v>8.7457416200000004</v>
      </c>
      <c r="S1309" s="645" t="s">
        <v>2532</v>
      </c>
      <c r="T1309" s="654">
        <v>42933</v>
      </c>
      <c r="U1309" s="645">
        <v>8.26</v>
      </c>
      <c r="V1309" s="653">
        <f>((U1309*(1+X1309/10)+Y1309/10)/O1309)</f>
        <v>0.86708203530633432</v>
      </c>
      <c r="W1309" s="645" t="s">
        <v>2363</v>
      </c>
      <c r="X1309" s="645">
        <v>0</v>
      </c>
      <c r="Y1309" s="645">
        <v>0.89999999999999991</v>
      </c>
      <c r="Z1309" s="652" t="s">
        <v>2531</v>
      </c>
      <c r="BB1309" s="651"/>
      <c r="BD1309" s="650"/>
    </row>
    <row r="1310" spans="1:56">
      <c r="C1310" s="648" t="s">
        <v>112</v>
      </c>
      <c r="D1310" s="648" t="s">
        <v>113</v>
      </c>
      <c r="E1310" s="648" t="s">
        <v>943</v>
      </c>
      <c r="F1310" s="649" t="s">
        <v>411</v>
      </c>
      <c r="G1310" s="649" t="s">
        <v>942</v>
      </c>
      <c r="H1310" s="648" t="s">
        <v>231</v>
      </c>
    </row>
    <row r="1311" spans="1:56">
      <c r="C1311" s="1512" t="s">
        <v>3465</v>
      </c>
      <c r="D1311" s="647">
        <v>9.01</v>
      </c>
      <c r="E1311" s="643">
        <f>100000000/100000000</f>
        <v>1</v>
      </c>
      <c r="F1311" s="645"/>
      <c r="G1311" s="645"/>
      <c r="H1311" s="645"/>
    </row>
    <row r="1312" spans="1:56">
      <c r="C1312" s="1512"/>
      <c r="D1312" s="647">
        <v>9</v>
      </c>
      <c r="E1312" s="643">
        <f>100000000/100000000</f>
        <v>1</v>
      </c>
      <c r="F1312" s="645"/>
      <c r="G1312" s="645"/>
      <c r="H1312" s="645"/>
    </row>
    <row r="1313" spans="3:8">
      <c r="C1313" s="1512" t="s">
        <v>3464</v>
      </c>
      <c r="D1313" s="647">
        <v>9.1999999999999993</v>
      </c>
      <c r="E1313" s="643">
        <f>120000000/100000000</f>
        <v>1.2</v>
      </c>
      <c r="F1313" s="645"/>
      <c r="G1313" s="645"/>
      <c r="H1313" s="645"/>
    </row>
    <row r="1314" spans="3:8">
      <c r="C1314" s="1512"/>
      <c r="D1314" s="647">
        <v>9.1300000000000008</v>
      </c>
      <c r="E1314" s="643">
        <f>120000000/100000000</f>
        <v>1.2</v>
      </c>
      <c r="F1314" s="645"/>
      <c r="G1314" s="645"/>
      <c r="H1314" s="645"/>
    </row>
    <row r="1315" spans="3:8">
      <c r="C1315" s="1512"/>
      <c r="D1315" s="647">
        <v>9.06</v>
      </c>
      <c r="E1315" s="643">
        <f>120000000/100000000</f>
        <v>1.2</v>
      </c>
      <c r="F1315" s="645"/>
      <c r="G1315" s="645"/>
      <c r="H1315" s="645"/>
    </row>
    <row r="1316" spans="3:8">
      <c r="C1316" s="646" t="s">
        <v>955</v>
      </c>
      <c r="D1316" s="647">
        <v>10.11</v>
      </c>
      <c r="E1316" s="643">
        <f>100000000/100000000</f>
        <v>1</v>
      </c>
      <c r="F1316" s="645"/>
      <c r="G1316" s="644">
        <v>1038.4214999999999</v>
      </c>
      <c r="H1316" s="643">
        <v>0.99990000000000001</v>
      </c>
    </row>
    <row r="1317" spans="3:8">
      <c r="C1317" s="646" t="s">
        <v>147</v>
      </c>
      <c r="D1317" s="647">
        <v>9.11</v>
      </c>
      <c r="E1317" s="643">
        <f>157000000/100000000</f>
        <v>1.57</v>
      </c>
      <c r="F1317" s="645"/>
      <c r="G1317" s="645"/>
      <c r="H1317" s="645"/>
    </row>
    <row r="1318" spans="3:8">
      <c r="C1318" s="1512" t="s">
        <v>115</v>
      </c>
      <c r="D1318" s="647">
        <v>9.6300000000000008</v>
      </c>
      <c r="E1318" s="643">
        <f>267000000/100000000</f>
        <v>2.67</v>
      </c>
      <c r="F1318" s="645"/>
      <c r="G1318" s="644">
        <f>25441331/10000</f>
        <v>2544.1331</v>
      </c>
      <c r="H1318" s="643">
        <f>245000017.53/100000000</f>
        <v>2.4500001753</v>
      </c>
    </row>
    <row r="1319" spans="3:8">
      <c r="C1319" s="1512"/>
      <c r="D1319" s="647">
        <v>9.27</v>
      </c>
      <c r="E1319" s="643">
        <f>523000000/100000000</f>
        <v>5.23</v>
      </c>
      <c r="F1319" s="645"/>
      <c r="G1319" s="645"/>
      <c r="H1319" s="645"/>
    </row>
    <row r="1320" spans="3:8">
      <c r="C1320" s="1512"/>
      <c r="D1320" s="647">
        <v>9.11</v>
      </c>
      <c r="E1320" s="643">
        <f>590000000/100000000</f>
        <v>5.9</v>
      </c>
      <c r="F1320" s="645"/>
      <c r="G1320" s="645"/>
      <c r="H1320" s="645"/>
    </row>
    <row r="1321" spans="3:8">
      <c r="C1321" s="1512" t="s">
        <v>136</v>
      </c>
      <c r="D1321" s="647">
        <v>9.3000000000000007</v>
      </c>
      <c r="E1321" s="643">
        <f>107000000/100000000</f>
        <v>1.07</v>
      </c>
      <c r="F1321" s="645"/>
      <c r="G1321" s="645"/>
      <c r="H1321" s="645"/>
    </row>
    <row r="1322" spans="3:8">
      <c r="C1322" s="1512"/>
      <c r="D1322" s="647">
        <v>9.1</v>
      </c>
      <c r="E1322" s="643">
        <f>117000000/100000000</f>
        <v>1.17</v>
      </c>
      <c r="F1322" s="645"/>
      <c r="G1322" s="645"/>
      <c r="H1322" s="645"/>
    </row>
    <row r="1323" spans="3:8">
      <c r="C1323" s="673" t="s">
        <v>3463</v>
      </c>
      <c r="D1323" s="647">
        <v>9.64</v>
      </c>
      <c r="E1323" s="643">
        <f>130000000/100000000</f>
        <v>1.3</v>
      </c>
      <c r="F1323" s="645"/>
      <c r="G1323" s="644">
        <v>1349.9480000000001</v>
      </c>
      <c r="H1323" s="643">
        <v>1.2999000000000001</v>
      </c>
    </row>
    <row r="1324" spans="3:8">
      <c r="C1324" s="1512" t="s">
        <v>173</v>
      </c>
      <c r="D1324" s="647">
        <v>9.81</v>
      </c>
      <c r="E1324" s="643">
        <f>125000000/100000000</f>
        <v>1.25</v>
      </c>
      <c r="F1324" s="645"/>
      <c r="G1324" s="644">
        <f>12980269/10000</f>
        <v>1298.0269000000001</v>
      </c>
      <c r="H1324" s="643">
        <f>124999990.47/100000000</f>
        <v>1.2499999046999999</v>
      </c>
    </row>
    <row r="1325" spans="3:8">
      <c r="C1325" s="1512"/>
      <c r="D1325" s="647">
        <v>9.61</v>
      </c>
      <c r="E1325" s="643">
        <f>200000000/100000000</f>
        <v>2</v>
      </c>
      <c r="F1325" s="645"/>
      <c r="G1325" s="645"/>
      <c r="H1325" s="645"/>
    </row>
    <row r="1326" spans="3:8">
      <c r="C1326" s="1512"/>
      <c r="D1326" s="647">
        <v>9.39</v>
      </c>
      <c r="E1326" s="643">
        <f>294000000/100000000</f>
        <v>2.94</v>
      </c>
      <c r="F1326" s="645"/>
      <c r="G1326" s="645"/>
      <c r="H1326" s="645"/>
    </row>
    <row r="1327" spans="3:8">
      <c r="C1327" s="1512" t="s">
        <v>130</v>
      </c>
      <c r="D1327" s="647">
        <v>9.49</v>
      </c>
      <c r="E1327" s="643">
        <f>297000000/100000000</f>
        <v>2.97</v>
      </c>
      <c r="F1327" s="645"/>
      <c r="G1327" s="645"/>
      <c r="H1327" s="645"/>
    </row>
    <row r="1328" spans="3:8">
      <c r="C1328" s="1512"/>
      <c r="D1328" s="647">
        <v>9.4</v>
      </c>
      <c r="E1328" s="643">
        <f>297000000/100000000</f>
        <v>2.97</v>
      </c>
      <c r="F1328" s="645"/>
      <c r="G1328" s="645"/>
      <c r="H1328" s="645"/>
    </row>
    <row r="1329" spans="1:56">
      <c r="C1329" s="1512"/>
      <c r="D1329" s="647">
        <v>9.32</v>
      </c>
      <c r="E1329" s="643">
        <f>297000000/100000000</f>
        <v>2.97</v>
      </c>
      <c r="F1329" s="645"/>
      <c r="G1329" s="645"/>
      <c r="H1329" s="645"/>
    </row>
    <row r="1330" spans="1:56">
      <c r="C1330" s="1512" t="s">
        <v>332</v>
      </c>
      <c r="D1330" s="647">
        <v>9.4499999999999993</v>
      </c>
      <c r="E1330" s="643">
        <f>303000000/100000000</f>
        <v>3.03</v>
      </c>
      <c r="F1330" s="645"/>
      <c r="G1330" s="645"/>
      <c r="H1330" s="645"/>
    </row>
    <row r="1331" spans="1:56">
      <c r="C1331" s="1512"/>
      <c r="D1331" s="647">
        <v>9.39</v>
      </c>
      <c r="E1331" s="643">
        <f>303000000/100000000</f>
        <v>3.03</v>
      </c>
      <c r="F1331" s="645"/>
      <c r="G1331" s="645"/>
      <c r="H1331" s="645"/>
    </row>
    <row r="1332" spans="1:56">
      <c r="C1332" s="1512"/>
      <c r="D1332" s="647">
        <v>9.33</v>
      </c>
      <c r="E1332" s="643">
        <f>303000000/100000000</f>
        <v>3.03</v>
      </c>
      <c r="F1332" s="645"/>
      <c r="G1332" s="645"/>
      <c r="H1332" s="645"/>
    </row>
    <row r="1333" spans="1:56">
      <c r="C1333" s="673" t="s">
        <v>3328</v>
      </c>
      <c r="D1333" s="647">
        <v>9.1300000000000008</v>
      </c>
      <c r="E1333" s="643">
        <f>130000000/100000000</f>
        <v>1.3</v>
      </c>
      <c r="F1333" s="645"/>
      <c r="G1333" s="644">
        <f>24922118/10000</f>
        <v>2492.2118</v>
      </c>
      <c r="H1333" s="643">
        <f>239999996.34/100000000</f>
        <v>2.3999999634</v>
      </c>
    </row>
    <row r="1334" spans="1:56">
      <c r="C1334" s="1512" t="s">
        <v>121</v>
      </c>
      <c r="D1334" s="647">
        <v>9.69</v>
      </c>
      <c r="E1334" s="643">
        <f>240000000/100000000</f>
        <v>2.4</v>
      </c>
      <c r="F1334" s="645"/>
      <c r="G1334" s="645"/>
      <c r="H1334" s="645"/>
    </row>
    <row r="1335" spans="1:56">
      <c r="C1335" s="1512"/>
      <c r="D1335" s="647">
        <v>9.51</v>
      </c>
      <c r="E1335" s="643">
        <f>240000000/100000000</f>
        <v>2.4</v>
      </c>
      <c r="F1335" s="645"/>
      <c r="G1335" s="645"/>
      <c r="H1335" s="645"/>
    </row>
    <row r="1336" spans="1:56">
      <c r="C1336" s="1512"/>
      <c r="D1336" s="647">
        <v>9.41</v>
      </c>
      <c r="E1336" s="643">
        <f>240000000/100000000</f>
        <v>2.4</v>
      </c>
      <c r="F1336" s="645"/>
      <c r="G1336" s="645"/>
      <c r="H1336" s="645"/>
    </row>
    <row r="1337" spans="1:56">
      <c r="C1337" s="646" t="s">
        <v>146</v>
      </c>
      <c r="D1337" s="647">
        <v>9.39</v>
      </c>
      <c r="E1337" s="643">
        <f>124000000/100000000</f>
        <v>1.24</v>
      </c>
      <c r="F1337" s="645"/>
      <c r="G1337" s="645"/>
      <c r="H1337" s="645"/>
    </row>
    <row r="1338" spans="1:56">
      <c r="C1338" s="646" t="s">
        <v>3462</v>
      </c>
      <c r="D1338" s="645"/>
      <c r="E1338" s="645"/>
      <c r="F1338" s="645"/>
      <c r="G1338" s="644">
        <f>37383178/10000</f>
        <v>3738.3177999999998</v>
      </c>
      <c r="H1338" s="643">
        <f>360000004.14/100000000</f>
        <v>3.6000000414</v>
      </c>
    </row>
    <row r="1340" spans="1:56" s="663" customFormat="1">
      <c r="A1340" s="663" t="s">
        <v>2861</v>
      </c>
      <c r="B1340" s="665" t="s">
        <v>2036</v>
      </c>
      <c r="C1340" s="667" t="s">
        <v>126</v>
      </c>
      <c r="D1340" s="667" t="s">
        <v>1583</v>
      </c>
      <c r="E1340" s="667" t="s">
        <v>4</v>
      </c>
      <c r="F1340" s="667" t="s">
        <v>2860</v>
      </c>
      <c r="G1340" s="667" t="s">
        <v>2859</v>
      </c>
      <c r="H1340" s="667" t="s">
        <v>2858</v>
      </c>
      <c r="I1340" s="667" t="s">
        <v>751</v>
      </c>
      <c r="J1340" s="665" t="s">
        <v>274</v>
      </c>
      <c r="K1340" s="665" t="s">
        <v>273</v>
      </c>
      <c r="L1340" s="665" t="s">
        <v>116</v>
      </c>
      <c r="M1340" s="665" t="s">
        <v>110</v>
      </c>
      <c r="N1340" s="665" t="s">
        <v>276</v>
      </c>
      <c r="O1340" s="667" t="s">
        <v>1311</v>
      </c>
      <c r="P1340" s="665" t="s">
        <v>275</v>
      </c>
      <c r="Q1340" s="665" t="s">
        <v>111</v>
      </c>
      <c r="R1340" s="665" t="s">
        <v>2857</v>
      </c>
      <c r="S1340" s="665" t="s">
        <v>747</v>
      </c>
      <c r="T1340" s="667" t="s">
        <v>12</v>
      </c>
      <c r="U1340" s="666" t="s">
        <v>948</v>
      </c>
      <c r="V1340" s="665" t="s">
        <v>129</v>
      </c>
      <c r="W1340" s="665" t="s">
        <v>220</v>
      </c>
      <c r="X1340" s="665" t="s">
        <v>749</v>
      </c>
      <c r="Y1340" s="665" t="s">
        <v>750</v>
      </c>
      <c r="Z1340" s="665" t="s">
        <v>748</v>
      </c>
      <c r="BB1340" s="664"/>
      <c r="BD1340" s="664"/>
    </row>
    <row r="1341" spans="1:56">
      <c r="A1341" s="642" t="s">
        <v>2078</v>
      </c>
      <c r="B1341" s="1436">
        <v>118</v>
      </c>
      <c r="C1341" s="1437" t="s">
        <v>2530</v>
      </c>
      <c r="D1341" s="662" t="s">
        <v>2529</v>
      </c>
      <c r="E1341" s="662" t="s">
        <v>2528</v>
      </c>
      <c r="F1341" s="661">
        <v>4.5</v>
      </c>
      <c r="G1341" s="660">
        <v>4.5</v>
      </c>
      <c r="H1341" s="659">
        <f>L1341*R1341</f>
        <v>65.780407546000006</v>
      </c>
      <c r="I1341" s="656">
        <f>F1341/H1341</f>
        <v>6.8409427181690324E-2</v>
      </c>
      <c r="J1341" s="658" t="s">
        <v>3047</v>
      </c>
      <c r="K1341" s="720" t="s">
        <v>2527</v>
      </c>
      <c r="L1341" s="645">
        <v>10.55</v>
      </c>
      <c r="M1341" s="658">
        <v>8.07</v>
      </c>
      <c r="N1341" s="653">
        <f>M1341/L1341</f>
        <v>0.76492890995260665</v>
      </c>
      <c r="O1341" s="656">
        <v>8.9</v>
      </c>
      <c r="P1341" s="653">
        <f>O1341/L1341</f>
        <v>0.8436018957345971</v>
      </c>
      <c r="Q1341" s="645">
        <v>5</v>
      </c>
      <c r="R1341" s="653">
        <v>6.2351097199999996</v>
      </c>
      <c r="S1341" s="645" t="s">
        <v>2526</v>
      </c>
      <c r="T1341" s="654">
        <v>42933</v>
      </c>
      <c r="U1341" s="645">
        <v>8.24</v>
      </c>
      <c r="V1341" s="653">
        <f>((U1341*(1+X1341/10)+Y1341/10)/O1341)</f>
        <v>0.92750561797752795</v>
      </c>
      <c r="W1341" s="645" t="s">
        <v>2525</v>
      </c>
      <c r="X1341" s="645">
        <v>0</v>
      </c>
      <c r="Y1341" s="645">
        <v>0.14800000000000002</v>
      </c>
      <c r="Z1341" s="652" t="s">
        <v>2104</v>
      </c>
      <c r="BB1341" s="651"/>
      <c r="BD1341" s="650"/>
    </row>
    <row r="1342" spans="1:56">
      <c r="C1342" s="648" t="s">
        <v>112</v>
      </c>
      <c r="D1342" s="648" t="s">
        <v>113</v>
      </c>
      <c r="E1342" s="648" t="s">
        <v>943</v>
      </c>
      <c r="F1342" s="649" t="s">
        <v>411</v>
      </c>
      <c r="G1342" s="649" t="s">
        <v>942</v>
      </c>
      <c r="H1342" s="648" t="s">
        <v>231</v>
      </c>
    </row>
    <row r="1343" spans="1:56">
      <c r="C1343" s="646" t="s">
        <v>955</v>
      </c>
      <c r="D1343" s="647">
        <v>8.92</v>
      </c>
      <c r="E1343" s="643">
        <v>0.45</v>
      </c>
      <c r="F1343" s="645"/>
      <c r="G1343" s="833">
        <f>5056179/10000</f>
        <v>505.61790000000002</v>
      </c>
      <c r="H1343" s="643">
        <f>44999993.1/100000000</f>
        <v>0.44999993100000002</v>
      </c>
      <c r="J1343" s="705"/>
    </row>
    <row r="1344" spans="1:56">
      <c r="C1344" s="646" t="s">
        <v>300</v>
      </c>
      <c r="D1344" s="647">
        <v>9.5</v>
      </c>
      <c r="E1344" s="643">
        <v>0.45</v>
      </c>
      <c r="F1344" s="645"/>
      <c r="G1344" s="833">
        <f>5056179/10000</f>
        <v>505.61790000000002</v>
      </c>
      <c r="H1344" s="643">
        <f>44999993.1/100000000</f>
        <v>0.44999993100000002</v>
      </c>
      <c r="J1344" s="705"/>
    </row>
    <row r="1345" spans="1:56">
      <c r="C1345" s="646" t="s">
        <v>138</v>
      </c>
      <c r="D1345" s="647">
        <v>8.51</v>
      </c>
      <c r="E1345" s="643">
        <v>0.7</v>
      </c>
      <c r="F1345" s="645"/>
      <c r="G1345" s="834"/>
      <c r="H1345" s="645"/>
    </row>
    <row r="1346" spans="1:56">
      <c r="C1346" s="646" t="s">
        <v>358</v>
      </c>
      <c r="D1346" s="647">
        <v>8.5</v>
      </c>
      <c r="E1346" s="643">
        <v>1.6</v>
      </c>
      <c r="F1346" s="645"/>
      <c r="G1346" s="834"/>
      <c r="H1346" s="645"/>
    </row>
    <row r="1347" spans="1:56">
      <c r="C1347" s="1512" t="s">
        <v>115</v>
      </c>
      <c r="D1347" s="647">
        <v>8.07</v>
      </c>
      <c r="E1347" s="643">
        <v>2.76</v>
      </c>
      <c r="F1347" s="645"/>
      <c r="G1347" s="833">
        <f>23393258/10000</f>
        <v>2339.3258000000001</v>
      </c>
      <c r="H1347" s="643">
        <f>208199996.2/100000000</f>
        <v>2.0819999619999998</v>
      </c>
      <c r="J1347" s="705"/>
    </row>
    <row r="1348" spans="1:56">
      <c r="C1348" s="1512"/>
      <c r="D1348" s="647">
        <v>8.5299999999999994</v>
      </c>
      <c r="E1348" s="643">
        <v>2.58</v>
      </c>
      <c r="F1348" s="645"/>
      <c r="G1348" s="834"/>
      <c r="H1348" s="645"/>
    </row>
    <row r="1349" spans="1:56">
      <c r="C1349" s="1512"/>
      <c r="D1349" s="647">
        <v>9.0299999999999994</v>
      </c>
      <c r="E1349" s="643">
        <v>2.13</v>
      </c>
      <c r="F1349" s="645"/>
      <c r="G1349" s="834"/>
      <c r="H1349" s="645"/>
    </row>
    <row r="1350" spans="1:56" ht="16" customHeight="1">
      <c r="C1350" s="1518" t="s">
        <v>147</v>
      </c>
      <c r="D1350" s="647">
        <v>8.23</v>
      </c>
      <c r="E1350" s="643">
        <v>1.3</v>
      </c>
      <c r="F1350" s="645"/>
      <c r="G1350" s="834"/>
      <c r="H1350" s="645"/>
    </row>
    <row r="1351" spans="1:56">
      <c r="C1351" s="1520"/>
      <c r="D1351" s="647">
        <v>8.66</v>
      </c>
      <c r="E1351" s="643">
        <v>1.1200000000000001</v>
      </c>
      <c r="F1351" s="645"/>
      <c r="G1351" s="833"/>
      <c r="H1351" s="647"/>
    </row>
    <row r="1352" spans="1:56" ht="16" customHeight="1">
      <c r="C1352" s="1518" t="s">
        <v>229</v>
      </c>
      <c r="D1352" s="647">
        <v>9.4600000000000009</v>
      </c>
      <c r="E1352" s="643">
        <v>0.45</v>
      </c>
      <c r="F1352" s="645"/>
      <c r="G1352" s="833">
        <f>5056179/10000</f>
        <v>505.61790000000002</v>
      </c>
      <c r="H1352" s="643">
        <f>44999993.1/100000000</f>
        <v>0.44999993100000002</v>
      </c>
      <c r="J1352" s="705"/>
    </row>
    <row r="1353" spans="1:56">
      <c r="C1353" s="1519"/>
      <c r="D1353" s="647">
        <v>9.89</v>
      </c>
      <c r="E1353" s="643">
        <v>0.45</v>
      </c>
      <c r="F1353" s="645"/>
      <c r="G1353" s="833"/>
      <c r="H1353" s="647"/>
    </row>
    <row r="1354" spans="1:56">
      <c r="C1354" s="1520"/>
      <c r="D1354" s="647">
        <v>10.25</v>
      </c>
      <c r="E1354" s="643">
        <v>0.45</v>
      </c>
      <c r="F1354" s="645"/>
      <c r="G1354" s="833"/>
      <c r="H1354" s="647"/>
    </row>
    <row r="1355" spans="1:56" ht="16" customHeight="1">
      <c r="C1355" s="1518" t="s">
        <v>309</v>
      </c>
      <c r="D1355" s="647">
        <v>8.16</v>
      </c>
      <c r="E1355" s="643">
        <v>2.5</v>
      </c>
      <c r="F1355" s="645"/>
      <c r="G1355" s="833">
        <f>12000000/10000</f>
        <v>1200</v>
      </c>
      <c r="H1355" s="643">
        <f>106800000/100000000</f>
        <v>1.0680000000000001</v>
      </c>
      <c r="J1355" s="705"/>
    </row>
    <row r="1356" spans="1:56">
      <c r="C1356" s="1519"/>
      <c r="D1356" s="647">
        <v>8.7200000000000006</v>
      </c>
      <c r="E1356" s="643">
        <v>2.5</v>
      </c>
      <c r="F1356" s="645"/>
      <c r="G1356" s="647"/>
      <c r="H1356" s="644"/>
    </row>
    <row r="1357" spans="1:56">
      <c r="C1357" s="1520"/>
      <c r="D1357" s="647">
        <v>8.9</v>
      </c>
      <c r="E1357" s="643">
        <v>2.5</v>
      </c>
      <c r="F1357" s="645"/>
      <c r="G1357" s="647"/>
      <c r="H1357" s="645"/>
      <c r="I1357" s="705"/>
    </row>
    <row r="1359" spans="1:56" s="663" customFormat="1">
      <c r="A1359" s="663" t="s">
        <v>2861</v>
      </c>
      <c r="B1359" s="665" t="s">
        <v>2036</v>
      </c>
      <c r="C1359" s="667" t="s">
        <v>126</v>
      </c>
      <c r="D1359" s="667" t="s">
        <v>1583</v>
      </c>
      <c r="E1359" s="667" t="s">
        <v>4</v>
      </c>
      <c r="F1359" s="667" t="s">
        <v>2860</v>
      </c>
      <c r="G1359" s="667" t="s">
        <v>2859</v>
      </c>
      <c r="H1359" s="667" t="s">
        <v>2858</v>
      </c>
      <c r="I1359" s="667" t="s">
        <v>751</v>
      </c>
      <c r="J1359" s="665" t="s">
        <v>274</v>
      </c>
      <c r="K1359" s="665" t="s">
        <v>273</v>
      </c>
      <c r="L1359" s="665" t="s">
        <v>116</v>
      </c>
      <c r="M1359" s="665" t="s">
        <v>110</v>
      </c>
      <c r="N1359" s="665" t="s">
        <v>276</v>
      </c>
      <c r="O1359" s="667" t="s">
        <v>1311</v>
      </c>
      <c r="P1359" s="665" t="s">
        <v>275</v>
      </c>
      <c r="Q1359" s="665" t="s">
        <v>111</v>
      </c>
      <c r="R1359" s="665" t="s">
        <v>2857</v>
      </c>
      <c r="S1359" s="665" t="s">
        <v>747</v>
      </c>
      <c r="T1359" s="667" t="s">
        <v>12</v>
      </c>
      <c r="U1359" s="666" t="s">
        <v>948</v>
      </c>
      <c r="V1359" s="665" t="s">
        <v>129</v>
      </c>
      <c r="W1359" s="665" t="s">
        <v>220</v>
      </c>
      <c r="X1359" s="665" t="s">
        <v>749</v>
      </c>
      <c r="Y1359" s="665" t="s">
        <v>750</v>
      </c>
      <c r="Z1359" s="665" t="s">
        <v>748</v>
      </c>
      <c r="BB1359" s="664"/>
      <c r="BD1359" s="664"/>
    </row>
    <row r="1360" spans="1:56">
      <c r="A1360" s="642" t="s">
        <v>2078</v>
      </c>
      <c r="B1360" s="1436">
        <v>119</v>
      </c>
      <c r="C1360" s="1471" t="s">
        <v>2524</v>
      </c>
      <c r="D1360" s="722" t="s">
        <v>2523</v>
      </c>
      <c r="E1360" s="722" t="s">
        <v>2522</v>
      </c>
      <c r="F1360" s="721">
        <v>6</v>
      </c>
      <c r="G1360" s="656">
        <v>6</v>
      </c>
      <c r="H1360" s="656">
        <f>L1360*R1360</f>
        <v>77.922821249999998</v>
      </c>
      <c r="I1360" s="656">
        <f>F1360/H1360</f>
        <v>7.6999265475131903E-2</v>
      </c>
      <c r="J1360" s="658" t="s">
        <v>3046</v>
      </c>
      <c r="K1360" s="645" t="s">
        <v>2174</v>
      </c>
      <c r="L1360" s="645">
        <v>17.25</v>
      </c>
      <c r="M1360" s="658">
        <v>14.08</v>
      </c>
      <c r="N1360" s="653">
        <f>M1360/L1360</f>
        <v>0.81623188405797098</v>
      </c>
      <c r="O1360" s="656">
        <v>16.899999999999999</v>
      </c>
      <c r="P1360" s="653">
        <f>O1360/L1360</f>
        <v>0.97971014492753616</v>
      </c>
      <c r="Q1360" s="645">
        <v>7</v>
      </c>
      <c r="R1360" s="653">
        <v>4.5172650000000001</v>
      </c>
      <c r="S1360" s="645" t="s">
        <v>2521</v>
      </c>
      <c r="T1360" s="654">
        <v>42934</v>
      </c>
      <c r="U1360" s="645">
        <v>6.83</v>
      </c>
      <c r="V1360" s="653">
        <f>((U1360*(1+X1360/10)+Y1360/10)/O1360)</f>
        <v>1.039940828402367</v>
      </c>
      <c r="W1360" s="645" t="s">
        <v>2520</v>
      </c>
      <c r="X1360" s="645">
        <v>15</v>
      </c>
      <c r="Y1360" s="645">
        <v>5</v>
      </c>
      <c r="Z1360" s="652" t="s">
        <v>2519</v>
      </c>
      <c r="BB1360" s="651"/>
      <c r="BD1360" s="650"/>
    </row>
    <row r="1361" spans="3:8">
      <c r="C1361" s="648" t="s">
        <v>112</v>
      </c>
      <c r="D1361" s="648" t="s">
        <v>113</v>
      </c>
      <c r="E1361" s="648" t="s">
        <v>943</v>
      </c>
      <c r="F1361" s="649" t="s">
        <v>411</v>
      </c>
      <c r="G1361" s="649" t="s">
        <v>942</v>
      </c>
      <c r="H1361" s="648" t="s">
        <v>231</v>
      </c>
    </row>
    <row r="1362" spans="3:8">
      <c r="C1362" s="646" t="s">
        <v>233</v>
      </c>
      <c r="D1362" s="647">
        <v>16.53</v>
      </c>
      <c r="E1362" s="643">
        <f>82650000/100000000</f>
        <v>0.82650000000000001</v>
      </c>
      <c r="F1362" s="645"/>
      <c r="G1362" s="645"/>
      <c r="H1362" s="645"/>
    </row>
    <row r="1363" spans="3:8">
      <c r="C1363" s="646" t="s">
        <v>966</v>
      </c>
      <c r="D1363" s="647">
        <v>14.68</v>
      </c>
      <c r="E1363" s="643">
        <f>60188000/100000000</f>
        <v>0.60187999999999997</v>
      </c>
      <c r="F1363" s="645"/>
      <c r="G1363" s="645"/>
      <c r="H1363" s="645"/>
    </row>
    <row r="1364" spans="3:8" ht="16" customHeight="1">
      <c r="C1364" s="1518" t="s">
        <v>666</v>
      </c>
      <c r="D1364" s="647">
        <v>16.010000000000002</v>
      </c>
      <c r="E1364" s="643">
        <f>63999991.01/100000000</f>
        <v>0.63999991010000001</v>
      </c>
      <c r="F1364" s="645"/>
      <c r="G1364" s="645"/>
      <c r="H1364" s="645"/>
    </row>
    <row r="1365" spans="3:8">
      <c r="C1365" s="1519"/>
      <c r="D1365" s="647">
        <v>15.84</v>
      </c>
      <c r="E1365" s="643">
        <f>73499976/100000000</f>
        <v>0.73499976</v>
      </c>
      <c r="F1365" s="645"/>
      <c r="G1365" s="645"/>
      <c r="H1365" s="645"/>
    </row>
    <row r="1366" spans="3:8">
      <c r="C1366" s="1520"/>
      <c r="D1366" s="647">
        <v>14.1</v>
      </c>
      <c r="E1366" s="643">
        <f>73499958.3/100000000</f>
        <v>0.73499958300000001</v>
      </c>
      <c r="F1366" s="645"/>
      <c r="G1366" s="645"/>
      <c r="H1366" s="645"/>
    </row>
    <row r="1367" spans="3:8">
      <c r="C1367" s="646" t="s">
        <v>2960</v>
      </c>
      <c r="D1367" s="647">
        <v>16.89</v>
      </c>
      <c r="E1367" s="643">
        <f>60000002.22/100000000</f>
        <v>0.60000002220000004</v>
      </c>
      <c r="F1367" s="645"/>
      <c r="G1367" s="645"/>
      <c r="H1367" s="645"/>
    </row>
    <row r="1368" spans="3:8">
      <c r="C1368" s="646" t="s">
        <v>3045</v>
      </c>
      <c r="D1368" s="647">
        <v>15</v>
      </c>
      <c r="E1368" s="643">
        <f>60000015/100000000</f>
        <v>0.60000014999999995</v>
      </c>
      <c r="F1368" s="645"/>
      <c r="G1368" s="645"/>
      <c r="H1368" s="645"/>
    </row>
    <row r="1369" spans="3:8" ht="16" customHeight="1">
      <c r="C1369" s="1518" t="s">
        <v>3044</v>
      </c>
      <c r="D1369" s="647">
        <v>15</v>
      </c>
      <c r="E1369" s="643">
        <f>60000000/100000000</f>
        <v>0.6</v>
      </c>
      <c r="F1369" s="645"/>
      <c r="G1369" s="645"/>
      <c r="H1369" s="645"/>
    </row>
    <row r="1370" spans="3:8">
      <c r="C1370" s="1519"/>
      <c r="D1370" s="647">
        <v>14.78</v>
      </c>
      <c r="E1370" s="643">
        <f>60006800/100000000</f>
        <v>0.60006800000000005</v>
      </c>
      <c r="F1370" s="645"/>
      <c r="G1370" s="645"/>
      <c r="H1370" s="645"/>
    </row>
    <row r="1371" spans="3:8">
      <c r="C1371" s="1520"/>
      <c r="D1371" s="647">
        <v>14.19</v>
      </c>
      <c r="E1371" s="643">
        <f>60023700/100000000</f>
        <v>0.60023700000000002</v>
      </c>
      <c r="F1371" s="645"/>
      <c r="G1371" s="645"/>
      <c r="H1371" s="645"/>
    </row>
    <row r="1372" spans="3:8">
      <c r="C1372" s="646" t="s">
        <v>3024</v>
      </c>
      <c r="D1372" s="647">
        <v>16.010000000000002</v>
      </c>
      <c r="E1372" s="643">
        <f>60005480/100000000</f>
        <v>0.6000548</v>
      </c>
      <c r="F1372" s="645"/>
      <c r="G1372" s="645"/>
      <c r="H1372" s="645"/>
    </row>
    <row r="1373" spans="3:8" ht="16" customHeight="1">
      <c r="C1373" s="1518" t="s">
        <v>1212</v>
      </c>
      <c r="D1373" s="647">
        <v>16.5</v>
      </c>
      <c r="E1373" s="643">
        <f>60000006/100000000</f>
        <v>0.60000005999999995</v>
      </c>
      <c r="F1373" s="645"/>
      <c r="G1373" s="645"/>
      <c r="H1373" s="645"/>
    </row>
    <row r="1374" spans="3:8">
      <c r="C1374" s="1520"/>
      <c r="D1374" s="647">
        <v>16</v>
      </c>
      <c r="E1374" s="643">
        <f>120000000/100000000</f>
        <v>1.2</v>
      </c>
      <c r="F1374" s="645"/>
      <c r="G1374" s="645"/>
      <c r="H1374" s="645"/>
    </row>
    <row r="1375" spans="3:8" ht="16" customHeight="1">
      <c r="C1375" s="1518" t="s">
        <v>3043</v>
      </c>
      <c r="D1375" s="647">
        <v>15</v>
      </c>
      <c r="E1375" s="643">
        <f>60000000/100000000</f>
        <v>0.6</v>
      </c>
      <c r="F1375" s="645"/>
      <c r="G1375" s="645"/>
      <c r="H1375" s="645"/>
    </row>
    <row r="1376" spans="3:8">
      <c r="C1376" s="1519"/>
      <c r="D1376" s="647">
        <v>14.5</v>
      </c>
      <c r="E1376" s="643">
        <f>60000014/100000000</f>
        <v>0.60000014000000002</v>
      </c>
      <c r="F1376" s="645"/>
      <c r="G1376" s="645"/>
      <c r="H1376" s="645"/>
    </row>
    <row r="1377" spans="3:8">
      <c r="C1377" s="1520"/>
      <c r="D1377" s="647">
        <v>14.08</v>
      </c>
      <c r="E1377" s="643">
        <f>60000005.12/100000000</f>
        <v>0.6000000512</v>
      </c>
      <c r="F1377" s="645"/>
      <c r="G1377" s="645"/>
      <c r="H1377" s="645"/>
    </row>
    <row r="1378" spans="3:8">
      <c r="C1378" s="646" t="s">
        <v>285</v>
      </c>
      <c r="D1378" s="647">
        <v>16.899999999999999</v>
      </c>
      <c r="E1378" s="643">
        <f>180000007.2/100000000</f>
        <v>1.8000000719999998</v>
      </c>
      <c r="F1378" s="645"/>
      <c r="G1378" s="644">
        <f>5518936/10000</f>
        <v>551.89359999999999</v>
      </c>
      <c r="H1378" s="643">
        <f>93270018.4/100000000</f>
        <v>0.9327001840000001</v>
      </c>
    </row>
    <row r="1379" spans="3:8">
      <c r="C1379" s="646" t="s">
        <v>279</v>
      </c>
      <c r="D1379" s="647">
        <v>14.08</v>
      </c>
      <c r="E1379" s="643">
        <f>80999987.2/100000000</f>
        <v>0.80999987200000001</v>
      </c>
      <c r="F1379" s="645"/>
      <c r="G1379" s="645"/>
      <c r="H1379" s="645"/>
    </row>
    <row r="1380" spans="3:8">
      <c r="C1380" s="646" t="s">
        <v>228</v>
      </c>
      <c r="D1380" s="647">
        <v>15.08</v>
      </c>
      <c r="E1380" s="643">
        <f>119886000/100000000</f>
        <v>1.19886</v>
      </c>
      <c r="F1380" s="645"/>
      <c r="G1380" s="645"/>
      <c r="H1380" s="645"/>
    </row>
    <row r="1381" spans="3:8">
      <c r="C1381" s="646" t="s">
        <v>3042</v>
      </c>
      <c r="D1381" s="647">
        <v>17.23</v>
      </c>
      <c r="E1381" s="643">
        <f>60000011.77/100000000</f>
        <v>0.60000011770000006</v>
      </c>
      <c r="F1381" s="645"/>
      <c r="G1381" s="644">
        <f>3550296/10000</f>
        <v>355.02960000000002</v>
      </c>
      <c r="H1381" s="643">
        <f>60000002.4/100000000</f>
        <v>0.60000002399999997</v>
      </c>
    </row>
    <row r="1382" spans="3:8">
      <c r="C1382" s="646" t="s">
        <v>130</v>
      </c>
      <c r="D1382" s="647">
        <v>14.36</v>
      </c>
      <c r="E1382" s="643">
        <f>60000000.28/100000000</f>
        <v>0.60000000279999999</v>
      </c>
      <c r="F1382" s="645"/>
      <c r="G1382" s="645"/>
      <c r="H1382" s="645"/>
    </row>
    <row r="1383" spans="3:8">
      <c r="C1383" s="646" t="s">
        <v>131</v>
      </c>
      <c r="D1383" s="647">
        <v>14.18</v>
      </c>
      <c r="E1383" s="643">
        <f>60265000/100000000</f>
        <v>0.60265000000000002</v>
      </c>
      <c r="F1383" s="645"/>
      <c r="G1383" s="645"/>
      <c r="H1383" s="645"/>
    </row>
    <row r="1384" spans="3:8" ht="16" customHeight="1">
      <c r="C1384" s="1518" t="s">
        <v>3041</v>
      </c>
      <c r="D1384" s="647">
        <v>16.100000000000001</v>
      </c>
      <c r="E1384" s="643">
        <f>60375000/100000000</f>
        <v>0.60375000000000001</v>
      </c>
      <c r="F1384" s="645"/>
      <c r="G1384" s="645"/>
      <c r="H1384" s="645"/>
    </row>
    <row r="1385" spans="3:8">
      <c r="C1385" s="1519"/>
      <c r="D1385" s="647">
        <v>15.5</v>
      </c>
      <c r="E1385" s="643">
        <f>60372500/100000000</f>
        <v>0.60372499999999996</v>
      </c>
      <c r="F1385" s="645"/>
      <c r="G1385" s="645"/>
      <c r="H1385" s="645"/>
    </row>
    <row r="1386" spans="3:8">
      <c r="C1386" s="1520"/>
      <c r="D1386" s="647">
        <v>15</v>
      </c>
      <c r="E1386" s="643">
        <f>60375000/100000000</f>
        <v>0.60375000000000001</v>
      </c>
      <c r="F1386" s="645"/>
      <c r="G1386" s="645"/>
      <c r="H1386" s="645"/>
    </row>
    <row r="1387" spans="3:8">
      <c r="C1387" s="646" t="s">
        <v>654</v>
      </c>
      <c r="D1387" s="647">
        <v>14.5</v>
      </c>
      <c r="E1387" s="643">
        <f>66558248/100000000</f>
        <v>0.66558247999999998</v>
      </c>
      <c r="F1387" s="645"/>
      <c r="G1387" s="645"/>
      <c r="H1387" s="645"/>
    </row>
    <row r="1388" spans="3:8">
      <c r="C1388" s="646" t="s">
        <v>552</v>
      </c>
      <c r="D1388" s="647">
        <v>16.100000000000001</v>
      </c>
      <c r="E1388" s="643">
        <f>60000014.9/100000000</f>
        <v>0.60000014899999998</v>
      </c>
      <c r="F1388" s="645"/>
      <c r="G1388" s="645"/>
      <c r="H1388" s="645"/>
    </row>
    <row r="1389" spans="3:8">
      <c r="C1389" s="646" t="s">
        <v>316</v>
      </c>
      <c r="D1389" s="647">
        <v>15.49</v>
      </c>
      <c r="E1389" s="643">
        <f>172076814.53/100000000</f>
        <v>1.7207681453000001</v>
      </c>
      <c r="F1389" s="645"/>
      <c r="G1389" s="645"/>
      <c r="H1389" s="645"/>
    </row>
    <row r="1390" spans="3:8">
      <c r="C1390" s="646" t="s">
        <v>127</v>
      </c>
      <c r="D1390" s="647">
        <v>15.33</v>
      </c>
      <c r="E1390" s="643">
        <f>119999990.04/100000000</f>
        <v>1.1999999004000002</v>
      </c>
      <c r="F1390" s="645"/>
      <c r="G1390" s="645"/>
      <c r="H1390" s="645"/>
    </row>
    <row r="1391" spans="3:8" ht="16" customHeight="1">
      <c r="C1391" s="1518" t="s">
        <v>1037</v>
      </c>
      <c r="D1391" s="647">
        <v>17</v>
      </c>
      <c r="E1391" s="643">
        <f>60350000/100000000</f>
        <v>0.60350000000000004</v>
      </c>
      <c r="F1391" s="645"/>
      <c r="G1391" s="644">
        <f>3571005/10000</f>
        <v>357.10050000000001</v>
      </c>
      <c r="H1391" s="643">
        <f>60349984.5/100000000</f>
        <v>0.60349984499999998</v>
      </c>
    </row>
    <row r="1392" spans="3:8">
      <c r="C1392" s="1519"/>
      <c r="D1392" s="647">
        <v>15.7</v>
      </c>
      <c r="E1392" s="643">
        <f>120890000/100000000</f>
        <v>1.2089000000000001</v>
      </c>
      <c r="F1392" s="645"/>
      <c r="G1392" s="645"/>
      <c r="H1392" s="645"/>
    </row>
    <row r="1393" spans="3:8">
      <c r="C1393" s="1520"/>
      <c r="D1393" s="647">
        <v>14.2</v>
      </c>
      <c r="E1393" s="643">
        <f>180340000/100000000</f>
        <v>1.8033999999999999</v>
      </c>
      <c r="F1393" s="645"/>
      <c r="G1393" s="645"/>
      <c r="H1393" s="645"/>
    </row>
    <row r="1394" spans="3:8" ht="16" customHeight="1">
      <c r="C1394" s="1518" t="s">
        <v>1133</v>
      </c>
      <c r="D1394" s="647">
        <v>15.7</v>
      </c>
      <c r="E1394" s="643">
        <f>60000062/100000000</f>
        <v>0.60000061999999998</v>
      </c>
      <c r="F1394" s="645"/>
      <c r="G1394" s="645"/>
      <c r="H1394" s="645"/>
    </row>
    <row r="1395" spans="3:8">
      <c r="C1395" s="1519"/>
      <c r="D1395" s="647">
        <v>15</v>
      </c>
      <c r="E1395" s="643">
        <f>90000000/100000000</f>
        <v>0.9</v>
      </c>
      <c r="F1395" s="645"/>
      <c r="G1395" s="645"/>
      <c r="H1395" s="645"/>
    </row>
    <row r="1396" spans="3:8">
      <c r="C1396" s="1520"/>
      <c r="D1396" s="647">
        <v>14.12</v>
      </c>
      <c r="E1396" s="643">
        <f>120000020.2/100000000</f>
        <v>1.200000202</v>
      </c>
      <c r="F1396" s="645"/>
      <c r="G1396" s="645"/>
      <c r="H1396" s="645"/>
    </row>
    <row r="1397" spans="3:8">
      <c r="C1397" s="646" t="s">
        <v>629</v>
      </c>
      <c r="D1397" s="647">
        <v>16</v>
      </c>
      <c r="E1397" s="643">
        <f>60000032/100000000</f>
        <v>0.60000032000000003</v>
      </c>
      <c r="F1397" s="645"/>
      <c r="G1397" s="645"/>
      <c r="H1397" s="645"/>
    </row>
    <row r="1398" spans="3:8">
      <c r="C1398" s="646" t="s">
        <v>1089</v>
      </c>
      <c r="D1398" s="647">
        <v>16.850000000000001</v>
      </c>
      <c r="E1398" s="643">
        <f>120000004.7/100000000</f>
        <v>1.2000000470000001</v>
      </c>
      <c r="F1398" s="645"/>
      <c r="G1398" s="645"/>
      <c r="H1398" s="645"/>
    </row>
    <row r="1399" spans="3:8" ht="16" customHeight="1">
      <c r="C1399" s="1518" t="s">
        <v>142</v>
      </c>
      <c r="D1399" s="647">
        <v>15.02</v>
      </c>
      <c r="E1399" s="643">
        <f>72079988.68/100000000</f>
        <v>0.72079988680000007</v>
      </c>
      <c r="F1399" s="645"/>
      <c r="G1399" s="645"/>
      <c r="H1399" s="645"/>
    </row>
    <row r="1400" spans="3:8">
      <c r="C1400" s="1519"/>
      <c r="D1400" s="647">
        <v>14.8</v>
      </c>
      <c r="E1400" s="643">
        <f>72087988/100000000</f>
        <v>0.72087988000000003</v>
      </c>
      <c r="F1400" s="645"/>
      <c r="G1400" s="645"/>
      <c r="H1400" s="645"/>
    </row>
    <row r="1401" spans="3:8">
      <c r="C1401" s="1520"/>
      <c r="D1401" s="647">
        <v>14.3</v>
      </c>
      <c r="E1401" s="643">
        <f>72059988/100000000</f>
        <v>0.72059987999999997</v>
      </c>
      <c r="F1401" s="645"/>
      <c r="G1401" s="645"/>
      <c r="H1401" s="645"/>
    </row>
    <row r="1402" spans="3:8">
      <c r="C1402" s="646" t="s">
        <v>295</v>
      </c>
      <c r="D1402" s="647">
        <v>17.059999999999999</v>
      </c>
      <c r="E1402" s="643">
        <f>60000020/100000000</f>
        <v>0.60000019999999998</v>
      </c>
      <c r="F1402" s="645"/>
      <c r="G1402" s="644">
        <f>3550297/10000</f>
        <v>355.02969999999999</v>
      </c>
      <c r="H1402" s="643">
        <f>60000019.3/100000000</f>
        <v>0.60000019299999996</v>
      </c>
    </row>
    <row r="1403" spans="3:8" ht="16" customHeight="1">
      <c r="C1403" s="1518" t="s">
        <v>300</v>
      </c>
      <c r="D1403" s="647">
        <v>16.18</v>
      </c>
      <c r="E1403" s="643">
        <f>64558200/100000000</f>
        <v>0.64558199999999999</v>
      </c>
      <c r="F1403" s="645"/>
      <c r="G1403" s="645"/>
      <c r="H1403" s="645"/>
    </row>
    <row r="1404" spans="3:8">
      <c r="C1404" s="1519"/>
      <c r="D1404" s="647">
        <v>15.83</v>
      </c>
      <c r="E1404" s="643">
        <f>69652000/100000000</f>
        <v>0.69652000000000003</v>
      </c>
      <c r="F1404" s="645"/>
      <c r="G1404" s="645"/>
      <c r="H1404" s="645"/>
    </row>
    <row r="1405" spans="3:8">
      <c r="C1405" s="1520"/>
      <c r="D1405" s="647">
        <v>14.08</v>
      </c>
      <c r="E1405" s="643">
        <f>79692800/100000000</f>
        <v>0.79692799999999997</v>
      </c>
      <c r="F1405" s="645"/>
      <c r="G1405" s="645"/>
      <c r="H1405" s="645"/>
    </row>
    <row r="1406" spans="3:8" ht="16" customHeight="1">
      <c r="C1406" s="1518" t="s">
        <v>3040</v>
      </c>
      <c r="D1406" s="647">
        <v>16.88</v>
      </c>
      <c r="E1406" s="643">
        <f>69999672/100000000</f>
        <v>0.69999672000000002</v>
      </c>
      <c r="F1406" s="645"/>
      <c r="G1406" s="645"/>
      <c r="H1406" s="645"/>
    </row>
    <row r="1407" spans="3:8">
      <c r="C1407" s="1519"/>
      <c r="D1407" s="647">
        <v>16.010000000000002</v>
      </c>
      <c r="E1407" s="643">
        <f>69998922/100000000</f>
        <v>0.69998921999999997</v>
      </c>
      <c r="F1407" s="645"/>
      <c r="G1407" s="645"/>
      <c r="H1407" s="645"/>
    </row>
    <row r="1408" spans="3:8">
      <c r="C1408" s="1520"/>
      <c r="D1408" s="647">
        <v>14.95</v>
      </c>
      <c r="E1408" s="643">
        <f>69998890/100000000</f>
        <v>0.69998890000000002</v>
      </c>
      <c r="F1408" s="645"/>
      <c r="G1408" s="645"/>
      <c r="H1408" s="645"/>
    </row>
    <row r="1409" spans="3:8" ht="16" customHeight="1">
      <c r="C1409" s="1518" t="s">
        <v>955</v>
      </c>
      <c r="D1409" s="647">
        <v>17.010000000000002</v>
      </c>
      <c r="E1409" s="643">
        <f>60000002.37/100000000</f>
        <v>0.60000002369999994</v>
      </c>
      <c r="F1409" s="645"/>
      <c r="G1409" s="644">
        <f>3550295/10000</f>
        <v>355.02949999999998</v>
      </c>
      <c r="H1409" s="643">
        <f>59999985.5/100000000</f>
        <v>0.59999985499999997</v>
      </c>
    </row>
    <row r="1410" spans="3:8">
      <c r="C1410" s="1520"/>
      <c r="D1410" s="647">
        <v>16.12</v>
      </c>
      <c r="E1410" s="643">
        <f>80000013.6/100000000</f>
        <v>0.80000013599999997</v>
      </c>
      <c r="F1410" s="645"/>
      <c r="G1410" s="645"/>
      <c r="H1410" s="645"/>
    </row>
    <row r="1411" spans="3:8">
      <c r="C1411" s="646" t="s">
        <v>120</v>
      </c>
      <c r="D1411" s="647">
        <v>15</v>
      </c>
      <c r="E1411" s="643">
        <f>60000000/100000000</f>
        <v>0.6</v>
      </c>
      <c r="F1411" s="645"/>
      <c r="G1411" s="645"/>
      <c r="H1411" s="645"/>
    </row>
    <row r="1412" spans="3:8" ht="16" customHeight="1">
      <c r="C1412" s="1518" t="s">
        <v>150</v>
      </c>
      <c r="D1412" s="647">
        <v>15</v>
      </c>
      <c r="E1412" s="643">
        <f>70499985/100000000</f>
        <v>0.70499984999999998</v>
      </c>
      <c r="F1412" s="645"/>
      <c r="G1412" s="645"/>
      <c r="H1412" s="645"/>
    </row>
    <row r="1413" spans="3:8">
      <c r="C1413" s="1520"/>
      <c r="D1413" s="647">
        <v>14.2</v>
      </c>
      <c r="E1413" s="643">
        <f>112499954.4/100000000</f>
        <v>1.124999544</v>
      </c>
      <c r="F1413" s="645"/>
      <c r="G1413" s="645"/>
      <c r="H1413" s="645"/>
    </row>
    <row r="1414" spans="3:8">
      <c r="C1414" s="646" t="s">
        <v>147</v>
      </c>
      <c r="D1414" s="647">
        <v>14.28</v>
      </c>
      <c r="E1414" s="643">
        <f>130707696/100000000</f>
        <v>1.3070769600000001</v>
      </c>
      <c r="F1414" s="645"/>
      <c r="G1414" s="645"/>
      <c r="H1414" s="645"/>
    </row>
    <row r="1415" spans="3:8" ht="16" customHeight="1">
      <c r="C1415" s="1518" t="s">
        <v>115</v>
      </c>
      <c r="D1415" s="647">
        <v>17</v>
      </c>
      <c r="E1415" s="643">
        <f>206380000/100000000</f>
        <v>2.0638000000000001</v>
      </c>
      <c r="F1415" s="645"/>
      <c r="G1415" s="644">
        <f>12211834/10000</f>
        <v>1221.1833999999999</v>
      </c>
      <c r="H1415" s="643">
        <f>206379994.6/100000000</f>
        <v>2.0637999460000001</v>
      </c>
    </row>
    <row r="1416" spans="3:8">
      <c r="C1416" s="1520"/>
      <c r="D1416" s="647">
        <v>16.34</v>
      </c>
      <c r="E1416" s="643">
        <f>531050000/100000000</f>
        <v>5.3105000000000002</v>
      </c>
      <c r="F1416" s="645"/>
      <c r="G1416" s="645"/>
      <c r="H1416" s="645"/>
    </row>
    <row r="1417" spans="3:8">
      <c r="C1417" s="646" t="s">
        <v>351</v>
      </c>
      <c r="D1417" s="647">
        <v>14.1</v>
      </c>
      <c r="E1417" s="643">
        <f>60000012/100000000</f>
        <v>0.60000012000000003</v>
      </c>
      <c r="F1417" s="645"/>
      <c r="G1417" s="645"/>
      <c r="H1417" s="645"/>
    </row>
    <row r="1418" spans="3:8" ht="16" customHeight="1">
      <c r="C1418" s="1518" t="s">
        <v>121</v>
      </c>
      <c r="D1418" s="647">
        <v>16.010000000000002</v>
      </c>
      <c r="E1418" s="643">
        <f>61958700/100000000</f>
        <v>0.619587</v>
      </c>
      <c r="F1418" s="645"/>
      <c r="G1418" s="645"/>
      <c r="H1418" s="645"/>
    </row>
    <row r="1419" spans="3:8">
      <c r="C1419" s="1519"/>
      <c r="D1419" s="647">
        <v>15.83</v>
      </c>
      <c r="E1419" s="643">
        <f>81958685.24/100000000</f>
        <v>0.81958685239999995</v>
      </c>
      <c r="F1419" s="645"/>
      <c r="G1419" s="645"/>
      <c r="H1419" s="645"/>
    </row>
    <row r="1420" spans="3:8">
      <c r="C1420" s="1520"/>
      <c r="D1420" s="647">
        <v>15.2</v>
      </c>
      <c r="E1420" s="643">
        <f>142758688.8/100000000</f>
        <v>1.4275868880000002</v>
      </c>
      <c r="F1420" s="645"/>
      <c r="G1420" s="645"/>
      <c r="H1420" s="645"/>
    </row>
    <row r="1421" spans="3:8">
      <c r="C1421" s="646" t="s">
        <v>138</v>
      </c>
      <c r="D1421" s="647">
        <v>14.83</v>
      </c>
      <c r="E1421" s="643">
        <f>75633000/100000000</f>
        <v>0.75632999999999995</v>
      </c>
      <c r="F1421" s="645"/>
      <c r="G1421" s="645"/>
      <c r="H1421" s="645"/>
    </row>
    <row r="1422" spans="3:8">
      <c r="C1422" s="646" t="s">
        <v>974</v>
      </c>
      <c r="D1422" s="647">
        <v>14.51</v>
      </c>
      <c r="E1422" s="643">
        <f>80099973.79/100000000</f>
        <v>0.80099973790000012</v>
      </c>
      <c r="F1422" s="645"/>
      <c r="G1422" s="645"/>
      <c r="H1422" s="645"/>
    </row>
    <row r="1423" spans="3:8">
      <c r="C1423" s="646" t="s">
        <v>3461</v>
      </c>
      <c r="D1423" s="658"/>
      <c r="E1423" s="658"/>
      <c r="F1423" s="645"/>
      <c r="G1423" s="644">
        <f>3550295/10000</f>
        <v>355.02949999999998</v>
      </c>
      <c r="H1423" s="643">
        <f>59999985.5/100000000</f>
        <v>0.59999985499999997</v>
      </c>
    </row>
    <row r="1424" spans="3:8">
      <c r="C1424" s="750"/>
      <c r="D1424" s="750"/>
      <c r="E1424" s="750"/>
    </row>
    <row r="1425" spans="1:56" s="663" customFormat="1">
      <c r="A1425" s="663" t="s">
        <v>2861</v>
      </c>
      <c r="B1425" s="665" t="s">
        <v>2036</v>
      </c>
      <c r="C1425" s="667" t="s">
        <v>126</v>
      </c>
      <c r="D1425" s="667" t="s">
        <v>1583</v>
      </c>
      <c r="E1425" s="667" t="s">
        <v>4</v>
      </c>
      <c r="F1425" s="667" t="s">
        <v>2860</v>
      </c>
      <c r="G1425" s="667" t="s">
        <v>2859</v>
      </c>
      <c r="H1425" s="667" t="s">
        <v>2858</v>
      </c>
      <c r="I1425" s="667" t="s">
        <v>751</v>
      </c>
      <c r="J1425" s="665" t="s">
        <v>274</v>
      </c>
      <c r="K1425" s="665" t="s">
        <v>273</v>
      </c>
      <c r="L1425" s="665" t="s">
        <v>116</v>
      </c>
      <c r="M1425" s="665" t="s">
        <v>110</v>
      </c>
      <c r="N1425" s="665" t="s">
        <v>276</v>
      </c>
      <c r="O1425" s="667" t="s">
        <v>1311</v>
      </c>
      <c r="P1425" s="665" t="s">
        <v>275</v>
      </c>
      <c r="Q1425" s="665" t="s">
        <v>111</v>
      </c>
      <c r="R1425" s="665" t="s">
        <v>2857</v>
      </c>
      <c r="S1425" s="665" t="s">
        <v>747</v>
      </c>
      <c r="T1425" s="667" t="s">
        <v>12</v>
      </c>
      <c r="U1425" s="666" t="s">
        <v>948</v>
      </c>
      <c r="V1425" s="665" t="s">
        <v>129</v>
      </c>
      <c r="W1425" s="665" t="s">
        <v>220</v>
      </c>
      <c r="X1425" s="665" t="s">
        <v>749</v>
      </c>
      <c r="Y1425" s="665" t="s">
        <v>750</v>
      </c>
      <c r="Z1425" s="665" t="s">
        <v>748</v>
      </c>
      <c r="BB1425" s="664"/>
      <c r="BD1425" s="664"/>
    </row>
    <row r="1426" spans="1:56">
      <c r="A1426" s="642" t="s">
        <v>2078</v>
      </c>
      <c r="B1426" s="1436">
        <v>120</v>
      </c>
      <c r="C1426" s="1471" t="s">
        <v>2518</v>
      </c>
      <c r="D1426" s="722" t="s">
        <v>2517</v>
      </c>
      <c r="E1426" s="722" t="s">
        <v>2516</v>
      </c>
      <c r="F1426" s="721">
        <v>8</v>
      </c>
      <c r="G1426" s="656">
        <v>8</v>
      </c>
      <c r="H1426" s="656">
        <f>L1426*R1426</f>
        <v>123.35720935999998</v>
      </c>
      <c r="I1426" s="656">
        <f>F1426/H1426</f>
        <v>6.4852310144704786E-2</v>
      </c>
      <c r="J1426" s="658" t="s">
        <v>3039</v>
      </c>
      <c r="K1426" s="645" t="s">
        <v>2240</v>
      </c>
      <c r="L1426" s="645">
        <v>28</v>
      </c>
      <c r="M1426" s="658">
        <v>24.07</v>
      </c>
      <c r="N1426" s="653">
        <f>M1426/L1426</f>
        <v>0.85964285714285715</v>
      </c>
      <c r="O1426" s="656">
        <v>25.2</v>
      </c>
      <c r="P1426" s="653">
        <f>O1426/L1426</f>
        <v>0.9</v>
      </c>
      <c r="Q1426" s="645">
        <v>4</v>
      </c>
      <c r="R1426" s="653">
        <v>4.4056146199999997</v>
      </c>
      <c r="S1426" s="645" t="s">
        <v>2515</v>
      </c>
      <c r="T1426" s="654">
        <v>42936</v>
      </c>
      <c r="U1426" s="645">
        <v>15.77</v>
      </c>
      <c r="V1426" s="653">
        <f>((U1426*(1+X1426/10)+Y1426/10)/O1426)</f>
        <v>1.1343941626190475</v>
      </c>
      <c r="W1426" s="645" t="s">
        <v>2514</v>
      </c>
      <c r="X1426" s="832">
        <v>8.0633739999999996</v>
      </c>
      <c r="Y1426" s="832">
        <v>1.0079210000000001</v>
      </c>
      <c r="Z1426" s="652" t="s">
        <v>2122</v>
      </c>
      <c r="BB1426" s="651"/>
      <c r="BD1426" s="650"/>
    </row>
    <row r="1427" spans="1:56">
      <c r="C1427" s="648" t="s">
        <v>112</v>
      </c>
      <c r="D1427" s="648" t="s">
        <v>113</v>
      </c>
      <c r="E1427" s="648" t="s">
        <v>943</v>
      </c>
      <c r="F1427" s="649" t="s">
        <v>411</v>
      </c>
      <c r="G1427" s="649" t="s">
        <v>942</v>
      </c>
      <c r="H1427" s="648" t="s">
        <v>231</v>
      </c>
    </row>
    <row r="1428" spans="1:56">
      <c r="C1428" s="1512" t="s">
        <v>173</v>
      </c>
      <c r="D1428" s="647">
        <v>25.78</v>
      </c>
      <c r="E1428" s="643">
        <f>160000000/100000000</f>
        <v>1.6</v>
      </c>
      <c r="F1428" s="645"/>
      <c r="G1428" s="644">
        <f>6349206/10000</f>
        <v>634.92060000000004</v>
      </c>
      <c r="H1428" s="643">
        <f>159999991.2/100000000</f>
        <v>1.5999999119999999</v>
      </c>
    </row>
    <row r="1429" spans="1:56">
      <c r="C1429" s="1512"/>
      <c r="D1429" s="647">
        <v>25.19</v>
      </c>
      <c r="E1429" s="643">
        <f>200000000/100000000</f>
        <v>2</v>
      </c>
      <c r="F1429" s="645"/>
      <c r="G1429" s="645"/>
      <c r="H1429" s="645"/>
    </row>
    <row r="1430" spans="1:56">
      <c r="C1430" s="1512" t="s">
        <v>143</v>
      </c>
      <c r="D1430" s="647">
        <v>25.5</v>
      </c>
      <c r="E1430" s="643">
        <f>200000000/100000000</f>
        <v>2</v>
      </c>
      <c r="F1430" s="645"/>
      <c r="G1430" s="644">
        <f>8730158/10000</f>
        <v>873.01580000000001</v>
      </c>
      <c r="H1430" s="643">
        <f>219999981.6/100000000</f>
        <v>2.1999998160000001</v>
      </c>
    </row>
    <row r="1431" spans="1:56">
      <c r="C1431" s="1512"/>
      <c r="D1431" s="647">
        <v>25.3</v>
      </c>
      <c r="E1431" s="643">
        <f>220000000/100000000</f>
        <v>2.2000000000000002</v>
      </c>
      <c r="F1431" s="645"/>
      <c r="G1431" s="645"/>
      <c r="H1431" s="645"/>
    </row>
    <row r="1432" spans="1:56">
      <c r="C1432" s="1512"/>
      <c r="D1432" s="647">
        <v>25</v>
      </c>
      <c r="E1432" s="643">
        <f>240000000/100000000</f>
        <v>2.4</v>
      </c>
      <c r="F1432" s="645"/>
      <c r="G1432" s="645"/>
      <c r="H1432" s="645"/>
    </row>
    <row r="1433" spans="1:56">
      <c r="C1433" s="646" t="s">
        <v>361</v>
      </c>
      <c r="D1433" s="647">
        <v>25.22</v>
      </c>
      <c r="E1433" s="643">
        <f>400000000/100000000</f>
        <v>4</v>
      </c>
      <c r="F1433" s="645"/>
      <c r="G1433" s="644">
        <f>15873015/10000</f>
        <v>1587.3015</v>
      </c>
      <c r="H1433" s="643">
        <f>399999978/100000000</f>
        <v>3.99999978</v>
      </c>
    </row>
    <row r="1434" spans="1:56">
      <c r="C1434" s="1512" t="s">
        <v>115</v>
      </c>
      <c r="D1434" s="647">
        <v>25.2</v>
      </c>
      <c r="E1434" s="643">
        <f>250000000/100000000</f>
        <v>2.5</v>
      </c>
      <c r="F1434" s="645"/>
      <c r="G1434" s="644">
        <f>793652/10000</f>
        <v>79.365200000000002</v>
      </c>
      <c r="H1434" s="643">
        <f>20000030.4/100000000</f>
        <v>0.20000030399999999</v>
      </c>
    </row>
    <row r="1435" spans="1:56">
      <c r="C1435" s="1512"/>
      <c r="D1435" s="647">
        <v>24.5</v>
      </c>
      <c r="E1435" s="643">
        <f>305000000/100000000</f>
        <v>3.05</v>
      </c>
      <c r="F1435" s="645"/>
      <c r="G1435" s="645"/>
      <c r="H1435" s="645"/>
    </row>
    <row r="1436" spans="1:56">
      <c r="C1436" s="1512"/>
      <c r="D1436" s="647">
        <v>24.07</v>
      </c>
      <c r="E1436" s="643">
        <f>323000000/100000000</f>
        <v>3.23</v>
      </c>
      <c r="F1436" s="645"/>
      <c r="G1436" s="645"/>
      <c r="H1436" s="645"/>
    </row>
    <row r="1437" spans="1:56">
      <c r="C1437" s="646" t="s">
        <v>147</v>
      </c>
      <c r="D1437" s="647">
        <v>24.29</v>
      </c>
      <c r="E1437" s="643">
        <f>189500000/100000000</f>
        <v>1.895</v>
      </c>
      <c r="F1437" s="645"/>
      <c r="G1437" s="645"/>
      <c r="H1437" s="645"/>
    </row>
    <row r="1438" spans="1:56">
      <c r="C1438" s="646" t="s">
        <v>127</v>
      </c>
      <c r="D1438" s="647">
        <v>24.11</v>
      </c>
      <c r="E1438" s="643">
        <f>160000000/100000000</f>
        <v>1.6</v>
      </c>
      <c r="F1438" s="645"/>
      <c r="G1438" s="645"/>
      <c r="H1438" s="645"/>
    </row>
    <row r="1440" spans="1:56" s="663" customFormat="1">
      <c r="A1440" s="663" t="s">
        <v>2861</v>
      </c>
      <c r="B1440" s="665" t="s">
        <v>2036</v>
      </c>
      <c r="C1440" s="667" t="s">
        <v>126</v>
      </c>
      <c r="D1440" s="667" t="s">
        <v>1583</v>
      </c>
      <c r="E1440" s="667" t="s">
        <v>4</v>
      </c>
      <c r="F1440" s="667" t="s">
        <v>2860</v>
      </c>
      <c r="G1440" s="667" t="s">
        <v>2859</v>
      </c>
      <c r="H1440" s="667" t="s">
        <v>2858</v>
      </c>
      <c r="I1440" s="667" t="s">
        <v>751</v>
      </c>
      <c r="J1440" s="665" t="s">
        <v>274</v>
      </c>
      <c r="K1440" s="665" t="s">
        <v>273</v>
      </c>
      <c r="L1440" s="665" t="s">
        <v>116</v>
      </c>
      <c r="M1440" s="665" t="s">
        <v>110</v>
      </c>
      <c r="N1440" s="665" t="s">
        <v>276</v>
      </c>
      <c r="O1440" s="667" t="s">
        <v>1311</v>
      </c>
      <c r="P1440" s="665" t="s">
        <v>275</v>
      </c>
      <c r="Q1440" s="665" t="s">
        <v>111</v>
      </c>
      <c r="R1440" s="665" t="s">
        <v>2857</v>
      </c>
      <c r="S1440" s="665" t="s">
        <v>747</v>
      </c>
      <c r="T1440" s="667" t="s">
        <v>12</v>
      </c>
      <c r="U1440" s="666" t="s">
        <v>948</v>
      </c>
      <c r="V1440" s="665" t="s">
        <v>129</v>
      </c>
      <c r="W1440" s="665" t="s">
        <v>220</v>
      </c>
      <c r="X1440" s="665" t="s">
        <v>749</v>
      </c>
      <c r="Y1440" s="665" t="s">
        <v>750</v>
      </c>
      <c r="Z1440" s="665" t="s">
        <v>748</v>
      </c>
      <c r="BB1440" s="664"/>
      <c r="BD1440" s="664"/>
    </row>
    <row r="1441" spans="1:56">
      <c r="A1441" s="642" t="s">
        <v>2078</v>
      </c>
      <c r="B1441" s="1436">
        <v>121</v>
      </c>
      <c r="C1441" s="1437" t="s">
        <v>2513</v>
      </c>
      <c r="D1441" s="662" t="s">
        <v>2512</v>
      </c>
      <c r="E1441" s="662" t="s">
        <v>2511</v>
      </c>
      <c r="F1441" s="661">
        <v>8.5</v>
      </c>
      <c r="G1441" s="660">
        <v>8.5</v>
      </c>
      <c r="H1441" s="659">
        <f>L1441*R1441</f>
        <v>42.036000000000001</v>
      </c>
      <c r="I1441" s="656">
        <f>F1441/H1441</f>
        <v>0.20220763155390617</v>
      </c>
      <c r="J1441" s="658" t="s">
        <v>2954</v>
      </c>
      <c r="K1441" s="645" t="s">
        <v>2089</v>
      </c>
      <c r="L1441" s="645">
        <v>35.03</v>
      </c>
      <c r="M1441" s="658">
        <v>24.18</v>
      </c>
      <c r="N1441" s="653">
        <f>M1441/L1441</f>
        <v>0.69026548672566368</v>
      </c>
      <c r="O1441" s="656">
        <v>34</v>
      </c>
      <c r="P1441" s="653">
        <f>O1441/L1441</f>
        <v>0.97059663145874964</v>
      </c>
      <c r="Q1441" s="645">
        <v>6</v>
      </c>
      <c r="R1441" s="645">
        <v>1.2</v>
      </c>
      <c r="S1441" s="645" t="s">
        <v>2510</v>
      </c>
      <c r="T1441" s="654">
        <v>42935</v>
      </c>
      <c r="U1441" s="645">
        <v>12.47</v>
      </c>
      <c r="V1441" s="653">
        <f>((U1441*(1+X1441/10)+Y1441/10)/O1441)</f>
        <v>0.92426470588235299</v>
      </c>
      <c r="W1441" s="645" t="s">
        <v>2509</v>
      </c>
      <c r="X1441" s="645">
        <v>15</v>
      </c>
      <c r="Y1441" s="645">
        <v>2.5</v>
      </c>
      <c r="Z1441" s="652" t="s">
        <v>2079</v>
      </c>
      <c r="BB1441" s="651"/>
      <c r="BD1441" s="650"/>
    </row>
    <row r="1442" spans="1:56">
      <c r="C1442" s="648" t="s">
        <v>112</v>
      </c>
      <c r="D1442" s="648" t="s">
        <v>113</v>
      </c>
      <c r="E1442" s="648" t="s">
        <v>943</v>
      </c>
      <c r="F1442" s="649" t="s">
        <v>411</v>
      </c>
      <c r="G1442" s="649" t="s">
        <v>942</v>
      </c>
      <c r="H1442" s="648" t="s">
        <v>231</v>
      </c>
    </row>
    <row r="1443" spans="1:56">
      <c r="C1443" s="646" t="s">
        <v>1037</v>
      </c>
      <c r="D1443" s="647">
        <v>24.5</v>
      </c>
      <c r="E1443" s="643">
        <v>0.85</v>
      </c>
      <c r="F1443" s="645"/>
      <c r="G1443" s="645"/>
      <c r="H1443" s="645"/>
    </row>
    <row r="1444" spans="1:56">
      <c r="C1444" s="646" t="s">
        <v>127</v>
      </c>
      <c r="D1444" s="647">
        <v>30.33</v>
      </c>
      <c r="E1444" s="643">
        <v>1.7</v>
      </c>
      <c r="F1444" s="645"/>
      <c r="G1444" s="645"/>
      <c r="H1444" s="645"/>
    </row>
    <row r="1445" spans="1:56">
      <c r="C1445" s="646" t="s">
        <v>351</v>
      </c>
      <c r="D1445" s="647">
        <v>27.28</v>
      </c>
      <c r="E1445" s="643">
        <v>0.85</v>
      </c>
      <c r="F1445" s="645"/>
      <c r="G1445" s="645"/>
      <c r="H1445" s="645"/>
    </row>
    <row r="1446" spans="1:56">
      <c r="C1446" s="646" t="s">
        <v>664</v>
      </c>
      <c r="D1446" s="647">
        <v>32.880000000000003</v>
      </c>
      <c r="E1446" s="643">
        <v>0.86</v>
      </c>
      <c r="F1446" s="645"/>
      <c r="G1446" s="645"/>
      <c r="H1446" s="645"/>
    </row>
    <row r="1447" spans="1:56" ht="16" customHeight="1">
      <c r="C1447" s="1518" t="s">
        <v>156</v>
      </c>
      <c r="D1447" s="647">
        <v>35.58</v>
      </c>
      <c r="E1447" s="643">
        <v>1.73</v>
      </c>
      <c r="F1447" s="645"/>
      <c r="G1447" s="643">
        <f>5088235/10000</f>
        <v>508.82350000000002</v>
      </c>
      <c r="H1447" s="643">
        <f>172999990/100000000</f>
        <v>1.7299998999999999</v>
      </c>
    </row>
    <row r="1448" spans="1:56">
      <c r="C1448" s="1519"/>
      <c r="D1448" s="647">
        <v>30.88</v>
      </c>
      <c r="E1448" s="643">
        <v>1.73</v>
      </c>
      <c r="F1448" s="645"/>
      <c r="G1448" s="712"/>
      <c r="H1448" s="712"/>
    </row>
    <row r="1449" spans="1:56">
      <c r="C1449" s="1520"/>
      <c r="D1449" s="647">
        <v>28.88</v>
      </c>
      <c r="E1449" s="643">
        <v>1.73</v>
      </c>
      <c r="F1449" s="645"/>
      <c r="G1449" s="712"/>
      <c r="H1449" s="712"/>
    </row>
    <row r="1450" spans="1:56">
      <c r="C1450" s="646" t="s">
        <v>115</v>
      </c>
      <c r="D1450" s="647">
        <v>32.299999999999997</v>
      </c>
      <c r="E1450" s="643">
        <v>2.5499999999999998</v>
      </c>
      <c r="F1450" s="645"/>
      <c r="G1450" s="712"/>
      <c r="H1450" s="712"/>
    </row>
    <row r="1451" spans="1:56">
      <c r="C1451" s="646" t="s">
        <v>157</v>
      </c>
      <c r="D1451" s="647">
        <v>32.020000000000003</v>
      </c>
      <c r="E1451" s="643">
        <v>0.85</v>
      </c>
      <c r="F1451" s="645"/>
      <c r="G1451" s="712"/>
      <c r="H1451" s="712"/>
    </row>
    <row r="1452" spans="1:56" ht="16" customHeight="1">
      <c r="C1452" s="1518" t="s">
        <v>146</v>
      </c>
      <c r="D1452" s="647">
        <v>29.98</v>
      </c>
      <c r="E1452" s="643">
        <v>1.18</v>
      </c>
      <c r="F1452" s="645"/>
      <c r="G1452" s="712"/>
      <c r="H1452" s="712"/>
    </row>
    <row r="1453" spans="1:56">
      <c r="C1453" s="1519"/>
      <c r="D1453" s="647">
        <v>28.88</v>
      </c>
      <c r="E1453" s="643">
        <v>1.19</v>
      </c>
      <c r="F1453" s="645"/>
      <c r="G1453" s="712"/>
      <c r="H1453" s="712"/>
    </row>
    <row r="1454" spans="1:56">
      <c r="C1454" s="1520"/>
      <c r="D1454" s="647">
        <v>28.18</v>
      </c>
      <c r="E1454" s="643">
        <v>1.2</v>
      </c>
      <c r="F1454" s="645"/>
      <c r="G1454" s="712"/>
      <c r="H1454" s="712"/>
    </row>
    <row r="1455" spans="1:56">
      <c r="C1455" s="646" t="s">
        <v>147</v>
      </c>
      <c r="D1455" s="647">
        <v>26.72</v>
      </c>
      <c r="E1455" s="643">
        <v>1.68</v>
      </c>
      <c r="F1455" s="645"/>
      <c r="G1455" s="712"/>
      <c r="H1455" s="712"/>
    </row>
    <row r="1456" spans="1:56" ht="16" customHeight="1">
      <c r="C1456" s="1518" t="s">
        <v>332</v>
      </c>
      <c r="D1456" s="647">
        <v>32.9</v>
      </c>
      <c r="E1456" s="643">
        <v>0.9</v>
      </c>
      <c r="F1456" s="645"/>
      <c r="G1456" s="712"/>
      <c r="H1456" s="712"/>
    </row>
    <row r="1457" spans="1:56">
      <c r="C1457" s="1520"/>
      <c r="D1457" s="647">
        <v>31.5</v>
      </c>
      <c r="E1457" s="643">
        <v>0.9</v>
      </c>
      <c r="F1457" s="645"/>
      <c r="G1457" s="712"/>
      <c r="H1457" s="712"/>
    </row>
    <row r="1458" spans="1:56" ht="16" customHeight="1">
      <c r="C1458" s="1518" t="s">
        <v>336</v>
      </c>
      <c r="D1458" s="647">
        <v>34</v>
      </c>
      <c r="E1458" s="643">
        <v>1.5</v>
      </c>
      <c r="F1458" s="645"/>
      <c r="G1458" s="643">
        <f>3735295/10000</f>
        <v>373.52949999999998</v>
      </c>
      <c r="H1458" s="643">
        <f>127000030/100000000</f>
        <v>1.2700003</v>
      </c>
    </row>
    <row r="1459" spans="1:56">
      <c r="C1459" s="1520"/>
      <c r="D1459" s="647">
        <v>26.92</v>
      </c>
      <c r="E1459" s="643">
        <v>2.5</v>
      </c>
      <c r="F1459" s="645"/>
      <c r="G1459" s="712"/>
      <c r="H1459" s="712"/>
    </row>
    <row r="1460" spans="1:56" ht="16" customHeight="1">
      <c r="C1460" s="1518" t="s">
        <v>134</v>
      </c>
      <c r="D1460" s="647">
        <v>34</v>
      </c>
      <c r="E1460" s="643">
        <v>2.1</v>
      </c>
      <c r="F1460" s="645"/>
      <c r="G1460" s="643">
        <f>6176470/10000</f>
        <v>617.64700000000005</v>
      </c>
      <c r="H1460" s="643">
        <f>209999980/100000000</f>
        <v>2.0999998</v>
      </c>
    </row>
    <row r="1461" spans="1:56">
      <c r="C1461" s="1519"/>
      <c r="D1461" s="647">
        <v>30.53</v>
      </c>
      <c r="E1461" s="643">
        <v>2.4</v>
      </c>
      <c r="F1461" s="645"/>
      <c r="G1461" s="712"/>
      <c r="H1461" s="712"/>
    </row>
    <row r="1462" spans="1:56">
      <c r="C1462" s="1520"/>
      <c r="D1462" s="647">
        <v>28.71</v>
      </c>
      <c r="E1462" s="643">
        <v>2.5499999999999998</v>
      </c>
      <c r="F1462" s="645"/>
      <c r="G1462" s="712"/>
      <c r="H1462" s="712"/>
    </row>
    <row r="1463" spans="1:56">
      <c r="C1463" s="646" t="s">
        <v>138</v>
      </c>
      <c r="D1463" s="647">
        <v>30.13</v>
      </c>
      <c r="E1463" s="643">
        <v>1.1000000000000001</v>
      </c>
      <c r="F1463" s="645"/>
      <c r="G1463" s="712"/>
      <c r="H1463" s="712"/>
    </row>
    <row r="1464" spans="1:56">
      <c r="C1464" s="646" t="s">
        <v>1044</v>
      </c>
      <c r="D1464" s="647">
        <v>33.299999999999997</v>
      </c>
      <c r="E1464" s="643">
        <v>0.86</v>
      </c>
      <c r="F1464" s="645"/>
      <c r="G1464" s="712"/>
      <c r="H1464" s="712"/>
    </row>
    <row r="1465" spans="1:56">
      <c r="C1465" s="646" t="s">
        <v>3038</v>
      </c>
      <c r="D1465" s="647">
        <v>36.43</v>
      </c>
      <c r="E1465" s="643">
        <v>1.7</v>
      </c>
      <c r="F1465" s="645"/>
      <c r="G1465" s="643">
        <f>5000000/10000</f>
        <v>500</v>
      </c>
      <c r="H1465" s="643">
        <f>170000000/100000000</f>
        <v>1.7</v>
      </c>
    </row>
    <row r="1466" spans="1:56">
      <c r="C1466" s="646" t="s">
        <v>3037</v>
      </c>
      <c r="D1466" s="647">
        <v>36.29</v>
      </c>
      <c r="E1466" s="643">
        <v>0.85</v>
      </c>
      <c r="F1466" s="645"/>
      <c r="G1466" s="643">
        <f>2500000/10000</f>
        <v>250</v>
      </c>
      <c r="H1466" s="643">
        <f>85000000/100000000</f>
        <v>0.85</v>
      </c>
    </row>
    <row r="1467" spans="1:56">
      <c r="C1467" s="646" t="s">
        <v>3036</v>
      </c>
      <c r="D1467" s="647">
        <v>36.36</v>
      </c>
      <c r="E1467" s="643">
        <v>0.85</v>
      </c>
      <c r="F1467" s="645"/>
      <c r="G1467" s="643">
        <f>2500000/10000</f>
        <v>250</v>
      </c>
      <c r="H1467" s="643">
        <f>85000000/100000000</f>
        <v>0.85</v>
      </c>
    </row>
    <row r="1469" spans="1:56" s="663" customFormat="1">
      <c r="A1469" s="663" t="s">
        <v>2861</v>
      </c>
      <c r="B1469" s="665" t="s">
        <v>2036</v>
      </c>
      <c r="C1469" s="667" t="s">
        <v>126</v>
      </c>
      <c r="D1469" s="667" t="s">
        <v>1583</v>
      </c>
      <c r="E1469" s="667" t="s">
        <v>4</v>
      </c>
      <c r="F1469" s="667" t="s">
        <v>2860</v>
      </c>
      <c r="G1469" s="667" t="s">
        <v>2859</v>
      </c>
      <c r="H1469" s="667" t="s">
        <v>2858</v>
      </c>
      <c r="I1469" s="667" t="s">
        <v>751</v>
      </c>
      <c r="J1469" s="665" t="s">
        <v>274</v>
      </c>
      <c r="K1469" s="665" t="s">
        <v>273</v>
      </c>
      <c r="L1469" s="665" t="s">
        <v>116</v>
      </c>
      <c r="M1469" s="665" t="s">
        <v>110</v>
      </c>
      <c r="N1469" s="665" t="s">
        <v>276</v>
      </c>
      <c r="O1469" s="667" t="s">
        <v>1311</v>
      </c>
      <c r="P1469" s="665" t="s">
        <v>275</v>
      </c>
      <c r="Q1469" s="665" t="s">
        <v>111</v>
      </c>
      <c r="R1469" s="665" t="s">
        <v>2857</v>
      </c>
      <c r="S1469" s="665" t="s">
        <v>747</v>
      </c>
      <c r="T1469" s="667" t="s">
        <v>12</v>
      </c>
      <c r="U1469" s="666" t="s">
        <v>948</v>
      </c>
      <c r="V1469" s="665" t="s">
        <v>129</v>
      </c>
      <c r="W1469" s="665" t="s">
        <v>220</v>
      </c>
      <c r="X1469" s="665" t="s">
        <v>749</v>
      </c>
      <c r="Y1469" s="665" t="s">
        <v>750</v>
      </c>
      <c r="Z1469" s="665" t="s">
        <v>748</v>
      </c>
      <c r="BB1469" s="664"/>
      <c r="BD1469" s="664"/>
    </row>
    <row r="1470" spans="1:56">
      <c r="A1470" s="642" t="s">
        <v>2078</v>
      </c>
      <c r="B1470" s="1436">
        <v>122</v>
      </c>
      <c r="C1470" s="1471" t="s">
        <v>2508</v>
      </c>
      <c r="D1470" s="722" t="s">
        <v>2507</v>
      </c>
      <c r="E1470" s="722" t="s">
        <v>2506</v>
      </c>
      <c r="F1470" s="721">
        <v>20.34</v>
      </c>
      <c r="G1470" s="656">
        <v>20.34</v>
      </c>
      <c r="H1470" s="656">
        <f>L1470*R1470</f>
        <v>148.02129980479998</v>
      </c>
      <c r="I1470" s="656">
        <f>F1470/H1470</f>
        <v>0.13741265633272343</v>
      </c>
      <c r="J1470" s="658" t="s">
        <v>2985</v>
      </c>
      <c r="K1470" s="645" t="s">
        <v>204</v>
      </c>
      <c r="L1470" s="645">
        <v>11.84</v>
      </c>
      <c r="M1470" s="658">
        <v>10.31</v>
      </c>
      <c r="N1470" s="653">
        <f>M1470/L1470</f>
        <v>0.87077702702702708</v>
      </c>
      <c r="O1470" s="656">
        <v>11.05</v>
      </c>
      <c r="P1470" s="653">
        <f>O1470/L1470</f>
        <v>0.93327702702702708</v>
      </c>
      <c r="Q1470" s="645">
        <v>9</v>
      </c>
      <c r="R1470" s="653">
        <v>12.501798969999999</v>
      </c>
      <c r="S1470" s="645" t="s">
        <v>2505</v>
      </c>
      <c r="T1470" s="654">
        <v>42936</v>
      </c>
      <c r="U1470" s="645">
        <v>7.57</v>
      </c>
      <c r="V1470" s="653">
        <f>((U1470*(1+X1470/10)+Y1470/10)/O1470)</f>
        <v>0.68506787330316743</v>
      </c>
      <c r="W1470" s="645" t="s">
        <v>223</v>
      </c>
      <c r="X1470" s="645">
        <v>0</v>
      </c>
      <c r="Y1470" s="645">
        <v>0</v>
      </c>
      <c r="Z1470" s="652" t="s">
        <v>2160</v>
      </c>
      <c r="BB1470" s="651"/>
      <c r="BD1470" s="650"/>
    </row>
    <row r="1471" spans="1:56">
      <c r="C1471" s="696" t="s">
        <v>112</v>
      </c>
      <c r="D1471" s="696" t="s">
        <v>113</v>
      </c>
      <c r="E1471" s="696" t="s">
        <v>943</v>
      </c>
      <c r="F1471" s="697" t="s">
        <v>411</v>
      </c>
      <c r="G1471" s="697" t="s">
        <v>942</v>
      </c>
      <c r="H1471" s="696" t="s">
        <v>231</v>
      </c>
    </row>
    <row r="1472" spans="1:56">
      <c r="C1472" s="825" t="s">
        <v>3460</v>
      </c>
      <c r="D1472" s="693" t="s">
        <v>294</v>
      </c>
      <c r="E1472" s="795">
        <f>300000000/100000000</f>
        <v>3</v>
      </c>
      <c r="G1472" s="794">
        <f>27149321/10000</f>
        <v>2714.9321</v>
      </c>
      <c r="H1472" s="795">
        <f>299999997.05/100000000</f>
        <v>2.9999999705000002</v>
      </c>
    </row>
    <row r="1473" spans="3:8">
      <c r="C1473" s="693" t="s">
        <v>3459</v>
      </c>
      <c r="D1473" s="693" t="s">
        <v>294</v>
      </c>
      <c r="E1473" s="795">
        <f>203400000/100000000</f>
        <v>2.0339999999999998</v>
      </c>
      <c r="G1473" s="794">
        <f>18407239/10000</f>
        <v>1840.7239</v>
      </c>
      <c r="H1473" s="795">
        <f>203399990.95/100000000</f>
        <v>2.0339999094999999</v>
      </c>
    </row>
    <row r="1474" spans="3:8">
      <c r="C1474" s="693" t="s">
        <v>552</v>
      </c>
      <c r="D1474" s="796">
        <v>11.82</v>
      </c>
      <c r="E1474" s="795">
        <f>199000000/100000000</f>
        <v>1.99</v>
      </c>
      <c r="G1474" s="794">
        <f>18009049/10000</f>
        <v>1800.9049</v>
      </c>
      <c r="H1474" s="795">
        <f>198999991.45/100000000</f>
        <v>1.9899999144999998</v>
      </c>
    </row>
    <row r="1475" spans="3:8">
      <c r="C1475" s="1575" t="s">
        <v>150</v>
      </c>
      <c r="D1475" s="796">
        <v>11.67</v>
      </c>
      <c r="E1475" s="795">
        <f>204500000/100000000</f>
        <v>2.0449999999999999</v>
      </c>
      <c r="G1475" s="794">
        <f>18506787/10000</f>
        <v>1850.6786999999999</v>
      </c>
      <c r="H1475" s="795">
        <f>204499996.35/100000000</f>
        <v>2.0449999635</v>
      </c>
    </row>
    <row r="1476" spans="3:8">
      <c r="C1476" s="1576"/>
      <c r="D1476" s="796">
        <v>11</v>
      </c>
      <c r="E1476" s="795">
        <f>244500000/100000000</f>
        <v>2.4449999999999998</v>
      </c>
    </row>
    <row r="1477" spans="3:8">
      <c r="C1477" s="1577"/>
      <c r="D1477" s="796">
        <v>10.5</v>
      </c>
      <c r="E1477" s="795">
        <f>315500000/100000000</f>
        <v>3.1549999999999998</v>
      </c>
    </row>
    <row r="1478" spans="3:8">
      <c r="C1478" s="1575" t="s">
        <v>134</v>
      </c>
      <c r="D1478" s="796">
        <v>11.65</v>
      </c>
      <c r="E1478" s="795">
        <f>200000000/100000000</f>
        <v>2</v>
      </c>
      <c r="G1478" s="794">
        <f>20814479/10000</f>
        <v>2081.4479000000001</v>
      </c>
      <c r="H1478" s="795">
        <f>229999992.95/100000000</f>
        <v>2.2999999294999998</v>
      </c>
    </row>
    <row r="1479" spans="3:8">
      <c r="C1479" s="1576"/>
      <c r="D1479" s="796">
        <v>11.13</v>
      </c>
      <c r="E1479" s="795">
        <f>230000000/100000000</f>
        <v>2.2999999999999998</v>
      </c>
    </row>
    <row r="1480" spans="3:8">
      <c r="C1480" s="1577"/>
      <c r="D1480" s="796">
        <v>10.36</v>
      </c>
      <c r="E1480" s="795">
        <f>429000000/100000000</f>
        <v>4.29</v>
      </c>
    </row>
    <row r="1481" spans="3:8">
      <c r="C1481" s="693" t="s">
        <v>371</v>
      </c>
      <c r="D1481" s="796">
        <v>11.55</v>
      </c>
      <c r="E1481" s="795">
        <f>200000000/100000000</f>
        <v>2</v>
      </c>
      <c r="G1481" s="794">
        <f>18099547/10000</f>
        <v>1809.9547</v>
      </c>
      <c r="H1481" s="795">
        <f>199999994.35/100000000</f>
        <v>1.9999999435</v>
      </c>
    </row>
    <row r="1482" spans="3:8">
      <c r="C1482" s="693" t="s">
        <v>233</v>
      </c>
      <c r="D1482" s="796">
        <v>11.25</v>
      </c>
      <c r="E1482" s="795">
        <f>199000000/100000000</f>
        <v>1.99</v>
      </c>
      <c r="G1482" s="794">
        <f>18009049/10000</f>
        <v>1800.9049</v>
      </c>
      <c r="H1482" s="795">
        <f>198999991.45/100000000</f>
        <v>1.9899999144999998</v>
      </c>
    </row>
    <row r="1483" spans="3:8">
      <c r="C1483" s="1575" t="s">
        <v>152</v>
      </c>
      <c r="D1483" s="796">
        <v>11.13</v>
      </c>
      <c r="E1483" s="795">
        <f>280000000/100000000</f>
        <v>2.8</v>
      </c>
      <c r="G1483" s="794">
        <f>25339366/10000</f>
        <v>2533.9366</v>
      </c>
      <c r="H1483" s="795">
        <f>279999994.3/100000000</f>
        <v>2.799999943</v>
      </c>
    </row>
    <row r="1484" spans="3:8">
      <c r="C1484" s="1576"/>
      <c r="D1484" s="796">
        <v>10.59</v>
      </c>
      <c r="E1484" s="795">
        <f>344200000/100000000</f>
        <v>3.4420000000000002</v>
      </c>
      <c r="H1484" s="831" t="s">
        <v>232</v>
      </c>
    </row>
    <row r="1485" spans="3:8">
      <c r="C1485" s="1577"/>
      <c r="D1485" s="796">
        <v>10.49</v>
      </c>
      <c r="E1485" s="795">
        <f>348900000/100000000</f>
        <v>3.4889999999999999</v>
      </c>
    </row>
    <row r="1486" spans="3:8">
      <c r="C1486" s="1575" t="s">
        <v>115</v>
      </c>
      <c r="D1486" s="796">
        <v>11.05</v>
      </c>
      <c r="E1486" s="795">
        <f>280700000/100000000</f>
        <v>2.8069999999999999</v>
      </c>
      <c r="G1486" s="794">
        <f>19737553/10000</f>
        <v>1973.7553</v>
      </c>
      <c r="H1486" s="795">
        <f>218099960.65/100000000</f>
        <v>2.1809996064999999</v>
      </c>
    </row>
    <row r="1487" spans="3:8">
      <c r="C1487" s="1576"/>
      <c r="D1487" s="796">
        <v>10.5</v>
      </c>
      <c r="E1487" s="795">
        <f>616300000/100000000</f>
        <v>6.1630000000000003</v>
      </c>
    </row>
    <row r="1488" spans="3:8">
      <c r="C1488" s="1577"/>
      <c r="D1488" s="796">
        <v>10.33</v>
      </c>
      <c r="E1488" s="795">
        <f>691800000/100000000</f>
        <v>6.9180000000000001</v>
      </c>
    </row>
    <row r="1489" spans="3:5">
      <c r="C1489" s="693" t="s">
        <v>278</v>
      </c>
      <c r="D1489" s="796">
        <v>11</v>
      </c>
      <c r="E1489" s="795">
        <f>241000000/100000000</f>
        <v>2.41</v>
      </c>
    </row>
    <row r="1490" spans="3:5">
      <c r="C1490" s="693" t="s">
        <v>543</v>
      </c>
      <c r="D1490" s="796">
        <v>11</v>
      </c>
      <c r="E1490" s="795">
        <f>199000000/100000000</f>
        <v>1.99</v>
      </c>
    </row>
    <row r="1491" spans="3:5" ht="28">
      <c r="C1491" s="825" t="s">
        <v>3458</v>
      </c>
      <c r="D1491" s="796">
        <v>10.99</v>
      </c>
      <c r="E1491" s="795">
        <f>210000000/100000000</f>
        <v>2.1</v>
      </c>
    </row>
    <row r="1492" spans="3:5">
      <c r="C1492" s="1575" t="s">
        <v>173</v>
      </c>
      <c r="D1492" s="796">
        <v>10.88</v>
      </c>
      <c r="E1492" s="795">
        <f>225000000/100000000</f>
        <v>2.25</v>
      </c>
    </row>
    <row r="1493" spans="3:5">
      <c r="C1493" s="1576"/>
      <c r="D1493" s="796">
        <v>10.53</v>
      </c>
      <c r="E1493" s="795">
        <f>275000000/100000000</f>
        <v>2.75</v>
      </c>
    </row>
    <row r="1494" spans="3:5">
      <c r="C1494" s="1577"/>
      <c r="D1494" s="796">
        <v>10.46</v>
      </c>
      <c r="E1494" s="795">
        <f>325000000/100000000</f>
        <v>3.25</v>
      </c>
    </row>
    <row r="1495" spans="3:5">
      <c r="C1495" s="693" t="s">
        <v>505</v>
      </c>
      <c r="D1495" s="796">
        <v>10.88</v>
      </c>
      <c r="E1495" s="795">
        <f>199000000/100000000</f>
        <v>1.99</v>
      </c>
    </row>
    <row r="1496" spans="3:5">
      <c r="C1496" s="1575" t="s">
        <v>122</v>
      </c>
      <c r="D1496" s="796">
        <v>10.8</v>
      </c>
      <c r="E1496" s="795">
        <f>199000000/100000000</f>
        <v>1.99</v>
      </c>
    </row>
    <row r="1497" spans="3:5">
      <c r="C1497" s="1576"/>
      <c r="D1497" s="796">
        <v>10.5</v>
      </c>
      <c r="E1497" s="795">
        <f>210000000/100000000</f>
        <v>2.1</v>
      </c>
    </row>
    <row r="1498" spans="3:5">
      <c r="C1498" s="1577"/>
      <c r="D1498" s="796">
        <v>10.31</v>
      </c>
      <c r="E1498" s="795">
        <f>220000000/100000000</f>
        <v>2.2000000000000002</v>
      </c>
    </row>
    <row r="1499" spans="3:5">
      <c r="C1499" s="693" t="s">
        <v>1054</v>
      </c>
      <c r="D1499" s="796">
        <v>10.6</v>
      </c>
      <c r="E1499" s="795">
        <f>500000000/100000000</f>
        <v>5</v>
      </c>
    </row>
    <row r="1500" spans="3:5">
      <c r="C1500" s="693" t="s">
        <v>147</v>
      </c>
      <c r="D1500" s="796">
        <v>10.51</v>
      </c>
      <c r="E1500" s="795">
        <f>239000000/100000000</f>
        <v>2.39</v>
      </c>
    </row>
    <row r="1501" spans="3:5">
      <c r="C1501" s="693" t="s">
        <v>127</v>
      </c>
      <c r="D1501" s="796">
        <v>10.42</v>
      </c>
      <c r="E1501" s="795">
        <f>200000000/100000000</f>
        <v>2</v>
      </c>
    </row>
    <row r="1502" spans="3:5" ht="28">
      <c r="C1502" s="825" t="s">
        <v>3457</v>
      </c>
      <c r="D1502" s="796">
        <v>10.33</v>
      </c>
      <c r="E1502" s="795">
        <f>210000000/100000000</f>
        <v>2.1</v>
      </c>
    </row>
    <row r="1503" spans="3:5">
      <c r="C1503" s="693" t="s">
        <v>120</v>
      </c>
      <c r="D1503" s="796">
        <v>10.33</v>
      </c>
      <c r="E1503" s="795">
        <f>204000000/100000000</f>
        <v>2.04</v>
      </c>
    </row>
    <row r="1505" spans="1:56" s="663" customFormat="1">
      <c r="A1505" s="663" t="s">
        <v>2861</v>
      </c>
      <c r="B1505" s="665" t="s">
        <v>2036</v>
      </c>
      <c r="C1505" s="667" t="s">
        <v>126</v>
      </c>
      <c r="D1505" s="667" t="s">
        <v>1583</v>
      </c>
      <c r="E1505" s="667" t="s">
        <v>4</v>
      </c>
      <c r="F1505" s="667" t="s">
        <v>2860</v>
      </c>
      <c r="G1505" s="667" t="s">
        <v>2859</v>
      </c>
      <c r="H1505" s="667" t="s">
        <v>2858</v>
      </c>
      <c r="I1505" s="667" t="s">
        <v>751</v>
      </c>
      <c r="J1505" s="665" t="s">
        <v>274</v>
      </c>
      <c r="K1505" s="665" t="s">
        <v>273</v>
      </c>
      <c r="L1505" s="665" t="s">
        <v>116</v>
      </c>
      <c r="M1505" s="665" t="s">
        <v>110</v>
      </c>
      <c r="N1505" s="665" t="s">
        <v>276</v>
      </c>
      <c r="O1505" s="667" t="s">
        <v>1311</v>
      </c>
      <c r="P1505" s="665" t="s">
        <v>275</v>
      </c>
      <c r="Q1505" s="665" t="s">
        <v>111</v>
      </c>
      <c r="R1505" s="665" t="s">
        <v>2857</v>
      </c>
      <c r="S1505" s="665" t="s">
        <v>747</v>
      </c>
      <c r="T1505" s="667" t="s">
        <v>12</v>
      </c>
      <c r="U1505" s="666" t="s">
        <v>948</v>
      </c>
      <c r="V1505" s="665" t="s">
        <v>129</v>
      </c>
      <c r="W1505" s="665" t="s">
        <v>220</v>
      </c>
      <c r="X1505" s="665" t="s">
        <v>749</v>
      </c>
      <c r="Y1505" s="665" t="s">
        <v>750</v>
      </c>
      <c r="Z1505" s="665" t="s">
        <v>748</v>
      </c>
      <c r="BB1505" s="664"/>
      <c r="BD1505" s="664"/>
    </row>
    <row r="1506" spans="1:56">
      <c r="A1506" s="642" t="s">
        <v>2078</v>
      </c>
      <c r="B1506" s="1436">
        <v>123</v>
      </c>
      <c r="C1506" s="723" t="s">
        <v>2504</v>
      </c>
      <c r="D1506" s="722" t="s">
        <v>2503</v>
      </c>
      <c r="E1506" s="722" t="s">
        <v>2502</v>
      </c>
      <c r="F1506" s="721">
        <v>13.55</v>
      </c>
      <c r="G1506" s="660">
        <v>13.55</v>
      </c>
      <c r="H1506" s="656">
        <f>L1506*R1506</f>
        <v>105.34400000000001</v>
      </c>
      <c r="I1506" s="656">
        <f>F1506/H1506</f>
        <v>0.12862621506682867</v>
      </c>
      <c r="J1506" s="658" t="s">
        <v>3035</v>
      </c>
      <c r="K1506" s="645" t="s">
        <v>2501</v>
      </c>
      <c r="L1506" s="645">
        <v>32.92</v>
      </c>
      <c r="M1506" s="658">
        <v>23.71</v>
      </c>
      <c r="N1506" s="653">
        <f>M1506/L1506</f>
        <v>0.72023086269744829</v>
      </c>
      <c r="O1506" s="656">
        <v>31.73</v>
      </c>
      <c r="P1506" s="653">
        <f>O1506/L1506</f>
        <v>0.96385176184690158</v>
      </c>
      <c r="Q1506" s="645">
        <v>7</v>
      </c>
      <c r="R1506" s="645">
        <v>3.2</v>
      </c>
      <c r="S1506" s="645" t="s">
        <v>2500</v>
      </c>
      <c r="T1506" s="654">
        <v>42941</v>
      </c>
      <c r="U1506" s="645">
        <v>32.21</v>
      </c>
      <c r="V1506" s="653">
        <f>((U1506*(1+X1506/10)+Y1506/10)/O1506)</f>
        <v>1.02458241411913</v>
      </c>
      <c r="W1506" s="645" t="s">
        <v>2499</v>
      </c>
      <c r="X1506" s="645">
        <v>0</v>
      </c>
      <c r="Y1506" s="645">
        <v>3</v>
      </c>
      <c r="Z1506" s="652" t="s">
        <v>2093</v>
      </c>
      <c r="BB1506" s="651"/>
      <c r="BD1506" s="650"/>
    </row>
    <row r="1507" spans="1:56">
      <c r="C1507" s="696" t="s">
        <v>112</v>
      </c>
      <c r="D1507" s="696" t="s">
        <v>113</v>
      </c>
      <c r="E1507" s="696" t="s">
        <v>943</v>
      </c>
      <c r="F1507" s="697" t="s">
        <v>411</v>
      </c>
      <c r="G1507" s="697" t="s">
        <v>942</v>
      </c>
      <c r="H1507" s="696" t="s">
        <v>231</v>
      </c>
    </row>
    <row r="1508" spans="1:56">
      <c r="C1508" s="642" t="s">
        <v>552</v>
      </c>
      <c r="D1508" s="824"/>
      <c r="E1508" s="824"/>
      <c r="G1508" s="778">
        <f>5357705/10000</f>
        <v>535.77049999999997</v>
      </c>
      <c r="H1508" s="777">
        <f>169999979.65/100000000</f>
        <v>1.6999997965</v>
      </c>
    </row>
    <row r="1509" spans="1:56">
      <c r="C1509" s="642" t="s">
        <v>1846</v>
      </c>
      <c r="D1509" s="824"/>
      <c r="E1509" s="824"/>
      <c r="G1509" s="778">
        <f>5200126/10000</f>
        <v>520.01260000000002</v>
      </c>
      <c r="H1509" s="777">
        <f>164999997.98/100000000</f>
        <v>1.6499999797999998</v>
      </c>
    </row>
    <row r="1510" spans="1:56">
      <c r="C1510" s="642" t="s">
        <v>279</v>
      </c>
      <c r="D1510" s="824"/>
      <c r="E1510" s="824"/>
      <c r="G1510" s="778">
        <f>6994919/10000</f>
        <v>699.49189999999999</v>
      </c>
      <c r="H1510" s="777">
        <f>221948779.87/100000000</f>
        <v>2.2194877986999999</v>
      </c>
    </row>
    <row r="1511" spans="1:56">
      <c r="C1511" s="642" t="s">
        <v>3034</v>
      </c>
      <c r="D1511" s="824"/>
      <c r="E1511" s="824"/>
      <c r="G1511" s="778">
        <f>5042546/10000</f>
        <v>504.25459999999998</v>
      </c>
      <c r="H1511" s="777">
        <f>1.5999998458</f>
        <v>1.5999998458</v>
      </c>
    </row>
    <row r="1512" spans="1:56">
      <c r="C1512" s="642" t="s">
        <v>115</v>
      </c>
      <c r="D1512" s="824"/>
      <c r="E1512" s="824"/>
      <c r="G1512" s="778">
        <f>9950000/10000</f>
        <v>995</v>
      </c>
      <c r="H1512" s="777">
        <f>315713500/100000000</f>
        <v>3.1571349999999998</v>
      </c>
    </row>
    <row r="1513" spans="1:56">
      <c r="C1513" s="642" t="s">
        <v>173</v>
      </c>
      <c r="D1513" s="824"/>
      <c r="E1513" s="824"/>
      <c r="G1513" s="778">
        <f>9250000/10000</f>
        <v>925</v>
      </c>
      <c r="H1513" s="777">
        <f>293502500/100000000</f>
        <v>2.935025</v>
      </c>
    </row>
    <row r="1514" spans="1:56">
      <c r="C1514" s="642" t="s">
        <v>136</v>
      </c>
      <c r="D1514" s="824"/>
      <c r="E1514" s="824"/>
      <c r="G1514" s="778">
        <f>899362/10000</f>
        <v>89.936199999999999</v>
      </c>
      <c r="H1514" s="777">
        <f>28536756.26/100000000</f>
        <v>0.28536756260000001</v>
      </c>
    </row>
    <row r="1516" spans="1:56" s="663" customFormat="1">
      <c r="A1516" s="663" t="s">
        <v>2861</v>
      </c>
      <c r="B1516" s="665" t="s">
        <v>2036</v>
      </c>
      <c r="C1516" s="667" t="s">
        <v>126</v>
      </c>
      <c r="D1516" s="667" t="s">
        <v>1583</v>
      </c>
      <c r="E1516" s="667" t="s">
        <v>4</v>
      </c>
      <c r="F1516" s="667" t="s">
        <v>2860</v>
      </c>
      <c r="G1516" s="667" t="s">
        <v>2859</v>
      </c>
      <c r="H1516" s="667" t="s">
        <v>2858</v>
      </c>
      <c r="I1516" s="667" t="s">
        <v>751</v>
      </c>
      <c r="J1516" s="665" t="s">
        <v>274</v>
      </c>
      <c r="K1516" s="665" t="s">
        <v>273</v>
      </c>
      <c r="L1516" s="665" t="s">
        <v>116</v>
      </c>
      <c r="M1516" s="665" t="s">
        <v>110</v>
      </c>
      <c r="N1516" s="665" t="s">
        <v>276</v>
      </c>
      <c r="O1516" s="667" t="s">
        <v>1311</v>
      </c>
      <c r="P1516" s="665" t="s">
        <v>275</v>
      </c>
      <c r="Q1516" s="665" t="s">
        <v>111</v>
      </c>
      <c r="R1516" s="665" t="s">
        <v>2857</v>
      </c>
      <c r="S1516" s="665" t="s">
        <v>747</v>
      </c>
      <c r="T1516" s="667" t="s">
        <v>12</v>
      </c>
      <c r="U1516" s="666" t="s">
        <v>948</v>
      </c>
      <c r="V1516" s="665" t="s">
        <v>129</v>
      </c>
      <c r="W1516" s="665" t="s">
        <v>220</v>
      </c>
      <c r="X1516" s="665" t="s">
        <v>749</v>
      </c>
      <c r="Y1516" s="665" t="s">
        <v>750</v>
      </c>
      <c r="Z1516" s="665" t="s">
        <v>748</v>
      </c>
      <c r="BB1516" s="664"/>
      <c r="BD1516" s="664"/>
    </row>
    <row r="1517" spans="1:56">
      <c r="A1517" s="642" t="s">
        <v>2078</v>
      </c>
      <c r="B1517" s="1436">
        <v>124</v>
      </c>
      <c r="C1517" s="1437" t="s">
        <v>2498</v>
      </c>
      <c r="D1517" s="662" t="s">
        <v>2497</v>
      </c>
      <c r="E1517" s="662" t="s">
        <v>2496</v>
      </c>
      <c r="F1517" s="661">
        <v>3.36</v>
      </c>
      <c r="G1517" s="660">
        <v>3.36</v>
      </c>
      <c r="H1517" s="659">
        <f>L1517*R1517</f>
        <v>60.334848000000001</v>
      </c>
      <c r="I1517" s="656">
        <f>F1517/H1517</f>
        <v>5.568920965873652E-2</v>
      </c>
      <c r="J1517" s="658" t="s">
        <v>3033</v>
      </c>
      <c r="K1517" s="645" t="s">
        <v>2125</v>
      </c>
      <c r="L1517" s="645">
        <v>73.08</v>
      </c>
      <c r="M1517" s="658">
        <v>55.29</v>
      </c>
      <c r="N1517" s="653">
        <f>M1517/L1517</f>
        <v>0.75656814449917897</v>
      </c>
      <c r="O1517" s="656">
        <v>66.2</v>
      </c>
      <c r="P1517" s="653">
        <f>O1517/L1517</f>
        <v>0.905856595511768</v>
      </c>
      <c r="Q1517" s="645">
        <v>3</v>
      </c>
      <c r="R1517" s="653">
        <v>0.8256</v>
      </c>
      <c r="S1517" s="645" t="s">
        <v>2495</v>
      </c>
      <c r="T1517" s="654">
        <v>42940</v>
      </c>
      <c r="U1517" s="645">
        <v>53.29</v>
      </c>
      <c r="V1517" s="653">
        <f>((U1517*(1+X1517/10)+Y1517/10)/O1517)</f>
        <v>0.81253776435045311</v>
      </c>
      <c r="W1517" s="645" t="s">
        <v>2099</v>
      </c>
      <c r="X1517" s="645">
        <v>0</v>
      </c>
      <c r="Y1517" s="645">
        <v>5</v>
      </c>
      <c r="Z1517" s="652" t="s">
        <v>2494</v>
      </c>
      <c r="BB1517" s="651"/>
      <c r="BD1517" s="650"/>
    </row>
    <row r="1518" spans="1:56">
      <c r="C1518" s="648" t="s">
        <v>112</v>
      </c>
      <c r="D1518" s="648" t="s">
        <v>113</v>
      </c>
      <c r="E1518" s="648" t="s">
        <v>943</v>
      </c>
      <c r="F1518" s="649" t="s">
        <v>411</v>
      </c>
      <c r="G1518" s="649" t="s">
        <v>942</v>
      </c>
      <c r="H1518" s="648" t="s">
        <v>231</v>
      </c>
    </row>
    <row r="1519" spans="1:56">
      <c r="C1519" s="646" t="s">
        <v>966</v>
      </c>
      <c r="D1519" s="647">
        <v>57.67</v>
      </c>
      <c r="E1519" s="643">
        <v>0.7</v>
      </c>
      <c r="F1519" s="645"/>
      <c r="G1519" s="645"/>
      <c r="H1519" s="645"/>
    </row>
    <row r="1520" spans="1:56">
      <c r="C1520" s="646" t="s">
        <v>955</v>
      </c>
      <c r="D1520" s="647">
        <v>56</v>
      </c>
      <c r="E1520" s="643">
        <v>0.35</v>
      </c>
      <c r="F1520" s="645"/>
      <c r="G1520" s="645"/>
      <c r="H1520" s="645"/>
    </row>
    <row r="1521" spans="3:8">
      <c r="C1521" s="646" t="s">
        <v>3024</v>
      </c>
      <c r="D1521" s="647">
        <v>62.51</v>
      </c>
      <c r="E1521" s="643">
        <v>0.35</v>
      </c>
      <c r="F1521" s="645"/>
      <c r="G1521" s="645"/>
      <c r="H1521" s="645"/>
    </row>
    <row r="1522" spans="3:8">
      <c r="C1522" s="646" t="s">
        <v>8</v>
      </c>
      <c r="D1522" s="647">
        <v>55.29</v>
      </c>
      <c r="E1522" s="643">
        <v>0.35</v>
      </c>
      <c r="F1522" s="645"/>
      <c r="G1522" s="645"/>
      <c r="H1522" s="645"/>
    </row>
    <row r="1523" spans="3:8" ht="16" customHeight="1">
      <c r="C1523" s="1518" t="s">
        <v>1037</v>
      </c>
      <c r="D1523" s="647">
        <v>66.099999999999994</v>
      </c>
      <c r="E1523" s="643">
        <v>0.35</v>
      </c>
      <c r="F1523" s="645"/>
      <c r="G1523" s="645"/>
      <c r="H1523" s="645"/>
    </row>
    <row r="1524" spans="3:8">
      <c r="C1524" s="1520"/>
      <c r="D1524" s="647">
        <v>61.1</v>
      </c>
      <c r="E1524" s="643">
        <v>0.7</v>
      </c>
      <c r="F1524" s="645"/>
      <c r="G1524" s="645"/>
      <c r="H1524" s="645"/>
    </row>
    <row r="1525" spans="3:8">
      <c r="C1525" s="646" t="s">
        <v>2960</v>
      </c>
      <c r="D1525" s="647">
        <v>63</v>
      </c>
      <c r="E1525" s="643">
        <v>0.35</v>
      </c>
      <c r="F1525" s="645"/>
      <c r="G1525" s="645"/>
      <c r="H1525" s="645"/>
    </row>
    <row r="1526" spans="3:8">
      <c r="C1526" s="646" t="s">
        <v>127</v>
      </c>
      <c r="D1526" s="647">
        <v>61.12</v>
      </c>
      <c r="E1526" s="643">
        <v>0.7</v>
      </c>
      <c r="F1526" s="645"/>
      <c r="G1526" s="645"/>
      <c r="H1526" s="645"/>
    </row>
    <row r="1527" spans="3:8">
      <c r="C1527" s="646" t="s">
        <v>974</v>
      </c>
      <c r="D1527" s="647">
        <v>60.05</v>
      </c>
      <c r="E1527" s="643">
        <v>0.4</v>
      </c>
      <c r="F1527" s="645"/>
      <c r="G1527" s="645"/>
      <c r="H1527" s="645"/>
    </row>
    <row r="1528" spans="3:8">
      <c r="C1528" s="646" t="s">
        <v>139</v>
      </c>
      <c r="D1528" s="647">
        <v>62.5</v>
      </c>
      <c r="E1528" s="643">
        <v>0.35</v>
      </c>
      <c r="F1528" s="645"/>
      <c r="G1528" s="645"/>
      <c r="H1528" s="645"/>
    </row>
    <row r="1529" spans="3:8">
      <c r="C1529" s="646" t="s">
        <v>234</v>
      </c>
      <c r="D1529" s="647">
        <v>61.53</v>
      </c>
      <c r="E1529" s="643">
        <v>0.35</v>
      </c>
      <c r="F1529" s="645"/>
      <c r="G1529" s="645"/>
      <c r="H1529" s="645"/>
    </row>
    <row r="1530" spans="3:8" ht="16" customHeight="1">
      <c r="C1530" s="1518" t="s">
        <v>115</v>
      </c>
      <c r="D1530" s="647">
        <v>72</v>
      </c>
      <c r="E1530" s="643">
        <v>0.51</v>
      </c>
      <c r="F1530" s="645"/>
      <c r="G1530" s="643">
        <f>3580059/10000</f>
        <v>358.0059</v>
      </c>
      <c r="H1530" s="643">
        <f>236999905.8/100000000</f>
        <v>2.3699990580000003</v>
      </c>
    </row>
    <row r="1531" spans="3:8">
      <c r="C1531" s="1519"/>
      <c r="D1531" s="647">
        <v>70.05</v>
      </c>
      <c r="E1531" s="643">
        <v>1.08</v>
      </c>
      <c r="F1531" s="645"/>
      <c r="G1531" s="645"/>
      <c r="H1531" s="645"/>
    </row>
    <row r="1532" spans="3:8">
      <c r="C1532" s="1520"/>
      <c r="D1532" s="647">
        <v>67.099999999999994</v>
      </c>
      <c r="E1532" s="643">
        <v>2.37</v>
      </c>
      <c r="F1532" s="645"/>
      <c r="G1532" s="645"/>
      <c r="H1532" s="645"/>
    </row>
    <row r="1533" spans="3:8">
      <c r="C1533" s="646" t="s">
        <v>157</v>
      </c>
      <c r="D1533" s="647">
        <v>55.31</v>
      </c>
      <c r="E1533" s="643">
        <v>0.35</v>
      </c>
      <c r="F1533" s="645"/>
      <c r="G1533" s="645"/>
      <c r="H1533" s="645"/>
    </row>
    <row r="1534" spans="3:8">
      <c r="C1534" s="646" t="s">
        <v>351</v>
      </c>
      <c r="D1534" s="647">
        <v>60</v>
      </c>
      <c r="E1534" s="643">
        <v>0.7</v>
      </c>
      <c r="F1534" s="645"/>
      <c r="G1534" s="645"/>
      <c r="H1534" s="645"/>
    </row>
    <row r="1535" spans="3:8">
      <c r="C1535" s="646" t="s">
        <v>136</v>
      </c>
      <c r="D1535" s="647">
        <v>61.08</v>
      </c>
      <c r="E1535" s="643">
        <v>0.35</v>
      </c>
      <c r="F1535" s="645"/>
      <c r="G1535" s="645"/>
      <c r="H1535" s="645"/>
    </row>
    <row r="1536" spans="3:8" ht="16" customHeight="1">
      <c r="C1536" s="1518" t="s">
        <v>147</v>
      </c>
      <c r="D1536" s="647">
        <v>64.11</v>
      </c>
      <c r="E1536" s="643">
        <v>0.39500000000000002</v>
      </c>
      <c r="F1536" s="645"/>
      <c r="G1536" s="645"/>
      <c r="H1536" s="645"/>
    </row>
    <row r="1537" spans="1:56">
      <c r="C1537" s="1519"/>
      <c r="D1537" s="647">
        <v>61</v>
      </c>
      <c r="E1537" s="643">
        <v>0.73</v>
      </c>
      <c r="F1537" s="645"/>
      <c r="G1537" s="645"/>
      <c r="H1537" s="645"/>
    </row>
    <row r="1538" spans="1:56">
      <c r="C1538" s="1520"/>
      <c r="D1538" s="647">
        <v>58.76</v>
      </c>
      <c r="E1538" s="643">
        <v>1.23</v>
      </c>
      <c r="F1538" s="645"/>
      <c r="G1538" s="645"/>
      <c r="H1538" s="645"/>
    </row>
    <row r="1539" spans="1:56" ht="16" customHeight="1">
      <c r="C1539" s="1518" t="s">
        <v>229</v>
      </c>
      <c r="D1539" s="647">
        <v>69.400000000000006</v>
      </c>
      <c r="E1539" s="643">
        <v>0.35</v>
      </c>
      <c r="F1539" s="645"/>
      <c r="G1539" s="643">
        <f>528700/10000</f>
        <v>52.87</v>
      </c>
      <c r="H1539" s="643">
        <f>34999940/100000000</f>
        <v>0.34999940000000002</v>
      </c>
    </row>
    <row r="1540" spans="1:56">
      <c r="C1540" s="1519"/>
      <c r="D1540" s="647">
        <v>67.3</v>
      </c>
      <c r="E1540" s="643">
        <v>0.35</v>
      </c>
      <c r="F1540" s="645"/>
      <c r="G1540" s="645"/>
      <c r="H1540" s="645"/>
    </row>
    <row r="1541" spans="1:56">
      <c r="C1541" s="1520"/>
      <c r="D1541" s="647">
        <v>64.3</v>
      </c>
      <c r="E1541" s="643">
        <v>0.35</v>
      </c>
      <c r="F1541" s="645"/>
      <c r="G1541" s="645"/>
      <c r="H1541" s="645"/>
    </row>
    <row r="1542" spans="1:56" ht="16" customHeight="1">
      <c r="C1542" s="1518" t="s">
        <v>138</v>
      </c>
      <c r="D1542" s="647">
        <v>73</v>
      </c>
      <c r="E1542" s="643">
        <v>0.43</v>
      </c>
      <c r="F1542" s="645"/>
      <c r="G1542" s="643">
        <f>963127/10000</f>
        <v>96.312700000000007</v>
      </c>
      <c r="H1542" s="643">
        <f>63759007.4/100000000</f>
        <v>0.63759007400000001</v>
      </c>
    </row>
    <row r="1543" spans="1:56">
      <c r="C1543" s="1519"/>
      <c r="D1543" s="647">
        <v>66.2</v>
      </c>
      <c r="E1543" s="643">
        <v>0.86</v>
      </c>
      <c r="F1543" s="645"/>
      <c r="G1543" s="645"/>
      <c r="H1543" s="645"/>
    </row>
    <row r="1544" spans="1:56">
      <c r="C1544" s="1520"/>
      <c r="D1544" s="647">
        <v>61.03</v>
      </c>
      <c r="E1544" s="643">
        <v>1.37</v>
      </c>
      <c r="F1544" s="645"/>
      <c r="G1544" s="645"/>
      <c r="H1544" s="645"/>
    </row>
    <row r="1546" spans="1:56" s="663" customFormat="1">
      <c r="A1546" s="663" t="s">
        <v>2861</v>
      </c>
      <c r="B1546" s="665" t="s">
        <v>2036</v>
      </c>
      <c r="C1546" s="667" t="s">
        <v>126</v>
      </c>
      <c r="D1546" s="667" t="s">
        <v>1583</v>
      </c>
      <c r="E1546" s="667" t="s">
        <v>4</v>
      </c>
      <c r="F1546" s="667" t="s">
        <v>2860</v>
      </c>
      <c r="G1546" s="667" t="s">
        <v>2859</v>
      </c>
      <c r="H1546" s="667" t="s">
        <v>2858</v>
      </c>
      <c r="I1546" s="667" t="s">
        <v>751</v>
      </c>
      <c r="J1546" s="665" t="s">
        <v>274</v>
      </c>
      <c r="K1546" s="665" t="s">
        <v>273</v>
      </c>
      <c r="L1546" s="665" t="s">
        <v>116</v>
      </c>
      <c r="M1546" s="665" t="s">
        <v>110</v>
      </c>
      <c r="N1546" s="665" t="s">
        <v>276</v>
      </c>
      <c r="O1546" s="667" t="s">
        <v>1311</v>
      </c>
      <c r="P1546" s="665" t="s">
        <v>275</v>
      </c>
      <c r="Q1546" s="665" t="s">
        <v>111</v>
      </c>
      <c r="R1546" s="665" t="s">
        <v>2857</v>
      </c>
      <c r="S1546" s="665" t="s">
        <v>747</v>
      </c>
      <c r="T1546" s="667" t="s">
        <v>12</v>
      </c>
      <c r="U1546" s="666" t="s">
        <v>948</v>
      </c>
      <c r="V1546" s="665" t="s">
        <v>129</v>
      </c>
      <c r="W1546" s="665" t="s">
        <v>220</v>
      </c>
      <c r="X1546" s="665" t="s">
        <v>749</v>
      </c>
      <c r="Y1546" s="665" t="s">
        <v>750</v>
      </c>
      <c r="Z1546" s="668" t="s">
        <v>748</v>
      </c>
      <c r="AA1546" s="716"/>
      <c r="BB1546" s="664"/>
      <c r="BD1546" s="664"/>
    </row>
    <row r="1547" spans="1:56">
      <c r="A1547" s="642" t="s">
        <v>2078</v>
      </c>
      <c r="B1547" s="1436">
        <v>125</v>
      </c>
      <c r="C1547" s="1471" t="s">
        <v>2493</v>
      </c>
      <c r="D1547" s="722" t="s">
        <v>2492</v>
      </c>
      <c r="E1547" s="722" t="s">
        <v>2491</v>
      </c>
      <c r="F1547" s="721">
        <v>150</v>
      </c>
      <c r="G1547" s="660">
        <v>144.72999999999999</v>
      </c>
      <c r="H1547" s="656">
        <f>L1547*R1547</f>
        <v>956.11249999999995</v>
      </c>
      <c r="I1547" s="656">
        <f>F1547/H1547</f>
        <v>0.15688530376916943</v>
      </c>
      <c r="J1547" s="658" t="s">
        <v>3032</v>
      </c>
      <c r="K1547" s="645" t="s">
        <v>2240</v>
      </c>
      <c r="L1547" s="645">
        <v>61.25</v>
      </c>
      <c r="M1547" s="658">
        <v>57.4</v>
      </c>
      <c r="N1547" s="699">
        <f>M1547/L1547</f>
        <v>0.93714285714285717</v>
      </c>
      <c r="O1547" s="660">
        <v>57.4</v>
      </c>
      <c r="P1547" s="699">
        <f>O1547/L1547</f>
        <v>0.93714285714285717</v>
      </c>
      <c r="Q1547" s="642">
        <v>6</v>
      </c>
      <c r="R1547" s="642">
        <v>15.61</v>
      </c>
      <c r="S1547" s="642" t="s">
        <v>2490</v>
      </c>
      <c r="T1547" s="651">
        <v>42941</v>
      </c>
      <c r="U1547" s="642">
        <v>49.39</v>
      </c>
      <c r="V1547" s="699">
        <f>((U1547*(1+X1547/10)+Y1547/10)/O1547)</f>
        <v>0.86684668989547031</v>
      </c>
      <c r="W1547" s="642" t="s">
        <v>2489</v>
      </c>
      <c r="X1547" s="642">
        <v>0</v>
      </c>
      <c r="Y1547" s="642">
        <v>3.67</v>
      </c>
      <c r="Z1547" s="650" t="s">
        <v>2374</v>
      </c>
      <c r="BB1547" s="651"/>
      <c r="BD1547" s="650"/>
    </row>
    <row r="1548" spans="1:56" s="722" customFormat="1">
      <c r="J1548" s="642" t="s">
        <v>3031</v>
      </c>
      <c r="K1548" s="645" t="s">
        <v>2240</v>
      </c>
      <c r="L1548" s="830" t="s">
        <v>3456</v>
      </c>
      <c r="M1548" s="829"/>
      <c r="N1548" s="462">
        <f>M1547/L1548</f>
        <v>0.95190713101160862</v>
      </c>
      <c r="O1548" s="829"/>
      <c r="P1548" s="462">
        <f>O1547/L1548</f>
        <v>0.95190713101160862</v>
      </c>
      <c r="R1548" s="722" t="s">
        <v>2488</v>
      </c>
    </row>
    <row r="1549" spans="1:56">
      <c r="C1549" s="648" t="s">
        <v>112</v>
      </c>
      <c r="D1549" s="648" t="s">
        <v>113</v>
      </c>
      <c r="E1549" s="648" t="s">
        <v>943</v>
      </c>
      <c r="F1549" s="649" t="s">
        <v>411</v>
      </c>
      <c r="G1549" s="649" t="s">
        <v>942</v>
      </c>
      <c r="H1549" s="648" t="s">
        <v>231</v>
      </c>
    </row>
    <row r="1550" spans="1:56">
      <c r="C1550" s="646" t="s">
        <v>3455</v>
      </c>
      <c r="D1550" s="645">
        <v>57.4</v>
      </c>
      <c r="E1550" s="645">
        <v>15</v>
      </c>
      <c r="F1550" s="645"/>
      <c r="G1550" s="644">
        <f>26132404/10000</f>
        <v>2613.2404000000001</v>
      </c>
      <c r="H1550" s="643">
        <f>1499999989.6/100000000</f>
        <v>14.999999895999999</v>
      </c>
    </row>
    <row r="1551" spans="1:56">
      <c r="C1551" s="646"/>
      <c r="D1551" s="1571" t="s">
        <v>3221</v>
      </c>
      <c r="E1551" s="1572"/>
      <c r="F1551" s="645"/>
      <c r="G1551" s="828" t="s">
        <v>3454</v>
      </c>
      <c r="H1551" s="643"/>
    </row>
    <row r="1552" spans="1:56">
      <c r="C1552" s="646" t="s">
        <v>130</v>
      </c>
      <c r="D1552" s="645">
        <v>57.4</v>
      </c>
      <c r="E1552" s="645">
        <v>43.05</v>
      </c>
      <c r="F1552" s="645"/>
      <c r="G1552" s="644">
        <f>75000000/10000</f>
        <v>7500</v>
      </c>
      <c r="H1552" s="643">
        <f>4305000000/100000000</f>
        <v>43.05</v>
      </c>
    </row>
    <row r="1553" spans="1:56">
      <c r="C1553" s="646" t="s">
        <v>403</v>
      </c>
      <c r="D1553" s="645">
        <v>57.4</v>
      </c>
      <c r="E1553" s="645">
        <v>31.95</v>
      </c>
      <c r="F1553" s="645"/>
      <c r="G1553" s="644">
        <f>55662020/10000</f>
        <v>5566.2020000000002</v>
      </c>
      <c r="H1553" s="643">
        <f>3194999948/100000000</f>
        <v>31.949999479999999</v>
      </c>
    </row>
    <row r="1554" spans="1:56">
      <c r="C1554" s="646" t="s">
        <v>3453</v>
      </c>
      <c r="D1554" s="645">
        <v>57.4</v>
      </c>
      <c r="E1554" s="645">
        <v>30</v>
      </c>
      <c r="F1554" s="645"/>
      <c r="G1554" s="644">
        <f>52264808/10000</f>
        <v>5226.4808000000003</v>
      </c>
      <c r="H1554" s="643">
        <f>2999999979.2/100000000</f>
        <v>29.999999791999997</v>
      </c>
    </row>
    <row r="1555" spans="1:56">
      <c r="C1555" s="646" t="s">
        <v>131</v>
      </c>
      <c r="D1555" s="645">
        <v>57.4</v>
      </c>
      <c r="E1555" s="645">
        <v>16.7</v>
      </c>
      <c r="F1555" s="645"/>
      <c r="G1555" s="644">
        <f>29146341/10000</f>
        <v>2914.6341000000002</v>
      </c>
      <c r="H1555" s="643">
        <f>1672999973.4/100000000</f>
        <v>16.729999734</v>
      </c>
    </row>
    <row r="1556" spans="1:56">
      <c r="C1556" s="646" t="s">
        <v>371</v>
      </c>
      <c r="D1556" s="645">
        <v>57.4</v>
      </c>
      <c r="E1556" s="645">
        <v>8</v>
      </c>
      <c r="F1556" s="645"/>
      <c r="G1556" s="644">
        <f>13937282/10000</f>
        <v>1393.7282</v>
      </c>
      <c r="H1556" s="643">
        <f>799999986.8/100000000</f>
        <v>7.9999998679999997</v>
      </c>
    </row>
    <row r="1557" spans="1:56">
      <c r="H1557" s="687"/>
    </row>
    <row r="1559" spans="1:56" s="663" customFormat="1">
      <c r="A1559" s="663" t="s">
        <v>2861</v>
      </c>
      <c r="B1559" s="665" t="s">
        <v>2036</v>
      </c>
      <c r="C1559" s="667" t="s">
        <v>126</v>
      </c>
      <c r="D1559" s="667" t="s">
        <v>1583</v>
      </c>
      <c r="E1559" s="667" t="s">
        <v>4</v>
      </c>
      <c r="F1559" s="667" t="s">
        <v>2860</v>
      </c>
      <c r="G1559" s="667" t="s">
        <v>2859</v>
      </c>
      <c r="H1559" s="667" t="s">
        <v>2858</v>
      </c>
      <c r="I1559" s="667" t="s">
        <v>751</v>
      </c>
      <c r="J1559" s="665" t="s">
        <v>274</v>
      </c>
      <c r="K1559" s="665" t="s">
        <v>273</v>
      </c>
      <c r="L1559" s="665" t="s">
        <v>116</v>
      </c>
      <c r="M1559" s="665" t="s">
        <v>110</v>
      </c>
      <c r="N1559" s="665" t="s">
        <v>276</v>
      </c>
      <c r="O1559" s="667" t="s">
        <v>1311</v>
      </c>
      <c r="P1559" s="665" t="s">
        <v>275</v>
      </c>
      <c r="Q1559" s="665" t="s">
        <v>111</v>
      </c>
      <c r="R1559" s="665" t="s">
        <v>2857</v>
      </c>
      <c r="S1559" s="665" t="s">
        <v>747</v>
      </c>
      <c r="T1559" s="667" t="s">
        <v>12</v>
      </c>
      <c r="U1559" s="666" t="s">
        <v>948</v>
      </c>
      <c r="V1559" s="665" t="s">
        <v>129</v>
      </c>
      <c r="W1559" s="665" t="s">
        <v>220</v>
      </c>
      <c r="X1559" s="665" t="s">
        <v>749</v>
      </c>
      <c r="Y1559" s="665" t="s">
        <v>750</v>
      </c>
      <c r="Z1559" s="665" t="s">
        <v>748</v>
      </c>
      <c r="BB1559" s="664"/>
      <c r="BD1559" s="664"/>
    </row>
    <row r="1560" spans="1:56">
      <c r="A1560" s="642" t="s">
        <v>2078</v>
      </c>
      <c r="B1560" s="1436">
        <v>126</v>
      </c>
      <c r="C1560" s="1437" t="s">
        <v>2487</v>
      </c>
      <c r="D1560" s="662" t="s">
        <v>2486</v>
      </c>
      <c r="E1560" s="662" t="s">
        <v>2485</v>
      </c>
      <c r="F1560" s="661">
        <v>25</v>
      </c>
      <c r="G1560" s="660">
        <v>25</v>
      </c>
      <c r="H1560" s="659">
        <f>L1560*R1560</f>
        <v>135.86391789000001</v>
      </c>
      <c r="I1560" s="656">
        <f>F1560/H1560</f>
        <v>0.1840076481545368</v>
      </c>
      <c r="J1560" s="658" t="s">
        <v>3030</v>
      </c>
      <c r="K1560" s="645" t="s">
        <v>2174</v>
      </c>
      <c r="L1560" s="645">
        <v>20.100000000000001</v>
      </c>
      <c r="M1560" s="658">
        <v>16.34</v>
      </c>
      <c r="N1560" s="653">
        <f>M1560/L1560</f>
        <v>0.8129353233830845</v>
      </c>
      <c r="O1560" s="656">
        <v>18.100000000000001</v>
      </c>
      <c r="P1560" s="653">
        <f>O1560/L1560</f>
        <v>0.90049751243781095</v>
      </c>
      <c r="Q1560" s="645">
        <v>5</v>
      </c>
      <c r="R1560" s="653">
        <v>6.7593988999999999</v>
      </c>
      <c r="S1560" s="645" t="s">
        <v>2484</v>
      </c>
      <c r="T1560" s="654">
        <v>42943</v>
      </c>
      <c r="U1560" s="645">
        <v>15.26</v>
      </c>
      <c r="V1560" s="653">
        <f>((U1560*(1+X1560/10)+Y1560/10)/O1560)</f>
        <v>0.8486937071823204</v>
      </c>
      <c r="W1560" s="645" t="s">
        <v>2483</v>
      </c>
      <c r="X1560" s="645">
        <v>0</v>
      </c>
      <c r="Y1560" s="719">
        <v>1.0135609999999999</v>
      </c>
      <c r="Z1560" s="652" t="s">
        <v>2122</v>
      </c>
      <c r="BB1560" s="651"/>
      <c r="BD1560" s="650"/>
    </row>
    <row r="1561" spans="1:56">
      <c r="C1561" s="648" t="s">
        <v>112</v>
      </c>
      <c r="D1561" s="648" t="s">
        <v>113</v>
      </c>
      <c r="E1561" s="648" t="s">
        <v>943</v>
      </c>
      <c r="F1561" s="649" t="s">
        <v>411</v>
      </c>
      <c r="G1561" s="649" t="s">
        <v>942</v>
      </c>
      <c r="H1561" s="648" t="s">
        <v>231</v>
      </c>
    </row>
    <row r="1562" spans="1:56">
      <c r="C1562" s="646" t="s">
        <v>316</v>
      </c>
      <c r="D1562" s="647">
        <v>16.34</v>
      </c>
      <c r="E1562" s="643">
        <f>50000/10000</f>
        <v>5</v>
      </c>
      <c r="F1562" s="645"/>
      <c r="G1562" s="645"/>
      <c r="H1562" s="645"/>
    </row>
    <row r="1563" spans="1:56">
      <c r="C1563" s="646" t="s">
        <v>127</v>
      </c>
      <c r="D1563" s="647">
        <v>17.7</v>
      </c>
      <c r="E1563" s="643">
        <f>50000/10000</f>
        <v>5</v>
      </c>
      <c r="F1563" s="645"/>
      <c r="G1563" s="645"/>
      <c r="H1563" s="645"/>
    </row>
    <row r="1564" spans="1:56">
      <c r="C1564" s="646" t="s">
        <v>277</v>
      </c>
      <c r="D1564" s="647">
        <v>18.100000000000001</v>
      </c>
      <c r="E1564" s="643">
        <f>60000/10000</f>
        <v>6</v>
      </c>
      <c r="F1564" s="645"/>
      <c r="G1564" s="644">
        <f>24585636/10000</f>
        <v>2458.5636</v>
      </c>
      <c r="H1564" s="643">
        <f>445000011.6/100000000</f>
        <v>4.450000116</v>
      </c>
    </row>
    <row r="1565" spans="1:56">
      <c r="C1565" s="1512" t="s">
        <v>115</v>
      </c>
      <c r="D1565" s="647">
        <v>17.7</v>
      </c>
      <c r="E1565" s="643">
        <f>76600/10000</f>
        <v>7.66</v>
      </c>
      <c r="F1565" s="645"/>
      <c r="G1565" s="645"/>
      <c r="H1565" s="645"/>
    </row>
    <row r="1566" spans="1:56">
      <c r="C1566" s="1512"/>
      <c r="D1566" s="647">
        <v>17.100000000000001</v>
      </c>
      <c r="E1566" s="643">
        <f>118700/10000</f>
        <v>11.87</v>
      </c>
      <c r="F1566" s="645"/>
      <c r="G1566" s="645"/>
      <c r="H1566" s="645"/>
    </row>
    <row r="1567" spans="1:56">
      <c r="C1567" s="1512"/>
      <c r="D1567" s="647">
        <v>16.5</v>
      </c>
      <c r="E1567" s="643">
        <f>131600/10000</f>
        <v>13.16</v>
      </c>
      <c r="F1567" s="645"/>
      <c r="G1567" s="645"/>
      <c r="H1567" s="645"/>
    </row>
    <row r="1568" spans="1:56">
      <c r="C1568" s="646" t="s">
        <v>147</v>
      </c>
      <c r="D1568" s="647">
        <v>16.8</v>
      </c>
      <c r="E1568" s="643">
        <f>57900/10000</f>
        <v>5.79</v>
      </c>
      <c r="F1568" s="645"/>
      <c r="G1568" s="645"/>
      <c r="H1568" s="645"/>
    </row>
    <row r="1569" spans="1:56">
      <c r="C1569" s="1512" t="s">
        <v>1044</v>
      </c>
      <c r="D1569" s="647">
        <v>19</v>
      </c>
      <c r="E1569" s="643">
        <f>50000/10000</f>
        <v>5</v>
      </c>
      <c r="F1569" s="645"/>
      <c r="G1569" s="644">
        <f>27624309/10000</f>
        <v>2762.4308999999998</v>
      </c>
      <c r="H1569" s="643">
        <f>499999992.9/100000000</f>
        <v>4.9999999289999995</v>
      </c>
    </row>
    <row r="1570" spans="1:56">
      <c r="C1570" s="1512"/>
      <c r="D1570" s="647">
        <v>18.600000000000001</v>
      </c>
      <c r="E1570" s="643">
        <f>50000/10000</f>
        <v>5</v>
      </c>
      <c r="F1570" s="645"/>
      <c r="G1570" s="645"/>
      <c r="H1570" s="645"/>
    </row>
    <row r="1571" spans="1:56">
      <c r="C1571" s="1512"/>
      <c r="D1571" s="647">
        <v>18.5</v>
      </c>
      <c r="E1571" s="643">
        <f>50000/10000</f>
        <v>5</v>
      </c>
      <c r="F1571" s="645"/>
      <c r="G1571" s="645"/>
      <c r="H1571" s="645"/>
    </row>
    <row r="1572" spans="1:56">
      <c r="C1572" s="646" t="s">
        <v>1070</v>
      </c>
      <c r="D1572" s="647">
        <v>18.399999999999999</v>
      </c>
      <c r="E1572" s="643">
        <f>50000/10000</f>
        <v>5</v>
      </c>
      <c r="F1572" s="645"/>
      <c r="G1572" s="644">
        <f>27624309/10000</f>
        <v>2762.4308999999998</v>
      </c>
      <c r="H1572" s="643">
        <f>499999992.9/100000000</f>
        <v>4.9999999289999995</v>
      </c>
    </row>
    <row r="1573" spans="1:56">
      <c r="C1573" s="1512" t="s">
        <v>278</v>
      </c>
      <c r="D1573" s="647">
        <v>19.399999999999999</v>
      </c>
      <c r="E1573" s="643">
        <f>75000/10000</f>
        <v>7.5</v>
      </c>
      <c r="F1573" s="645"/>
      <c r="G1573" s="644">
        <f>44475138/10000</f>
        <v>4447.5137999999997</v>
      </c>
      <c r="H1573" s="643">
        <f>804999997.8/100000000</f>
        <v>8.0499999779999989</v>
      </c>
    </row>
    <row r="1574" spans="1:56">
      <c r="C1574" s="1512"/>
      <c r="D1574" s="647">
        <v>18.399999999999999</v>
      </c>
      <c r="E1574" s="643">
        <f>80500/10000</f>
        <v>8.0500000000000007</v>
      </c>
      <c r="F1574" s="645"/>
      <c r="G1574" s="645"/>
      <c r="H1574" s="645"/>
    </row>
    <row r="1575" spans="1:56">
      <c r="C1575" s="1512"/>
      <c r="D1575" s="647">
        <v>16.5</v>
      </c>
      <c r="E1575" s="643">
        <f>80600/10000</f>
        <v>8.06</v>
      </c>
      <c r="F1575" s="645"/>
      <c r="G1575" s="645"/>
      <c r="H1575" s="645"/>
    </row>
    <row r="1576" spans="1:56">
      <c r="C1576" s="646" t="s">
        <v>138</v>
      </c>
      <c r="D1576" s="647">
        <v>16.5</v>
      </c>
      <c r="E1576" s="643">
        <f>51000/10000</f>
        <v>5.0999999999999996</v>
      </c>
      <c r="F1576" s="645"/>
      <c r="G1576" s="645"/>
      <c r="H1576" s="645"/>
    </row>
    <row r="1577" spans="1:56">
      <c r="C1577" s="646" t="s">
        <v>3452</v>
      </c>
      <c r="D1577" s="645"/>
      <c r="E1577" s="645"/>
      <c r="F1577" s="645"/>
      <c r="G1577" s="644">
        <f>13812154/10000</f>
        <v>1381.2154</v>
      </c>
      <c r="H1577" s="643">
        <f>249999987.4/100000000</f>
        <v>2.4999998740000002</v>
      </c>
    </row>
    <row r="1579" spans="1:56" s="663" customFormat="1">
      <c r="A1579" s="663" t="s">
        <v>2861</v>
      </c>
      <c r="B1579" s="665" t="s">
        <v>2036</v>
      </c>
      <c r="C1579" s="667" t="s">
        <v>126</v>
      </c>
      <c r="D1579" s="667" t="s">
        <v>1583</v>
      </c>
      <c r="E1579" s="667" t="s">
        <v>4</v>
      </c>
      <c r="F1579" s="667" t="s">
        <v>2860</v>
      </c>
      <c r="G1579" s="667" t="s">
        <v>2859</v>
      </c>
      <c r="H1579" s="667" t="s">
        <v>2858</v>
      </c>
      <c r="I1579" s="667" t="s">
        <v>751</v>
      </c>
      <c r="J1579" s="665" t="s">
        <v>274</v>
      </c>
      <c r="K1579" s="665" t="s">
        <v>273</v>
      </c>
      <c r="L1579" s="665" t="s">
        <v>116</v>
      </c>
      <c r="M1579" s="665" t="s">
        <v>110</v>
      </c>
      <c r="N1579" s="665" t="s">
        <v>276</v>
      </c>
      <c r="O1579" s="667" t="s">
        <v>1311</v>
      </c>
      <c r="P1579" s="665" t="s">
        <v>275</v>
      </c>
      <c r="Q1579" s="665" t="s">
        <v>111</v>
      </c>
      <c r="R1579" s="665" t="s">
        <v>2857</v>
      </c>
      <c r="S1579" s="665" t="s">
        <v>747</v>
      </c>
      <c r="T1579" s="667" t="s">
        <v>12</v>
      </c>
      <c r="U1579" s="666" t="s">
        <v>948</v>
      </c>
      <c r="V1579" s="665" t="s">
        <v>129</v>
      </c>
      <c r="W1579" s="665" t="s">
        <v>220</v>
      </c>
      <c r="X1579" s="665" t="s">
        <v>749</v>
      </c>
      <c r="Y1579" s="665" t="s">
        <v>750</v>
      </c>
      <c r="Z1579" s="668" t="s">
        <v>748</v>
      </c>
      <c r="AA1579" s="716"/>
      <c r="BB1579" s="664"/>
      <c r="BD1579" s="664"/>
    </row>
    <row r="1580" spans="1:56">
      <c r="A1580" s="642" t="s">
        <v>2078</v>
      </c>
      <c r="B1580" s="1436">
        <v>127</v>
      </c>
      <c r="C1580" s="1471" t="s">
        <v>2482</v>
      </c>
      <c r="D1580" s="722" t="s">
        <v>2481</v>
      </c>
      <c r="E1580" s="722" t="s">
        <v>2480</v>
      </c>
      <c r="F1580" s="827">
        <v>19.89</v>
      </c>
      <c r="G1580" s="827">
        <v>19.89</v>
      </c>
      <c r="H1580" s="827">
        <f>L1580*R1580</f>
        <v>351.17334</v>
      </c>
      <c r="I1580" s="827">
        <f>F1580/H1580</f>
        <v>5.6638695864555097E-2</v>
      </c>
      <c r="J1580" s="700">
        <v>42566</v>
      </c>
      <c r="K1580" s="820" t="s">
        <v>2240</v>
      </c>
      <c r="L1580" s="259">
        <v>15.23</v>
      </c>
      <c r="M1580" s="259">
        <v>13</v>
      </c>
      <c r="N1580" s="462">
        <f>M1580/L1580</f>
        <v>0.85357846355876554</v>
      </c>
      <c r="O1580" s="782">
        <v>14.86</v>
      </c>
      <c r="P1580" s="462">
        <f>O1580/L1580</f>
        <v>0.97570584372948121</v>
      </c>
      <c r="Q1580" s="259">
        <v>6</v>
      </c>
      <c r="R1580" s="259">
        <v>23.058</v>
      </c>
      <c r="S1580" s="826" t="s">
        <v>2479</v>
      </c>
      <c r="T1580" s="463">
        <v>42943</v>
      </c>
      <c r="U1580" s="821">
        <v>9.8699999999999992</v>
      </c>
      <c r="V1580" s="462">
        <f>((U1580*(1+X1580/10)+Y1580/10)/O1580)</f>
        <v>0.66419919246298786</v>
      </c>
      <c r="W1580" s="642" t="s">
        <v>223</v>
      </c>
      <c r="X1580" s="642">
        <v>0</v>
      </c>
      <c r="Y1580" s="642">
        <v>0</v>
      </c>
      <c r="Z1580" s="650" t="s">
        <v>2160</v>
      </c>
      <c r="BB1580" s="651"/>
      <c r="BD1580" s="650"/>
    </row>
    <row r="1581" spans="1:56">
      <c r="C1581" s="696" t="s">
        <v>112</v>
      </c>
      <c r="D1581" s="696" t="s">
        <v>113</v>
      </c>
      <c r="E1581" s="696" t="s">
        <v>943</v>
      </c>
      <c r="F1581" s="697" t="s">
        <v>411</v>
      </c>
      <c r="G1581" s="697" t="s">
        <v>942</v>
      </c>
      <c r="H1581" s="696" t="s">
        <v>231</v>
      </c>
    </row>
    <row r="1582" spans="1:56">
      <c r="C1582" s="693" t="s">
        <v>359</v>
      </c>
      <c r="D1582" s="824"/>
      <c r="E1582" s="824"/>
      <c r="G1582" s="794">
        <f>13308262/10000</f>
        <v>1330.8262</v>
      </c>
      <c r="H1582" s="795">
        <f>197760773.32/100000000</f>
        <v>1.9776077331999999</v>
      </c>
    </row>
    <row r="1583" spans="1:56">
      <c r="C1583" s="693" t="s">
        <v>584</v>
      </c>
      <c r="D1583" s="824"/>
      <c r="E1583" s="824"/>
      <c r="G1583" s="794">
        <f>13383604/10000</f>
        <v>1338.3604</v>
      </c>
      <c r="H1583" s="795">
        <f>198880355.44/100000000</f>
        <v>1.9888035544</v>
      </c>
    </row>
    <row r="1584" spans="1:56">
      <c r="C1584" s="693" t="s">
        <v>965</v>
      </c>
      <c r="D1584" s="1573" t="s">
        <v>3451</v>
      </c>
      <c r="E1584" s="1574"/>
      <c r="G1584" s="794">
        <f>40150814/10000</f>
        <v>4015.0814</v>
      </c>
      <c r="H1584" s="795">
        <f>596641096.04/100000000</f>
        <v>5.9664109603999993</v>
      </c>
    </row>
    <row r="1585" spans="1:56">
      <c r="C1585" s="693" t="s">
        <v>278</v>
      </c>
      <c r="D1585" s="824"/>
      <c r="E1585" s="824"/>
      <c r="G1585" s="794">
        <f>13458950/10000</f>
        <v>1345.895</v>
      </c>
      <c r="H1585" s="795">
        <f>199999997/100000000</f>
        <v>1.99999997</v>
      </c>
    </row>
    <row r="1586" spans="1:56" ht="28">
      <c r="C1586" s="825" t="s">
        <v>3450</v>
      </c>
      <c r="D1586" s="824"/>
      <c r="E1586" s="824"/>
      <c r="G1586" s="794">
        <f>40150814/10000</f>
        <v>4015.0814</v>
      </c>
      <c r="H1586" s="795">
        <f>596641096.04/100000000</f>
        <v>5.9664109603999993</v>
      </c>
    </row>
    <row r="1587" spans="1:56">
      <c r="C1587" s="693" t="s">
        <v>3449</v>
      </c>
      <c r="D1587" s="824"/>
      <c r="E1587" s="824"/>
      <c r="G1587" s="794">
        <f>13383605/10000</f>
        <v>1338.3605</v>
      </c>
      <c r="H1587" s="795">
        <f>198880370.3/100000000</f>
        <v>1.9888037030000001</v>
      </c>
    </row>
    <row r="1589" spans="1:56" s="663" customFormat="1">
      <c r="A1589" s="663" t="s">
        <v>2861</v>
      </c>
      <c r="B1589" s="665" t="s">
        <v>2036</v>
      </c>
      <c r="C1589" s="667" t="s">
        <v>126</v>
      </c>
      <c r="D1589" s="667" t="s">
        <v>1583</v>
      </c>
      <c r="E1589" s="667" t="s">
        <v>4</v>
      </c>
      <c r="F1589" s="667" t="s">
        <v>2860</v>
      </c>
      <c r="G1589" s="667" t="s">
        <v>2859</v>
      </c>
      <c r="H1589" s="667" t="s">
        <v>2858</v>
      </c>
      <c r="I1589" s="667" t="s">
        <v>751</v>
      </c>
      <c r="J1589" s="665" t="s">
        <v>274</v>
      </c>
      <c r="K1589" s="665" t="s">
        <v>273</v>
      </c>
      <c r="L1589" s="665" t="s">
        <v>116</v>
      </c>
      <c r="M1589" s="665" t="s">
        <v>110</v>
      </c>
      <c r="N1589" s="665" t="s">
        <v>276</v>
      </c>
      <c r="O1589" s="667" t="s">
        <v>1311</v>
      </c>
      <c r="P1589" s="665" t="s">
        <v>275</v>
      </c>
      <c r="Q1589" s="665" t="s">
        <v>111</v>
      </c>
      <c r="R1589" s="665" t="s">
        <v>2857</v>
      </c>
      <c r="S1589" s="665" t="s">
        <v>747</v>
      </c>
      <c r="T1589" s="667" t="s">
        <v>12</v>
      </c>
      <c r="U1589" s="666" t="s">
        <v>948</v>
      </c>
      <c r="V1589" s="665" t="s">
        <v>129</v>
      </c>
      <c r="W1589" s="665" t="s">
        <v>220</v>
      </c>
      <c r="X1589" s="665" t="s">
        <v>749</v>
      </c>
      <c r="Y1589" s="665" t="s">
        <v>750</v>
      </c>
      <c r="Z1589" s="665" t="s">
        <v>748</v>
      </c>
      <c r="BB1589" s="664"/>
      <c r="BD1589" s="664"/>
    </row>
    <row r="1590" spans="1:56">
      <c r="A1590" s="642" t="s">
        <v>2078</v>
      </c>
      <c r="B1590" s="1436">
        <v>128</v>
      </c>
      <c r="C1590" s="1437" t="s">
        <v>2478</v>
      </c>
      <c r="D1590" s="662" t="s">
        <v>2477</v>
      </c>
      <c r="E1590" s="662" t="s">
        <v>2476</v>
      </c>
      <c r="F1590" s="661">
        <v>8.5</v>
      </c>
      <c r="G1590" s="660">
        <v>8.5</v>
      </c>
      <c r="H1590" s="659">
        <f>L1590*R1590</f>
        <v>121.355751465</v>
      </c>
      <c r="I1590" s="656">
        <f>F1590/H1590</f>
        <v>7.004200375662846E-2</v>
      </c>
      <c r="J1590" s="658" t="s">
        <v>3029</v>
      </c>
      <c r="K1590" s="645" t="s">
        <v>2089</v>
      </c>
      <c r="L1590" s="645">
        <v>33.93</v>
      </c>
      <c r="M1590" s="658">
        <v>27.01</v>
      </c>
      <c r="N1590" s="653">
        <f>M1590/L1590</f>
        <v>0.79605069260241679</v>
      </c>
      <c r="O1590" s="656">
        <v>31.55</v>
      </c>
      <c r="P1590" s="653">
        <f>O1590/L1590</f>
        <v>0.92985558502799881</v>
      </c>
      <c r="Q1590" s="645">
        <v>5</v>
      </c>
      <c r="R1590" s="653">
        <v>3.5766505</v>
      </c>
      <c r="S1590" s="645" t="s">
        <v>2475</v>
      </c>
      <c r="T1590" s="654">
        <v>42943</v>
      </c>
      <c r="U1590" s="645">
        <v>16.78</v>
      </c>
      <c r="V1590" s="653">
        <f>((U1590*(1+X1590/10)+Y1590/10)/O1590)</f>
        <v>0.53391442155309043</v>
      </c>
      <c r="W1590" s="645" t="s">
        <v>2474</v>
      </c>
      <c r="X1590" s="645">
        <v>0</v>
      </c>
      <c r="Y1590" s="645">
        <v>0.65</v>
      </c>
      <c r="Z1590" s="652" t="s">
        <v>2160</v>
      </c>
      <c r="BB1590" s="651"/>
      <c r="BD1590" s="650"/>
    </row>
    <row r="1591" spans="1:56">
      <c r="C1591" s="648" t="s">
        <v>112</v>
      </c>
      <c r="D1591" s="648" t="s">
        <v>113</v>
      </c>
      <c r="E1591" s="648" t="s">
        <v>943</v>
      </c>
      <c r="F1591" s="649" t="s">
        <v>411</v>
      </c>
      <c r="G1591" s="649" t="s">
        <v>942</v>
      </c>
      <c r="H1591" s="648" t="s">
        <v>231</v>
      </c>
    </row>
    <row r="1592" spans="1:56">
      <c r="C1592" s="646" t="s">
        <v>629</v>
      </c>
      <c r="D1592" s="647">
        <v>37.5</v>
      </c>
      <c r="E1592" s="643">
        <f>170000000/100000000</f>
        <v>1.7</v>
      </c>
      <c r="F1592" s="645"/>
      <c r="G1592" s="644">
        <f>5388272/10000</f>
        <v>538.82719999999995</v>
      </c>
      <c r="H1592" s="643">
        <f>169999981.6/100000000</f>
        <v>1.6999998159999998</v>
      </c>
    </row>
    <row r="1593" spans="1:56">
      <c r="C1593" s="646" t="s">
        <v>371</v>
      </c>
      <c r="D1593" s="647">
        <v>33.08</v>
      </c>
      <c r="E1593" s="643">
        <f>170000000/100000000</f>
        <v>1.7</v>
      </c>
      <c r="F1593" s="645"/>
      <c r="G1593" s="644">
        <f>5388272/10000</f>
        <v>538.82719999999995</v>
      </c>
      <c r="H1593" s="643">
        <f>169999981.6/100000000</f>
        <v>1.6999998159999998</v>
      </c>
    </row>
    <row r="1594" spans="1:56">
      <c r="C1594" s="1512" t="s">
        <v>225</v>
      </c>
      <c r="D1594" s="647">
        <v>32.33</v>
      </c>
      <c r="E1594" s="643">
        <f>170000000/100000000</f>
        <v>1.7</v>
      </c>
      <c r="F1594" s="645"/>
      <c r="G1594" s="644">
        <f>5388272/10000</f>
        <v>538.82719999999995</v>
      </c>
      <c r="H1594" s="643">
        <f>169999981.6/100000000</f>
        <v>1.6999998159999998</v>
      </c>
    </row>
    <row r="1595" spans="1:56">
      <c r="C1595" s="1512"/>
      <c r="D1595" s="647">
        <v>27.1</v>
      </c>
      <c r="E1595" s="643">
        <f>350000000/100000000</f>
        <v>3.5</v>
      </c>
      <c r="F1595" s="645"/>
      <c r="G1595" s="645"/>
      <c r="H1595" s="645"/>
    </row>
    <row r="1596" spans="1:56">
      <c r="C1596" s="1512" t="s">
        <v>154</v>
      </c>
      <c r="D1596" s="647">
        <v>32.299999999999997</v>
      </c>
      <c r="E1596" s="643">
        <f>170600000/100000000</f>
        <v>1.706</v>
      </c>
      <c r="F1596" s="645"/>
      <c r="G1596" s="644">
        <f>5407290/10000</f>
        <v>540.72900000000004</v>
      </c>
      <c r="H1596" s="643">
        <f>170599999.5/100000000</f>
        <v>1.705999995</v>
      </c>
    </row>
    <row r="1597" spans="1:56">
      <c r="C1597" s="1512"/>
      <c r="D1597" s="647">
        <v>30.01</v>
      </c>
      <c r="E1597" s="643">
        <f>177400000/100000000</f>
        <v>1.774</v>
      </c>
      <c r="F1597" s="645"/>
      <c r="G1597" s="645"/>
      <c r="H1597" s="645"/>
    </row>
    <row r="1598" spans="1:56">
      <c r="C1598" s="1512" t="s">
        <v>115</v>
      </c>
      <c r="D1598" s="647">
        <v>31.55</v>
      </c>
      <c r="E1598" s="643">
        <f>216000000/100000000</f>
        <v>2.16</v>
      </c>
      <c r="F1598" s="645"/>
      <c r="G1598" s="644">
        <f>5369256/10000</f>
        <v>536.92560000000003</v>
      </c>
      <c r="H1598" s="643">
        <f>169400026.8/100000000</f>
        <v>1.6940002680000001</v>
      </c>
    </row>
    <row r="1599" spans="1:56">
      <c r="C1599" s="1512"/>
      <c r="D1599" s="647">
        <v>30.53</v>
      </c>
      <c r="E1599" s="643">
        <f>505000000/100000000</f>
        <v>5.05</v>
      </c>
      <c r="F1599" s="645"/>
      <c r="G1599" s="645"/>
      <c r="H1599" s="645"/>
    </row>
    <row r="1600" spans="1:56">
      <c r="C1600" s="1512"/>
      <c r="D1600" s="647">
        <v>28.8</v>
      </c>
      <c r="E1600" s="643">
        <f>850000000/100000000</f>
        <v>8.5</v>
      </c>
      <c r="F1600" s="645"/>
      <c r="G1600" s="645"/>
      <c r="H1600" s="645"/>
    </row>
    <row r="1601" spans="1:56">
      <c r="C1601" s="646" t="s">
        <v>13</v>
      </c>
      <c r="D1601" s="647">
        <v>31</v>
      </c>
      <c r="E1601" s="643">
        <f>170000000/100000000</f>
        <v>1.7</v>
      </c>
      <c r="F1601" s="645"/>
      <c r="G1601" s="645"/>
      <c r="H1601" s="645"/>
    </row>
    <row r="1602" spans="1:56">
      <c r="C1602" s="646" t="s">
        <v>233</v>
      </c>
      <c r="D1602" s="647">
        <v>30.58</v>
      </c>
      <c r="E1602" s="643">
        <f>171248000/100000000</f>
        <v>1.71248</v>
      </c>
      <c r="F1602" s="645"/>
      <c r="G1602" s="645"/>
      <c r="H1602" s="645"/>
    </row>
    <row r="1603" spans="1:56">
      <c r="C1603" s="646" t="s">
        <v>127</v>
      </c>
      <c r="D1603" s="647">
        <v>30.53</v>
      </c>
      <c r="E1603" s="643">
        <f>170000000/100000000</f>
        <v>1.7</v>
      </c>
      <c r="F1603" s="645"/>
      <c r="G1603" s="645"/>
      <c r="H1603" s="645"/>
    </row>
    <row r="1604" spans="1:56">
      <c r="C1604" s="646" t="s">
        <v>139</v>
      </c>
      <c r="D1604" s="647">
        <v>30.1</v>
      </c>
      <c r="E1604" s="643">
        <f>170000000/100000000</f>
        <v>1.7</v>
      </c>
      <c r="F1604" s="645"/>
      <c r="G1604" s="645"/>
      <c r="H1604" s="645"/>
    </row>
    <row r="1605" spans="1:56">
      <c r="C1605" s="1512" t="s">
        <v>122</v>
      </c>
      <c r="D1605" s="647">
        <v>28.5</v>
      </c>
      <c r="E1605" s="643">
        <f>170000000/100000000</f>
        <v>1.7</v>
      </c>
      <c r="F1605" s="645"/>
      <c r="G1605" s="645"/>
      <c r="H1605" s="645"/>
    </row>
    <row r="1606" spans="1:56">
      <c r="C1606" s="1512"/>
      <c r="D1606" s="647">
        <v>27.02</v>
      </c>
      <c r="E1606" s="643">
        <f>180000000/100000000</f>
        <v>1.8</v>
      </c>
      <c r="F1606" s="645"/>
      <c r="G1606" s="645"/>
      <c r="H1606" s="645"/>
    </row>
    <row r="1607" spans="1:56">
      <c r="C1607" s="646" t="s">
        <v>120</v>
      </c>
      <c r="D1607" s="647">
        <v>28.5</v>
      </c>
      <c r="E1607" s="643">
        <f>170000000/100000000</f>
        <v>1.7</v>
      </c>
      <c r="F1607" s="645"/>
      <c r="G1607" s="645"/>
      <c r="H1607" s="645"/>
    </row>
    <row r="1608" spans="1:56">
      <c r="C1608" s="673" t="s">
        <v>3328</v>
      </c>
      <c r="D1608" s="647">
        <v>28.28</v>
      </c>
      <c r="E1608" s="643">
        <f>200000000/100000000</f>
        <v>2</v>
      </c>
      <c r="F1608" s="645"/>
      <c r="G1608" s="645"/>
      <c r="H1608" s="645"/>
    </row>
    <row r="1609" spans="1:56">
      <c r="C1609" s="646" t="s">
        <v>173</v>
      </c>
      <c r="D1609" s="647">
        <v>28.08</v>
      </c>
      <c r="E1609" s="643">
        <f>260000000/100000000</f>
        <v>2.6</v>
      </c>
      <c r="F1609" s="645"/>
      <c r="G1609" s="645"/>
      <c r="H1609" s="645"/>
    </row>
    <row r="1610" spans="1:56">
      <c r="C1610" s="1512" t="s">
        <v>147</v>
      </c>
      <c r="D1610" s="647">
        <v>27.98</v>
      </c>
      <c r="E1610" s="643">
        <f>230000000/100000000</f>
        <v>2.2999999999999998</v>
      </c>
      <c r="F1610" s="645"/>
      <c r="G1610" s="645"/>
      <c r="H1610" s="645"/>
    </row>
    <row r="1611" spans="1:56">
      <c r="C1611" s="1512"/>
      <c r="D1611" s="647">
        <v>27.72</v>
      </c>
      <c r="E1611" s="643">
        <f>241000000/100000000</f>
        <v>2.41</v>
      </c>
      <c r="F1611" s="645"/>
      <c r="G1611" s="645"/>
      <c r="H1611" s="645"/>
    </row>
    <row r="1612" spans="1:56">
      <c r="C1612" s="646" t="s">
        <v>1037</v>
      </c>
      <c r="D1612" s="647">
        <v>27.1</v>
      </c>
      <c r="E1612" s="643">
        <f>170000000/100000000</f>
        <v>1.7</v>
      </c>
      <c r="F1612" s="645"/>
      <c r="G1612" s="645"/>
      <c r="H1612" s="645"/>
    </row>
    <row r="1614" spans="1:56" s="663" customFormat="1">
      <c r="A1614" s="663" t="s">
        <v>2861</v>
      </c>
      <c r="B1614" s="665" t="s">
        <v>2036</v>
      </c>
      <c r="C1614" s="667" t="s">
        <v>126</v>
      </c>
      <c r="D1614" s="667" t="s">
        <v>1583</v>
      </c>
      <c r="E1614" s="667" t="s">
        <v>4</v>
      </c>
      <c r="F1614" s="667" t="s">
        <v>2860</v>
      </c>
      <c r="G1614" s="667" t="s">
        <v>2859</v>
      </c>
      <c r="H1614" s="667" t="s">
        <v>2858</v>
      </c>
      <c r="I1614" s="667" t="s">
        <v>751</v>
      </c>
      <c r="J1614" s="665" t="s">
        <v>274</v>
      </c>
      <c r="K1614" s="665" t="s">
        <v>273</v>
      </c>
      <c r="L1614" s="665" t="s">
        <v>116</v>
      </c>
      <c r="M1614" s="665" t="s">
        <v>110</v>
      </c>
      <c r="N1614" s="665" t="s">
        <v>276</v>
      </c>
      <c r="O1614" s="667" t="s">
        <v>1311</v>
      </c>
      <c r="P1614" s="665" t="s">
        <v>275</v>
      </c>
      <c r="Q1614" s="665" t="s">
        <v>111</v>
      </c>
      <c r="R1614" s="665" t="s">
        <v>2857</v>
      </c>
      <c r="S1614" s="665" t="s">
        <v>747</v>
      </c>
      <c r="T1614" s="667" t="s">
        <v>12</v>
      </c>
      <c r="U1614" s="666" t="s">
        <v>948</v>
      </c>
      <c r="V1614" s="665" t="s">
        <v>129</v>
      </c>
      <c r="W1614" s="665" t="s">
        <v>220</v>
      </c>
      <c r="X1614" s="665" t="s">
        <v>749</v>
      </c>
      <c r="Y1614" s="665" t="s">
        <v>750</v>
      </c>
      <c r="Z1614" s="665" t="s">
        <v>748</v>
      </c>
      <c r="BB1614" s="664"/>
      <c r="BD1614" s="664"/>
    </row>
    <row r="1615" spans="1:56">
      <c r="A1615" s="642" t="s">
        <v>2078</v>
      </c>
      <c r="B1615" s="1436">
        <v>129</v>
      </c>
      <c r="C1615" s="1437" t="s">
        <v>2473</v>
      </c>
      <c r="D1615" s="662" t="s">
        <v>2472</v>
      </c>
      <c r="E1615" s="662" t="s">
        <v>2471</v>
      </c>
      <c r="F1615" s="661">
        <v>95</v>
      </c>
      <c r="G1615" s="660">
        <v>95</v>
      </c>
      <c r="H1615" s="659">
        <f>L1615*R1615</f>
        <v>53.392765486799995</v>
      </c>
      <c r="I1615" s="656">
        <f>F1615/H1615</f>
        <v>1.7792672683996176</v>
      </c>
      <c r="J1615" s="658" t="s">
        <v>2955</v>
      </c>
      <c r="K1615" s="645" t="s">
        <v>2089</v>
      </c>
      <c r="L1615" s="645">
        <v>11.37</v>
      </c>
      <c r="M1615" s="658">
        <v>10.95</v>
      </c>
      <c r="N1615" s="653">
        <f>M1615/L1615</f>
        <v>0.96306068601583117</v>
      </c>
      <c r="O1615" s="656">
        <v>10.95</v>
      </c>
      <c r="P1615" s="653">
        <f>O1615/L1615</f>
        <v>0.96306068601583117</v>
      </c>
      <c r="Q1615" s="645">
        <v>10</v>
      </c>
      <c r="R1615" s="653">
        <v>4.6959336399999998</v>
      </c>
      <c r="S1615" s="645" t="s">
        <v>2470</v>
      </c>
      <c r="T1615" s="654">
        <v>42954</v>
      </c>
      <c r="U1615" s="645">
        <v>12.51</v>
      </c>
      <c r="V1615" s="653">
        <f>((U1615*(1+X1615/10)+Y1615/10)/O1615)</f>
        <v>1.143744292237443</v>
      </c>
      <c r="W1615" s="645" t="s">
        <v>2469</v>
      </c>
      <c r="X1615" s="645">
        <v>0</v>
      </c>
      <c r="Y1615" s="645">
        <v>0.14000000000000001</v>
      </c>
      <c r="Z1615" s="652" t="s">
        <v>2468</v>
      </c>
      <c r="BB1615" s="651"/>
      <c r="BD1615" s="650"/>
    </row>
    <row r="1616" spans="1:56">
      <c r="C1616" s="648" t="s">
        <v>112</v>
      </c>
      <c r="D1616" s="648" t="s">
        <v>113</v>
      </c>
      <c r="E1616" s="648" t="s">
        <v>943</v>
      </c>
      <c r="F1616" s="649" t="s">
        <v>411</v>
      </c>
      <c r="G1616" s="649" t="s">
        <v>942</v>
      </c>
      <c r="H1616" s="648" t="s">
        <v>231</v>
      </c>
    </row>
    <row r="1617" spans="1:56" ht="28">
      <c r="C1617" s="673" t="s">
        <v>3448</v>
      </c>
      <c r="D1617" s="646" t="s">
        <v>294</v>
      </c>
      <c r="E1617" s="643">
        <f>3000000000/100000000</f>
        <v>30</v>
      </c>
      <c r="F1617" s="645"/>
      <c r="G1617" s="644">
        <f>273972602/10000</f>
        <v>27397.260200000001</v>
      </c>
      <c r="H1617" s="643">
        <f>2999999991.9/100000000</f>
        <v>29.999999919</v>
      </c>
    </row>
    <row r="1618" spans="1:56" ht="28">
      <c r="C1618" s="673" t="s">
        <v>3447</v>
      </c>
      <c r="D1618" s="647">
        <v>12.1</v>
      </c>
      <c r="E1618" s="643">
        <f>725000000/100000000</f>
        <v>7.25</v>
      </c>
      <c r="F1618" s="645"/>
      <c r="G1618" s="644">
        <f>66210045/10000</f>
        <v>6621.0045</v>
      </c>
      <c r="H1618" s="643">
        <f>724999992.75/100000000</f>
        <v>7.2499999275000002</v>
      </c>
    </row>
    <row r="1619" spans="1:56" ht="28">
      <c r="C1619" s="673" t="s">
        <v>3446</v>
      </c>
      <c r="D1619" s="647">
        <v>11.5</v>
      </c>
      <c r="E1619" s="643">
        <f>730000000/100000000</f>
        <v>7.3</v>
      </c>
      <c r="F1619" s="645"/>
      <c r="G1619" s="644">
        <f>66666666/10000</f>
        <v>6666.6665999999996</v>
      </c>
      <c r="H1619" s="643">
        <f>729999992.7/100000000</f>
        <v>7.2999999270000009</v>
      </c>
    </row>
    <row r="1620" spans="1:56" ht="28">
      <c r="C1620" s="673" t="s">
        <v>3445</v>
      </c>
      <c r="D1620" s="647">
        <v>11.5</v>
      </c>
      <c r="E1620" s="643">
        <f>730000000/100000000</f>
        <v>7.3</v>
      </c>
      <c r="F1620" s="645"/>
      <c r="G1620" s="644">
        <f>66666666/10000</f>
        <v>6666.6665999999996</v>
      </c>
      <c r="H1620" s="643">
        <f>729999992.7/100000000</f>
        <v>7.2999999270000009</v>
      </c>
    </row>
    <row r="1621" spans="1:56" ht="28">
      <c r="C1621" s="673" t="s">
        <v>3444</v>
      </c>
      <c r="D1621" s="647">
        <v>11.25</v>
      </c>
      <c r="E1621" s="643">
        <f>750000000/100000000</f>
        <v>7.5</v>
      </c>
      <c r="F1621" s="645"/>
      <c r="G1621" s="644">
        <f>68493150/10000</f>
        <v>6849.3149999999996</v>
      </c>
      <c r="H1621" s="643">
        <f>749999992.5/100000000</f>
        <v>7.499999925</v>
      </c>
    </row>
    <row r="1622" spans="1:56">
      <c r="C1622" s="645"/>
      <c r="D1622" s="645"/>
      <c r="E1622" s="645"/>
      <c r="F1622" s="645"/>
      <c r="G1622" s="645"/>
      <c r="H1622" s="645"/>
    </row>
    <row r="1623" spans="1:56" ht="28">
      <c r="C1623" s="673" t="s">
        <v>3443</v>
      </c>
      <c r="D1623" s="647">
        <v>11.14</v>
      </c>
      <c r="E1623" s="643">
        <f>725000000/100000000</f>
        <v>7.25</v>
      </c>
      <c r="F1623" s="645"/>
      <c r="G1623" s="644">
        <f>66210045/10000</f>
        <v>6621.0045</v>
      </c>
      <c r="H1623" s="643">
        <f>724999992.75/100000000</f>
        <v>7.2499999275000002</v>
      </c>
    </row>
    <row r="1624" spans="1:56" ht="28">
      <c r="C1624" s="673" t="s">
        <v>3442</v>
      </c>
      <c r="D1624" s="647">
        <v>11.1</v>
      </c>
      <c r="E1624" s="643">
        <f>730000000/100000000</f>
        <v>7.3</v>
      </c>
      <c r="F1624" s="645"/>
      <c r="G1624" s="644">
        <f>66666666/10000</f>
        <v>6666.6665999999996</v>
      </c>
      <c r="H1624" s="643">
        <f>729999992.7/100000000</f>
        <v>7.2999999270000009</v>
      </c>
    </row>
    <row r="1625" spans="1:56" ht="28">
      <c r="C1625" s="673" t="s">
        <v>3441</v>
      </c>
      <c r="D1625" s="647">
        <v>11</v>
      </c>
      <c r="E1625" s="643">
        <f>725000000/100000000</f>
        <v>7.25</v>
      </c>
      <c r="F1625" s="645"/>
      <c r="G1625" s="644">
        <f>66210045/10000</f>
        <v>6621.0045</v>
      </c>
      <c r="H1625" s="643">
        <f>724999992.75/100000000</f>
        <v>7.2499999275000002</v>
      </c>
    </row>
    <row r="1626" spans="1:56" ht="28">
      <c r="C1626" s="673" t="s">
        <v>3440</v>
      </c>
      <c r="D1626" s="647">
        <v>10.98</v>
      </c>
      <c r="E1626" s="643">
        <f>725000000/100000000</f>
        <v>7.25</v>
      </c>
      <c r="F1626" s="645"/>
      <c r="G1626" s="644">
        <f>66210045/10000</f>
        <v>6621.0045</v>
      </c>
      <c r="H1626" s="643">
        <f>724999992.75/100000000</f>
        <v>7.2499999275000002</v>
      </c>
    </row>
    <row r="1627" spans="1:56" ht="28">
      <c r="C1627" s="673" t="s">
        <v>3439</v>
      </c>
      <c r="D1627" s="647">
        <v>10.95</v>
      </c>
      <c r="E1627" s="643">
        <f>730000000/100000000</f>
        <v>7.3</v>
      </c>
      <c r="F1627" s="645"/>
      <c r="G1627" s="644">
        <f>60273978/10000</f>
        <v>6027.3977999999997</v>
      </c>
      <c r="H1627" s="643">
        <f>660000059.1/100000000</f>
        <v>6.6000005910000006</v>
      </c>
    </row>
    <row r="1629" spans="1:56" s="663" customFormat="1">
      <c r="A1629" s="663" t="s">
        <v>2861</v>
      </c>
      <c r="B1629" s="665" t="s">
        <v>2036</v>
      </c>
      <c r="C1629" s="667" t="s">
        <v>126</v>
      </c>
      <c r="D1629" s="667" t="s">
        <v>1583</v>
      </c>
      <c r="E1629" s="667" t="s">
        <v>4</v>
      </c>
      <c r="F1629" s="667" t="s">
        <v>2860</v>
      </c>
      <c r="G1629" s="667" t="s">
        <v>2859</v>
      </c>
      <c r="H1629" s="667" t="s">
        <v>2858</v>
      </c>
      <c r="I1629" s="667" t="s">
        <v>751</v>
      </c>
      <c r="J1629" s="665" t="s">
        <v>274</v>
      </c>
      <c r="K1629" s="665" t="s">
        <v>273</v>
      </c>
      <c r="L1629" s="665" t="s">
        <v>116</v>
      </c>
      <c r="M1629" s="665" t="s">
        <v>110</v>
      </c>
      <c r="N1629" s="665" t="s">
        <v>276</v>
      </c>
      <c r="O1629" s="667" t="s">
        <v>1311</v>
      </c>
      <c r="P1629" s="665" t="s">
        <v>275</v>
      </c>
      <c r="Q1629" s="665" t="s">
        <v>111</v>
      </c>
      <c r="R1629" s="665" t="s">
        <v>2857</v>
      </c>
      <c r="S1629" s="665" t="s">
        <v>747</v>
      </c>
      <c r="T1629" s="667" t="s">
        <v>12</v>
      </c>
      <c r="U1629" s="666" t="s">
        <v>948</v>
      </c>
      <c r="V1629" s="665" t="s">
        <v>129</v>
      </c>
      <c r="W1629" s="665" t="s">
        <v>220</v>
      </c>
      <c r="X1629" s="665" t="s">
        <v>749</v>
      </c>
      <c r="Y1629" s="665" t="s">
        <v>750</v>
      </c>
      <c r="Z1629" s="665" t="s">
        <v>748</v>
      </c>
      <c r="BB1629" s="664"/>
      <c r="BD1629" s="664"/>
    </row>
    <row r="1630" spans="1:56">
      <c r="A1630" s="642" t="s">
        <v>2078</v>
      </c>
      <c r="B1630" s="1436">
        <v>130</v>
      </c>
      <c r="C1630" s="1437" t="s">
        <v>2467</v>
      </c>
      <c r="D1630" s="662" t="s">
        <v>2466</v>
      </c>
      <c r="E1630" s="662" t="s">
        <v>2465</v>
      </c>
      <c r="F1630" s="661">
        <v>13</v>
      </c>
      <c r="G1630" s="660">
        <v>13</v>
      </c>
      <c r="H1630" s="659">
        <f>L1630*R1630</f>
        <v>111.85816543199999</v>
      </c>
      <c r="I1630" s="656">
        <f>F1630/H1630</f>
        <v>0.11621860549735966</v>
      </c>
      <c r="J1630" s="658" t="s">
        <v>3028</v>
      </c>
      <c r="K1630" s="645" t="s">
        <v>2240</v>
      </c>
      <c r="L1630" s="645">
        <v>17.55</v>
      </c>
      <c r="M1630" s="658">
        <v>17.47</v>
      </c>
      <c r="N1630" s="653">
        <f>M1630/L1630</f>
        <v>0.99544159544159538</v>
      </c>
      <c r="O1630" s="656">
        <v>17.48</v>
      </c>
      <c r="P1630" s="653">
        <f>O1630/L1630</f>
        <v>0.99601139601139599</v>
      </c>
      <c r="Q1630" s="645">
        <v>4</v>
      </c>
      <c r="R1630" s="719">
        <v>6.3736846399999996</v>
      </c>
      <c r="S1630" s="645" t="s">
        <v>2464</v>
      </c>
      <c r="T1630" s="654">
        <v>42957</v>
      </c>
      <c r="U1630" s="645">
        <v>7.41</v>
      </c>
      <c r="V1630" s="653">
        <f>((U1630*(1+X1630/10)+Y1630/10)/O1630)</f>
        <v>1.1898169336384439</v>
      </c>
      <c r="W1630" s="645" t="s">
        <v>2463</v>
      </c>
      <c r="X1630" s="645">
        <v>18</v>
      </c>
      <c r="Y1630" s="645">
        <v>0.5</v>
      </c>
      <c r="Z1630" s="652" t="s">
        <v>2086</v>
      </c>
      <c r="BB1630" s="651"/>
      <c r="BD1630" s="650"/>
    </row>
    <row r="1631" spans="1:56">
      <c r="C1631" s="648" t="s">
        <v>112</v>
      </c>
      <c r="D1631" s="648" t="s">
        <v>113</v>
      </c>
      <c r="E1631" s="648" t="s">
        <v>943</v>
      </c>
      <c r="F1631" s="649" t="s">
        <v>411</v>
      </c>
      <c r="G1631" s="649" t="s">
        <v>942</v>
      </c>
      <c r="H1631" s="648" t="s">
        <v>231</v>
      </c>
    </row>
    <row r="1632" spans="1:56">
      <c r="C1632" s="646" t="s">
        <v>279</v>
      </c>
      <c r="D1632" s="647">
        <v>18.559999999999999</v>
      </c>
      <c r="E1632" s="643">
        <f>101998000/100000000</f>
        <v>1.0199800000000001</v>
      </c>
      <c r="F1632" s="645"/>
      <c r="G1632" s="644">
        <f>5835125/10000</f>
        <v>583.51250000000005</v>
      </c>
      <c r="H1632" s="643">
        <f>101997985/100000000</f>
        <v>1.0199798499999999</v>
      </c>
    </row>
    <row r="1633" spans="1:56">
      <c r="C1633" s="646" t="s">
        <v>115</v>
      </c>
      <c r="D1633" s="647">
        <v>17.47</v>
      </c>
      <c r="E1633" s="643">
        <f>103400000/100000000</f>
        <v>1.034</v>
      </c>
      <c r="F1633" s="645"/>
      <c r="G1633" s="645"/>
      <c r="H1633" s="645"/>
    </row>
    <row r="1634" spans="1:56">
      <c r="C1634" s="1512" t="s">
        <v>278</v>
      </c>
      <c r="D1634" s="647">
        <v>18.52</v>
      </c>
      <c r="E1634" s="643">
        <f>300000000/100000000</f>
        <v>3</v>
      </c>
      <c r="F1634" s="645"/>
      <c r="G1634" s="644">
        <f>17162471/10000</f>
        <v>1716.2471</v>
      </c>
      <c r="H1634" s="643">
        <f>299999993.08/100000000</f>
        <v>2.9999999308</v>
      </c>
    </row>
    <row r="1635" spans="1:56">
      <c r="C1635" s="1512"/>
      <c r="D1635" s="647">
        <v>17.47</v>
      </c>
      <c r="E1635" s="643">
        <f>550000000/100000000</f>
        <v>5.5</v>
      </c>
      <c r="F1635" s="645"/>
      <c r="G1635" s="645"/>
      <c r="H1635" s="645"/>
    </row>
    <row r="1636" spans="1:56">
      <c r="C1636" s="646" t="s">
        <v>1808</v>
      </c>
      <c r="D1636" s="647">
        <v>17.48</v>
      </c>
      <c r="E1636" s="643">
        <f>575000000/100000000</f>
        <v>5.75</v>
      </c>
      <c r="F1636" s="645"/>
      <c r="G1636" s="644">
        <f>14187758/10000</f>
        <v>1418.7757999999999</v>
      </c>
      <c r="H1636" s="643">
        <f>248002009.84/100000000</f>
        <v>2.4800200983999998</v>
      </c>
    </row>
    <row r="1637" spans="1:56" ht="28">
      <c r="C1637" s="673" t="s">
        <v>3438</v>
      </c>
      <c r="D1637" s="645"/>
      <c r="E1637" s="645"/>
      <c r="F1637" s="645"/>
      <c r="G1637" s="644">
        <f>37185354/10000</f>
        <v>3718.5354000000002</v>
      </c>
      <c r="H1637" s="643">
        <f>649999987.92/100000000</f>
        <v>6.4999998791999998</v>
      </c>
    </row>
    <row r="1639" spans="1:56" s="663" customFormat="1">
      <c r="A1639" s="663" t="s">
        <v>2861</v>
      </c>
      <c r="B1639" s="665" t="s">
        <v>2036</v>
      </c>
      <c r="C1639" s="667" t="s">
        <v>126</v>
      </c>
      <c r="D1639" s="667" t="s">
        <v>1583</v>
      </c>
      <c r="E1639" s="667" t="s">
        <v>4</v>
      </c>
      <c r="F1639" s="667" t="s">
        <v>2860</v>
      </c>
      <c r="G1639" s="667" t="s">
        <v>2859</v>
      </c>
      <c r="H1639" s="667" t="s">
        <v>2858</v>
      </c>
      <c r="I1639" s="667" t="s">
        <v>751</v>
      </c>
      <c r="J1639" s="665" t="s">
        <v>274</v>
      </c>
      <c r="K1639" s="665" t="s">
        <v>273</v>
      </c>
      <c r="L1639" s="665" t="s">
        <v>116</v>
      </c>
      <c r="M1639" s="665" t="s">
        <v>110</v>
      </c>
      <c r="N1639" s="665" t="s">
        <v>276</v>
      </c>
      <c r="O1639" s="667" t="s">
        <v>1311</v>
      </c>
      <c r="P1639" s="665" t="s">
        <v>275</v>
      </c>
      <c r="Q1639" s="665" t="s">
        <v>111</v>
      </c>
      <c r="R1639" s="665" t="s">
        <v>2857</v>
      </c>
      <c r="S1639" s="665" t="s">
        <v>747</v>
      </c>
      <c r="T1639" s="667" t="s">
        <v>12</v>
      </c>
      <c r="U1639" s="666" t="s">
        <v>948</v>
      </c>
      <c r="V1639" s="665" t="s">
        <v>129</v>
      </c>
      <c r="W1639" s="665" t="s">
        <v>220</v>
      </c>
      <c r="X1639" s="665" t="s">
        <v>749</v>
      </c>
      <c r="Y1639" s="665" t="s">
        <v>750</v>
      </c>
      <c r="Z1639" s="665" t="s">
        <v>748</v>
      </c>
      <c r="BB1639" s="664"/>
      <c r="BD1639" s="664"/>
    </row>
    <row r="1640" spans="1:56">
      <c r="A1640" s="642" t="s">
        <v>2078</v>
      </c>
      <c r="B1640" s="1436">
        <v>131</v>
      </c>
      <c r="C1640" s="1437" t="s">
        <v>2462</v>
      </c>
      <c r="D1640" s="662" t="s">
        <v>2461</v>
      </c>
      <c r="E1640" s="662" t="s">
        <v>2460</v>
      </c>
      <c r="F1640" s="661">
        <v>11</v>
      </c>
      <c r="G1640" s="660">
        <v>11</v>
      </c>
      <c r="H1640" s="659">
        <f>L1640*R1640</f>
        <v>152.97221999999999</v>
      </c>
      <c r="I1640" s="656">
        <f>F1640/H1640</f>
        <v>7.1908481160827764E-2</v>
      </c>
      <c r="J1640" s="658" t="s">
        <v>3027</v>
      </c>
      <c r="K1640" s="645" t="s">
        <v>2089</v>
      </c>
      <c r="L1640" s="645">
        <v>14.02</v>
      </c>
      <c r="M1640" s="658">
        <v>12.57</v>
      </c>
      <c r="N1640" s="653">
        <f>M1640/L1640</f>
        <v>0.89657631954350936</v>
      </c>
      <c r="O1640" s="656">
        <v>13.04</v>
      </c>
      <c r="P1640" s="653">
        <f>O1640/L1640</f>
        <v>0.93009985734664757</v>
      </c>
      <c r="Q1640" s="645">
        <v>4</v>
      </c>
      <c r="R1640" s="645">
        <v>10.911</v>
      </c>
      <c r="S1640" s="645" t="s">
        <v>2459</v>
      </c>
      <c r="T1640" s="654">
        <v>42947</v>
      </c>
      <c r="U1640" s="645">
        <v>10.56</v>
      </c>
      <c r="V1640" s="653">
        <f>((U1640*(1+X1640/10)+Y1640/10)/O1640)</f>
        <v>0.81211656441717794</v>
      </c>
      <c r="W1640" s="645" t="s">
        <v>2111</v>
      </c>
      <c r="X1640" s="645">
        <v>0</v>
      </c>
      <c r="Y1640" s="645">
        <v>0.3</v>
      </c>
      <c r="Z1640" s="652" t="s">
        <v>2411</v>
      </c>
      <c r="BB1640" s="651"/>
      <c r="BD1640" s="650"/>
    </row>
    <row r="1641" spans="1:56">
      <c r="C1641" s="648" t="s">
        <v>112</v>
      </c>
      <c r="D1641" s="648" t="s">
        <v>113</v>
      </c>
      <c r="E1641" s="648" t="s">
        <v>943</v>
      </c>
      <c r="F1641" s="649" t="s">
        <v>411</v>
      </c>
      <c r="G1641" s="649" t="s">
        <v>942</v>
      </c>
      <c r="H1641" s="648" t="s">
        <v>231</v>
      </c>
    </row>
    <row r="1642" spans="1:56">
      <c r="C1642" s="646" t="s">
        <v>1029</v>
      </c>
      <c r="D1642" s="647">
        <v>13.5</v>
      </c>
      <c r="E1642" s="643">
        <f>44000/10000</f>
        <v>4.4000000000000004</v>
      </c>
      <c r="F1642" s="645"/>
      <c r="G1642" s="644">
        <f>33742331/10000</f>
        <v>3374.2330999999999</v>
      </c>
      <c r="H1642" s="643">
        <f>439999996.24/100000000</f>
        <v>4.3999999623999999</v>
      </c>
    </row>
    <row r="1643" spans="1:56">
      <c r="C1643" s="646" t="s">
        <v>285</v>
      </c>
      <c r="D1643" s="647">
        <v>13.5</v>
      </c>
      <c r="E1643" s="643">
        <v>2.2000000000000002</v>
      </c>
      <c r="F1643" s="645"/>
      <c r="G1643" s="644">
        <f>16871165/10000</f>
        <v>1687.1165000000001</v>
      </c>
      <c r="H1643" s="643">
        <f>219999991.6/100000000</f>
        <v>2.1999999159999999</v>
      </c>
    </row>
    <row r="1644" spans="1:56">
      <c r="C1644" s="646" t="s">
        <v>139</v>
      </c>
      <c r="D1644" s="647">
        <v>13.35</v>
      </c>
      <c r="E1644" s="643">
        <v>2.25</v>
      </c>
      <c r="F1644" s="645"/>
      <c r="G1644" s="644">
        <f>17254601/10000</f>
        <v>1725.4601</v>
      </c>
      <c r="H1644" s="643">
        <f>224999997.04/100000000</f>
        <v>2.2499999703999998</v>
      </c>
    </row>
    <row r="1645" spans="1:56">
      <c r="C1645" s="1512" t="s">
        <v>115</v>
      </c>
      <c r="D1645" s="647">
        <v>13.04</v>
      </c>
      <c r="E1645" s="643">
        <f>33000/10000</f>
        <v>3.3</v>
      </c>
      <c r="F1645" s="645"/>
      <c r="G1645" s="1542">
        <f>16487731/10000</f>
        <v>1648.7731000000001</v>
      </c>
      <c r="H1645" s="1535">
        <f>215000012.24/100000000</f>
        <v>2.1500001224000003</v>
      </c>
    </row>
    <row r="1646" spans="1:56">
      <c r="C1646" s="1512"/>
      <c r="D1646" s="647">
        <v>12.61</v>
      </c>
      <c r="E1646" s="643">
        <f>49300/10000</f>
        <v>4.93</v>
      </c>
      <c r="F1646" s="645"/>
      <c r="G1646" s="1542"/>
      <c r="H1646" s="1535"/>
    </row>
    <row r="1647" spans="1:56">
      <c r="C1647" s="1512"/>
      <c r="D1647" s="647">
        <v>12.57</v>
      </c>
      <c r="E1647" s="643">
        <f>57700/10000</f>
        <v>5.77</v>
      </c>
      <c r="F1647" s="645"/>
      <c r="G1647" s="1542"/>
      <c r="H1647" s="1535"/>
    </row>
    <row r="1648" spans="1:56">
      <c r="C1648" s="646" t="s">
        <v>316</v>
      </c>
      <c r="D1648" s="647">
        <v>13.02</v>
      </c>
      <c r="E1648" s="643">
        <v>2.68</v>
      </c>
      <c r="F1648" s="645"/>
      <c r="G1648" s="645"/>
      <c r="H1648" s="645"/>
    </row>
    <row r="1649" spans="1:56">
      <c r="C1649" s="646" t="s">
        <v>127</v>
      </c>
      <c r="D1649" s="647">
        <v>12.82</v>
      </c>
      <c r="E1649" s="643">
        <v>2.2000000000000002</v>
      </c>
      <c r="F1649" s="645"/>
      <c r="G1649" s="645"/>
      <c r="H1649" s="645"/>
    </row>
    <row r="1651" spans="1:56" s="663" customFormat="1">
      <c r="A1651" s="663" t="s">
        <v>2861</v>
      </c>
      <c r="B1651" s="665" t="s">
        <v>2036</v>
      </c>
      <c r="C1651" s="667" t="s">
        <v>126</v>
      </c>
      <c r="D1651" s="667" t="s">
        <v>1583</v>
      </c>
      <c r="E1651" s="667" t="s">
        <v>4</v>
      </c>
      <c r="F1651" s="667" t="s">
        <v>2860</v>
      </c>
      <c r="G1651" s="667" t="s">
        <v>2859</v>
      </c>
      <c r="H1651" s="667" t="s">
        <v>2858</v>
      </c>
      <c r="I1651" s="667" t="s">
        <v>751</v>
      </c>
      <c r="J1651" s="665" t="s">
        <v>274</v>
      </c>
      <c r="K1651" s="665" t="s">
        <v>273</v>
      </c>
      <c r="L1651" s="665" t="s">
        <v>116</v>
      </c>
      <c r="M1651" s="665" t="s">
        <v>110</v>
      </c>
      <c r="N1651" s="668" t="s">
        <v>276</v>
      </c>
      <c r="O1651" s="667" t="s">
        <v>1311</v>
      </c>
      <c r="P1651" s="665" t="s">
        <v>275</v>
      </c>
      <c r="Q1651" s="665" t="s">
        <v>111</v>
      </c>
      <c r="R1651" s="665" t="s">
        <v>2857</v>
      </c>
      <c r="S1651" s="665" t="s">
        <v>747</v>
      </c>
      <c r="T1651" s="667" t="s">
        <v>12</v>
      </c>
      <c r="U1651" s="666" t="s">
        <v>948</v>
      </c>
      <c r="V1651" s="665" t="s">
        <v>129</v>
      </c>
      <c r="W1651" s="665" t="s">
        <v>220</v>
      </c>
      <c r="X1651" s="665" t="s">
        <v>749</v>
      </c>
      <c r="Y1651" s="665" t="s">
        <v>750</v>
      </c>
      <c r="Z1651" s="665" t="s">
        <v>748</v>
      </c>
      <c r="BB1651" s="664"/>
      <c r="BD1651" s="664"/>
    </row>
    <row r="1652" spans="1:56">
      <c r="A1652" s="642" t="s">
        <v>2078</v>
      </c>
      <c r="B1652" s="1436">
        <v>132</v>
      </c>
      <c r="C1652" s="1471" t="s">
        <v>2458</v>
      </c>
      <c r="D1652" s="722" t="s">
        <v>2457</v>
      </c>
      <c r="E1652" s="722" t="s">
        <v>2456</v>
      </c>
      <c r="F1652" s="721">
        <v>5.0999999999999996</v>
      </c>
      <c r="G1652" s="660">
        <v>4.99</v>
      </c>
      <c r="H1652" s="656">
        <f>L1652*R1652</f>
        <v>55.69476250000001</v>
      </c>
      <c r="I1652" s="656">
        <f>F1652/H1652</f>
        <v>9.1570549385141892E-2</v>
      </c>
      <c r="J1652" s="658" t="s">
        <v>3000</v>
      </c>
      <c r="K1652" s="645" t="s">
        <v>2089</v>
      </c>
      <c r="L1652" s="645">
        <v>11.05</v>
      </c>
      <c r="M1652" s="658">
        <v>9.11</v>
      </c>
      <c r="N1652" s="699">
        <f>M1652/L1652</f>
        <v>0.82443438914027134</v>
      </c>
      <c r="O1652" s="656">
        <v>10.5</v>
      </c>
      <c r="P1652" s="653">
        <f>O1652/L1652</f>
        <v>0.95022624434389136</v>
      </c>
      <c r="Q1652" s="645">
        <v>5</v>
      </c>
      <c r="R1652" s="645">
        <v>5.0402500000000003</v>
      </c>
      <c r="S1652" s="645" t="s">
        <v>2455</v>
      </c>
      <c r="T1652" s="654">
        <v>42948</v>
      </c>
      <c r="U1652" s="645">
        <v>9.11</v>
      </c>
      <c r="V1652" s="653">
        <f>((U1652*(1+X1652/10)+Y1652/10)/O1652)</f>
        <v>0.86761904761904751</v>
      </c>
      <c r="W1652" s="645" t="s">
        <v>223</v>
      </c>
      <c r="X1652" s="645">
        <v>0</v>
      </c>
      <c r="Y1652" s="645">
        <v>0</v>
      </c>
      <c r="Z1652" s="652" t="s">
        <v>2454</v>
      </c>
      <c r="BB1652" s="651"/>
      <c r="BD1652" s="650"/>
    </row>
    <row r="1653" spans="1:56">
      <c r="C1653" s="696" t="s">
        <v>112</v>
      </c>
      <c r="D1653" s="696" t="s">
        <v>113</v>
      </c>
      <c r="E1653" s="696" t="s">
        <v>943</v>
      </c>
      <c r="F1653" s="697" t="s">
        <v>411</v>
      </c>
      <c r="G1653" s="697" t="s">
        <v>942</v>
      </c>
      <c r="H1653" s="696" t="s">
        <v>231</v>
      </c>
    </row>
    <row r="1654" spans="1:56">
      <c r="C1654" s="693" t="s">
        <v>336</v>
      </c>
      <c r="D1654" s="796">
        <v>11.2</v>
      </c>
      <c r="E1654" s="795">
        <v>1.2</v>
      </c>
      <c r="G1654" s="795">
        <f>11428571/10000</f>
        <v>1142.8570999999999</v>
      </c>
      <c r="H1654" s="795">
        <f>119999995.5/100000000</f>
        <v>1.199999955</v>
      </c>
    </row>
    <row r="1655" spans="1:56">
      <c r="C1655" s="693" t="s">
        <v>115</v>
      </c>
      <c r="D1655" s="796">
        <v>11.1</v>
      </c>
      <c r="E1655" s="795">
        <v>0.93</v>
      </c>
      <c r="G1655" s="795">
        <f>8857142/10000</f>
        <v>885.71420000000001</v>
      </c>
      <c r="H1655" s="795">
        <f>92999991/100000000</f>
        <v>0.92999991000000004</v>
      </c>
    </row>
    <row r="1656" spans="1:56">
      <c r="C1656" s="693" t="s">
        <v>121</v>
      </c>
      <c r="D1656" s="796">
        <v>10.5</v>
      </c>
      <c r="E1656" s="795">
        <v>0.6</v>
      </c>
      <c r="G1656" s="795">
        <f>5714285/10000</f>
        <v>571.42849999999999</v>
      </c>
      <c r="H1656" s="795">
        <f>59999992.5/100000000</f>
        <v>0.59999992499999999</v>
      </c>
    </row>
    <row r="1657" spans="1:56">
      <c r="C1657" s="693" t="s">
        <v>3437</v>
      </c>
      <c r="D1657" s="796">
        <v>10.5</v>
      </c>
      <c r="E1657" s="795">
        <v>0.5</v>
      </c>
      <c r="G1657" s="795">
        <f>2523811/10000</f>
        <v>252.3811</v>
      </c>
      <c r="H1657" s="795">
        <f>26500015.5/100000000</f>
        <v>0.26500015500000002</v>
      </c>
    </row>
    <row r="1658" spans="1:56">
      <c r="C1658" s="693" t="s">
        <v>300</v>
      </c>
      <c r="D1658" s="796">
        <v>10.46</v>
      </c>
      <c r="E1658" s="795">
        <v>0.55000000000000004</v>
      </c>
    </row>
    <row r="1659" spans="1:56">
      <c r="C1659" s="693" t="s">
        <v>300</v>
      </c>
      <c r="D1659" s="796">
        <v>10.130000000000001</v>
      </c>
      <c r="E1659" s="795">
        <v>0.65</v>
      </c>
    </row>
    <row r="1660" spans="1:56">
      <c r="C1660" s="693" t="s">
        <v>127</v>
      </c>
      <c r="D1660" s="796">
        <v>10.119999999999999</v>
      </c>
      <c r="E1660" s="795">
        <v>1</v>
      </c>
    </row>
    <row r="1661" spans="1:56">
      <c r="C1661" s="693" t="s">
        <v>138</v>
      </c>
      <c r="D1661" s="796">
        <v>9.6300000000000008</v>
      </c>
      <c r="E1661" s="795">
        <v>0.7</v>
      </c>
    </row>
    <row r="1662" spans="1:56">
      <c r="C1662" s="693" t="s">
        <v>147</v>
      </c>
      <c r="D1662" s="796">
        <v>9.6199999999999992</v>
      </c>
      <c r="E1662" s="795">
        <v>1.06</v>
      </c>
    </row>
    <row r="1663" spans="1:56">
      <c r="C1663" s="693" t="s">
        <v>3436</v>
      </c>
      <c r="D1663" s="796">
        <v>9.36</v>
      </c>
      <c r="E1663" s="795">
        <v>0.7</v>
      </c>
    </row>
    <row r="1664" spans="1:56">
      <c r="C1664" s="693" t="s">
        <v>3436</v>
      </c>
      <c r="D1664" s="796">
        <v>9.31</v>
      </c>
      <c r="E1664" s="795">
        <v>0.71</v>
      </c>
    </row>
    <row r="1665" spans="1:56">
      <c r="C1665" s="693" t="s">
        <v>3436</v>
      </c>
      <c r="D1665" s="796">
        <v>9.2799999999999994</v>
      </c>
      <c r="E1665" s="795">
        <v>0.72</v>
      </c>
    </row>
    <row r="1666" spans="1:56">
      <c r="C1666" s="693" t="s">
        <v>134</v>
      </c>
      <c r="D1666" s="796">
        <v>9.23</v>
      </c>
      <c r="E1666" s="795">
        <v>0.5</v>
      </c>
    </row>
    <row r="1667" spans="1:56">
      <c r="C1667" s="693" t="s">
        <v>3435</v>
      </c>
      <c r="D1667" s="796">
        <v>9.1999999999999993</v>
      </c>
      <c r="E1667" s="795">
        <v>0.5</v>
      </c>
    </row>
    <row r="1668" spans="1:56">
      <c r="C1668" s="693" t="s">
        <v>1291</v>
      </c>
      <c r="D1668" s="796">
        <v>9.15</v>
      </c>
      <c r="E1668" s="795">
        <v>0.5</v>
      </c>
    </row>
    <row r="1669" spans="1:56">
      <c r="C1669" s="693" t="s">
        <v>138</v>
      </c>
      <c r="D1669" s="796">
        <v>9.1300000000000008</v>
      </c>
      <c r="E1669" s="795">
        <v>1</v>
      </c>
    </row>
    <row r="1670" spans="1:56">
      <c r="C1670" s="693" t="s">
        <v>3434</v>
      </c>
      <c r="G1670" s="795">
        <f>19047619/10000</f>
        <v>1904.7619</v>
      </c>
      <c r="H1670" s="795">
        <f>199999999.5/100000000</f>
        <v>1.999999995</v>
      </c>
    </row>
    <row r="1672" spans="1:56" s="663" customFormat="1">
      <c r="A1672" s="663" t="s">
        <v>2861</v>
      </c>
      <c r="B1672" s="665" t="s">
        <v>2036</v>
      </c>
      <c r="C1672" s="667" t="s">
        <v>126</v>
      </c>
      <c r="D1672" s="667" t="s">
        <v>1583</v>
      </c>
      <c r="E1672" s="667" t="s">
        <v>4</v>
      </c>
      <c r="F1672" s="667" t="s">
        <v>2860</v>
      </c>
      <c r="G1672" s="667" t="s">
        <v>2859</v>
      </c>
      <c r="H1672" s="667" t="s">
        <v>2858</v>
      </c>
      <c r="I1672" s="667" t="s">
        <v>751</v>
      </c>
      <c r="J1672" s="665" t="s">
        <v>274</v>
      </c>
      <c r="K1672" s="665" t="s">
        <v>273</v>
      </c>
      <c r="L1672" s="665" t="s">
        <v>116</v>
      </c>
      <c r="M1672" s="665" t="s">
        <v>110</v>
      </c>
      <c r="N1672" s="665" t="s">
        <v>276</v>
      </c>
      <c r="O1672" s="667" t="s">
        <v>1311</v>
      </c>
      <c r="P1672" s="665" t="s">
        <v>275</v>
      </c>
      <c r="Q1672" s="665" t="s">
        <v>111</v>
      </c>
      <c r="R1672" s="665" t="s">
        <v>2857</v>
      </c>
      <c r="S1672" s="665" t="s">
        <v>747</v>
      </c>
      <c r="T1672" s="667" t="s">
        <v>12</v>
      </c>
      <c r="U1672" s="666" t="s">
        <v>948</v>
      </c>
      <c r="V1672" s="665" t="s">
        <v>129</v>
      </c>
      <c r="W1672" s="665" t="s">
        <v>220</v>
      </c>
      <c r="X1672" s="665" t="s">
        <v>749</v>
      </c>
      <c r="Y1672" s="665" t="s">
        <v>750</v>
      </c>
      <c r="Z1672" s="665" t="s">
        <v>748</v>
      </c>
      <c r="BB1672" s="664"/>
      <c r="BD1672" s="664"/>
    </row>
    <row r="1673" spans="1:56">
      <c r="A1673" s="642" t="s">
        <v>2078</v>
      </c>
      <c r="B1673" s="1436">
        <v>133</v>
      </c>
      <c r="C1673" s="1437" t="s">
        <v>2453</v>
      </c>
      <c r="D1673" s="662" t="s">
        <v>2452</v>
      </c>
      <c r="E1673" s="662" t="s">
        <v>2451</v>
      </c>
      <c r="F1673" s="661">
        <v>4.7</v>
      </c>
      <c r="G1673" s="660">
        <v>4.7</v>
      </c>
      <c r="H1673" s="659">
        <f>L1673*R1673</f>
        <v>75.35161034299999</v>
      </c>
      <c r="I1673" s="656">
        <f>F1673/H1673</f>
        <v>6.23742475921302E-2</v>
      </c>
      <c r="J1673" s="658" t="s">
        <v>3026</v>
      </c>
      <c r="K1673" s="645" t="s">
        <v>2174</v>
      </c>
      <c r="L1673" s="645">
        <v>17.899999999999999</v>
      </c>
      <c r="M1673" s="658">
        <v>9.69</v>
      </c>
      <c r="N1673" s="653">
        <f>M1673/L1673</f>
        <v>0.54134078212290504</v>
      </c>
      <c r="O1673" s="656">
        <v>14.6</v>
      </c>
      <c r="P1673" s="653">
        <f>O1673/L1673</f>
        <v>0.81564245810055869</v>
      </c>
      <c r="Q1673" s="645">
        <v>7</v>
      </c>
      <c r="R1673" s="653">
        <v>4.2095871699999998</v>
      </c>
      <c r="S1673" s="645" t="s">
        <v>2450</v>
      </c>
      <c r="T1673" s="654">
        <v>42954</v>
      </c>
      <c r="U1673" s="645">
        <v>8.01</v>
      </c>
      <c r="V1673" s="653">
        <f>((U1673*(1+X1673/10)+Y1673/10)/O1673)</f>
        <v>0.84691780821917817</v>
      </c>
      <c r="W1673" s="645" t="s">
        <v>2449</v>
      </c>
      <c r="X1673" s="645">
        <v>5</v>
      </c>
      <c r="Y1673" s="645">
        <v>3.5</v>
      </c>
      <c r="Z1673" s="652" t="s">
        <v>2223</v>
      </c>
      <c r="BB1673" s="651"/>
      <c r="BD1673" s="650"/>
    </row>
    <row r="1674" spans="1:56">
      <c r="C1674" s="648" t="s">
        <v>112</v>
      </c>
      <c r="D1674" s="648" t="s">
        <v>113</v>
      </c>
      <c r="E1674" s="648" t="s">
        <v>943</v>
      </c>
      <c r="F1674" s="649" t="s">
        <v>411</v>
      </c>
      <c r="G1674" s="649" t="s">
        <v>942</v>
      </c>
      <c r="H1674" s="648" t="s">
        <v>231</v>
      </c>
    </row>
    <row r="1675" spans="1:56">
      <c r="C1675" s="646" t="s">
        <v>115</v>
      </c>
      <c r="D1675" s="647">
        <v>16.579999999999998</v>
      </c>
      <c r="E1675" s="643">
        <v>0.94</v>
      </c>
      <c r="F1675" s="645"/>
      <c r="G1675" s="644">
        <f>6438356/10000</f>
        <v>643.8356</v>
      </c>
      <c r="H1675" s="643">
        <f>93999997.6/100000000</f>
        <v>0.93999997599999996</v>
      </c>
    </row>
    <row r="1676" spans="1:56">
      <c r="C1676" s="646" t="s">
        <v>146</v>
      </c>
      <c r="D1676" s="647">
        <v>16.059999999999999</v>
      </c>
      <c r="E1676" s="643">
        <v>0.94</v>
      </c>
      <c r="F1676" s="645"/>
      <c r="G1676" s="644">
        <f>6438356/10000</f>
        <v>643.8356</v>
      </c>
      <c r="H1676" s="643">
        <f>93999997.6/100000000</f>
        <v>0.93999997599999996</v>
      </c>
    </row>
    <row r="1677" spans="1:56">
      <c r="C1677" s="646" t="s">
        <v>542</v>
      </c>
      <c r="D1677" s="647">
        <v>16.05</v>
      </c>
      <c r="E1677" s="643">
        <v>0.47</v>
      </c>
      <c r="F1677" s="645"/>
      <c r="G1677" s="644">
        <f>3219178/10000</f>
        <v>321.9178</v>
      </c>
      <c r="H1677" s="643">
        <f>46999998.8/100000000</f>
        <v>0.46999998799999998</v>
      </c>
    </row>
    <row r="1678" spans="1:56">
      <c r="C1678" s="646" t="s">
        <v>3025</v>
      </c>
      <c r="D1678" s="647">
        <v>15.55</v>
      </c>
      <c r="E1678" s="643">
        <v>0.47</v>
      </c>
      <c r="F1678" s="645"/>
      <c r="G1678" s="644">
        <f>3219178/10000</f>
        <v>321.9178</v>
      </c>
      <c r="H1678" s="643">
        <f>46999998.8/100000000</f>
        <v>0.46999998799999998</v>
      </c>
    </row>
    <row r="1679" spans="1:56">
      <c r="C1679" s="646" t="s">
        <v>127</v>
      </c>
      <c r="D1679" s="647">
        <v>15.33</v>
      </c>
      <c r="E1679" s="643">
        <v>0.94</v>
      </c>
      <c r="F1679" s="645"/>
      <c r="G1679" s="644">
        <f>6438356/10000</f>
        <v>643.8356</v>
      </c>
      <c r="H1679" s="643">
        <f>93999997.6/100000000</f>
        <v>0.93999997599999996</v>
      </c>
    </row>
    <row r="1680" spans="1:56">
      <c r="C1680" s="646" t="s">
        <v>1291</v>
      </c>
      <c r="D1680" s="647">
        <v>15.18</v>
      </c>
      <c r="E1680" s="643">
        <v>0.47</v>
      </c>
      <c r="F1680" s="645"/>
      <c r="G1680" s="644">
        <f>3219178/10000</f>
        <v>321.9178</v>
      </c>
      <c r="H1680" s="643">
        <f>46999998.8/100000000</f>
        <v>0.46999998799999998</v>
      </c>
    </row>
    <row r="1681" spans="3:8">
      <c r="C1681" s="646" t="s">
        <v>351</v>
      </c>
      <c r="D1681" s="647">
        <v>14.6</v>
      </c>
      <c r="E1681" s="643">
        <v>0.47</v>
      </c>
      <c r="F1681" s="645"/>
      <c r="G1681" s="644">
        <f>3212329/10000</f>
        <v>321.23289999999997</v>
      </c>
      <c r="H1681" s="643">
        <f>46900003.4/100000000</f>
        <v>0.46900003400000001</v>
      </c>
    </row>
    <row r="1682" spans="3:8">
      <c r="C1682" s="646" t="s">
        <v>278</v>
      </c>
      <c r="D1682" s="647">
        <v>14.56</v>
      </c>
      <c r="E1682" s="643">
        <v>0.5</v>
      </c>
      <c r="F1682" s="645"/>
      <c r="G1682" s="645"/>
      <c r="H1682" s="645"/>
    </row>
    <row r="1683" spans="3:8">
      <c r="C1683" s="646" t="s">
        <v>148</v>
      </c>
      <c r="D1683" s="647">
        <v>14.36</v>
      </c>
      <c r="E1683" s="643">
        <v>0.67</v>
      </c>
      <c r="F1683" s="645"/>
      <c r="G1683" s="645"/>
      <c r="H1683" s="645"/>
    </row>
    <row r="1684" spans="3:8">
      <c r="C1684" s="646" t="s">
        <v>1056</v>
      </c>
      <c r="D1684" s="647">
        <v>14.28</v>
      </c>
      <c r="E1684" s="643">
        <v>0.5</v>
      </c>
      <c r="F1684" s="645"/>
      <c r="G1684" s="645"/>
      <c r="H1684" s="645"/>
    </row>
    <row r="1685" spans="3:8">
      <c r="C1685" s="646" t="s">
        <v>974</v>
      </c>
      <c r="D1685" s="647">
        <v>14.01</v>
      </c>
      <c r="E1685" s="643">
        <v>0.47</v>
      </c>
      <c r="F1685" s="645"/>
      <c r="G1685" s="645"/>
      <c r="H1685" s="645"/>
    </row>
    <row r="1686" spans="3:8">
      <c r="C1686" s="646" t="s">
        <v>371</v>
      </c>
      <c r="D1686" s="647">
        <v>13.51</v>
      </c>
      <c r="E1686" s="643">
        <v>0.47</v>
      </c>
      <c r="F1686" s="645"/>
      <c r="G1686" s="645"/>
      <c r="H1686" s="645"/>
    </row>
    <row r="1687" spans="3:8">
      <c r="C1687" s="646" t="s">
        <v>138</v>
      </c>
      <c r="D1687" s="647">
        <v>13.28</v>
      </c>
      <c r="E1687" s="643">
        <v>0.9</v>
      </c>
      <c r="F1687" s="645"/>
      <c r="G1687" s="645"/>
      <c r="H1687" s="645"/>
    </row>
    <row r="1688" spans="3:8">
      <c r="C1688" s="646" t="s">
        <v>134</v>
      </c>
      <c r="D1688" s="647">
        <v>13.05</v>
      </c>
      <c r="E1688" s="643">
        <v>0.5</v>
      </c>
      <c r="F1688" s="645"/>
      <c r="G1688" s="645"/>
      <c r="H1688" s="645"/>
    </row>
    <row r="1689" spans="3:8">
      <c r="C1689" s="646" t="s">
        <v>337</v>
      </c>
      <c r="D1689" s="647">
        <v>13</v>
      </c>
      <c r="E1689" s="643">
        <v>0.47</v>
      </c>
      <c r="F1689" s="645"/>
      <c r="G1689" s="645"/>
      <c r="H1689" s="645"/>
    </row>
    <row r="1690" spans="3:8">
      <c r="C1690" s="646" t="s">
        <v>147</v>
      </c>
      <c r="D1690" s="647">
        <v>12.86</v>
      </c>
      <c r="E1690" s="643">
        <v>0.94</v>
      </c>
      <c r="F1690" s="645"/>
      <c r="G1690" s="645"/>
      <c r="H1690" s="645"/>
    </row>
    <row r="1691" spans="3:8">
      <c r="C1691" s="646" t="s">
        <v>3024</v>
      </c>
      <c r="D1691" s="647">
        <v>12.85</v>
      </c>
      <c r="E1691" s="643">
        <v>0.5</v>
      </c>
      <c r="F1691" s="645"/>
      <c r="G1691" s="645"/>
      <c r="H1691" s="645"/>
    </row>
    <row r="1692" spans="3:8">
      <c r="C1692" s="646" t="s">
        <v>155</v>
      </c>
      <c r="D1692" s="647">
        <v>12.51</v>
      </c>
      <c r="E1692" s="643">
        <v>0.6</v>
      </c>
      <c r="F1692" s="645"/>
      <c r="G1692" s="645"/>
      <c r="H1692" s="645"/>
    </row>
    <row r="1693" spans="3:8">
      <c r="C1693" s="646" t="s">
        <v>130</v>
      </c>
      <c r="D1693" s="647">
        <v>12.5</v>
      </c>
      <c r="E1693" s="643">
        <v>0.94</v>
      </c>
      <c r="F1693" s="645"/>
      <c r="G1693" s="645"/>
      <c r="H1693" s="645"/>
    </row>
    <row r="1694" spans="3:8">
      <c r="C1694" s="646" t="s">
        <v>131</v>
      </c>
      <c r="D1694" s="647">
        <v>12.1</v>
      </c>
      <c r="E1694" s="643">
        <v>0.94</v>
      </c>
      <c r="F1694" s="645"/>
      <c r="G1694" s="645"/>
      <c r="H1694" s="645"/>
    </row>
    <row r="1695" spans="3:8">
      <c r="C1695" s="646" t="s">
        <v>124</v>
      </c>
      <c r="D1695" s="647">
        <v>11</v>
      </c>
      <c r="E1695" s="643">
        <v>0.77</v>
      </c>
      <c r="F1695" s="645"/>
      <c r="G1695" s="645"/>
      <c r="H1695" s="645"/>
    </row>
    <row r="1697" spans="1:56" s="663" customFormat="1">
      <c r="A1697" s="663" t="s">
        <v>2861</v>
      </c>
      <c r="B1697" s="665" t="s">
        <v>2036</v>
      </c>
      <c r="C1697" s="667" t="s">
        <v>126</v>
      </c>
      <c r="D1697" s="667" t="s">
        <v>1583</v>
      </c>
      <c r="E1697" s="667" t="s">
        <v>4</v>
      </c>
      <c r="F1697" s="667" t="s">
        <v>2860</v>
      </c>
      <c r="G1697" s="667" t="s">
        <v>2859</v>
      </c>
      <c r="H1697" s="667" t="s">
        <v>2858</v>
      </c>
      <c r="I1697" s="667" t="s">
        <v>751</v>
      </c>
      <c r="J1697" s="665" t="s">
        <v>274</v>
      </c>
      <c r="K1697" s="665" t="s">
        <v>273</v>
      </c>
      <c r="L1697" s="665" t="s">
        <v>116</v>
      </c>
      <c r="M1697" s="665" t="s">
        <v>110</v>
      </c>
      <c r="N1697" s="665" t="s">
        <v>276</v>
      </c>
      <c r="O1697" s="667" t="s">
        <v>1311</v>
      </c>
      <c r="P1697" s="665" t="s">
        <v>275</v>
      </c>
      <c r="Q1697" s="665" t="s">
        <v>111</v>
      </c>
      <c r="R1697" s="665" t="s">
        <v>2857</v>
      </c>
      <c r="S1697" s="665" t="s">
        <v>747</v>
      </c>
      <c r="T1697" s="667" t="s">
        <v>12</v>
      </c>
      <c r="U1697" s="666" t="s">
        <v>948</v>
      </c>
      <c r="V1697" s="665" t="s">
        <v>129</v>
      </c>
      <c r="W1697" s="665" t="s">
        <v>220</v>
      </c>
      <c r="X1697" s="665" t="s">
        <v>749</v>
      </c>
      <c r="Y1697" s="665" t="s">
        <v>750</v>
      </c>
      <c r="Z1697" s="665" t="s">
        <v>748</v>
      </c>
      <c r="BB1697" s="664"/>
      <c r="BD1697" s="664"/>
    </row>
    <row r="1698" spans="1:56">
      <c r="A1698" s="642" t="s">
        <v>2078</v>
      </c>
      <c r="B1698" s="1436">
        <v>134</v>
      </c>
      <c r="C1698" s="1437" t="s">
        <v>2448</v>
      </c>
      <c r="D1698" s="662" t="s">
        <v>2447</v>
      </c>
      <c r="E1698" s="662" t="s">
        <v>2446</v>
      </c>
      <c r="F1698" s="660">
        <v>11</v>
      </c>
      <c r="G1698" s="659">
        <v>11</v>
      </c>
      <c r="H1698" s="659">
        <f>L1698*R1698</f>
        <v>245.84523499999997</v>
      </c>
      <c r="I1698" s="721">
        <f>F1698/H1698</f>
        <v>4.4743596515100244E-2</v>
      </c>
      <c r="J1698" s="645" t="s">
        <v>3023</v>
      </c>
      <c r="K1698" s="645" t="s">
        <v>2445</v>
      </c>
      <c r="L1698" s="658">
        <v>55.75</v>
      </c>
      <c r="M1698" s="645">
        <v>34.69</v>
      </c>
      <c r="N1698" s="653">
        <f>M1698/L1698</f>
        <v>0.62224215246636772</v>
      </c>
      <c r="O1698" s="656">
        <v>53.05</v>
      </c>
      <c r="P1698" s="653">
        <f>O1698/L1698</f>
        <v>0.95156950672645735</v>
      </c>
      <c r="Q1698" s="645">
        <v>6</v>
      </c>
      <c r="R1698" s="653">
        <v>4.4097799999999996</v>
      </c>
      <c r="S1698" s="645" t="s">
        <v>2444</v>
      </c>
      <c r="T1698" s="654">
        <v>42948</v>
      </c>
      <c r="U1698" s="645">
        <v>39.369999999999997</v>
      </c>
      <c r="V1698" s="653">
        <f>((U1698*(1+X1698/10)+Y1698/10)/O1698)</f>
        <v>1.4974552309142319</v>
      </c>
      <c r="W1698" s="645" t="s">
        <v>2443</v>
      </c>
      <c r="X1698" s="645">
        <v>10</v>
      </c>
      <c r="Y1698" s="645">
        <v>7</v>
      </c>
      <c r="Z1698" s="652" t="s">
        <v>2442</v>
      </c>
      <c r="BB1698" s="651"/>
      <c r="BD1698" s="650"/>
    </row>
    <row r="1699" spans="1:56">
      <c r="C1699" s="648" t="s">
        <v>112</v>
      </c>
      <c r="D1699" s="648" t="s">
        <v>113</v>
      </c>
      <c r="E1699" s="648" t="s">
        <v>943</v>
      </c>
      <c r="F1699" s="649" t="s">
        <v>411</v>
      </c>
      <c r="G1699" s="649" t="s">
        <v>942</v>
      </c>
      <c r="H1699" s="648" t="s">
        <v>231</v>
      </c>
    </row>
    <row r="1700" spans="1:56">
      <c r="C1700" s="646" t="s">
        <v>3433</v>
      </c>
      <c r="D1700" s="647">
        <v>56.6</v>
      </c>
      <c r="E1700" s="643">
        <v>1.1000000000000001</v>
      </c>
      <c r="F1700" s="645"/>
      <c r="G1700" s="644">
        <f>2073515/10000</f>
        <v>207.35149999999999</v>
      </c>
      <c r="H1700" s="643">
        <f>109999970.75/100000000</f>
        <v>1.0999997075000001</v>
      </c>
      <c r="J1700" s="687"/>
    </row>
    <row r="1701" spans="1:56">
      <c r="C1701" s="1512" t="s">
        <v>225</v>
      </c>
      <c r="D1701" s="647">
        <v>56.5</v>
      </c>
      <c r="E1701" s="643">
        <v>1.85</v>
      </c>
      <c r="F1701" s="645"/>
      <c r="G1701" s="644">
        <f>10367577/10000</f>
        <v>1036.7577000000001</v>
      </c>
      <c r="H1701" s="643">
        <f>549999959.85/100000000</f>
        <v>5.4999995985000005</v>
      </c>
      <c r="J1701" s="687"/>
    </row>
    <row r="1702" spans="1:56">
      <c r="C1702" s="1512"/>
      <c r="D1702" s="647">
        <v>54.65</v>
      </c>
      <c r="E1702" s="643">
        <f>55000/10000</f>
        <v>5.5</v>
      </c>
      <c r="F1702" s="645"/>
      <c r="G1702" s="645"/>
      <c r="H1702" s="645"/>
    </row>
    <row r="1703" spans="1:56">
      <c r="C1703" s="1512"/>
      <c r="D1703" s="647">
        <v>52.95</v>
      </c>
      <c r="E1703" s="643">
        <f>55000/10000</f>
        <v>5.5</v>
      </c>
      <c r="F1703" s="645"/>
      <c r="G1703" s="645"/>
      <c r="H1703" s="645"/>
    </row>
    <row r="1704" spans="1:56">
      <c r="C1704" s="646" t="s">
        <v>3432</v>
      </c>
      <c r="D1704" s="647">
        <v>56</v>
      </c>
      <c r="E1704" s="643">
        <v>1.1000000000000001</v>
      </c>
      <c r="F1704" s="645"/>
      <c r="G1704" s="644">
        <f>2073515/10000</f>
        <v>207.35149999999999</v>
      </c>
      <c r="H1704" s="643">
        <f>109999970.75/100000000</f>
        <v>1.0999997075000001</v>
      </c>
      <c r="J1704" s="687"/>
    </row>
    <row r="1705" spans="1:56">
      <c r="C1705" s="646" t="s">
        <v>139</v>
      </c>
      <c r="D1705" s="647">
        <v>55.75</v>
      </c>
      <c r="E1705" s="643">
        <v>1.1299999999999999</v>
      </c>
      <c r="F1705" s="645"/>
      <c r="G1705" s="644">
        <f>2130065/10000</f>
        <v>213.00649999999999</v>
      </c>
      <c r="H1705" s="643">
        <f>112999948.25/100000000</f>
        <v>1.1299994824999999</v>
      </c>
      <c r="J1705" s="687"/>
    </row>
    <row r="1706" spans="1:56">
      <c r="C1706" s="1512" t="s">
        <v>316</v>
      </c>
      <c r="D1706" s="647">
        <v>54</v>
      </c>
      <c r="E1706" s="643">
        <v>1.21</v>
      </c>
      <c r="F1706" s="645"/>
      <c r="G1706" s="644">
        <v>228.08670000000001</v>
      </c>
      <c r="H1706" s="643">
        <v>1.2099999400000001</v>
      </c>
      <c r="J1706" s="687"/>
    </row>
    <row r="1707" spans="1:56">
      <c r="C1707" s="1512"/>
      <c r="D1707" s="647">
        <v>51.9</v>
      </c>
      <c r="E1707" s="643">
        <f>36200/10000</f>
        <v>3.62</v>
      </c>
      <c r="F1707" s="645"/>
      <c r="G1707" s="645"/>
      <c r="H1707" s="645"/>
    </row>
    <row r="1708" spans="1:56">
      <c r="C1708" s="1512"/>
      <c r="D1708" s="647">
        <v>50.3</v>
      </c>
      <c r="E1708" s="643">
        <f>48600/10000</f>
        <v>4.8600000000000003</v>
      </c>
      <c r="F1708" s="645"/>
      <c r="G1708" s="645"/>
      <c r="H1708" s="645"/>
    </row>
    <row r="1709" spans="1:56">
      <c r="C1709" s="1512" t="s">
        <v>115</v>
      </c>
      <c r="D1709" s="647">
        <v>53.05</v>
      </c>
      <c r="E1709" s="643">
        <v>2.61</v>
      </c>
      <c r="F1709" s="645"/>
      <c r="G1709" s="644">
        <f>1809616/10000</f>
        <v>180.9616</v>
      </c>
      <c r="H1709" s="643">
        <f>96000128.8/100000000</f>
        <v>0.96000128799999995</v>
      </c>
      <c r="J1709" s="687"/>
    </row>
    <row r="1710" spans="1:56">
      <c r="C1710" s="1512"/>
      <c r="D1710" s="647">
        <v>48.55</v>
      </c>
      <c r="E1710" s="643">
        <f>54200/10000</f>
        <v>5.42</v>
      </c>
      <c r="F1710" s="645"/>
      <c r="G1710" s="645"/>
      <c r="H1710" s="645"/>
    </row>
    <row r="1711" spans="1:56">
      <c r="C1711" s="646" t="s">
        <v>2946</v>
      </c>
      <c r="D1711" s="647">
        <v>53</v>
      </c>
      <c r="E1711" s="643">
        <v>1.28</v>
      </c>
      <c r="F1711" s="645"/>
      <c r="G1711" s="645"/>
      <c r="H1711" s="645"/>
    </row>
    <row r="1712" spans="1:56">
      <c r="C1712" s="1512" t="s">
        <v>150</v>
      </c>
      <c r="D1712" s="647">
        <v>52.1</v>
      </c>
      <c r="E1712" s="643">
        <v>1.1000000000000001</v>
      </c>
      <c r="F1712" s="645"/>
      <c r="G1712" s="645"/>
      <c r="H1712" s="645"/>
    </row>
    <row r="1713" spans="3:8">
      <c r="C1713" s="1512"/>
      <c r="D1713" s="647">
        <v>48</v>
      </c>
      <c r="E1713" s="643">
        <v>1.69</v>
      </c>
      <c r="F1713" s="645"/>
      <c r="G1713" s="645"/>
      <c r="H1713" s="645"/>
    </row>
    <row r="1714" spans="3:8">
      <c r="C1714" s="646" t="s">
        <v>233</v>
      </c>
      <c r="D1714" s="647">
        <v>51.8</v>
      </c>
      <c r="E1714" s="643">
        <v>1.1000000000000001</v>
      </c>
      <c r="F1714" s="645"/>
      <c r="G1714" s="645"/>
      <c r="H1714" s="645"/>
    </row>
    <row r="1715" spans="3:8">
      <c r="C1715" s="1512" t="s">
        <v>124</v>
      </c>
      <c r="D1715" s="647">
        <v>51.55</v>
      </c>
      <c r="E1715" s="643">
        <v>1.48</v>
      </c>
      <c r="F1715" s="645"/>
      <c r="G1715" s="645"/>
      <c r="H1715" s="645"/>
    </row>
    <row r="1716" spans="3:8">
      <c r="C1716" s="1512"/>
      <c r="D1716" s="647">
        <v>48</v>
      </c>
      <c r="E1716" s="643">
        <v>2.78</v>
      </c>
      <c r="F1716" s="645"/>
      <c r="G1716" s="645"/>
      <c r="H1716" s="645"/>
    </row>
    <row r="1717" spans="3:8">
      <c r="C1717" s="646" t="s">
        <v>295</v>
      </c>
      <c r="D1717" s="647">
        <v>51.5</v>
      </c>
      <c r="E1717" s="643">
        <v>2.06</v>
      </c>
      <c r="F1717" s="645"/>
      <c r="G1717" s="645"/>
      <c r="H1717" s="645"/>
    </row>
    <row r="1718" spans="3:8">
      <c r="C1718" s="646" t="s">
        <v>363</v>
      </c>
      <c r="D1718" s="647">
        <v>51.35</v>
      </c>
      <c r="E1718" s="643">
        <v>1.7</v>
      </c>
      <c r="F1718" s="645"/>
      <c r="G1718" s="645"/>
      <c r="H1718" s="645"/>
    </row>
    <row r="1719" spans="3:8">
      <c r="C1719" s="646" t="s">
        <v>2960</v>
      </c>
      <c r="D1719" s="647">
        <v>51.25</v>
      </c>
      <c r="E1719" s="643">
        <v>1.1000000000000001</v>
      </c>
      <c r="F1719" s="645"/>
      <c r="G1719" s="645"/>
      <c r="H1719" s="645"/>
    </row>
    <row r="1720" spans="3:8" ht="28">
      <c r="C1720" s="673" t="s">
        <v>3263</v>
      </c>
      <c r="D1720" s="647">
        <v>51</v>
      </c>
      <c r="E1720" s="643">
        <v>1.6</v>
      </c>
      <c r="F1720" s="645"/>
      <c r="G1720" s="645"/>
      <c r="H1720" s="645"/>
    </row>
    <row r="1721" spans="3:8">
      <c r="C1721" s="1512" t="s">
        <v>173</v>
      </c>
      <c r="D1721" s="647">
        <v>50.8</v>
      </c>
      <c r="E1721" s="643">
        <v>2.2999999999999998</v>
      </c>
      <c r="F1721" s="645"/>
      <c r="G1721" s="645"/>
      <c r="H1721" s="645"/>
    </row>
    <row r="1722" spans="3:8">
      <c r="C1722" s="1512"/>
      <c r="D1722" s="647">
        <v>48</v>
      </c>
      <c r="E1722" s="643">
        <v>2.74</v>
      </c>
      <c r="F1722" s="645"/>
      <c r="G1722" s="645"/>
      <c r="H1722" s="645"/>
    </row>
    <row r="1723" spans="3:8">
      <c r="C1723" s="646" t="s">
        <v>146</v>
      </c>
      <c r="D1723" s="647">
        <v>50.8</v>
      </c>
      <c r="E1723" s="643">
        <v>1.1499999999999999</v>
      </c>
      <c r="F1723" s="645"/>
      <c r="G1723" s="645"/>
      <c r="H1723" s="645"/>
    </row>
    <row r="1724" spans="3:8">
      <c r="C1724" s="1512" t="s">
        <v>127</v>
      </c>
      <c r="D1724" s="647">
        <v>50.65</v>
      </c>
      <c r="E1724" s="643">
        <v>1.2</v>
      </c>
      <c r="F1724" s="645"/>
      <c r="G1724" s="645"/>
      <c r="H1724" s="645"/>
    </row>
    <row r="1725" spans="3:8">
      <c r="C1725" s="1512"/>
      <c r="D1725" s="647">
        <v>47.05</v>
      </c>
      <c r="E1725" s="643">
        <v>2.2000000000000002</v>
      </c>
      <c r="F1725" s="645"/>
      <c r="G1725" s="645"/>
      <c r="H1725" s="645"/>
    </row>
    <row r="1726" spans="3:8">
      <c r="C1726" s="1512" t="s">
        <v>136</v>
      </c>
      <c r="D1726" s="647">
        <v>50.5</v>
      </c>
      <c r="E1726" s="643">
        <v>1.1000000000000001</v>
      </c>
      <c r="F1726" s="645"/>
      <c r="G1726" s="645"/>
      <c r="H1726" s="645"/>
    </row>
    <row r="1727" spans="3:8">
      <c r="C1727" s="1512"/>
      <c r="D1727" s="647">
        <v>49.7</v>
      </c>
      <c r="E1727" s="643">
        <v>1.3</v>
      </c>
      <c r="F1727" s="645"/>
      <c r="G1727" s="645"/>
      <c r="H1727" s="645"/>
    </row>
    <row r="1728" spans="3:8">
      <c r="C1728" s="646" t="s">
        <v>321</v>
      </c>
      <c r="D1728" s="647">
        <v>50</v>
      </c>
      <c r="E1728" s="643">
        <v>2.38</v>
      </c>
      <c r="F1728" s="645"/>
      <c r="G1728" s="645"/>
      <c r="H1728" s="645"/>
    </row>
    <row r="1729" spans="3:11">
      <c r="C1729" s="646" t="s">
        <v>228</v>
      </c>
      <c r="D1729" s="647">
        <v>50</v>
      </c>
      <c r="E1729" s="643">
        <v>2.2000000000000002</v>
      </c>
      <c r="F1729" s="645"/>
      <c r="G1729" s="647"/>
      <c r="H1729" s="645"/>
      <c r="I1729" s="687"/>
      <c r="J1729" s="687"/>
      <c r="K1729" s="687"/>
    </row>
    <row r="1730" spans="3:11">
      <c r="C1730" s="646" t="s">
        <v>584</v>
      </c>
      <c r="D1730" s="647">
        <v>48.7</v>
      </c>
      <c r="E1730" s="643">
        <v>1.1000000000000001</v>
      </c>
      <c r="F1730" s="645"/>
      <c r="G1730" s="647"/>
      <c r="H1730" s="645"/>
      <c r="I1730" s="687"/>
      <c r="J1730" s="687"/>
      <c r="K1730" s="687"/>
    </row>
    <row r="1731" spans="3:11">
      <c r="C1731" s="646" t="s">
        <v>122</v>
      </c>
      <c r="D1731" s="647">
        <v>48.5</v>
      </c>
      <c r="E1731" s="643">
        <v>1.1000000000000001</v>
      </c>
      <c r="F1731" s="645"/>
      <c r="G1731" s="647"/>
      <c r="H1731" s="645"/>
      <c r="I1731" s="687"/>
      <c r="J1731" s="687"/>
      <c r="K1731" s="687"/>
    </row>
    <row r="1732" spans="3:11">
      <c r="C1732" s="646"/>
      <c r="D1732" s="647">
        <v>43.7</v>
      </c>
      <c r="E1732" s="643">
        <v>1.3</v>
      </c>
      <c r="F1732" s="645"/>
      <c r="G1732" s="647"/>
      <c r="H1732" s="645"/>
      <c r="I1732" s="687"/>
      <c r="J1732" s="687"/>
      <c r="K1732" s="687"/>
    </row>
    <row r="1733" spans="3:11">
      <c r="C1733" s="646"/>
      <c r="D1733" s="647">
        <v>38.799999999999997</v>
      </c>
      <c r="E1733" s="643">
        <v>1.5</v>
      </c>
      <c r="F1733" s="645"/>
      <c r="G1733" s="647"/>
      <c r="H1733" s="645"/>
      <c r="I1733" s="687"/>
      <c r="J1733" s="687"/>
      <c r="K1733" s="687"/>
    </row>
    <row r="1734" spans="3:11" ht="16" customHeight="1">
      <c r="C1734" s="673" t="s">
        <v>3431</v>
      </c>
      <c r="D1734" s="647">
        <v>47</v>
      </c>
      <c r="E1734" s="643">
        <v>1.88</v>
      </c>
      <c r="F1734" s="645"/>
      <c r="G1734" s="647"/>
      <c r="H1734" s="645"/>
      <c r="I1734" s="687"/>
      <c r="J1734" s="687"/>
      <c r="K1734" s="687"/>
    </row>
    <row r="1735" spans="3:11">
      <c r="C1735" s="646" t="s">
        <v>351</v>
      </c>
      <c r="D1735" s="647">
        <v>46.3</v>
      </c>
      <c r="E1735" s="643">
        <v>1.1000000000000001</v>
      </c>
      <c r="F1735" s="645"/>
      <c r="G1735" s="647"/>
      <c r="H1735" s="645"/>
      <c r="I1735" s="687"/>
      <c r="J1735" s="687"/>
      <c r="K1735" s="687"/>
    </row>
    <row r="1736" spans="3:11">
      <c r="C1736" s="646" t="s">
        <v>147</v>
      </c>
      <c r="D1736" s="647">
        <v>45.5</v>
      </c>
      <c r="E1736" s="643">
        <v>1.66</v>
      </c>
      <c r="F1736" s="645"/>
      <c r="G1736" s="647"/>
      <c r="H1736" s="645"/>
      <c r="I1736" s="687"/>
      <c r="J1736" s="687"/>
      <c r="K1736" s="687"/>
    </row>
    <row r="1737" spans="3:11">
      <c r="C1737" s="646" t="s">
        <v>131</v>
      </c>
      <c r="D1737" s="647">
        <v>45.15</v>
      </c>
      <c r="E1737" s="643">
        <v>2.06</v>
      </c>
      <c r="F1737" s="645"/>
      <c r="G1737" s="647"/>
      <c r="H1737" s="645"/>
      <c r="I1737" s="687"/>
      <c r="J1737" s="687"/>
      <c r="K1737" s="687"/>
    </row>
    <row r="1738" spans="3:11">
      <c r="C1738" s="646"/>
      <c r="D1738" s="647">
        <v>40.1</v>
      </c>
      <c r="E1738" s="643">
        <v>2.52</v>
      </c>
      <c r="F1738" s="645"/>
      <c r="G1738" s="647"/>
      <c r="H1738" s="645"/>
      <c r="I1738" s="687"/>
      <c r="J1738" s="687"/>
      <c r="K1738" s="687"/>
    </row>
    <row r="1739" spans="3:11">
      <c r="C1739" s="646" t="s">
        <v>955</v>
      </c>
      <c r="D1739" s="647">
        <v>44.8</v>
      </c>
      <c r="E1739" s="643">
        <v>1.1000000000000001</v>
      </c>
      <c r="F1739" s="645"/>
      <c r="G1739" s="647"/>
      <c r="H1739" s="645"/>
      <c r="I1739" s="687"/>
      <c r="J1739" s="687"/>
      <c r="K1739" s="687"/>
    </row>
    <row r="1740" spans="3:11">
      <c r="C1740" s="646" t="s">
        <v>505</v>
      </c>
      <c r="D1740" s="647">
        <v>42.35</v>
      </c>
      <c r="E1740" s="643">
        <v>1.8</v>
      </c>
      <c r="F1740" s="645"/>
      <c r="G1740" s="647"/>
      <c r="H1740" s="645"/>
      <c r="I1740" s="687"/>
      <c r="J1740" s="687"/>
      <c r="K1740" s="687"/>
    </row>
    <row r="1741" spans="3:11">
      <c r="C1741" s="646" t="s">
        <v>1037</v>
      </c>
      <c r="D1741" s="647">
        <v>42.1</v>
      </c>
      <c r="E1741" s="643">
        <v>1.1000000000000001</v>
      </c>
      <c r="F1741" s="645"/>
      <c r="G1741" s="647"/>
      <c r="H1741" s="645"/>
      <c r="I1741" s="687"/>
      <c r="J1741" s="687"/>
      <c r="K1741" s="687"/>
    </row>
    <row r="1742" spans="3:11">
      <c r="C1742" s="646" t="s">
        <v>142</v>
      </c>
      <c r="D1742" s="647">
        <v>42</v>
      </c>
      <c r="E1742" s="643">
        <f>33000/10000</f>
        <v>3.3</v>
      </c>
      <c r="F1742" s="645"/>
      <c r="G1742" s="647"/>
      <c r="H1742" s="645"/>
      <c r="I1742" s="687"/>
      <c r="J1742" s="687"/>
      <c r="K1742" s="687"/>
    </row>
    <row r="1743" spans="3:11">
      <c r="C1743" s="646" t="s">
        <v>579</v>
      </c>
      <c r="D1743" s="647">
        <v>40.200000000000003</v>
      </c>
      <c r="E1743" s="643">
        <v>1.1000000000000001</v>
      </c>
      <c r="F1743" s="645"/>
      <c r="G1743" s="647"/>
      <c r="H1743" s="645"/>
      <c r="I1743" s="687"/>
      <c r="J1743" s="687"/>
      <c r="K1743" s="687"/>
    </row>
    <row r="1744" spans="3:11">
      <c r="C1744" s="646" t="s">
        <v>226</v>
      </c>
      <c r="D1744" s="647">
        <v>40.1</v>
      </c>
      <c r="E1744" s="643">
        <v>1.1000000000000001</v>
      </c>
      <c r="F1744" s="645"/>
      <c r="G1744" s="647"/>
      <c r="H1744" s="645"/>
      <c r="I1744" s="687"/>
      <c r="J1744" s="687"/>
      <c r="K1744" s="687"/>
    </row>
    <row r="1745" spans="1:56">
      <c r="C1745" s="646" t="s">
        <v>384</v>
      </c>
      <c r="D1745" s="647">
        <v>40</v>
      </c>
      <c r="E1745" s="643">
        <v>1.1000000000000001</v>
      </c>
      <c r="F1745" s="645"/>
      <c r="G1745" s="647"/>
      <c r="H1745" s="645"/>
      <c r="I1745" s="687"/>
      <c r="J1745" s="687"/>
      <c r="K1745" s="687"/>
    </row>
    <row r="1746" spans="1:56">
      <c r="C1746" s="646" t="s">
        <v>1246</v>
      </c>
      <c r="D1746" s="647">
        <v>38.15</v>
      </c>
      <c r="E1746" s="643">
        <v>1.1000000000000001</v>
      </c>
      <c r="F1746" s="645"/>
      <c r="G1746" s="647"/>
      <c r="H1746" s="645"/>
      <c r="I1746" s="687"/>
      <c r="J1746" s="687"/>
      <c r="K1746" s="687"/>
    </row>
    <row r="1747" spans="1:56">
      <c r="C1747" s="823" t="s">
        <v>2969</v>
      </c>
      <c r="D1747" s="727">
        <v>36.5</v>
      </c>
      <c r="E1747" s="726">
        <v>1.1000000000000001</v>
      </c>
      <c r="F1747" s="645"/>
      <c r="G1747" s="647"/>
      <c r="H1747" s="645"/>
      <c r="I1747" s="687"/>
      <c r="J1747" s="687"/>
      <c r="K1747" s="687"/>
    </row>
    <row r="1748" spans="1:56">
      <c r="C1748" s="1570"/>
      <c r="D1748" s="1570"/>
      <c r="E1748" s="1570"/>
    </row>
    <row r="1750" spans="1:56" s="663" customFormat="1">
      <c r="A1750" s="663" t="s">
        <v>2861</v>
      </c>
      <c r="B1750" s="665" t="s">
        <v>2036</v>
      </c>
      <c r="C1750" s="667" t="s">
        <v>126</v>
      </c>
      <c r="D1750" s="667" t="s">
        <v>1583</v>
      </c>
      <c r="E1750" s="667" t="s">
        <v>4</v>
      </c>
      <c r="F1750" s="667" t="s">
        <v>2860</v>
      </c>
      <c r="G1750" s="667" t="s">
        <v>2859</v>
      </c>
      <c r="H1750" s="667" t="s">
        <v>2858</v>
      </c>
      <c r="I1750" s="667" t="s">
        <v>751</v>
      </c>
      <c r="J1750" s="665" t="s">
        <v>274</v>
      </c>
      <c r="K1750" s="665" t="s">
        <v>273</v>
      </c>
      <c r="L1750" s="665" t="s">
        <v>116</v>
      </c>
      <c r="M1750" s="665" t="s">
        <v>110</v>
      </c>
      <c r="N1750" s="665" t="s">
        <v>276</v>
      </c>
      <c r="O1750" s="667" t="s">
        <v>1311</v>
      </c>
      <c r="P1750" s="665" t="s">
        <v>275</v>
      </c>
      <c r="Q1750" s="665" t="s">
        <v>111</v>
      </c>
      <c r="R1750" s="665" t="s">
        <v>2857</v>
      </c>
      <c r="S1750" s="665" t="s">
        <v>747</v>
      </c>
      <c r="T1750" s="667" t="s">
        <v>12</v>
      </c>
      <c r="U1750" s="666" t="s">
        <v>948</v>
      </c>
      <c r="V1750" s="665" t="s">
        <v>129</v>
      </c>
      <c r="W1750" s="665" t="s">
        <v>220</v>
      </c>
      <c r="X1750" s="665" t="s">
        <v>749</v>
      </c>
      <c r="Y1750" s="665" t="s">
        <v>750</v>
      </c>
      <c r="Z1750" s="665" t="s">
        <v>748</v>
      </c>
      <c r="BB1750" s="664"/>
      <c r="BD1750" s="664"/>
    </row>
    <row r="1751" spans="1:56">
      <c r="A1751" s="642" t="s">
        <v>2078</v>
      </c>
      <c r="B1751" s="1436">
        <v>135</v>
      </c>
      <c r="C1751" s="1437" t="s">
        <v>2441</v>
      </c>
      <c r="D1751" s="662" t="s">
        <v>2440</v>
      </c>
      <c r="E1751" s="662" t="s">
        <v>2439</v>
      </c>
      <c r="F1751" s="661">
        <v>2.63</v>
      </c>
      <c r="G1751" s="660">
        <v>2.62</v>
      </c>
      <c r="H1751" s="715">
        <f>L1751*R1751</f>
        <v>66.658968295199998</v>
      </c>
      <c r="I1751" s="656">
        <f>F1751/H1751</f>
        <v>3.9454556037426425E-2</v>
      </c>
      <c r="J1751" s="658" t="s">
        <v>3022</v>
      </c>
      <c r="K1751" s="645" t="s">
        <v>2125</v>
      </c>
      <c r="L1751" s="645">
        <v>7.11</v>
      </c>
      <c r="M1751" s="658">
        <v>6.24</v>
      </c>
      <c r="N1751" s="653">
        <f>M1751/L1751</f>
        <v>0.8776371308016877</v>
      </c>
      <c r="O1751" s="656">
        <v>6.6</v>
      </c>
      <c r="P1751" s="653">
        <f>O1751/L1751</f>
        <v>0.9282700421940927</v>
      </c>
      <c r="Q1751" s="645">
        <v>4</v>
      </c>
      <c r="R1751" s="653">
        <v>9.3753823199999999</v>
      </c>
      <c r="S1751" s="645" t="s">
        <v>2438</v>
      </c>
      <c r="T1751" s="654">
        <v>42948</v>
      </c>
      <c r="U1751" s="645">
        <v>11.38</v>
      </c>
      <c r="V1751" s="653">
        <f>((U1751*(1+X1751/10)+Y1751/10)/O1751)</f>
        <v>2.767878787878788</v>
      </c>
      <c r="W1751" s="645" t="s">
        <v>2437</v>
      </c>
      <c r="X1751" s="645">
        <v>6</v>
      </c>
      <c r="Y1751" s="645">
        <v>0.6</v>
      </c>
      <c r="Z1751" s="652" t="s">
        <v>2436</v>
      </c>
      <c r="BB1751" s="651"/>
      <c r="BD1751" s="650"/>
    </row>
    <row r="1752" spans="1:56">
      <c r="C1752" s="648" t="s">
        <v>112</v>
      </c>
      <c r="D1752" s="648" t="s">
        <v>113</v>
      </c>
      <c r="E1752" s="648" t="s">
        <v>943</v>
      </c>
      <c r="F1752" s="649" t="s">
        <v>411</v>
      </c>
      <c r="G1752" s="649" t="s">
        <v>942</v>
      </c>
      <c r="H1752" s="648" t="s">
        <v>231</v>
      </c>
    </row>
    <row r="1753" spans="1:56">
      <c r="C1753" s="1512" t="s">
        <v>3021</v>
      </c>
      <c r="D1753" s="647">
        <v>7.15</v>
      </c>
      <c r="E1753" s="643">
        <v>0.53</v>
      </c>
      <c r="F1753" s="645"/>
      <c r="G1753" s="644">
        <f>8030303/10000</f>
        <v>803.03030000000001</v>
      </c>
      <c r="H1753" s="1535">
        <f>52999999.8/100000000</f>
        <v>0.52999999799999997</v>
      </c>
    </row>
    <row r="1754" spans="1:56">
      <c r="C1754" s="1512"/>
      <c r="D1754" s="647">
        <v>7.13</v>
      </c>
      <c r="E1754" s="643">
        <v>0.53</v>
      </c>
      <c r="F1754" s="645"/>
      <c r="G1754" s="645"/>
      <c r="H1754" s="1535"/>
    </row>
    <row r="1755" spans="1:56">
      <c r="C1755" s="1512"/>
      <c r="D1755" s="647">
        <v>6.8</v>
      </c>
      <c r="E1755" s="643">
        <v>0.53</v>
      </c>
      <c r="F1755" s="645"/>
      <c r="G1755" s="645"/>
      <c r="H1755" s="1535"/>
    </row>
    <row r="1756" spans="1:56" ht="28">
      <c r="C1756" s="646" t="s">
        <v>3020</v>
      </c>
      <c r="D1756" s="647">
        <v>7.13</v>
      </c>
      <c r="E1756" s="643">
        <v>1.1200000000000001</v>
      </c>
      <c r="F1756" s="645"/>
      <c r="G1756" s="644">
        <f>16969696/10000</f>
        <v>1696.9695999999999</v>
      </c>
      <c r="H1756" s="643">
        <f>111999993.6/100000000</f>
        <v>1.1199999359999999</v>
      </c>
    </row>
    <row r="1757" spans="1:56" ht="28">
      <c r="C1757" s="646" t="s">
        <v>3019</v>
      </c>
      <c r="D1757" s="647">
        <v>6.52</v>
      </c>
      <c r="E1757" s="643">
        <v>0.53</v>
      </c>
      <c r="F1757" s="645"/>
      <c r="G1757" s="645"/>
      <c r="H1757" s="646" t="s">
        <v>294</v>
      </c>
    </row>
    <row r="1758" spans="1:56" ht="28">
      <c r="C1758" s="646" t="s">
        <v>3018</v>
      </c>
      <c r="D1758" s="647">
        <v>6.49</v>
      </c>
      <c r="E1758" s="643">
        <v>0.55000000000000004</v>
      </c>
      <c r="F1758" s="645"/>
      <c r="G1758" s="645"/>
      <c r="H1758" s="646" t="s">
        <v>294</v>
      </c>
    </row>
    <row r="1759" spans="1:56">
      <c r="C1759" s="1512" t="s">
        <v>115</v>
      </c>
      <c r="D1759" s="647">
        <v>6.7</v>
      </c>
      <c r="E1759" s="643">
        <v>0.83</v>
      </c>
      <c r="F1759" s="645"/>
      <c r="G1759" s="644">
        <f>12575757/10000</f>
        <v>1257.5757000000001</v>
      </c>
      <c r="H1759" s="1535">
        <f>82999996.2/100000000</f>
        <v>0.82999996200000004</v>
      </c>
    </row>
    <row r="1760" spans="1:56">
      <c r="C1760" s="1512"/>
      <c r="D1760" s="647">
        <v>6.5</v>
      </c>
      <c r="E1760" s="643">
        <v>2</v>
      </c>
      <c r="F1760" s="645"/>
      <c r="G1760" s="645"/>
      <c r="H1760" s="1535"/>
    </row>
    <row r="1761" spans="1:56">
      <c r="C1761" s="1512"/>
      <c r="D1761" s="647">
        <v>6.24</v>
      </c>
      <c r="E1761" s="643">
        <v>2.6240000000000001</v>
      </c>
      <c r="F1761" s="645"/>
      <c r="G1761" s="645"/>
      <c r="H1761" s="1535"/>
    </row>
    <row r="1762" spans="1:56" ht="28">
      <c r="C1762" s="646" t="s">
        <v>3017</v>
      </c>
      <c r="D1762" s="647">
        <v>6.6</v>
      </c>
      <c r="E1762" s="643">
        <v>0.53</v>
      </c>
      <c r="F1762" s="645"/>
      <c r="G1762" s="644">
        <f>2196971/10000</f>
        <v>219.69710000000001</v>
      </c>
      <c r="H1762" s="643">
        <f>14500008.6/100000000</f>
        <v>0.145000086</v>
      </c>
    </row>
    <row r="1763" spans="1:56" ht="28">
      <c r="C1763" s="646" t="s">
        <v>3016</v>
      </c>
      <c r="D1763" s="647">
        <v>6.39</v>
      </c>
      <c r="E1763" s="643">
        <v>0.53</v>
      </c>
      <c r="F1763" s="645"/>
      <c r="G1763" s="645"/>
      <c r="H1763" s="646" t="s">
        <v>294</v>
      </c>
    </row>
    <row r="1764" spans="1:56" ht="28">
      <c r="C1764" s="646" t="s">
        <v>3015</v>
      </c>
      <c r="D1764" s="647">
        <v>7.13</v>
      </c>
      <c r="E1764" s="643">
        <v>1</v>
      </c>
      <c r="F1764" s="645"/>
      <c r="G1764" s="645"/>
      <c r="H1764" s="646" t="s">
        <v>294</v>
      </c>
    </row>
    <row r="1765" spans="1:56" ht="28">
      <c r="C1765" s="646" t="s">
        <v>3014</v>
      </c>
      <c r="D1765" s="647">
        <v>6.26</v>
      </c>
      <c r="E1765" s="643">
        <v>0.66</v>
      </c>
      <c r="F1765" s="645"/>
      <c r="G1765" s="645"/>
      <c r="H1765" s="646" t="s">
        <v>294</v>
      </c>
    </row>
    <row r="1767" spans="1:56" s="663" customFormat="1">
      <c r="A1767" s="663" t="s">
        <v>2861</v>
      </c>
      <c r="B1767" s="665" t="s">
        <v>2036</v>
      </c>
      <c r="C1767" s="667" t="s">
        <v>126</v>
      </c>
      <c r="D1767" s="667" t="s">
        <v>1583</v>
      </c>
      <c r="E1767" s="667" t="s">
        <v>4</v>
      </c>
      <c r="F1767" s="667" t="s">
        <v>2860</v>
      </c>
      <c r="G1767" s="667" t="s">
        <v>2859</v>
      </c>
      <c r="H1767" s="667" t="s">
        <v>2858</v>
      </c>
      <c r="I1767" s="667" t="s">
        <v>751</v>
      </c>
      <c r="J1767" s="665" t="s">
        <v>274</v>
      </c>
      <c r="K1767" s="665" t="s">
        <v>273</v>
      </c>
      <c r="L1767" s="665" t="s">
        <v>116</v>
      </c>
      <c r="M1767" s="665" t="s">
        <v>110</v>
      </c>
      <c r="N1767" s="665" t="s">
        <v>276</v>
      </c>
      <c r="O1767" s="667" t="s">
        <v>1311</v>
      </c>
      <c r="P1767" s="665" t="s">
        <v>275</v>
      </c>
      <c r="Q1767" s="665" t="s">
        <v>111</v>
      </c>
      <c r="R1767" s="665" t="s">
        <v>2857</v>
      </c>
      <c r="S1767" s="665" t="s">
        <v>747</v>
      </c>
      <c r="T1767" s="667" t="s">
        <v>12</v>
      </c>
      <c r="U1767" s="666" t="s">
        <v>948</v>
      </c>
      <c r="V1767" s="665" t="s">
        <v>129</v>
      </c>
      <c r="W1767" s="665" t="s">
        <v>220</v>
      </c>
      <c r="X1767" s="665" t="s">
        <v>749</v>
      </c>
      <c r="Y1767" s="665" t="s">
        <v>750</v>
      </c>
      <c r="Z1767" s="668" t="s">
        <v>748</v>
      </c>
      <c r="AA1767" s="716"/>
      <c r="BB1767" s="664"/>
      <c r="BD1767" s="664"/>
    </row>
    <row r="1768" spans="1:56">
      <c r="A1768" s="642" t="s">
        <v>2078</v>
      </c>
      <c r="B1768" s="1436">
        <v>136</v>
      </c>
      <c r="C1768" s="786" t="s">
        <v>2435</v>
      </c>
      <c r="D1768" s="722" t="s">
        <v>2434</v>
      </c>
      <c r="E1768" s="722" t="s">
        <v>2433</v>
      </c>
      <c r="F1768" s="721">
        <v>120</v>
      </c>
      <c r="G1768" s="721">
        <v>83.11</v>
      </c>
      <c r="H1768" s="721">
        <f>L1768*R1768</f>
        <v>533.52753749999999</v>
      </c>
      <c r="I1768" s="721">
        <f>F1768/H1768</f>
        <v>0.22491809993968681</v>
      </c>
      <c r="J1768" s="645" t="s">
        <v>3000</v>
      </c>
      <c r="K1768" s="645" t="s">
        <v>2125</v>
      </c>
      <c r="L1768" s="645">
        <v>11.25</v>
      </c>
      <c r="M1768" s="645">
        <v>10.56</v>
      </c>
      <c r="N1768" s="653">
        <f>M1768/L1768</f>
        <v>0.93866666666666676</v>
      </c>
      <c r="O1768" s="721">
        <v>10.56</v>
      </c>
      <c r="P1768" s="653">
        <f>O1768/L1768</f>
        <v>0.93866666666666676</v>
      </c>
      <c r="Q1768" s="645">
        <v>9</v>
      </c>
      <c r="R1768" s="653">
        <v>47.424669999999999</v>
      </c>
      <c r="S1768" s="784" t="s">
        <v>2432</v>
      </c>
      <c r="T1768" s="654">
        <v>42948</v>
      </c>
      <c r="U1768" s="781">
        <v>9.75</v>
      </c>
      <c r="V1768" s="653">
        <f>((U1768*(1+X1768/10)+Y1768/10)/O1768)</f>
        <v>0.9375</v>
      </c>
      <c r="W1768" s="658" t="s">
        <v>2117</v>
      </c>
      <c r="X1768" s="645">
        <v>0</v>
      </c>
      <c r="Y1768" s="645">
        <v>1.5</v>
      </c>
      <c r="Z1768" s="783" t="s">
        <v>2431</v>
      </c>
      <c r="AA1768" s="688"/>
      <c r="BB1768" s="749"/>
      <c r="BD1768" s="748"/>
    </row>
    <row r="1769" spans="1:56">
      <c r="B1769" s="1435"/>
      <c r="C1769" s="645"/>
      <c r="D1769" s="645"/>
      <c r="E1769" s="645"/>
      <c r="F1769" s="645"/>
      <c r="G1769" s="645"/>
      <c r="H1769" s="645"/>
      <c r="I1769" s="645"/>
      <c r="J1769" s="645" t="s">
        <v>3430</v>
      </c>
      <c r="K1769" s="645" t="s">
        <v>2430</v>
      </c>
      <c r="L1769" s="462">
        <v>11.35</v>
      </c>
      <c r="M1769" s="462"/>
      <c r="N1769" s="462">
        <f>M1768/L1769</f>
        <v>0.93039647577092521</v>
      </c>
      <c r="O1769" s="462"/>
      <c r="P1769" s="462">
        <f>O1768/L1769</f>
        <v>0.93039647577092521</v>
      </c>
      <c r="Q1769" s="645"/>
      <c r="R1769" s="645"/>
      <c r="S1769" s="645"/>
      <c r="T1769" s="645"/>
      <c r="U1769" s="781"/>
      <c r="V1769" s="645"/>
      <c r="W1769" s="645"/>
      <c r="X1769" s="645"/>
      <c r="Y1769" s="645"/>
      <c r="Z1769" s="655"/>
      <c r="AA1769" s="688"/>
    </row>
    <row r="1770" spans="1:56">
      <c r="B1770" s="1435"/>
      <c r="C1770" s="645"/>
      <c r="D1770" s="645"/>
      <c r="E1770" s="645"/>
      <c r="F1770" s="645"/>
      <c r="G1770" s="645"/>
      <c r="H1770" s="645"/>
      <c r="I1770" s="645"/>
      <c r="J1770" s="645" t="s">
        <v>3013</v>
      </c>
      <c r="K1770" s="645" t="s">
        <v>151</v>
      </c>
      <c r="L1770" s="462">
        <v>11.25</v>
      </c>
      <c r="M1770" s="462"/>
      <c r="N1770" s="462">
        <f>M1768/L1770</f>
        <v>0.93866666666666676</v>
      </c>
      <c r="O1770" s="462"/>
      <c r="P1770" s="462">
        <f>O1768/L1770</f>
        <v>0.93866666666666676</v>
      </c>
      <c r="Q1770" s="645"/>
      <c r="R1770" s="645"/>
      <c r="S1770" s="645"/>
      <c r="T1770" s="645"/>
      <c r="U1770" s="781"/>
      <c r="V1770" s="645"/>
      <c r="W1770" s="645"/>
      <c r="X1770" s="645"/>
      <c r="Y1770" s="645"/>
      <c r="Z1770" s="655"/>
      <c r="AA1770" s="688"/>
    </row>
    <row r="1771" spans="1:56">
      <c r="B1771" s="750"/>
      <c r="C1771" s="748"/>
      <c r="D1771" s="748"/>
      <c r="E1771" s="747"/>
      <c r="F1771" s="747"/>
      <c r="J1771" s="747"/>
      <c r="M1771" s="749"/>
      <c r="O1771" s="699"/>
    </row>
    <row r="1772" spans="1:56">
      <c r="C1772" s="696" t="s">
        <v>112</v>
      </c>
      <c r="D1772" s="696" t="s">
        <v>113</v>
      </c>
      <c r="E1772" s="696" t="s">
        <v>943</v>
      </c>
      <c r="F1772" s="697" t="s">
        <v>411</v>
      </c>
      <c r="G1772" s="697" t="s">
        <v>942</v>
      </c>
      <c r="H1772" s="696" t="s">
        <v>231</v>
      </c>
    </row>
    <row r="1773" spans="1:56">
      <c r="C1773" s="646" t="s">
        <v>144</v>
      </c>
      <c r="D1773" s="647">
        <v>10.57</v>
      </c>
      <c r="E1773" s="643">
        <f>810000000/100000000</f>
        <v>8.1</v>
      </c>
      <c r="G1773" s="644">
        <f>76704545/10000</f>
        <v>7670.4544999999998</v>
      </c>
      <c r="H1773" s="643">
        <f>809999995.2/100000000</f>
        <v>8.099999952000001</v>
      </c>
      <c r="I1773" s="705"/>
      <c r="K1773" s="687"/>
    </row>
    <row r="1774" spans="1:56" ht="37" customHeight="1">
      <c r="C1774" s="673" t="s">
        <v>3429</v>
      </c>
      <c r="D1774" s="647">
        <v>10.56</v>
      </c>
      <c r="E1774" s="643">
        <f>2112000000/100000000</f>
        <v>21.12</v>
      </c>
      <c r="G1774" s="644">
        <f>200000000/10000</f>
        <v>20000</v>
      </c>
      <c r="H1774" s="643">
        <f>2112000000/100000000</f>
        <v>21.12</v>
      </c>
      <c r="I1774" s="705"/>
      <c r="K1774" s="687"/>
    </row>
    <row r="1775" spans="1:56">
      <c r="C1775" s="646" t="s">
        <v>3428</v>
      </c>
      <c r="D1775" s="647">
        <v>10.56</v>
      </c>
      <c r="E1775" s="643">
        <f>2112000000/100000000</f>
        <v>21.12</v>
      </c>
      <c r="G1775" s="644">
        <f>200000000/10000</f>
        <v>20000</v>
      </c>
      <c r="H1775" s="643">
        <f>2112000000/100000000</f>
        <v>21.12</v>
      </c>
      <c r="I1775" s="705"/>
      <c r="K1775" s="687"/>
    </row>
    <row r="1776" spans="1:56" ht="16" customHeight="1">
      <c r="C1776" s="646" t="s">
        <v>3427</v>
      </c>
      <c r="D1776" s="647">
        <v>10.56</v>
      </c>
      <c r="E1776" s="643">
        <f>1056000000/100000000</f>
        <v>10.56</v>
      </c>
      <c r="G1776" s="644">
        <f>100000000/10000</f>
        <v>10000</v>
      </c>
      <c r="H1776" s="643">
        <f>1056000000/100000000</f>
        <v>10.56</v>
      </c>
      <c r="I1776" s="705"/>
      <c r="K1776" s="687"/>
    </row>
    <row r="1777" spans="1:56" ht="33" customHeight="1">
      <c r="C1777" s="673" t="s">
        <v>3426</v>
      </c>
      <c r="D1777" s="647">
        <v>10.56</v>
      </c>
      <c r="E1777" s="643">
        <f>1056000000/100000000</f>
        <v>10.56</v>
      </c>
      <c r="G1777" s="644">
        <f>100000000/10000</f>
        <v>10000</v>
      </c>
      <c r="H1777" s="643">
        <f>1056000000/100000000</f>
        <v>10.56</v>
      </c>
      <c r="I1777" s="705"/>
      <c r="K1777" s="687"/>
    </row>
    <row r="1778" spans="1:56" ht="20" customHeight="1">
      <c r="C1778" s="673"/>
      <c r="D1778" s="1568" t="s">
        <v>3221</v>
      </c>
      <c r="E1778" s="1569"/>
      <c r="F1778" s="822"/>
      <c r="G1778" s="644"/>
      <c r="H1778" s="643"/>
      <c r="I1778" s="705"/>
      <c r="K1778" s="687"/>
    </row>
    <row r="1779" spans="1:56" ht="16" customHeight="1">
      <c r="C1779" s="645" t="s">
        <v>1861</v>
      </c>
      <c r="D1779" s="647"/>
      <c r="E1779" s="643"/>
      <c r="G1779" s="644">
        <v>3939.39</v>
      </c>
      <c r="H1779" s="643">
        <v>4.1599958399999997</v>
      </c>
      <c r="I1779" s="705"/>
      <c r="K1779" s="687"/>
    </row>
    <row r="1780" spans="1:56" ht="16" customHeight="1">
      <c r="C1780" s="645" t="s">
        <v>3012</v>
      </c>
      <c r="D1780" s="647"/>
      <c r="E1780" s="643"/>
      <c r="G1780" s="644">
        <v>3863.6363999999999</v>
      </c>
      <c r="H1780" s="643">
        <v>4.0800000299999999</v>
      </c>
      <c r="I1780" s="705"/>
      <c r="K1780" s="687"/>
    </row>
    <row r="1781" spans="1:56" ht="16" customHeight="1">
      <c r="C1781" s="645" t="s">
        <v>3011</v>
      </c>
      <c r="D1781" s="647"/>
      <c r="E1781" s="643"/>
      <c r="G1781" s="644">
        <v>2840.9090000000001</v>
      </c>
      <c r="H1781" s="643">
        <v>2.9999999040000001</v>
      </c>
      <c r="I1781" s="705"/>
      <c r="K1781" s="687"/>
    </row>
    <row r="1782" spans="1:56" ht="16" customHeight="1">
      <c r="C1782" s="645" t="s">
        <v>3009</v>
      </c>
      <c r="D1782" s="647"/>
      <c r="E1782" s="643"/>
      <c r="G1782" s="644">
        <v>385.61009999999999</v>
      </c>
      <c r="H1782" s="643">
        <v>0.4072042656</v>
      </c>
      <c r="I1782" s="705"/>
      <c r="K1782" s="687"/>
    </row>
    <row r="1784" spans="1:56" s="663" customFormat="1">
      <c r="A1784" s="663" t="s">
        <v>2861</v>
      </c>
      <c r="B1784" s="665" t="s">
        <v>2036</v>
      </c>
      <c r="C1784" s="667" t="s">
        <v>126</v>
      </c>
      <c r="D1784" s="667" t="s">
        <v>1583</v>
      </c>
      <c r="E1784" s="667" t="s">
        <v>4</v>
      </c>
      <c r="F1784" s="667" t="s">
        <v>2860</v>
      </c>
      <c r="G1784" s="667" t="s">
        <v>2859</v>
      </c>
      <c r="H1784" s="667" t="s">
        <v>2858</v>
      </c>
      <c r="I1784" s="667" t="s">
        <v>751</v>
      </c>
      <c r="J1784" s="665" t="s">
        <v>274</v>
      </c>
      <c r="K1784" s="665" t="s">
        <v>273</v>
      </c>
      <c r="L1784" s="665" t="s">
        <v>116</v>
      </c>
      <c r="M1784" s="665" t="s">
        <v>110</v>
      </c>
      <c r="N1784" s="665" t="s">
        <v>276</v>
      </c>
      <c r="O1784" s="667" t="s">
        <v>1311</v>
      </c>
      <c r="P1784" s="665" t="s">
        <v>275</v>
      </c>
      <c r="Q1784" s="665" t="s">
        <v>111</v>
      </c>
      <c r="R1784" s="665" t="s">
        <v>2857</v>
      </c>
      <c r="S1784" s="665" t="s">
        <v>747</v>
      </c>
      <c r="T1784" s="667" t="s">
        <v>12</v>
      </c>
      <c r="U1784" s="666" t="s">
        <v>948</v>
      </c>
      <c r="V1784" s="665" t="s">
        <v>129</v>
      </c>
      <c r="W1784" s="665" t="s">
        <v>220</v>
      </c>
      <c r="X1784" s="665" t="s">
        <v>749</v>
      </c>
      <c r="Y1784" s="665" t="s">
        <v>750</v>
      </c>
      <c r="Z1784" s="665" t="s">
        <v>748</v>
      </c>
      <c r="BB1784" s="664"/>
      <c r="BD1784" s="664"/>
    </row>
    <row r="1785" spans="1:56">
      <c r="A1785" s="642" t="s">
        <v>2078</v>
      </c>
      <c r="B1785" s="1436">
        <v>137</v>
      </c>
      <c r="C1785" s="1437" t="s">
        <v>2429</v>
      </c>
      <c r="D1785" s="662" t="s">
        <v>2428</v>
      </c>
      <c r="E1785" s="662" t="s">
        <v>2427</v>
      </c>
      <c r="F1785" s="661">
        <v>30</v>
      </c>
      <c r="G1785" s="660">
        <v>30</v>
      </c>
      <c r="H1785" s="659">
        <f>L1785*R1785</f>
        <v>106.4327502</v>
      </c>
      <c r="I1785" s="656">
        <f>F1785/H1785</f>
        <v>0.28186812746665263</v>
      </c>
      <c r="J1785" s="658" t="s">
        <v>3008</v>
      </c>
      <c r="K1785" s="645" t="s">
        <v>2426</v>
      </c>
      <c r="L1785" s="645">
        <v>6.58</v>
      </c>
      <c r="M1785" s="658">
        <v>6.78</v>
      </c>
      <c r="N1785" s="653">
        <f>M1785/L1785</f>
        <v>1.0303951367781155</v>
      </c>
      <c r="O1785" s="656">
        <v>6.78</v>
      </c>
      <c r="P1785" s="653">
        <f>O1785/L1785</f>
        <v>1.0303951367781155</v>
      </c>
      <c r="Q1785" s="645">
        <v>6</v>
      </c>
      <c r="R1785" s="653">
        <v>16.175190000000001</v>
      </c>
      <c r="S1785" s="645" t="s">
        <v>2425</v>
      </c>
      <c r="T1785" s="654">
        <v>42950</v>
      </c>
      <c r="U1785" s="645">
        <v>6.58</v>
      </c>
      <c r="V1785" s="653">
        <f>((U1785*(1+X1785/10)+Y1785/10)/O1785)</f>
        <v>0.97345132743362828</v>
      </c>
      <c r="W1785" s="645" t="s">
        <v>2381</v>
      </c>
      <c r="X1785" s="645">
        <v>0</v>
      </c>
      <c r="Y1785" s="645">
        <v>0.2</v>
      </c>
      <c r="Z1785" s="652" t="s">
        <v>2233</v>
      </c>
      <c r="BB1785" s="651"/>
      <c r="BD1785" s="650"/>
    </row>
    <row r="1786" spans="1:56">
      <c r="C1786" s="648" t="s">
        <v>112</v>
      </c>
      <c r="D1786" s="648" t="s">
        <v>113</v>
      </c>
      <c r="E1786" s="648" t="s">
        <v>943</v>
      </c>
      <c r="F1786" s="649" t="s">
        <v>411</v>
      </c>
      <c r="G1786" s="649" t="s">
        <v>942</v>
      </c>
      <c r="H1786" s="648" t="s">
        <v>231</v>
      </c>
    </row>
    <row r="1787" spans="1:56" ht="28" customHeight="1">
      <c r="C1787" s="646" t="s">
        <v>3007</v>
      </c>
      <c r="D1787" s="1517">
        <v>6.78</v>
      </c>
      <c r="E1787" s="643">
        <f>69600/10000</f>
        <v>6.96</v>
      </c>
      <c r="F1787" s="645"/>
      <c r="G1787" s="644">
        <f>102654867/10000</f>
        <v>10265.486699999999</v>
      </c>
      <c r="H1787" s="643">
        <f>695999998.26/100000000</f>
        <v>6.9599999826000003</v>
      </c>
    </row>
    <row r="1788" spans="1:56" ht="28" customHeight="1">
      <c r="C1788" s="646" t="s">
        <v>3006</v>
      </c>
      <c r="D1788" s="1517"/>
      <c r="E1788" s="643">
        <f>69600/10000</f>
        <v>6.96</v>
      </c>
      <c r="F1788" s="645"/>
      <c r="G1788" s="644">
        <f>102654867/10000</f>
        <v>10265.486699999999</v>
      </c>
      <c r="H1788" s="643">
        <f>695999998.26/100000000</f>
        <v>6.9599999826000003</v>
      </c>
    </row>
    <row r="1789" spans="1:56" ht="28" customHeight="1">
      <c r="C1789" s="646" t="s">
        <v>3005</v>
      </c>
      <c r="D1789" s="1517"/>
      <c r="E1789" s="643">
        <f>69600/10000</f>
        <v>6.96</v>
      </c>
      <c r="F1789" s="645"/>
      <c r="G1789" s="644">
        <f>102654867/10000</f>
        <v>10265.486699999999</v>
      </c>
      <c r="H1789" s="643">
        <f>695999998.26/100000000</f>
        <v>6.9599999826000003</v>
      </c>
    </row>
    <row r="1790" spans="1:56" ht="28" customHeight="1">
      <c r="C1790" s="646" t="s">
        <v>3004</v>
      </c>
      <c r="D1790" s="1517"/>
      <c r="E1790" s="643">
        <f>35000/10000</f>
        <v>3.5</v>
      </c>
      <c r="F1790" s="645"/>
      <c r="G1790" s="644">
        <f>51622418/10000</f>
        <v>5162.2417999999998</v>
      </c>
      <c r="H1790" s="643">
        <f>349999994.04/100000000</f>
        <v>3.4999999404000004</v>
      </c>
    </row>
    <row r="1791" spans="1:56" ht="28" customHeight="1">
      <c r="C1791" s="646" t="s">
        <v>3003</v>
      </c>
      <c r="D1791" s="1517"/>
      <c r="E1791" s="643">
        <f>35000/10000</f>
        <v>3.5</v>
      </c>
      <c r="F1791" s="645"/>
      <c r="G1791" s="644">
        <f>51622418/10000</f>
        <v>5162.2417999999998</v>
      </c>
      <c r="H1791" s="643">
        <f>349999994.04/100000000</f>
        <v>3.4999999404000004</v>
      </c>
    </row>
    <row r="1792" spans="1:56" ht="28" customHeight="1">
      <c r="C1792" s="646" t="s">
        <v>3002</v>
      </c>
      <c r="D1792" s="1517"/>
      <c r="E1792" s="643">
        <v>3</v>
      </c>
      <c r="F1792" s="645"/>
      <c r="G1792" s="644">
        <f>31268439/10000</f>
        <v>3126.8438999999998</v>
      </c>
      <c r="H1792" s="643">
        <f>212000016.42/100000000</f>
        <v>2.1200001641999999</v>
      </c>
    </row>
    <row r="1793" spans="1:56" ht="28" customHeight="1">
      <c r="C1793" s="646" t="s">
        <v>3001</v>
      </c>
      <c r="D1793" s="1517"/>
      <c r="E1793" s="643">
        <v>3</v>
      </c>
      <c r="F1793" s="645"/>
      <c r="G1793" s="644"/>
      <c r="H1793" s="645"/>
    </row>
    <row r="1795" spans="1:56" s="663" customFormat="1">
      <c r="A1795" s="663" t="s">
        <v>2861</v>
      </c>
      <c r="B1795" s="665" t="s">
        <v>2036</v>
      </c>
      <c r="C1795" s="667" t="s">
        <v>126</v>
      </c>
      <c r="D1795" s="667" t="s">
        <v>1583</v>
      </c>
      <c r="E1795" s="667" t="s">
        <v>4</v>
      </c>
      <c r="F1795" s="667" t="s">
        <v>2860</v>
      </c>
      <c r="G1795" s="667" t="s">
        <v>2859</v>
      </c>
      <c r="H1795" s="667" t="s">
        <v>2858</v>
      </c>
      <c r="I1795" s="667" t="s">
        <v>751</v>
      </c>
      <c r="J1795" s="665" t="s">
        <v>274</v>
      </c>
      <c r="K1795" s="665" t="s">
        <v>273</v>
      </c>
      <c r="L1795" s="665" t="s">
        <v>116</v>
      </c>
      <c r="M1795" s="665" t="s">
        <v>110</v>
      </c>
      <c r="N1795" s="665" t="s">
        <v>276</v>
      </c>
      <c r="O1795" s="667" t="s">
        <v>1311</v>
      </c>
      <c r="P1795" s="665" t="s">
        <v>275</v>
      </c>
      <c r="Q1795" s="665" t="s">
        <v>111</v>
      </c>
      <c r="R1795" s="665" t="s">
        <v>2857</v>
      </c>
      <c r="S1795" s="665" t="s">
        <v>747</v>
      </c>
      <c r="T1795" s="667" t="s">
        <v>12</v>
      </c>
      <c r="U1795" s="666" t="s">
        <v>948</v>
      </c>
      <c r="V1795" s="665" t="s">
        <v>129</v>
      </c>
      <c r="W1795" s="665" t="s">
        <v>220</v>
      </c>
      <c r="X1795" s="665" t="s">
        <v>749</v>
      </c>
      <c r="Y1795" s="665" t="s">
        <v>750</v>
      </c>
      <c r="Z1795" s="665" t="s">
        <v>748</v>
      </c>
      <c r="BB1795" s="664"/>
      <c r="BD1795" s="664"/>
    </row>
    <row r="1796" spans="1:56">
      <c r="A1796" s="642" t="s">
        <v>2078</v>
      </c>
      <c r="B1796" s="1436">
        <v>138</v>
      </c>
      <c r="C1796" s="1437" t="s">
        <v>2424</v>
      </c>
      <c r="D1796" s="662" t="s">
        <v>2423</v>
      </c>
      <c r="E1796" s="662" t="s">
        <v>2422</v>
      </c>
      <c r="F1796" s="661">
        <v>8.9</v>
      </c>
      <c r="G1796" s="660">
        <v>8.9</v>
      </c>
      <c r="H1796" s="659">
        <f>L1796*R1796</f>
        <v>151.03461531699998</v>
      </c>
      <c r="I1796" s="656">
        <f>F1796/H1796</f>
        <v>5.8926888920928344E-2</v>
      </c>
      <c r="J1796" s="658" t="s">
        <v>3000</v>
      </c>
      <c r="K1796" s="645" t="s">
        <v>2421</v>
      </c>
      <c r="L1796" s="645">
        <v>15.35</v>
      </c>
      <c r="M1796" s="658">
        <v>11.97</v>
      </c>
      <c r="N1796" s="653">
        <f>M1796/L1796</f>
        <v>0.77980456026058642</v>
      </c>
      <c r="O1796" s="656">
        <v>14.5</v>
      </c>
      <c r="P1796" s="653">
        <f>O1796/L1796</f>
        <v>0.94462540716612375</v>
      </c>
      <c r="Q1796" s="645">
        <v>6</v>
      </c>
      <c r="R1796" s="653">
        <v>9.8393886199999994</v>
      </c>
      <c r="S1796" s="645" t="s">
        <v>2420</v>
      </c>
      <c r="T1796" s="654">
        <v>42951</v>
      </c>
      <c r="U1796" s="645">
        <v>10.91</v>
      </c>
      <c r="V1796" s="653">
        <f>((U1796*(1+X1796/10)+Y1796/10)/O1796)</f>
        <v>0.75448275862068959</v>
      </c>
      <c r="W1796" s="645" t="s">
        <v>2111</v>
      </c>
      <c r="X1796" s="645">
        <v>0</v>
      </c>
      <c r="Y1796" s="645">
        <v>0.3</v>
      </c>
      <c r="Z1796" s="652" t="s">
        <v>2160</v>
      </c>
      <c r="BB1796" s="651"/>
      <c r="BD1796" s="650"/>
    </row>
    <row r="1797" spans="1:56">
      <c r="C1797" s="648" t="s">
        <v>112</v>
      </c>
      <c r="D1797" s="648" t="s">
        <v>113</v>
      </c>
      <c r="E1797" s="648" t="s">
        <v>943</v>
      </c>
      <c r="F1797" s="649" t="s">
        <v>411</v>
      </c>
      <c r="G1797" s="649" t="s">
        <v>942</v>
      </c>
      <c r="H1797" s="648" t="s">
        <v>231</v>
      </c>
    </row>
    <row r="1798" spans="1:56" ht="28">
      <c r="C1798" s="646" t="s">
        <v>2999</v>
      </c>
      <c r="D1798" s="646" t="s">
        <v>2998</v>
      </c>
      <c r="E1798" s="713">
        <f>8900/10000</f>
        <v>0.89</v>
      </c>
      <c r="F1798" s="645"/>
      <c r="G1798" s="645"/>
      <c r="H1798" s="645"/>
    </row>
    <row r="1799" spans="1:56">
      <c r="C1799" s="646" t="s">
        <v>1206</v>
      </c>
      <c r="D1799" s="647">
        <v>13.5</v>
      </c>
      <c r="E1799" s="647">
        <v>1.78</v>
      </c>
      <c r="F1799" s="645"/>
      <c r="G1799" s="645"/>
      <c r="H1799" s="645"/>
    </row>
    <row r="1800" spans="1:56">
      <c r="C1800" s="646" t="s">
        <v>234</v>
      </c>
      <c r="D1800" s="647">
        <v>13.3</v>
      </c>
      <c r="E1800" s="647">
        <v>0.89</v>
      </c>
      <c r="F1800" s="645"/>
      <c r="G1800" s="645"/>
      <c r="H1800" s="645"/>
    </row>
    <row r="1801" spans="1:56">
      <c r="C1801" s="646" t="s">
        <v>127</v>
      </c>
      <c r="D1801" s="647">
        <v>13.42</v>
      </c>
      <c r="E1801" s="647">
        <v>1.7</v>
      </c>
      <c r="F1801" s="645"/>
      <c r="G1801" s="645"/>
      <c r="H1801" s="645"/>
    </row>
    <row r="1802" spans="1:56" ht="28">
      <c r="C1802" s="646" t="s">
        <v>2997</v>
      </c>
      <c r="D1802" s="646" t="s">
        <v>2996</v>
      </c>
      <c r="E1802" s="713">
        <f>8900/10000</f>
        <v>0.89</v>
      </c>
      <c r="F1802" s="645"/>
      <c r="G1802" s="645"/>
      <c r="H1802" s="645"/>
    </row>
    <row r="1803" spans="1:56">
      <c r="C1803" s="646" t="s">
        <v>279</v>
      </c>
      <c r="D1803" s="647">
        <v>15.08</v>
      </c>
      <c r="E1803" s="647">
        <v>0.91</v>
      </c>
      <c r="F1803" s="645"/>
      <c r="G1803" s="644">
        <f>6275862/10000</f>
        <v>627.58619999999996</v>
      </c>
      <c r="H1803" s="643">
        <f>90999999/100000000</f>
        <v>0.90999998999999998</v>
      </c>
    </row>
    <row r="1804" spans="1:56">
      <c r="C1804" s="646" t="s">
        <v>136</v>
      </c>
      <c r="D1804" s="647">
        <v>13.57</v>
      </c>
      <c r="E1804" s="647">
        <v>1.08</v>
      </c>
      <c r="F1804" s="645"/>
      <c r="G1804" s="645"/>
      <c r="H1804" s="645"/>
    </row>
    <row r="1805" spans="1:56">
      <c r="C1805" s="646" t="s">
        <v>173</v>
      </c>
      <c r="D1805" s="647">
        <v>12.98</v>
      </c>
      <c r="E1805" s="647">
        <v>1.1499999999999999</v>
      </c>
      <c r="F1805" s="645"/>
      <c r="G1805" s="645"/>
      <c r="H1805" s="645"/>
    </row>
    <row r="1806" spans="1:56">
      <c r="C1806" s="646" t="s">
        <v>13</v>
      </c>
      <c r="D1806" s="647">
        <v>13</v>
      </c>
      <c r="E1806" s="647">
        <v>1</v>
      </c>
      <c r="F1806" s="645"/>
      <c r="G1806" s="645"/>
      <c r="H1806" s="645"/>
    </row>
    <row r="1807" spans="1:56">
      <c r="C1807" s="646" t="s">
        <v>351</v>
      </c>
      <c r="D1807" s="647">
        <v>12.5</v>
      </c>
      <c r="E1807" s="647">
        <v>0.89</v>
      </c>
      <c r="F1807" s="645"/>
      <c r="G1807" s="645"/>
      <c r="H1807" s="645"/>
    </row>
    <row r="1808" spans="1:56" ht="42">
      <c r="C1808" s="646" t="s">
        <v>121</v>
      </c>
      <c r="D1808" s="646" t="s">
        <v>2995</v>
      </c>
      <c r="E1808" s="713" t="s">
        <v>2994</v>
      </c>
      <c r="F1808" s="645"/>
      <c r="G1808" s="645"/>
      <c r="H1808" s="645"/>
    </row>
    <row r="1809" spans="1:56" ht="42">
      <c r="C1809" s="646" t="s">
        <v>115</v>
      </c>
      <c r="D1809" s="646" t="s">
        <v>2993</v>
      </c>
      <c r="E1809" s="713" t="s">
        <v>2992</v>
      </c>
      <c r="F1809" s="645"/>
      <c r="G1809" s="644">
        <f>2068966/10000</f>
        <v>206.89660000000001</v>
      </c>
      <c r="H1809" s="643">
        <f>30000007/100000000</f>
        <v>0.30000007000000001</v>
      </c>
    </row>
    <row r="1810" spans="1:56" ht="28">
      <c r="C1810" s="646" t="s">
        <v>147</v>
      </c>
      <c r="D1810" s="646" t="s">
        <v>2991</v>
      </c>
      <c r="E1810" s="713" t="s">
        <v>2990</v>
      </c>
      <c r="F1810" s="645"/>
      <c r="G1810" s="645"/>
      <c r="H1810" s="645"/>
    </row>
    <row r="1811" spans="1:56">
      <c r="C1811" s="646" t="s">
        <v>1283</v>
      </c>
      <c r="D1811" s="647">
        <v>14.6</v>
      </c>
      <c r="E1811" s="647">
        <v>0.89</v>
      </c>
      <c r="F1811" s="645"/>
      <c r="G1811" s="644">
        <f>6137931/10000</f>
        <v>613.79309999999998</v>
      </c>
      <c r="H1811" s="643">
        <f>88999999.5/100000000</f>
        <v>0.88999999500000004</v>
      </c>
    </row>
    <row r="1812" spans="1:56">
      <c r="C1812" s="646" t="s">
        <v>542</v>
      </c>
      <c r="D1812" s="647">
        <v>13.86</v>
      </c>
      <c r="E1812" s="647">
        <v>0.89</v>
      </c>
      <c r="F1812" s="645"/>
      <c r="G1812" s="645"/>
      <c r="H1812" s="645"/>
    </row>
    <row r="1813" spans="1:56" ht="42">
      <c r="C1813" s="646" t="s">
        <v>332</v>
      </c>
      <c r="D1813" s="646" t="s">
        <v>2989</v>
      </c>
      <c r="E1813" s="713" t="s">
        <v>2988</v>
      </c>
      <c r="F1813" s="645"/>
      <c r="G1813" s="644">
        <f>20689655/10000</f>
        <v>2068.9654999999998</v>
      </c>
      <c r="H1813" s="643">
        <f>299999997.5/100000000</f>
        <v>2.9999999750000002</v>
      </c>
    </row>
    <row r="1814" spans="1:56" ht="42">
      <c r="C1814" s="646" t="s">
        <v>134</v>
      </c>
      <c r="D1814" s="646" t="s">
        <v>2987</v>
      </c>
      <c r="E1814" s="713" t="s">
        <v>2986</v>
      </c>
      <c r="F1814" s="645"/>
      <c r="G1814" s="645">
        <v>1896.5517</v>
      </c>
      <c r="H1814" s="653">
        <v>2.7499999650000002</v>
      </c>
    </row>
    <row r="1815" spans="1:56">
      <c r="C1815" s="646" t="s">
        <v>146</v>
      </c>
      <c r="D1815" s="647">
        <v>13.27</v>
      </c>
      <c r="E1815" s="647">
        <v>13030</v>
      </c>
      <c r="F1815" s="645"/>
      <c r="G1815" s="645"/>
      <c r="H1815" s="645"/>
    </row>
    <row r="1816" spans="1:56">
      <c r="C1816" s="646" t="s">
        <v>138</v>
      </c>
      <c r="D1816" s="647">
        <v>13.28</v>
      </c>
      <c r="E1816" s="647">
        <v>11000</v>
      </c>
      <c r="F1816" s="645"/>
      <c r="G1816" s="644">
        <f>7241379/10000</f>
        <v>724.13789999999995</v>
      </c>
      <c r="H1816" s="643">
        <v>1.0499999550000001</v>
      </c>
    </row>
    <row r="1818" spans="1:56" s="663" customFormat="1">
      <c r="A1818" s="663" t="s">
        <v>2861</v>
      </c>
      <c r="B1818" s="665" t="s">
        <v>2036</v>
      </c>
      <c r="C1818" s="667" t="s">
        <v>126</v>
      </c>
      <c r="D1818" s="667" t="s">
        <v>1583</v>
      </c>
      <c r="E1818" s="667" t="s">
        <v>4</v>
      </c>
      <c r="F1818" s="667" t="s">
        <v>2860</v>
      </c>
      <c r="G1818" s="667" t="s">
        <v>2859</v>
      </c>
      <c r="H1818" s="667" t="s">
        <v>2858</v>
      </c>
      <c r="I1818" s="667" t="s">
        <v>751</v>
      </c>
      <c r="J1818" s="665" t="s">
        <v>274</v>
      </c>
      <c r="K1818" s="665" t="s">
        <v>273</v>
      </c>
      <c r="L1818" s="665" t="s">
        <v>116</v>
      </c>
      <c r="M1818" s="665" t="s">
        <v>110</v>
      </c>
      <c r="N1818" s="665" t="s">
        <v>276</v>
      </c>
      <c r="O1818" s="667" t="s">
        <v>1311</v>
      </c>
      <c r="P1818" s="665" t="s">
        <v>275</v>
      </c>
      <c r="Q1818" s="665" t="s">
        <v>111</v>
      </c>
      <c r="R1818" s="665" t="s">
        <v>2857</v>
      </c>
      <c r="S1818" s="665" t="s">
        <v>747</v>
      </c>
      <c r="T1818" s="667" t="s">
        <v>12</v>
      </c>
      <c r="U1818" s="666" t="s">
        <v>948</v>
      </c>
      <c r="V1818" s="665" t="s">
        <v>129</v>
      </c>
      <c r="W1818" s="665" t="s">
        <v>220</v>
      </c>
      <c r="X1818" s="665" t="s">
        <v>749</v>
      </c>
      <c r="Y1818" s="665" t="s">
        <v>750</v>
      </c>
      <c r="Z1818" s="665" t="s">
        <v>748</v>
      </c>
      <c r="BB1818" s="664"/>
      <c r="BD1818" s="664"/>
    </row>
    <row r="1819" spans="1:56">
      <c r="A1819" s="642" t="s">
        <v>2078</v>
      </c>
      <c r="B1819" s="1436">
        <v>139</v>
      </c>
      <c r="C1819" s="1437" t="s">
        <v>2419</v>
      </c>
      <c r="D1819" s="662" t="s">
        <v>2418</v>
      </c>
      <c r="E1819" s="662" t="s">
        <v>2417</v>
      </c>
      <c r="F1819" s="661">
        <v>48</v>
      </c>
      <c r="G1819" s="660">
        <v>48</v>
      </c>
      <c r="H1819" s="659">
        <f>L1819*R1819</f>
        <v>980.01613438300001</v>
      </c>
      <c r="I1819" s="656">
        <f>F1819/H1819</f>
        <v>4.8978785466853469E-2</v>
      </c>
      <c r="J1819" s="658" t="s">
        <v>2985</v>
      </c>
      <c r="K1819" s="645" t="s">
        <v>2089</v>
      </c>
      <c r="L1819" s="645">
        <v>52.3</v>
      </c>
      <c r="M1819" s="658">
        <v>45.01</v>
      </c>
      <c r="N1819" s="653">
        <f>M1819/L1819</f>
        <v>0.8606118546845124</v>
      </c>
      <c r="O1819" s="656">
        <v>45.01</v>
      </c>
      <c r="P1819" s="653">
        <f>O1819/L1819</f>
        <v>0.8606118546845124</v>
      </c>
      <c r="Q1819" s="645">
        <v>4</v>
      </c>
      <c r="R1819" s="653">
        <v>18.738358210000001</v>
      </c>
      <c r="S1819" s="645" t="s">
        <v>2416</v>
      </c>
      <c r="T1819" s="463">
        <v>42955</v>
      </c>
      <c r="U1819" s="821">
        <v>13.8</v>
      </c>
      <c r="V1819" s="462">
        <f>((U1819*(1+X1819/10)+Y1819/10)/O1819)</f>
        <v>0.30659853365918688</v>
      </c>
      <c r="W1819" s="820" t="s">
        <v>223</v>
      </c>
      <c r="X1819" s="259">
        <v>0</v>
      </c>
      <c r="Y1819" s="259">
        <v>0</v>
      </c>
      <c r="Z1819" s="652" t="s">
        <v>2166</v>
      </c>
      <c r="BB1819" s="651"/>
      <c r="BD1819" s="650"/>
    </row>
    <row r="1820" spans="1:56">
      <c r="C1820" s="648" t="s">
        <v>112</v>
      </c>
      <c r="D1820" s="648" t="s">
        <v>113</v>
      </c>
      <c r="E1820" s="648" t="s">
        <v>943</v>
      </c>
      <c r="F1820" s="649" t="s">
        <v>411</v>
      </c>
      <c r="G1820" s="649" t="s">
        <v>942</v>
      </c>
      <c r="H1820" s="648" t="s">
        <v>231</v>
      </c>
    </row>
    <row r="1821" spans="1:56">
      <c r="C1821" s="646" t="s">
        <v>115</v>
      </c>
      <c r="D1821" s="647">
        <v>47.07</v>
      </c>
      <c r="E1821" s="643">
        <f>165000/10000</f>
        <v>16.5</v>
      </c>
      <c r="F1821" s="645"/>
      <c r="G1821" s="644">
        <f>39102421/10000</f>
        <v>3910.2420999999999</v>
      </c>
      <c r="H1821" s="643">
        <f>1759999969.21/100000000</f>
        <v>17.599999692099999</v>
      </c>
      <c r="K1821" s="705"/>
    </row>
    <row r="1822" spans="1:56">
      <c r="C1822" s="646"/>
      <c r="D1822" s="647">
        <v>46.36</v>
      </c>
      <c r="E1822" s="643">
        <f>176000/10000</f>
        <v>17.600000000000001</v>
      </c>
      <c r="F1822" s="645"/>
      <c r="G1822" s="645"/>
      <c r="H1822" s="645"/>
    </row>
    <row r="1823" spans="1:56">
      <c r="C1823" s="646" t="s">
        <v>228</v>
      </c>
      <c r="D1823" s="647">
        <v>46.5</v>
      </c>
      <c r="E1823" s="643">
        <f>96000/10000</f>
        <v>9.6</v>
      </c>
      <c r="F1823" s="645"/>
      <c r="G1823" s="644">
        <f>21328593/10000</f>
        <v>2132.8593000000001</v>
      </c>
      <c r="H1823" s="643">
        <f>959999970.93/100000000</f>
        <v>9.5999997092999987</v>
      </c>
      <c r="K1823" s="705"/>
    </row>
    <row r="1824" spans="1:56">
      <c r="C1824" s="646" t="s">
        <v>581</v>
      </c>
      <c r="D1824" s="647">
        <v>45.53</v>
      </c>
      <c r="E1824" s="643">
        <f>96000/10000</f>
        <v>9.6</v>
      </c>
      <c r="F1824" s="645"/>
      <c r="G1824" s="644">
        <f>24883361/10000</f>
        <v>2488.3361</v>
      </c>
      <c r="H1824" s="643">
        <f>1120000078.61/100000000</f>
        <v>11.200000786099999</v>
      </c>
      <c r="K1824" s="705"/>
    </row>
    <row r="1825" spans="1:56">
      <c r="C1825" s="646"/>
      <c r="D1825" s="647">
        <v>45.01</v>
      </c>
      <c r="E1825" s="643">
        <f>150000/10000</f>
        <v>15</v>
      </c>
      <c r="F1825" s="645"/>
      <c r="G1825" s="645"/>
      <c r="H1825" s="645"/>
    </row>
    <row r="1826" spans="1:56">
      <c r="C1826" s="646" t="s">
        <v>612</v>
      </c>
      <c r="D1826" s="647">
        <v>45.5</v>
      </c>
      <c r="E1826" s="643">
        <f>96000/10000</f>
        <v>9.6</v>
      </c>
      <c r="F1826" s="645"/>
      <c r="G1826" s="644">
        <f>21328593/10000</f>
        <v>2132.8593000000001</v>
      </c>
      <c r="H1826" s="643">
        <f>959999970.93/100000000</f>
        <v>9.5999997092999987</v>
      </c>
      <c r="K1826" s="705"/>
    </row>
    <row r="1828" spans="1:56" s="663" customFormat="1">
      <c r="A1828" s="663" t="s">
        <v>2861</v>
      </c>
      <c r="B1828" s="665" t="s">
        <v>2036</v>
      </c>
      <c r="C1828" s="667" t="s">
        <v>126</v>
      </c>
      <c r="D1828" s="667" t="s">
        <v>1583</v>
      </c>
      <c r="E1828" s="667" t="s">
        <v>4</v>
      </c>
      <c r="F1828" s="667" t="s">
        <v>2860</v>
      </c>
      <c r="G1828" s="667" t="s">
        <v>2859</v>
      </c>
      <c r="H1828" s="667" t="s">
        <v>2858</v>
      </c>
      <c r="I1828" s="667" t="s">
        <v>751</v>
      </c>
      <c r="J1828" s="665" t="s">
        <v>274</v>
      </c>
      <c r="K1828" s="665" t="s">
        <v>273</v>
      </c>
      <c r="L1828" s="665" t="s">
        <v>116</v>
      </c>
      <c r="M1828" s="665" t="s">
        <v>110</v>
      </c>
      <c r="N1828" s="665" t="s">
        <v>276</v>
      </c>
      <c r="O1828" s="667" t="s">
        <v>1311</v>
      </c>
      <c r="P1828" s="665" t="s">
        <v>275</v>
      </c>
      <c r="Q1828" s="665" t="s">
        <v>111</v>
      </c>
      <c r="R1828" s="665" t="s">
        <v>2857</v>
      </c>
      <c r="S1828" s="665" t="s">
        <v>747</v>
      </c>
      <c r="T1828" s="667" t="s">
        <v>12</v>
      </c>
      <c r="U1828" s="666" t="s">
        <v>948</v>
      </c>
      <c r="V1828" s="665" t="s">
        <v>129</v>
      </c>
      <c r="W1828" s="665" t="s">
        <v>220</v>
      </c>
      <c r="X1828" s="665" t="s">
        <v>749</v>
      </c>
      <c r="Y1828" s="665" t="s">
        <v>750</v>
      </c>
      <c r="Z1828" s="665" t="s">
        <v>748</v>
      </c>
      <c r="BB1828" s="664"/>
      <c r="BD1828" s="664"/>
    </row>
    <row r="1829" spans="1:56">
      <c r="A1829" s="642" t="s">
        <v>2078</v>
      </c>
      <c r="B1829" s="1436">
        <v>140</v>
      </c>
      <c r="C1829" s="1437" t="s">
        <v>2415</v>
      </c>
      <c r="D1829" s="662" t="s">
        <v>2414</v>
      </c>
      <c r="E1829" s="662" t="s">
        <v>2413</v>
      </c>
      <c r="F1829" s="661">
        <v>4.5</v>
      </c>
      <c r="G1829" s="660">
        <v>4.5</v>
      </c>
      <c r="H1829" s="659">
        <f>L1829*R1829</f>
        <v>70.245974039999993</v>
      </c>
      <c r="I1829" s="656">
        <f>F1829/H1829</f>
        <v>6.4060610753828767E-2</v>
      </c>
      <c r="J1829" s="658" t="s">
        <v>2984</v>
      </c>
      <c r="K1829" s="645" t="s">
        <v>2240</v>
      </c>
      <c r="L1829" s="645">
        <v>20.91</v>
      </c>
      <c r="M1829" s="658">
        <v>18.420000000000002</v>
      </c>
      <c r="N1829" s="653">
        <f>M1829/L1829</f>
        <v>0.88091822094691541</v>
      </c>
      <c r="O1829" s="656">
        <v>20.67</v>
      </c>
      <c r="P1829" s="653">
        <f>O1829/L1829</f>
        <v>0.98852223816355822</v>
      </c>
      <c r="Q1829" s="645">
        <v>4</v>
      </c>
      <c r="R1829" s="653">
        <v>3.3594439999999999</v>
      </c>
      <c r="S1829" s="645" t="s">
        <v>2412</v>
      </c>
      <c r="T1829" s="654">
        <v>42592</v>
      </c>
      <c r="U1829" s="645">
        <v>20.23</v>
      </c>
      <c r="V1829" s="653">
        <f>((U1829*(1+X1829/10)+Y1829/10)/O1829)</f>
        <v>0.97871311078858247</v>
      </c>
      <c r="W1829" s="645" t="s">
        <v>223</v>
      </c>
      <c r="X1829" s="645">
        <v>0</v>
      </c>
      <c r="Y1829" s="645">
        <v>0</v>
      </c>
      <c r="Z1829" s="652" t="s">
        <v>2411</v>
      </c>
      <c r="BB1829" s="651"/>
      <c r="BD1829" s="650"/>
    </row>
    <row r="1830" spans="1:56">
      <c r="C1830" s="648" t="s">
        <v>112</v>
      </c>
      <c r="D1830" s="648" t="s">
        <v>113</v>
      </c>
      <c r="E1830" s="648" t="s">
        <v>943</v>
      </c>
      <c r="F1830" s="649" t="s">
        <v>411</v>
      </c>
      <c r="G1830" s="649" t="s">
        <v>942</v>
      </c>
      <c r="H1830" s="648" t="s">
        <v>231</v>
      </c>
    </row>
    <row r="1831" spans="1:56" ht="28">
      <c r="C1831" s="673" t="s">
        <v>3425</v>
      </c>
      <c r="D1831" s="647">
        <v>19.45</v>
      </c>
      <c r="E1831" s="643">
        <v>1.1000000000000001</v>
      </c>
      <c r="F1831" s="645"/>
      <c r="G1831" s="645"/>
      <c r="H1831" s="645"/>
    </row>
    <row r="1832" spans="1:56">
      <c r="C1832" s="1512" t="s">
        <v>544</v>
      </c>
      <c r="D1832" s="647">
        <v>19.02</v>
      </c>
      <c r="E1832" s="643">
        <v>1</v>
      </c>
      <c r="F1832" s="645"/>
      <c r="G1832" s="645"/>
      <c r="H1832" s="645"/>
    </row>
    <row r="1833" spans="1:56">
      <c r="C1833" s="1512"/>
      <c r="D1833" s="647">
        <v>18.52</v>
      </c>
      <c r="E1833" s="643">
        <v>1.01</v>
      </c>
      <c r="F1833" s="645"/>
      <c r="G1833" s="645"/>
      <c r="H1833" s="645"/>
    </row>
    <row r="1834" spans="1:56">
      <c r="C1834" s="1512"/>
      <c r="D1834" s="647">
        <v>18.440000000000001</v>
      </c>
      <c r="E1834" s="643">
        <v>1.02</v>
      </c>
      <c r="F1834" s="645"/>
      <c r="G1834" s="645"/>
      <c r="H1834" s="645"/>
    </row>
    <row r="1835" spans="1:56">
      <c r="C1835" s="1512" t="s">
        <v>115</v>
      </c>
      <c r="D1835" s="647">
        <v>20.67</v>
      </c>
      <c r="E1835" s="643">
        <v>1.5</v>
      </c>
      <c r="F1835" s="645"/>
      <c r="G1835" s="644">
        <f>967587/10000</f>
        <v>96.758700000000005</v>
      </c>
      <c r="H1835" s="643">
        <f>20000023.29/100000000</f>
        <v>0.20000023289999999</v>
      </c>
    </row>
    <row r="1836" spans="1:56">
      <c r="C1836" s="1512"/>
      <c r="D1836" s="647">
        <v>18.809999999999999</v>
      </c>
      <c r="E1836" s="643">
        <v>2.5</v>
      </c>
      <c r="F1836" s="645"/>
      <c r="G1836" s="645"/>
      <c r="H1836" s="645"/>
    </row>
    <row r="1837" spans="1:56">
      <c r="C1837" s="1512"/>
      <c r="D1837" s="647">
        <v>18.5</v>
      </c>
      <c r="E1837" s="643">
        <v>2.61</v>
      </c>
      <c r="F1837" s="645"/>
      <c r="G1837" s="645"/>
      <c r="H1837" s="645"/>
    </row>
    <row r="1838" spans="1:56">
      <c r="C1838" s="1512" t="s">
        <v>332</v>
      </c>
      <c r="D1838" s="647">
        <v>18.88</v>
      </c>
      <c r="E1838" s="643">
        <v>1</v>
      </c>
      <c r="F1838" s="645"/>
      <c r="G1838" s="645"/>
      <c r="H1838" s="645"/>
    </row>
    <row r="1839" spans="1:56">
      <c r="C1839" s="1512"/>
      <c r="D1839" s="647">
        <v>18.68</v>
      </c>
      <c r="E1839" s="643">
        <v>1</v>
      </c>
      <c r="F1839" s="645"/>
      <c r="G1839" s="645"/>
      <c r="H1839" s="645"/>
    </row>
    <row r="1840" spans="1:56">
      <c r="C1840" s="1512" t="s">
        <v>403</v>
      </c>
      <c r="D1840" s="647">
        <v>20.91</v>
      </c>
      <c r="E1840" s="643">
        <v>1</v>
      </c>
      <c r="F1840" s="645"/>
      <c r="G1840" s="644">
        <f>4837929/10000</f>
        <v>483.79289999999997</v>
      </c>
      <c r="H1840" s="643">
        <f>99999992.43/100000000</f>
        <v>0.99999992430000006</v>
      </c>
    </row>
    <row r="1841" spans="1:56">
      <c r="C1841" s="1512"/>
      <c r="D1841" s="647">
        <v>19.600000000000001</v>
      </c>
      <c r="E1841" s="643">
        <v>1</v>
      </c>
      <c r="F1841" s="645"/>
      <c r="G1841" s="645"/>
      <c r="H1841" s="645"/>
    </row>
    <row r="1842" spans="1:56">
      <c r="C1842" s="1512"/>
      <c r="D1842" s="647">
        <v>18.899999999999999</v>
      </c>
      <c r="E1842" s="643">
        <v>1</v>
      </c>
      <c r="F1842" s="645"/>
      <c r="G1842" s="645"/>
      <c r="H1842" s="645"/>
    </row>
    <row r="1843" spans="1:56">
      <c r="C1843" s="646" t="s">
        <v>3424</v>
      </c>
      <c r="D1843" s="647">
        <v>19.45</v>
      </c>
      <c r="E1843" s="643">
        <v>1</v>
      </c>
      <c r="F1843" s="645"/>
      <c r="G1843" s="645"/>
      <c r="H1843" s="645"/>
    </row>
    <row r="1844" spans="1:56">
      <c r="C1844" s="646" t="s">
        <v>2928</v>
      </c>
      <c r="D1844" s="673"/>
      <c r="E1844" s="714"/>
      <c r="F1844" s="741"/>
      <c r="G1844" s="645"/>
      <c r="H1844" s="645"/>
    </row>
    <row r="1845" spans="1:56">
      <c r="C1845" s="646" t="s">
        <v>3214</v>
      </c>
      <c r="D1845" s="647">
        <v>20.98</v>
      </c>
      <c r="E1845" s="643">
        <v>2.8</v>
      </c>
      <c r="F1845" s="645"/>
      <c r="G1845" s="644">
        <f>13546202/10000</f>
        <v>1354.6202000000001</v>
      </c>
      <c r="H1845" s="643">
        <f>279999995.34/100000000</f>
        <v>2.7999999533999995</v>
      </c>
    </row>
    <row r="1846" spans="1:56">
      <c r="C1846" s="646" t="s">
        <v>3423</v>
      </c>
      <c r="D1846" s="645"/>
      <c r="E1846" s="645"/>
      <c r="F1846" s="645"/>
      <c r="G1846" s="644">
        <f>2418964/10000</f>
        <v>241.8964</v>
      </c>
      <c r="H1846" s="643">
        <f>49999985.88/100000000</f>
        <v>0.49999985880000003</v>
      </c>
    </row>
    <row r="1848" spans="1:56" s="663" customFormat="1">
      <c r="A1848" s="663" t="s">
        <v>2861</v>
      </c>
      <c r="B1848" s="665" t="s">
        <v>2036</v>
      </c>
      <c r="C1848" s="667" t="s">
        <v>126</v>
      </c>
      <c r="D1848" s="667" t="s">
        <v>1583</v>
      </c>
      <c r="E1848" s="667" t="s">
        <v>4</v>
      </c>
      <c r="F1848" s="667" t="s">
        <v>2860</v>
      </c>
      <c r="G1848" s="667" t="s">
        <v>2859</v>
      </c>
      <c r="H1848" s="667" t="s">
        <v>2858</v>
      </c>
      <c r="I1848" s="667" t="s">
        <v>751</v>
      </c>
      <c r="J1848" s="665" t="s">
        <v>274</v>
      </c>
      <c r="K1848" s="665" t="s">
        <v>273</v>
      </c>
      <c r="L1848" s="665" t="s">
        <v>116</v>
      </c>
      <c r="M1848" s="665" t="s">
        <v>110</v>
      </c>
      <c r="N1848" s="665" t="s">
        <v>276</v>
      </c>
      <c r="O1848" s="667" t="s">
        <v>1311</v>
      </c>
      <c r="P1848" s="665" t="s">
        <v>275</v>
      </c>
      <c r="Q1848" s="665" t="s">
        <v>111</v>
      </c>
      <c r="R1848" s="665" t="s">
        <v>2857</v>
      </c>
      <c r="S1848" s="665" t="s">
        <v>747</v>
      </c>
      <c r="T1848" s="667" t="s">
        <v>12</v>
      </c>
      <c r="U1848" s="666" t="s">
        <v>948</v>
      </c>
      <c r="V1848" s="665" t="s">
        <v>129</v>
      </c>
      <c r="W1848" s="665" t="s">
        <v>220</v>
      </c>
      <c r="X1848" s="665" t="s">
        <v>749</v>
      </c>
      <c r="Y1848" s="665" t="s">
        <v>750</v>
      </c>
      <c r="Z1848" s="665" t="s">
        <v>748</v>
      </c>
      <c r="BB1848" s="664"/>
      <c r="BD1848" s="664"/>
    </row>
    <row r="1849" spans="1:56">
      <c r="A1849" s="642" t="s">
        <v>2078</v>
      </c>
      <c r="B1849" s="1436">
        <v>141</v>
      </c>
      <c r="C1849" s="1437" t="s">
        <v>4216</v>
      </c>
      <c r="D1849" s="662" t="s">
        <v>2409</v>
      </c>
      <c r="E1849" s="662" t="s">
        <v>2408</v>
      </c>
      <c r="F1849" s="661">
        <v>9.41</v>
      </c>
      <c r="G1849" s="660">
        <v>9.41</v>
      </c>
      <c r="H1849" s="659">
        <f>L1849*R1849</f>
        <v>60.421979999999998</v>
      </c>
      <c r="I1849" s="656">
        <f>F1849/H1849</f>
        <v>0.15573802778392898</v>
      </c>
      <c r="J1849" s="658" t="s">
        <v>2983</v>
      </c>
      <c r="K1849" s="645" t="s">
        <v>2125</v>
      </c>
      <c r="L1849" s="645">
        <v>34.6</v>
      </c>
      <c r="M1849" s="658">
        <v>14.61</v>
      </c>
      <c r="N1849" s="653">
        <f>M1849/L1849</f>
        <v>0.42225433526011558</v>
      </c>
      <c r="O1849" s="656">
        <v>24.7</v>
      </c>
      <c r="P1849" s="653">
        <f>O1849/L1849</f>
        <v>0.71387283236994215</v>
      </c>
      <c r="Q1849" s="645">
        <v>7</v>
      </c>
      <c r="R1849" s="653">
        <v>1.7463</v>
      </c>
      <c r="S1849" s="645" t="s">
        <v>2407</v>
      </c>
      <c r="T1849" s="654">
        <v>42958</v>
      </c>
      <c r="U1849" s="645">
        <v>11.9</v>
      </c>
      <c r="V1849" s="653">
        <f>((U1849*(1+X1849/10)+Y1849/10)/O1849)</f>
        <v>0.96356275303643735</v>
      </c>
      <c r="W1849" s="645" t="s">
        <v>2406</v>
      </c>
      <c r="X1849" s="645">
        <v>10</v>
      </c>
      <c r="Y1849" s="645">
        <v>0</v>
      </c>
      <c r="Z1849" s="652" t="s">
        <v>2362</v>
      </c>
      <c r="BB1849" s="651"/>
      <c r="BD1849" s="650"/>
    </row>
    <row r="1850" spans="1:56">
      <c r="C1850" s="648" t="s">
        <v>112</v>
      </c>
      <c r="D1850" s="648" t="s">
        <v>113</v>
      </c>
      <c r="E1850" s="648" t="s">
        <v>943</v>
      </c>
      <c r="F1850" s="649" t="s">
        <v>411</v>
      </c>
      <c r="G1850" s="649" t="s">
        <v>942</v>
      </c>
      <c r="H1850" s="648" t="s">
        <v>231</v>
      </c>
    </row>
    <row r="1851" spans="1:56">
      <c r="C1851" s="646" t="s">
        <v>2976</v>
      </c>
      <c r="D1851" s="647">
        <v>20.05</v>
      </c>
      <c r="E1851" s="643">
        <f>94054550/100000000</f>
        <v>0.94054550000000003</v>
      </c>
      <c r="F1851" s="645"/>
      <c r="G1851" s="645"/>
      <c r="H1851" s="645"/>
    </row>
    <row r="1852" spans="1:56">
      <c r="C1852" s="646" t="s">
        <v>1077</v>
      </c>
      <c r="D1852" s="647">
        <v>23.2</v>
      </c>
      <c r="E1852" s="643">
        <f>94054550/100000000</f>
        <v>0.94054550000000003</v>
      </c>
      <c r="F1852" s="645"/>
      <c r="G1852" s="645"/>
      <c r="H1852" s="645"/>
    </row>
    <row r="1853" spans="1:56">
      <c r="C1853" s="1512" t="s">
        <v>2982</v>
      </c>
      <c r="D1853" s="647">
        <v>23.58</v>
      </c>
      <c r="E1853" s="643">
        <f>106110000/100000000</f>
        <v>1.0610999999999999</v>
      </c>
      <c r="F1853" s="645"/>
      <c r="G1853" s="645"/>
      <c r="H1853" s="645"/>
    </row>
    <row r="1854" spans="1:56">
      <c r="C1854" s="1512"/>
      <c r="D1854" s="647">
        <v>20.88</v>
      </c>
      <c r="E1854" s="643">
        <f>146160000/100000000</f>
        <v>1.4616</v>
      </c>
      <c r="F1854" s="645"/>
      <c r="G1854" s="645"/>
      <c r="H1854" s="645"/>
    </row>
    <row r="1855" spans="1:56">
      <c r="C1855" s="1512"/>
      <c r="D1855" s="647">
        <v>19.95</v>
      </c>
      <c r="E1855" s="643">
        <f>219450000/100000000</f>
        <v>2.1945000000000001</v>
      </c>
      <c r="F1855" s="645"/>
      <c r="G1855" s="645"/>
      <c r="H1855" s="645"/>
    </row>
    <row r="1856" spans="1:56">
      <c r="C1856" s="1512" t="s">
        <v>2981</v>
      </c>
      <c r="D1856" s="647">
        <v>23.58</v>
      </c>
      <c r="E1856" s="643">
        <f>106110000/100000000</f>
        <v>1.0610999999999999</v>
      </c>
      <c r="F1856" s="645"/>
      <c r="G1856" s="645"/>
      <c r="H1856" s="645"/>
    </row>
    <row r="1857" spans="3:8">
      <c r="C1857" s="1512"/>
      <c r="D1857" s="647">
        <v>20.88</v>
      </c>
      <c r="E1857" s="643">
        <f>146160000/100000000</f>
        <v>1.4616</v>
      </c>
      <c r="F1857" s="645"/>
      <c r="G1857" s="645"/>
      <c r="H1857" s="645"/>
    </row>
    <row r="1858" spans="3:8">
      <c r="C1858" s="1512"/>
      <c r="D1858" s="647">
        <v>19.95</v>
      </c>
      <c r="E1858" s="643">
        <f>219450000/100000000</f>
        <v>2.1945000000000001</v>
      </c>
      <c r="F1858" s="645"/>
      <c r="G1858" s="645"/>
      <c r="H1858" s="645"/>
    </row>
    <row r="1859" spans="3:8">
      <c r="C1859" s="646" t="s">
        <v>2019</v>
      </c>
      <c r="D1859" s="647">
        <v>23.2</v>
      </c>
      <c r="E1859" s="643">
        <f>94050530/100000000</f>
        <v>0.94050529999999999</v>
      </c>
      <c r="F1859" s="645"/>
      <c r="G1859" s="645"/>
      <c r="H1859" s="645"/>
    </row>
    <row r="1860" spans="3:8">
      <c r="C1860" s="1512" t="s">
        <v>998</v>
      </c>
      <c r="D1860" s="647">
        <v>20</v>
      </c>
      <c r="E1860" s="643">
        <f>94050530/100000000</f>
        <v>0.94050529999999999</v>
      </c>
      <c r="F1860" s="645"/>
      <c r="G1860" s="645"/>
      <c r="H1860" s="645"/>
    </row>
    <row r="1861" spans="3:8">
      <c r="C1861" s="1512"/>
      <c r="D1861" s="647">
        <v>19</v>
      </c>
      <c r="E1861" s="643">
        <f>94050530/100000000</f>
        <v>0.94050529999999999</v>
      </c>
      <c r="F1861" s="645"/>
      <c r="G1861" s="645"/>
      <c r="H1861" s="645"/>
    </row>
    <row r="1862" spans="3:8">
      <c r="C1862" s="1512"/>
      <c r="D1862" s="647">
        <v>18</v>
      </c>
      <c r="E1862" s="643">
        <f>94050530/100000000</f>
        <v>0.94050529999999999</v>
      </c>
      <c r="F1862" s="645"/>
      <c r="G1862" s="645"/>
      <c r="H1862" s="645"/>
    </row>
    <row r="1863" spans="3:8" ht="28">
      <c r="C1863" s="646" t="s">
        <v>2980</v>
      </c>
      <c r="D1863" s="647">
        <v>21.88</v>
      </c>
      <c r="E1863" s="643">
        <f>94060000/100000000</f>
        <v>0.94059999999999999</v>
      </c>
      <c r="F1863" s="645"/>
      <c r="G1863" s="645"/>
      <c r="H1863" s="645"/>
    </row>
    <row r="1864" spans="3:8" ht="28">
      <c r="C1864" s="646" t="s">
        <v>2979</v>
      </c>
      <c r="D1864" s="647">
        <v>21</v>
      </c>
      <c r="E1864" s="643">
        <f>94500000/100000000</f>
        <v>0.94499999999999995</v>
      </c>
      <c r="F1864" s="645"/>
      <c r="G1864" s="645"/>
      <c r="H1864" s="645"/>
    </row>
    <row r="1865" spans="3:8" ht="28">
      <c r="C1865" s="646" t="s">
        <v>2978</v>
      </c>
      <c r="D1865" s="647">
        <v>22.8</v>
      </c>
      <c r="E1865" s="643">
        <f>94050570/100000000</f>
        <v>0.9405057</v>
      </c>
      <c r="F1865" s="645"/>
      <c r="G1865" s="645"/>
      <c r="H1865" s="645"/>
    </row>
    <row r="1866" spans="3:8">
      <c r="C1866" s="1512" t="s">
        <v>336</v>
      </c>
      <c r="D1866" s="647">
        <v>23.5</v>
      </c>
      <c r="E1866" s="643">
        <f>113500000/100000000</f>
        <v>1.135</v>
      </c>
      <c r="F1866" s="645"/>
      <c r="G1866" s="645"/>
      <c r="H1866" s="645"/>
    </row>
    <row r="1867" spans="3:8">
      <c r="C1867" s="1512"/>
      <c r="D1867" s="647">
        <v>20</v>
      </c>
      <c r="E1867" s="643">
        <f>138500000/100000000</f>
        <v>1.385</v>
      </c>
      <c r="F1867" s="645"/>
      <c r="G1867" s="645"/>
      <c r="H1867" s="645"/>
    </row>
    <row r="1868" spans="3:8">
      <c r="C1868" s="646" t="s">
        <v>131</v>
      </c>
      <c r="D1868" s="647">
        <v>20.51</v>
      </c>
      <c r="E1868" s="643">
        <f>258836200/100000000</f>
        <v>2.5883620000000001</v>
      </c>
      <c r="F1868" s="645"/>
      <c r="G1868" s="645"/>
      <c r="H1868" s="645"/>
    </row>
    <row r="1869" spans="3:8">
      <c r="C1869" s="1512" t="s">
        <v>128</v>
      </c>
      <c r="D1869" s="647">
        <v>24.01</v>
      </c>
      <c r="E1869" s="643">
        <f>94119200/100000000</f>
        <v>0.94119200000000003</v>
      </c>
      <c r="F1869" s="645"/>
      <c r="G1869" s="645"/>
      <c r="H1869" s="645"/>
    </row>
    <row r="1870" spans="3:8">
      <c r="C1870" s="1512"/>
      <c r="D1870" s="647">
        <v>23.01</v>
      </c>
      <c r="E1870" s="643">
        <f>188221800/100000000</f>
        <v>1.8822179999999999</v>
      </c>
      <c r="F1870" s="645"/>
      <c r="G1870" s="645"/>
      <c r="H1870" s="645"/>
    </row>
    <row r="1871" spans="3:8">
      <c r="C1871" s="646" t="s">
        <v>332</v>
      </c>
      <c r="D1871" s="647">
        <v>25.5</v>
      </c>
      <c r="E1871" s="643">
        <f>94095000/100000000</f>
        <v>0.94094999999999995</v>
      </c>
      <c r="F1871" s="645"/>
      <c r="G1871" s="643">
        <f>3810526/10000</f>
        <v>381.05259999999998</v>
      </c>
      <c r="H1871" s="643">
        <f>94119992.2/100000000</f>
        <v>0.94119992200000002</v>
      </c>
    </row>
    <row r="1872" spans="3:8">
      <c r="C1872" s="646" t="s">
        <v>115</v>
      </c>
      <c r="D1872" s="647">
        <v>28.65</v>
      </c>
      <c r="E1872" s="643">
        <f>319998955.2/100000000</f>
        <v>3.1999895519999999</v>
      </c>
      <c r="F1872" s="645"/>
      <c r="G1872" s="643">
        <f>12955423/10000</f>
        <v>1295.5423000000001</v>
      </c>
      <c r="H1872" s="643">
        <f>319998948.1/100000000</f>
        <v>3.1999894810000002</v>
      </c>
    </row>
    <row r="1873" spans="3:8">
      <c r="C1873" s="646" t="s">
        <v>300</v>
      </c>
      <c r="D1873" s="647">
        <v>24.7</v>
      </c>
      <c r="E1873" s="643">
        <f>94354000/100000000</f>
        <v>0.94354000000000005</v>
      </c>
      <c r="F1873" s="645"/>
      <c r="G1873" s="653">
        <v>212.92099999999999</v>
      </c>
      <c r="H1873" s="653">
        <v>0.52591487000000003</v>
      </c>
    </row>
    <row r="1874" spans="3:8">
      <c r="C1874" s="646" t="s">
        <v>2977</v>
      </c>
      <c r="D1874" s="647">
        <v>24.5</v>
      </c>
      <c r="E1874" s="643">
        <f>95000024/100000000</f>
        <v>0.95000024000000005</v>
      </c>
      <c r="F1874" s="645"/>
      <c r="G1874" s="643">
        <f>3846153/10000</f>
        <v>384.61529999999999</v>
      </c>
      <c r="H1874" s="643">
        <f>94999979.1/100000000</f>
        <v>0.94999979099999998</v>
      </c>
    </row>
    <row r="1875" spans="3:8">
      <c r="C1875" s="646" t="s">
        <v>1246</v>
      </c>
      <c r="D1875" s="647">
        <v>23.77</v>
      </c>
      <c r="E1875" s="643">
        <f>96030800/100000000</f>
        <v>0.96030800000000005</v>
      </c>
      <c r="F1875" s="645"/>
      <c r="G1875" s="645"/>
      <c r="H1875" s="645"/>
    </row>
    <row r="1876" spans="3:8">
      <c r="C1876" s="1512" t="s">
        <v>147</v>
      </c>
      <c r="D1876" s="647">
        <v>23.21</v>
      </c>
      <c r="E1876" s="643">
        <f>109755958.62/100000000</f>
        <v>1.0975595862</v>
      </c>
      <c r="F1876" s="645"/>
      <c r="G1876" s="645"/>
      <c r="H1876" s="645"/>
    </row>
    <row r="1877" spans="3:8">
      <c r="C1877" s="1512"/>
      <c r="D1877" s="647">
        <v>21.36</v>
      </c>
      <c r="E1877" s="643">
        <f>195058174.32/100000000</f>
        <v>1.9505817431999999</v>
      </c>
      <c r="F1877" s="645"/>
      <c r="G1877" s="645"/>
      <c r="H1877" s="645"/>
    </row>
    <row r="1878" spans="3:8">
      <c r="C1878" s="646" t="s">
        <v>2976</v>
      </c>
      <c r="D1878" s="647">
        <v>20.05</v>
      </c>
      <c r="E1878" s="643">
        <f>94054550/100000000</f>
        <v>0.94054550000000003</v>
      </c>
      <c r="F1878" s="645"/>
      <c r="G1878" s="645"/>
      <c r="H1878" s="645"/>
    </row>
    <row r="1879" spans="3:8" ht="28">
      <c r="C1879" s="646" t="s">
        <v>2975</v>
      </c>
      <c r="D1879" s="647">
        <v>27.52</v>
      </c>
      <c r="E1879" s="643">
        <f>99999974.4/100000000</f>
        <v>0.99999974400000002</v>
      </c>
      <c r="F1879" s="643"/>
      <c r="G1879" s="643">
        <f>7611334/10000</f>
        <v>761.13340000000005</v>
      </c>
      <c r="H1879" s="643">
        <f>187999949.8/100000000</f>
        <v>1.8799994980000001</v>
      </c>
    </row>
    <row r="1880" spans="3:8">
      <c r="C1880" s="679"/>
      <c r="D1880" s="647">
        <v>25.52</v>
      </c>
      <c r="E1880" s="643">
        <f>187999995.92/100000000</f>
        <v>1.8799999591999998</v>
      </c>
      <c r="F1880" s="643"/>
      <c r="G1880" s="645"/>
      <c r="H1880" s="645"/>
    </row>
    <row r="1881" spans="3:8">
      <c r="C1881" s="646" t="s">
        <v>2974</v>
      </c>
      <c r="D1881" s="647">
        <v>25</v>
      </c>
      <c r="E1881" s="643">
        <f>95000000/100000000</f>
        <v>0.95</v>
      </c>
      <c r="F1881" s="643"/>
      <c r="G1881" s="645"/>
      <c r="H1881" s="645"/>
    </row>
    <row r="1882" spans="3:8">
      <c r="C1882" s="646" t="s">
        <v>594</v>
      </c>
      <c r="D1882" s="647">
        <v>24.59</v>
      </c>
      <c r="E1882" s="643">
        <f>245900000/100000000</f>
        <v>2.4590000000000001</v>
      </c>
      <c r="F1882" s="643"/>
      <c r="G1882" s="645"/>
      <c r="H1882" s="645"/>
    </row>
    <row r="1883" spans="3:8">
      <c r="C1883" s="646" t="s">
        <v>146</v>
      </c>
      <c r="D1883" s="647">
        <v>28.69</v>
      </c>
      <c r="E1883" s="643">
        <f>94699894.62/100000000</f>
        <v>0.94699894620000002</v>
      </c>
      <c r="F1883" s="643"/>
      <c r="G1883" s="643">
        <f>3914977/10000</f>
        <v>391.49770000000001</v>
      </c>
      <c r="H1883" s="643">
        <f>96699931.9/100000000</f>
        <v>0.96699931900000002</v>
      </c>
    </row>
    <row r="1884" spans="3:8">
      <c r="C1884" s="646"/>
      <c r="D1884" s="647">
        <v>25.82</v>
      </c>
      <c r="E1884" s="643">
        <f>96699953.74/100000000</f>
        <v>0.9669995374</v>
      </c>
      <c r="F1884" s="643"/>
      <c r="G1884" s="645"/>
      <c r="H1884" s="645"/>
    </row>
    <row r="1885" spans="3:8">
      <c r="C1885" s="646" t="s">
        <v>1290</v>
      </c>
      <c r="D1885" s="647">
        <v>22</v>
      </c>
      <c r="E1885" s="643">
        <f>94160000/100000000</f>
        <v>0.94159999999999999</v>
      </c>
      <c r="F1885" s="643"/>
      <c r="G1885" s="645"/>
      <c r="H1885" s="645"/>
    </row>
    <row r="1886" spans="3:8">
      <c r="C1886" s="646"/>
      <c r="D1886" s="647">
        <v>19</v>
      </c>
      <c r="E1886" s="643">
        <f>94240000/100000000</f>
        <v>0.94240000000000002</v>
      </c>
      <c r="F1886" s="643"/>
      <c r="G1886" s="645"/>
      <c r="H1886" s="645"/>
    </row>
    <row r="1887" spans="3:8">
      <c r="C1887" s="646" t="s">
        <v>278</v>
      </c>
      <c r="D1887" s="647">
        <v>24.1</v>
      </c>
      <c r="E1887" s="643">
        <f>94999958.7/100000000</f>
        <v>0.94999958699999998</v>
      </c>
      <c r="F1887" s="643"/>
      <c r="G1887" s="645"/>
      <c r="H1887" s="645"/>
    </row>
    <row r="1888" spans="3:8">
      <c r="C1888" s="646" t="s">
        <v>321</v>
      </c>
      <c r="D1888" s="647">
        <v>26</v>
      </c>
      <c r="E1888" s="643">
        <f>94120000/100000000</f>
        <v>0.94120000000000004</v>
      </c>
      <c r="F1888" s="643"/>
      <c r="G1888" s="643">
        <f>3810526/10000</f>
        <v>381.05259999999998</v>
      </c>
      <c r="H1888" s="643">
        <f>94119992.2/100000000</f>
        <v>0.94119992200000002</v>
      </c>
    </row>
    <row r="1889" spans="1:56">
      <c r="C1889" s="707"/>
      <c r="D1889" s="779"/>
      <c r="E1889" s="687"/>
    </row>
    <row r="1890" spans="1:56" s="663" customFormat="1">
      <c r="A1890" s="663" t="s">
        <v>2861</v>
      </c>
      <c r="B1890" s="665" t="s">
        <v>2036</v>
      </c>
      <c r="C1890" s="667" t="s">
        <v>126</v>
      </c>
      <c r="D1890" s="667" t="s">
        <v>1583</v>
      </c>
      <c r="E1890" s="667" t="s">
        <v>4</v>
      </c>
      <c r="F1890" s="667" t="s">
        <v>2860</v>
      </c>
      <c r="G1890" s="667" t="s">
        <v>2859</v>
      </c>
      <c r="H1890" s="667" t="s">
        <v>2858</v>
      </c>
      <c r="I1890" s="667" t="s">
        <v>751</v>
      </c>
      <c r="J1890" s="665" t="s">
        <v>274</v>
      </c>
      <c r="K1890" s="665" t="s">
        <v>273</v>
      </c>
      <c r="L1890" s="665" t="s">
        <v>116</v>
      </c>
      <c r="M1890" s="665" t="s">
        <v>110</v>
      </c>
      <c r="N1890" s="665" t="s">
        <v>276</v>
      </c>
      <c r="O1890" s="667" t="s">
        <v>1311</v>
      </c>
      <c r="P1890" s="665" t="s">
        <v>275</v>
      </c>
      <c r="Q1890" s="665" t="s">
        <v>111</v>
      </c>
      <c r="R1890" s="665" t="s">
        <v>2857</v>
      </c>
      <c r="S1890" s="665" t="s">
        <v>747</v>
      </c>
      <c r="T1890" s="667" t="s">
        <v>12</v>
      </c>
      <c r="U1890" s="666" t="s">
        <v>948</v>
      </c>
      <c r="V1890" s="665" t="s">
        <v>129</v>
      </c>
      <c r="W1890" s="665" t="s">
        <v>220</v>
      </c>
      <c r="X1890" s="665" t="s">
        <v>749</v>
      </c>
      <c r="Y1890" s="665" t="s">
        <v>750</v>
      </c>
      <c r="Z1890" s="665" t="s">
        <v>748</v>
      </c>
      <c r="AA1890" s="665"/>
      <c r="AB1890" s="665"/>
      <c r="BB1890" s="664"/>
      <c r="BD1890" s="664"/>
    </row>
    <row r="1891" spans="1:56">
      <c r="A1891" s="642" t="s">
        <v>2078</v>
      </c>
      <c r="B1891" s="1436">
        <v>142</v>
      </c>
      <c r="C1891" s="1437" t="s">
        <v>2405</v>
      </c>
      <c r="D1891" s="662" t="s">
        <v>2404</v>
      </c>
      <c r="E1891" s="662" t="s">
        <v>2403</v>
      </c>
      <c r="F1891" s="661">
        <v>20</v>
      </c>
      <c r="G1891" s="660">
        <v>20</v>
      </c>
      <c r="H1891" s="659">
        <f>L1891*R1891</f>
        <v>131.2202667148</v>
      </c>
      <c r="I1891" s="656">
        <f>F1891/H1891</f>
        <v>0.152415480479619</v>
      </c>
      <c r="J1891" s="658" t="s">
        <v>2948</v>
      </c>
      <c r="K1891" s="645" t="s">
        <v>2125</v>
      </c>
      <c r="L1891" s="645">
        <v>54.28</v>
      </c>
      <c r="M1891" s="658">
        <v>46.79</v>
      </c>
      <c r="N1891" s="653">
        <f>M1891/L1891</f>
        <v>0.86201179071481204</v>
      </c>
      <c r="O1891" s="656">
        <v>46.8</v>
      </c>
      <c r="P1891" s="653">
        <f>O1891/L1891</f>
        <v>0.86219602063375089</v>
      </c>
      <c r="Q1891" s="645">
        <v>5</v>
      </c>
      <c r="R1891" s="653">
        <v>2.4174699099999999</v>
      </c>
      <c r="S1891" s="645" t="s">
        <v>2402</v>
      </c>
      <c r="T1891" s="654">
        <v>42991</v>
      </c>
      <c r="U1891" s="645">
        <v>14.38</v>
      </c>
      <c r="V1891" s="653">
        <f>((U1891*(1+X1891/10)+Y1891/10)/O1891)</f>
        <v>0.76938538179487193</v>
      </c>
      <c r="W1891" s="645" t="s">
        <v>2401</v>
      </c>
      <c r="X1891" s="645">
        <v>15.011986</v>
      </c>
      <c r="Y1891" s="645">
        <v>0.4</v>
      </c>
      <c r="Z1891" s="652" t="s">
        <v>2135</v>
      </c>
      <c r="AA1891" s="645"/>
      <c r="AB1891" s="645"/>
      <c r="BB1891" s="651"/>
      <c r="BD1891" s="650"/>
    </row>
    <row r="1892" spans="1:56">
      <c r="C1892" s="648" t="s">
        <v>112</v>
      </c>
      <c r="D1892" s="648" t="s">
        <v>113</v>
      </c>
      <c r="E1892" s="648" t="s">
        <v>943</v>
      </c>
      <c r="F1892" s="649" t="s">
        <v>411</v>
      </c>
      <c r="G1892" s="649" t="s">
        <v>942</v>
      </c>
      <c r="H1892" s="648" t="s">
        <v>231</v>
      </c>
    </row>
    <row r="1893" spans="1:56">
      <c r="C1893" s="646" t="s">
        <v>115</v>
      </c>
      <c r="D1893" s="1564"/>
      <c r="E1893" s="1565"/>
      <c r="F1893" s="645"/>
      <c r="G1893" s="644">
        <f>11648912/10000</f>
        <v>1164.8912</v>
      </c>
      <c r="H1893" s="643">
        <f>545169081.6/100000000</f>
        <v>5.4516908160000002</v>
      </c>
    </row>
    <row r="1894" spans="1:56">
      <c r="C1894" s="646" t="s">
        <v>228</v>
      </c>
      <c r="D1894" s="1553"/>
      <c r="E1894" s="1554"/>
      <c r="F1894" s="645"/>
      <c r="G1894" s="644">
        <f>8677884/10000</f>
        <v>867.78840000000002</v>
      </c>
      <c r="H1894" s="643">
        <f>406124971.2/100000000</f>
        <v>4.0612497119999995</v>
      </c>
    </row>
    <row r="1895" spans="1:56">
      <c r="C1895" s="646" t="s">
        <v>128</v>
      </c>
      <c r="D1895" s="1553"/>
      <c r="E1895" s="1554"/>
      <c r="F1895" s="645"/>
      <c r="G1895" s="644">
        <f>8550004/10000</f>
        <v>855.00040000000001</v>
      </c>
      <c r="H1895" s="643">
        <f>400140187.2/100000000</f>
        <v>4.0014018719999997</v>
      </c>
    </row>
    <row r="1896" spans="1:56">
      <c r="C1896" s="646" t="s">
        <v>332</v>
      </c>
      <c r="D1896" s="1553"/>
      <c r="E1896" s="1554"/>
      <c r="F1896" s="645"/>
      <c r="G1896" s="644">
        <f>8564615/10000</f>
        <v>856.4615</v>
      </c>
      <c r="H1896" s="643">
        <f>400823982/100000000</f>
        <v>4.00823982</v>
      </c>
    </row>
    <row r="1897" spans="1:56">
      <c r="C1897" s="646" t="s">
        <v>363</v>
      </c>
      <c r="D1897" s="1566"/>
      <c r="E1897" s="1567"/>
      <c r="F1897" s="645"/>
      <c r="G1897" s="644">
        <f>5293627/10000</f>
        <v>529.36270000000002</v>
      </c>
      <c r="H1897" s="643">
        <f>247741743.6/100000000</f>
        <v>2.4774174360000001</v>
      </c>
    </row>
    <row r="1898" spans="1:56">
      <c r="C1898" s="707"/>
      <c r="D1898" s="779"/>
      <c r="E1898" s="687"/>
    </row>
    <row r="1899" spans="1:56" s="663" customFormat="1">
      <c r="A1899" s="663" t="s">
        <v>2861</v>
      </c>
      <c r="B1899" s="665" t="s">
        <v>2036</v>
      </c>
      <c r="C1899" s="667" t="s">
        <v>126</v>
      </c>
      <c r="D1899" s="667" t="s">
        <v>1583</v>
      </c>
      <c r="E1899" s="667" t="s">
        <v>4</v>
      </c>
      <c r="F1899" s="667" t="s">
        <v>2860</v>
      </c>
      <c r="G1899" s="667" t="s">
        <v>2859</v>
      </c>
      <c r="H1899" s="667" t="s">
        <v>2858</v>
      </c>
      <c r="I1899" s="667" t="s">
        <v>751</v>
      </c>
      <c r="J1899" s="665" t="s">
        <v>274</v>
      </c>
      <c r="K1899" s="665" t="s">
        <v>273</v>
      </c>
      <c r="L1899" s="665" t="s">
        <v>116</v>
      </c>
      <c r="M1899" s="665" t="s">
        <v>110</v>
      </c>
      <c r="N1899" s="665" t="s">
        <v>276</v>
      </c>
      <c r="O1899" s="667" t="s">
        <v>1311</v>
      </c>
      <c r="P1899" s="665" t="s">
        <v>275</v>
      </c>
      <c r="Q1899" s="665" t="s">
        <v>111</v>
      </c>
      <c r="R1899" s="665" t="s">
        <v>2857</v>
      </c>
      <c r="S1899" s="665" t="s">
        <v>747</v>
      </c>
      <c r="T1899" s="667" t="s">
        <v>12</v>
      </c>
      <c r="U1899" s="666" t="s">
        <v>948</v>
      </c>
      <c r="V1899" s="665" t="s">
        <v>129</v>
      </c>
      <c r="W1899" s="665" t="s">
        <v>220</v>
      </c>
      <c r="X1899" s="665" t="s">
        <v>749</v>
      </c>
      <c r="Y1899" s="665" t="s">
        <v>750</v>
      </c>
      <c r="Z1899" s="665" t="s">
        <v>748</v>
      </c>
      <c r="BB1899" s="664"/>
      <c r="BD1899" s="664"/>
    </row>
    <row r="1900" spans="1:56">
      <c r="A1900" s="642" t="s">
        <v>2078</v>
      </c>
      <c r="B1900" s="1436">
        <v>143</v>
      </c>
      <c r="C1900" s="1437" t="s">
        <v>2400</v>
      </c>
      <c r="D1900" s="662" t="s">
        <v>2399</v>
      </c>
      <c r="E1900" s="662" t="s">
        <v>2398</v>
      </c>
      <c r="F1900" s="661">
        <v>27.6</v>
      </c>
      <c r="G1900" s="660">
        <v>27.6</v>
      </c>
      <c r="H1900" s="659">
        <f>L1900*R1900</f>
        <v>162.96177849780003</v>
      </c>
      <c r="I1900" s="656">
        <f>F1900/H1900</f>
        <v>0.16936486735981837</v>
      </c>
      <c r="J1900" s="658" t="s">
        <v>2943</v>
      </c>
      <c r="K1900" s="645" t="s">
        <v>2397</v>
      </c>
      <c r="L1900" s="645">
        <v>9.2100000000000009</v>
      </c>
      <c r="M1900" s="658">
        <v>7.3</v>
      </c>
      <c r="N1900" s="653">
        <f>M1900/L1900</f>
        <v>0.79261672095548308</v>
      </c>
      <c r="O1900" s="656">
        <v>7.32</v>
      </c>
      <c r="P1900" s="653">
        <f>O1900/L1900</f>
        <v>0.79478827361563509</v>
      </c>
      <c r="Q1900" s="645">
        <v>6</v>
      </c>
      <c r="R1900" s="653">
        <v>17.69400418</v>
      </c>
      <c r="S1900" s="645" t="s">
        <v>2396</v>
      </c>
      <c r="T1900" s="654">
        <v>42962</v>
      </c>
      <c r="U1900" s="645">
        <v>15.54</v>
      </c>
      <c r="V1900" s="653">
        <f>((U1900*(1+X1900/10)+Y1900/10)/O1900)</f>
        <v>2.1352459016393439</v>
      </c>
      <c r="W1900" s="645" t="s">
        <v>2363</v>
      </c>
      <c r="X1900" s="645">
        <v>0</v>
      </c>
      <c r="Y1900" s="645">
        <v>0.89999999999999991</v>
      </c>
      <c r="Z1900" s="652" t="s">
        <v>2116</v>
      </c>
      <c r="BB1900" s="651"/>
      <c r="BD1900" s="650"/>
    </row>
    <row r="1901" spans="1:56">
      <c r="C1901" s="648" t="s">
        <v>112</v>
      </c>
      <c r="D1901" s="648" t="s">
        <v>113</v>
      </c>
      <c r="E1901" s="648" t="s">
        <v>943</v>
      </c>
      <c r="F1901" s="649" t="s">
        <v>411</v>
      </c>
      <c r="G1901" s="649" t="s">
        <v>942</v>
      </c>
      <c r="H1901" s="648" t="s">
        <v>231</v>
      </c>
    </row>
    <row r="1902" spans="1:56">
      <c r="C1902" s="1512" t="s">
        <v>115</v>
      </c>
      <c r="D1902" s="647">
        <v>7.95</v>
      </c>
      <c r="E1902" s="643">
        <f>592999729.95/100000000</f>
        <v>5.9299972995000001</v>
      </c>
      <c r="F1902" s="645"/>
      <c r="G1902" s="644">
        <f>123633824/10000</f>
        <v>12363.3824</v>
      </c>
      <c r="H1902" s="653">
        <f>G1902*$O$1900/10000</f>
        <v>9.0499959168000004</v>
      </c>
    </row>
    <row r="1903" spans="1:56">
      <c r="C1903" s="1512"/>
      <c r="D1903" s="647">
        <v>7.55</v>
      </c>
      <c r="E1903" s="643">
        <f>880999481.15/100000000</f>
        <v>8.8099948114999993</v>
      </c>
      <c r="F1903" s="645"/>
      <c r="G1903" s="645"/>
      <c r="H1903" s="653"/>
    </row>
    <row r="1904" spans="1:56">
      <c r="C1904" s="1512"/>
      <c r="D1904" s="647">
        <v>7.46</v>
      </c>
      <c r="E1904" s="643">
        <f>904999597.74/100000000</f>
        <v>9.0499959774000001</v>
      </c>
      <c r="F1904" s="645"/>
      <c r="G1904" s="645"/>
      <c r="H1904" s="653"/>
    </row>
    <row r="1905" spans="1:56" ht="28">
      <c r="C1905" s="673" t="s">
        <v>3422</v>
      </c>
      <c r="D1905" s="647">
        <v>7.33</v>
      </c>
      <c r="E1905" s="643">
        <f>499999999.92/100000000</f>
        <v>4.9999999991999999</v>
      </c>
      <c r="F1905" s="645"/>
      <c r="G1905" s="644">
        <f>68306010/10000</f>
        <v>6830.6009999999997</v>
      </c>
      <c r="H1905" s="653">
        <f>G1905*$O$1900/10000</f>
        <v>4.9999999320000006</v>
      </c>
      <c r="J1905" s="699"/>
    </row>
    <row r="1906" spans="1:56" ht="28">
      <c r="C1906" s="673" t="s">
        <v>3421</v>
      </c>
      <c r="D1906" s="647">
        <v>7.57</v>
      </c>
      <c r="E1906" s="643">
        <f>401210000/100000000</f>
        <v>4.0121000000000002</v>
      </c>
      <c r="F1906" s="645"/>
      <c r="G1906" s="644">
        <f>54810109/10000</f>
        <v>5481.0109000000002</v>
      </c>
      <c r="H1906" s="653">
        <f>G1906*$O$1900/10000</f>
        <v>4.0120999788000002</v>
      </c>
    </row>
    <row r="1907" spans="1:56" ht="28">
      <c r="C1907" s="673" t="s">
        <v>3420</v>
      </c>
      <c r="D1907" s="647">
        <v>7.33</v>
      </c>
      <c r="E1907" s="643">
        <f>400000005.8/100000000</f>
        <v>4.0000000580000004</v>
      </c>
      <c r="F1907" s="645"/>
      <c r="G1907" s="644">
        <f>54644809/10000</f>
        <v>5464.4808999999996</v>
      </c>
      <c r="H1907" s="653">
        <f>G1907*$O$1900/10000</f>
        <v>4.0000000187999998</v>
      </c>
    </row>
    <row r="1908" spans="1:56">
      <c r="C1908" s="1512" t="s">
        <v>3419</v>
      </c>
      <c r="D1908" s="647">
        <v>7.32</v>
      </c>
      <c r="E1908" s="643">
        <f>782999999.16/100000000</f>
        <v>7.8299999915999994</v>
      </c>
      <c r="F1908" s="645"/>
      <c r="G1908" s="644">
        <f>37846209/10000</f>
        <v>3784.6208999999999</v>
      </c>
      <c r="H1908" s="653">
        <f>G1908*$O$1900/10000</f>
        <v>2.7703424987999998</v>
      </c>
    </row>
    <row r="1909" spans="1:56">
      <c r="C1909" s="1512"/>
      <c r="D1909" s="647">
        <v>7.31</v>
      </c>
      <c r="E1909" s="643">
        <f>789999996.85/100000000</f>
        <v>7.8999999685000004</v>
      </c>
      <c r="F1909" s="645"/>
      <c r="G1909" s="645"/>
      <c r="H1909" s="653"/>
    </row>
    <row r="1910" spans="1:56">
      <c r="C1910" s="1512"/>
      <c r="D1910" s="647">
        <v>7.3</v>
      </c>
      <c r="E1910" s="643">
        <f>799999999.3/100000000</f>
        <v>7.9999999929999994</v>
      </c>
      <c r="F1910" s="645"/>
      <c r="G1910" s="645"/>
      <c r="H1910" s="653"/>
    </row>
    <row r="1911" spans="1:56">
      <c r="C1911" s="645" t="s">
        <v>2973</v>
      </c>
      <c r="D1911" s="647"/>
      <c r="E1911" s="643"/>
      <c r="F1911" s="645"/>
      <c r="G1911" s="819">
        <v>3780.8218999999999</v>
      </c>
      <c r="H1911" s="653">
        <f>G1911*$O$1900/10000</f>
        <v>2.7675616307999999</v>
      </c>
    </row>
    <row r="1913" spans="1:56" s="663" customFormat="1">
      <c r="A1913" s="663" t="s">
        <v>2861</v>
      </c>
      <c r="B1913" s="665" t="s">
        <v>2036</v>
      </c>
      <c r="C1913" s="667" t="s">
        <v>126</v>
      </c>
      <c r="D1913" s="667" t="s">
        <v>1583</v>
      </c>
      <c r="E1913" s="667" t="s">
        <v>4</v>
      </c>
      <c r="F1913" s="667" t="s">
        <v>2860</v>
      </c>
      <c r="G1913" s="667" t="s">
        <v>2859</v>
      </c>
      <c r="H1913" s="667" t="s">
        <v>2858</v>
      </c>
      <c r="I1913" s="667" t="s">
        <v>751</v>
      </c>
      <c r="J1913" s="665" t="s">
        <v>274</v>
      </c>
      <c r="K1913" s="665" t="s">
        <v>273</v>
      </c>
      <c r="L1913" s="665" t="s">
        <v>116</v>
      </c>
      <c r="M1913" s="665" t="s">
        <v>110</v>
      </c>
      <c r="N1913" s="665" t="s">
        <v>276</v>
      </c>
      <c r="O1913" s="667" t="s">
        <v>1311</v>
      </c>
      <c r="P1913" s="665" t="s">
        <v>275</v>
      </c>
      <c r="Q1913" s="665" t="s">
        <v>111</v>
      </c>
      <c r="R1913" s="665" t="s">
        <v>2857</v>
      </c>
      <c r="S1913" s="665" t="s">
        <v>747</v>
      </c>
      <c r="T1913" s="667" t="s">
        <v>12</v>
      </c>
      <c r="U1913" s="666" t="s">
        <v>948</v>
      </c>
      <c r="V1913" s="665" t="s">
        <v>129</v>
      </c>
      <c r="W1913" s="665" t="s">
        <v>220</v>
      </c>
      <c r="X1913" s="665" t="s">
        <v>749</v>
      </c>
      <c r="Y1913" s="665" t="s">
        <v>750</v>
      </c>
      <c r="Z1913" s="665" t="s">
        <v>748</v>
      </c>
      <c r="BB1913" s="664"/>
      <c r="BD1913" s="664"/>
    </row>
    <row r="1914" spans="1:56">
      <c r="A1914" s="642" t="s">
        <v>2078</v>
      </c>
      <c r="B1914" s="1436">
        <v>144</v>
      </c>
      <c r="C1914" s="1471" t="s">
        <v>2395</v>
      </c>
      <c r="D1914" s="722" t="s">
        <v>2394</v>
      </c>
      <c r="E1914" s="722" t="s">
        <v>2393</v>
      </c>
      <c r="F1914" s="721">
        <v>45</v>
      </c>
      <c r="G1914" s="656">
        <v>45.67</v>
      </c>
      <c r="H1914" s="656">
        <f>L1914*R1914</f>
        <v>171.7835566654</v>
      </c>
      <c r="I1914" s="656">
        <f>F1914/H1914</f>
        <v>0.26195755212852528</v>
      </c>
      <c r="J1914" s="658" t="s">
        <v>2972</v>
      </c>
      <c r="K1914" s="645" t="s">
        <v>2240</v>
      </c>
      <c r="L1914" s="645">
        <v>11.74</v>
      </c>
      <c r="M1914" s="658">
        <v>10.62</v>
      </c>
      <c r="N1914" s="653">
        <f>M1914/L1914</f>
        <v>0.90459965928449737</v>
      </c>
      <c r="O1914" s="656">
        <v>10.62</v>
      </c>
      <c r="P1914" s="653">
        <f>O1914/L1914</f>
        <v>0.90459965928449737</v>
      </c>
      <c r="Q1914" s="645">
        <v>9</v>
      </c>
      <c r="R1914" s="653">
        <v>14.632330209999999</v>
      </c>
      <c r="S1914" s="645" t="s">
        <v>2392</v>
      </c>
      <c r="T1914" s="654">
        <v>42962</v>
      </c>
      <c r="U1914" s="645">
        <v>9.6199999999999992</v>
      </c>
      <c r="V1914" s="653">
        <f>((U1914*(1+X1914/10)+Y1914/10)/O1914)</f>
        <v>0.92372881355932202</v>
      </c>
      <c r="W1914" s="645" t="s">
        <v>2391</v>
      </c>
      <c r="X1914" s="645">
        <v>0</v>
      </c>
      <c r="Y1914" s="645">
        <v>1.9</v>
      </c>
      <c r="Z1914" s="652" t="s">
        <v>2374</v>
      </c>
      <c r="BB1914" s="651"/>
      <c r="BD1914" s="650"/>
    </row>
    <row r="1915" spans="1:56">
      <c r="C1915" s="648" t="s">
        <v>112</v>
      </c>
      <c r="D1915" s="648" t="s">
        <v>113</v>
      </c>
      <c r="E1915" s="648" t="s">
        <v>943</v>
      </c>
      <c r="F1915" s="649" t="s">
        <v>411</v>
      </c>
      <c r="G1915" s="649" t="s">
        <v>942</v>
      </c>
      <c r="H1915" s="746" t="s">
        <v>231</v>
      </c>
    </row>
    <row r="1916" spans="1:56">
      <c r="C1916" s="646" t="s">
        <v>316</v>
      </c>
      <c r="D1916" s="647">
        <v>10.86</v>
      </c>
      <c r="E1916" s="647">
        <v>5.34</v>
      </c>
      <c r="F1916" s="647"/>
      <c r="G1916" s="816">
        <f>5122.4105</f>
        <v>5122.4105</v>
      </c>
      <c r="H1916" s="815">
        <v>5.4399999509999999</v>
      </c>
      <c r="I1916" s="814"/>
      <c r="K1916" s="718"/>
    </row>
    <row r="1917" spans="1:56">
      <c r="C1917" s="646"/>
      <c r="D1917" s="647">
        <v>10.7</v>
      </c>
      <c r="E1917" s="647">
        <v>5.44</v>
      </c>
      <c r="F1917" s="647"/>
      <c r="G1917" s="818"/>
      <c r="H1917" s="817"/>
      <c r="I1917" s="814"/>
      <c r="K1917" s="718"/>
    </row>
    <row r="1918" spans="1:56">
      <c r="C1918" s="646" t="s">
        <v>125</v>
      </c>
      <c r="D1918" s="647">
        <v>11.01</v>
      </c>
      <c r="E1918" s="647">
        <v>4.58</v>
      </c>
      <c r="F1918" s="647"/>
      <c r="G1918" s="816">
        <f>4312.6177</f>
        <v>4312.6176999999998</v>
      </c>
      <c r="H1918" s="815">
        <v>4.5799999973999999</v>
      </c>
      <c r="I1918" s="814"/>
      <c r="K1918" s="718"/>
    </row>
    <row r="1919" spans="1:56">
      <c r="C1919" s="646" t="s">
        <v>119</v>
      </c>
      <c r="D1919" s="647">
        <v>10.62</v>
      </c>
      <c r="E1919" s="647">
        <v>4.58</v>
      </c>
      <c r="F1919" s="647"/>
      <c r="G1919" s="816">
        <f>4312.6177</f>
        <v>4312.6176999999998</v>
      </c>
      <c r="H1919" s="815">
        <v>4.5799999973999999</v>
      </c>
      <c r="I1919" s="814"/>
      <c r="K1919" s="718"/>
    </row>
    <row r="1920" spans="1:56">
      <c r="C1920" s="646" t="s">
        <v>121</v>
      </c>
      <c r="D1920" s="647">
        <v>11.36</v>
      </c>
      <c r="E1920" s="647">
        <v>4.58</v>
      </c>
      <c r="F1920" s="647"/>
      <c r="G1920" s="816">
        <f>4312.6177</f>
        <v>4312.6176999999998</v>
      </c>
      <c r="H1920" s="815">
        <v>4.5799999973999999</v>
      </c>
      <c r="I1920" s="814"/>
      <c r="K1920" s="718"/>
    </row>
    <row r="1921" spans="1:56">
      <c r="C1921" s="646" t="s">
        <v>351</v>
      </c>
      <c r="D1921" s="647">
        <v>10.7</v>
      </c>
      <c r="E1921" s="647">
        <v>4.58</v>
      </c>
      <c r="F1921" s="647"/>
      <c r="G1921" s="816">
        <f>4312.6177</f>
        <v>4312.6176999999998</v>
      </c>
      <c r="H1921" s="815">
        <v>4.5799999973999999</v>
      </c>
      <c r="I1921" s="814"/>
      <c r="K1921" s="718"/>
    </row>
    <row r="1922" spans="1:56">
      <c r="C1922" s="646" t="s">
        <v>285</v>
      </c>
      <c r="D1922" s="647">
        <v>10.62</v>
      </c>
      <c r="E1922" s="647">
        <v>5</v>
      </c>
      <c r="F1922" s="647"/>
      <c r="G1922" s="816">
        <f>4708.0979</f>
        <v>4708.0978999999998</v>
      </c>
      <c r="H1922" s="815">
        <v>4.9999999698000002</v>
      </c>
      <c r="I1922" s="814"/>
      <c r="K1922" s="718"/>
    </row>
    <row r="1923" spans="1:56">
      <c r="C1923" s="646" t="s">
        <v>282</v>
      </c>
      <c r="D1923" s="647">
        <v>10.65</v>
      </c>
      <c r="E1923" s="647">
        <v>9</v>
      </c>
      <c r="F1923" s="647"/>
      <c r="G1923" s="816">
        <f>8474.5762</f>
        <v>8474.5761999999995</v>
      </c>
      <c r="H1923" s="815">
        <v>8.9999999244000009</v>
      </c>
      <c r="I1923" s="814"/>
      <c r="K1923" s="718"/>
    </row>
    <row r="1924" spans="1:56">
      <c r="C1924" s="646" t="s">
        <v>115</v>
      </c>
      <c r="D1924" s="647">
        <v>10.66</v>
      </c>
      <c r="E1924" s="647">
        <v>5.35</v>
      </c>
      <c r="F1924" s="647"/>
      <c r="G1924" s="816">
        <f>5037.6647</f>
        <v>5037.6647000000003</v>
      </c>
      <c r="H1924" s="815">
        <v>5.3499999113999994</v>
      </c>
      <c r="I1924" s="814"/>
      <c r="K1924" s="718"/>
    </row>
    <row r="1925" spans="1:56">
      <c r="C1925" s="646" t="s">
        <v>3418</v>
      </c>
      <c r="D1925" s="647">
        <v>10.62</v>
      </c>
      <c r="E1925" s="647">
        <v>4.58</v>
      </c>
      <c r="F1925" s="647"/>
      <c r="G1925" s="816">
        <f>2414.6895</f>
        <v>2414.6895</v>
      </c>
      <c r="H1925" s="815">
        <v>2.5644002489999997</v>
      </c>
      <c r="I1925" s="814"/>
    </row>
    <row r="1927" spans="1:56" s="663" customFormat="1">
      <c r="A1927" s="663" t="s">
        <v>2861</v>
      </c>
      <c r="B1927" s="665" t="s">
        <v>2036</v>
      </c>
      <c r="C1927" s="667" t="s">
        <v>126</v>
      </c>
      <c r="D1927" s="667" t="s">
        <v>1583</v>
      </c>
      <c r="E1927" s="667" t="s">
        <v>4</v>
      </c>
      <c r="F1927" s="667" t="s">
        <v>2860</v>
      </c>
      <c r="G1927" s="667" t="s">
        <v>2859</v>
      </c>
      <c r="H1927" s="667" t="s">
        <v>2858</v>
      </c>
      <c r="I1927" s="667" t="s">
        <v>751</v>
      </c>
      <c r="J1927" s="665" t="s">
        <v>274</v>
      </c>
      <c r="K1927" s="665" t="s">
        <v>273</v>
      </c>
      <c r="L1927" s="665" t="s">
        <v>116</v>
      </c>
      <c r="M1927" s="665" t="s">
        <v>110</v>
      </c>
      <c r="N1927" s="665" t="s">
        <v>276</v>
      </c>
      <c r="O1927" s="667" t="s">
        <v>1311</v>
      </c>
      <c r="P1927" s="665" t="s">
        <v>275</v>
      </c>
      <c r="Q1927" s="665" t="s">
        <v>111</v>
      </c>
      <c r="R1927" s="665" t="s">
        <v>2857</v>
      </c>
      <c r="S1927" s="665" t="s">
        <v>747</v>
      </c>
      <c r="T1927" s="667" t="s">
        <v>12</v>
      </c>
      <c r="U1927" s="666" t="s">
        <v>948</v>
      </c>
      <c r="V1927" s="665" t="s">
        <v>129</v>
      </c>
      <c r="W1927" s="665" t="s">
        <v>220</v>
      </c>
      <c r="X1927" s="665" t="s">
        <v>749</v>
      </c>
      <c r="Y1927" s="665" t="s">
        <v>750</v>
      </c>
      <c r="Z1927" s="665" t="s">
        <v>748</v>
      </c>
      <c r="BB1927" s="664"/>
      <c r="BD1927" s="664"/>
    </row>
    <row r="1928" spans="1:56">
      <c r="A1928" s="642" t="s">
        <v>2078</v>
      </c>
      <c r="B1928" s="1436">
        <v>145</v>
      </c>
      <c r="C1928" s="1437" t="s">
        <v>2390</v>
      </c>
      <c r="D1928" s="662" t="s">
        <v>2389</v>
      </c>
      <c r="E1928" s="662" t="s">
        <v>2388</v>
      </c>
      <c r="F1928" s="661">
        <v>0.34</v>
      </c>
      <c r="G1928" s="660">
        <v>0.34</v>
      </c>
      <c r="H1928" s="659">
        <f>L1928*R1928</f>
        <v>45.093269286999998</v>
      </c>
      <c r="I1928" s="656">
        <f>F1928/H1928</f>
        <v>7.5399279177573207E-3</v>
      </c>
      <c r="J1928" s="658" t="s">
        <v>2971</v>
      </c>
      <c r="K1928" s="645" t="s">
        <v>2207</v>
      </c>
      <c r="L1928" s="645">
        <v>15.07</v>
      </c>
      <c r="M1928" s="645">
        <v>13.1</v>
      </c>
      <c r="N1928" s="657">
        <f>M1928/L1928</f>
        <v>0.86927670869276707</v>
      </c>
      <c r="O1928" s="656">
        <v>13.6</v>
      </c>
      <c r="P1928" s="653">
        <f>O1928/L1928</f>
        <v>0.90245520902455201</v>
      </c>
      <c r="Q1928" s="645">
        <v>5</v>
      </c>
      <c r="R1928" s="653">
        <v>2.9922540999999998</v>
      </c>
      <c r="S1928" s="645" t="s">
        <v>2387</v>
      </c>
      <c r="T1928" s="654">
        <v>42964</v>
      </c>
      <c r="U1928" s="645">
        <v>14.76</v>
      </c>
      <c r="V1928" s="653">
        <f>((U1928*(1+X1928/10)+Y1928/10)/O1928)</f>
        <v>1.0852941176470587</v>
      </c>
      <c r="W1928" s="645" t="s">
        <v>223</v>
      </c>
      <c r="X1928" s="645">
        <v>0</v>
      </c>
      <c r="Y1928" s="645">
        <v>0</v>
      </c>
      <c r="Z1928" s="652" t="s">
        <v>2386</v>
      </c>
      <c r="BB1928" s="651"/>
      <c r="BD1928" s="650"/>
    </row>
    <row r="1929" spans="1:56">
      <c r="C1929" s="648" t="s">
        <v>112</v>
      </c>
      <c r="D1929" s="648" t="s">
        <v>113</v>
      </c>
      <c r="E1929" s="648" t="s">
        <v>943</v>
      </c>
      <c r="F1929" s="649" t="s">
        <v>411</v>
      </c>
      <c r="G1929" s="649" t="s">
        <v>942</v>
      </c>
      <c r="H1929" s="648" t="s">
        <v>231</v>
      </c>
    </row>
    <row r="1930" spans="1:56" ht="28">
      <c r="C1930" s="673" t="s">
        <v>3417</v>
      </c>
      <c r="D1930" s="647">
        <v>15.53</v>
      </c>
      <c r="E1930" s="647">
        <v>7.0000000000000007E-2</v>
      </c>
      <c r="F1930" s="645"/>
      <c r="G1930" s="644">
        <f>514705/10000</f>
        <v>51.470500000000001</v>
      </c>
      <c r="H1930" s="643">
        <f>6999988/100000000</f>
        <v>6.999988E-2</v>
      </c>
    </row>
    <row r="1931" spans="1:56" ht="28">
      <c r="C1931" s="673" t="s">
        <v>3416</v>
      </c>
      <c r="D1931" s="647">
        <v>14.57</v>
      </c>
      <c r="E1931" s="647">
        <v>7.0000000000000007E-2</v>
      </c>
      <c r="F1931" s="645"/>
      <c r="G1931" s="644">
        <f>514705/10000</f>
        <v>51.470500000000001</v>
      </c>
      <c r="H1931" s="643">
        <f>6999988/100000000</f>
        <v>6.999988E-2</v>
      </c>
    </row>
    <row r="1932" spans="1:56" ht="28">
      <c r="C1932" s="673" t="s">
        <v>3415</v>
      </c>
      <c r="D1932" s="647">
        <v>14.32</v>
      </c>
      <c r="E1932" s="647">
        <v>7.0000000000000007E-2</v>
      </c>
      <c r="F1932" s="645"/>
      <c r="G1932" s="644">
        <f>514705/10000</f>
        <v>51.470500000000001</v>
      </c>
      <c r="H1932" s="643">
        <f>6999988/100000000</f>
        <v>6.999988E-2</v>
      </c>
    </row>
    <row r="1933" spans="1:56">
      <c r="C1933" s="646" t="s">
        <v>1246</v>
      </c>
      <c r="D1933" s="647">
        <v>14.1</v>
      </c>
      <c r="E1933" s="647">
        <f>775.5/10000</f>
        <v>7.7549999999999994E-2</v>
      </c>
      <c r="F1933" s="645"/>
      <c r="G1933" s="644">
        <f>570220/10000</f>
        <v>57.021999999999998</v>
      </c>
      <c r="H1933" s="643">
        <f>7754992/100000000</f>
        <v>7.7549919999999994E-2</v>
      </c>
    </row>
    <row r="1934" spans="1:56">
      <c r="C1934" s="646" t="s">
        <v>3414</v>
      </c>
      <c r="D1934" s="647">
        <v>13.6</v>
      </c>
      <c r="E1934" s="643">
        <v>0.34</v>
      </c>
      <c r="F1934" s="645"/>
      <c r="G1934" s="644">
        <f>385665/10000</f>
        <v>38.566499999999998</v>
      </c>
      <c r="H1934" s="643">
        <f>5245044/100000000</f>
        <v>5.2450440000000001E-2</v>
      </c>
    </row>
    <row r="1936" spans="1:56" s="663" customFormat="1">
      <c r="A1936" s="663" t="s">
        <v>2861</v>
      </c>
      <c r="B1936" s="665" t="s">
        <v>2036</v>
      </c>
      <c r="C1936" s="667" t="s">
        <v>126</v>
      </c>
      <c r="D1936" s="667" t="s">
        <v>1583</v>
      </c>
      <c r="E1936" s="667" t="s">
        <v>4</v>
      </c>
      <c r="F1936" s="667" t="s">
        <v>2860</v>
      </c>
      <c r="G1936" s="667" t="s">
        <v>2859</v>
      </c>
      <c r="H1936" s="667" t="s">
        <v>2858</v>
      </c>
      <c r="I1936" s="667" t="s">
        <v>751</v>
      </c>
      <c r="J1936" s="665" t="s">
        <v>274</v>
      </c>
      <c r="K1936" s="665" t="s">
        <v>273</v>
      </c>
      <c r="L1936" s="665" t="s">
        <v>116</v>
      </c>
      <c r="M1936" s="665" t="s">
        <v>110</v>
      </c>
      <c r="N1936" s="665" t="s">
        <v>276</v>
      </c>
      <c r="O1936" s="667" t="s">
        <v>1311</v>
      </c>
      <c r="P1936" s="665" t="s">
        <v>275</v>
      </c>
      <c r="Q1936" s="665" t="s">
        <v>111</v>
      </c>
      <c r="R1936" s="665" t="s">
        <v>2857</v>
      </c>
      <c r="S1936" s="665" t="s">
        <v>747</v>
      </c>
      <c r="T1936" s="667" t="s">
        <v>12</v>
      </c>
      <c r="U1936" s="666" t="s">
        <v>948</v>
      </c>
      <c r="V1936" s="665" t="s">
        <v>129</v>
      </c>
      <c r="W1936" s="665" t="s">
        <v>220</v>
      </c>
      <c r="X1936" s="665" t="s">
        <v>749</v>
      </c>
      <c r="Y1936" s="665" t="s">
        <v>750</v>
      </c>
      <c r="Z1936" s="665" t="s">
        <v>748</v>
      </c>
      <c r="BB1936" s="664"/>
      <c r="BD1936" s="664"/>
    </row>
    <row r="1937" spans="1:56">
      <c r="A1937" s="642" t="s">
        <v>2078</v>
      </c>
      <c r="B1937" s="1436">
        <v>146</v>
      </c>
      <c r="C1937" s="1437" t="s">
        <v>2385</v>
      </c>
      <c r="D1937" s="662" t="s">
        <v>2384</v>
      </c>
      <c r="E1937" s="662" t="s">
        <v>2383</v>
      </c>
      <c r="F1937" s="661">
        <v>18.38</v>
      </c>
      <c r="G1937" s="660">
        <v>18.38</v>
      </c>
      <c r="H1937" s="659">
        <f>L1937*R1937</f>
        <v>29.776</v>
      </c>
      <c r="I1937" s="656">
        <f>F1937/H1937</f>
        <v>0.61727565824825359</v>
      </c>
      <c r="J1937" s="658" t="s">
        <v>2970</v>
      </c>
      <c r="K1937" s="645" t="s">
        <v>2089</v>
      </c>
      <c r="L1937" s="645">
        <v>18.61</v>
      </c>
      <c r="M1937" s="658">
        <v>9.1199999999999992</v>
      </c>
      <c r="N1937" s="653">
        <f>M1937/L1937</f>
        <v>0.49005910800644814</v>
      </c>
      <c r="O1937" s="656">
        <v>18.07</v>
      </c>
      <c r="P1937" s="653">
        <f>O1937/L1937</f>
        <v>0.97098334228909189</v>
      </c>
      <c r="Q1937" s="645">
        <v>5</v>
      </c>
      <c r="R1937" s="769">
        <v>1.6</v>
      </c>
      <c r="S1937" s="645" t="s">
        <v>2382</v>
      </c>
      <c r="T1937" s="654">
        <v>42963</v>
      </c>
      <c r="U1937" s="645">
        <v>16.600000000000001</v>
      </c>
      <c r="V1937" s="653">
        <f>((U1937*(1+X1937/10)+Y1937/10)/O1937)</f>
        <v>0.91975650249031549</v>
      </c>
      <c r="W1937" s="645" t="s">
        <v>2381</v>
      </c>
      <c r="X1937" s="645">
        <v>0</v>
      </c>
      <c r="Y1937" s="645">
        <v>0.2</v>
      </c>
      <c r="Z1937" s="652" t="s">
        <v>2380</v>
      </c>
      <c r="BB1937" s="651"/>
      <c r="BD1937" s="650"/>
    </row>
    <row r="1938" spans="1:56">
      <c r="C1938" s="648" t="s">
        <v>112</v>
      </c>
      <c r="D1938" s="648" t="s">
        <v>113</v>
      </c>
      <c r="E1938" s="648" t="s">
        <v>943</v>
      </c>
      <c r="F1938" s="649" t="s">
        <v>411</v>
      </c>
      <c r="G1938" s="649" t="s">
        <v>942</v>
      </c>
      <c r="H1938" s="648" t="s">
        <v>231</v>
      </c>
    </row>
    <row r="1939" spans="1:56">
      <c r="C1939" s="1512" t="s">
        <v>523</v>
      </c>
      <c r="D1939" s="647">
        <v>12</v>
      </c>
      <c r="E1939" s="643">
        <f>143000000/100000000</f>
        <v>1.43</v>
      </c>
      <c r="F1939" s="645"/>
      <c r="G1939" s="645"/>
      <c r="H1939" s="645"/>
    </row>
    <row r="1940" spans="1:56">
      <c r="C1940" s="1512"/>
      <c r="D1940" s="647">
        <v>9.1199999999999992</v>
      </c>
      <c r="E1940" s="643">
        <f>143000000/100000000</f>
        <v>1.43</v>
      </c>
      <c r="F1940" s="645"/>
      <c r="G1940" s="645"/>
      <c r="H1940" s="645"/>
    </row>
    <row r="1941" spans="1:56">
      <c r="C1941" s="646" t="s">
        <v>1204</v>
      </c>
      <c r="D1941" s="647">
        <v>12.5</v>
      </c>
      <c r="E1941" s="643">
        <f>143000000/100000000</f>
        <v>1.43</v>
      </c>
      <c r="F1941" s="645"/>
      <c r="G1941" s="645"/>
      <c r="H1941" s="645"/>
    </row>
    <row r="1942" spans="1:56">
      <c r="C1942" s="679"/>
      <c r="D1942" s="647">
        <v>12.65</v>
      </c>
      <c r="E1942" s="643">
        <f>146740000/100000000</f>
        <v>1.4674</v>
      </c>
      <c r="F1942" s="645"/>
      <c r="G1942" s="645"/>
      <c r="H1942" s="645"/>
    </row>
    <row r="1943" spans="1:56" ht="16" customHeight="1">
      <c r="C1943" s="1518" t="s">
        <v>1197</v>
      </c>
      <c r="D1943" s="647">
        <v>11.42</v>
      </c>
      <c r="E1943" s="643">
        <f>148460000/100000000</f>
        <v>1.4845999999999999</v>
      </c>
      <c r="F1943" s="645"/>
      <c r="G1943" s="645"/>
      <c r="H1943" s="645"/>
    </row>
    <row r="1944" spans="1:56">
      <c r="C1944" s="1520"/>
      <c r="D1944" s="647">
        <v>9.1199999999999992</v>
      </c>
      <c r="E1944" s="643">
        <f>155040000/100000000</f>
        <v>1.5504</v>
      </c>
      <c r="F1944" s="645"/>
      <c r="G1944" s="645"/>
      <c r="H1944" s="645"/>
    </row>
    <row r="1945" spans="1:56">
      <c r="C1945" s="1512" t="s">
        <v>128</v>
      </c>
      <c r="D1945" s="647">
        <v>14.01</v>
      </c>
      <c r="E1945" s="643">
        <f>143042100/100000000</f>
        <v>1.4304209999999999</v>
      </c>
      <c r="F1945" s="645"/>
      <c r="G1945" s="645"/>
      <c r="H1945" s="645"/>
    </row>
    <row r="1946" spans="1:56">
      <c r="C1946" s="1512"/>
      <c r="D1946" s="647">
        <v>13.01</v>
      </c>
      <c r="E1946" s="643">
        <f>240034500/100000000</f>
        <v>2.4003450000000002</v>
      </c>
      <c r="F1946" s="645"/>
      <c r="G1946" s="645"/>
      <c r="H1946" s="645"/>
    </row>
    <row r="1947" spans="1:56">
      <c r="C1947" s="646" t="s">
        <v>1052</v>
      </c>
      <c r="D1947" s="647">
        <v>14.21</v>
      </c>
      <c r="E1947" s="643">
        <f>153000000/100000000</f>
        <v>1.53</v>
      </c>
      <c r="F1947" s="645"/>
      <c r="G1947" s="645"/>
      <c r="H1947" s="645"/>
    </row>
    <row r="1948" spans="1:56">
      <c r="C1948" s="646" t="s">
        <v>13</v>
      </c>
      <c r="D1948" s="647">
        <v>14.88</v>
      </c>
      <c r="E1948" s="643">
        <f>148800000/100000000</f>
        <v>1.488</v>
      </c>
      <c r="F1948" s="645"/>
      <c r="G1948" s="645"/>
      <c r="H1948" s="645"/>
    </row>
    <row r="1949" spans="1:56">
      <c r="C1949" s="646" t="s">
        <v>2969</v>
      </c>
      <c r="D1949" s="647">
        <v>12.03</v>
      </c>
      <c r="E1949" s="643">
        <f>143000008.5/100000000</f>
        <v>1.4300000850000001</v>
      </c>
      <c r="F1949" s="645"/>
      <c r="G1949" s="645"/>
      <c r="H1949" s="645"/>
    </row>
    <row r="1950" spans="1:56">
      <c r="C1950" s="646" t="s">
        <v>351</v>
      </c>
      <c r="D1950" s="647">
        <v>14</v>
      </c>
      <c r="E1950" s="643">
        <f>143000004/100000000</f>
        <v>1.4300000399999999</v>
      </c>
      <c r="F1950" s="645"/>
      <c r="G1950" s="645"/>
      <c r="H1950" s="645"/>
    </row>
    <row r="1951" spans="1:56">
      <c r="C1951" s="646" t="s">
        <v>332</v>
      </c>
      <c r="D1951" s="647">
        <v>14</v>
      </c>
      <c r="E1951" s="643">
        <f>143080000/100000000</f>
        <v>1.4308000000000001</v>
      </c>
      <c r="F1951" s="645"/>
      <c r="G1951" s="645"/>
      <c r="H1951" s="645"/>
    </row>
    <row r="1952" spans="1:56">
      <c r="C1952" s="646" t="s">
        <v>131</v>
      </c>
      <c r="D1952" s="647">
        <v>11.1</v>
      </c>
      <c r="E1952" s="643">
        <f>323676000/100000000</f>
        <v>3.2367599999999999</v>
      </c>
      <c r="F1952" s="645"/>
      <c r="G1952" s="645"/>
      <c r="H1952" s="645"/>
    </row>
    <row r="1953" spans="3:8">
      <c r="C1953" s="646" t="s">
        <v>130</v>
      </c>
      <c r="D1953" s="647">
        <v>14.18</v>
      </c>
      <c r="E1953" s="643">
        <f>143000010.86/100000000</f>
        <v>1.4300001086</v>
      </c>
      <c r="F1953" s="645"/>
      <c r="G1953" s="645"/>
      <c r="H1953" s="645"/>
    </row>
    <row r="1954" spans="3:8">
      <c r="C1954" s="646" t="s">
        <v>955</v>
      </c>
      <c r="D1954" s="647">
        <v>15.56</v>
      </c>
      <c r="E1954" s="643">
        <f>143000009.92/100000000</f>
        <v>1.4300000991999999</v>
      </c>
      <c r="F1954" s="645"/>
      <c r="G1954" s="645"/>
      <c r="H1954" s="645"/>
    </row>
    <row r="1955" spans="3:8" ht="16" customHeight="1">
      <c r="C1955" s="1512" t="s">
        <v>300</v>
      </c>
      <c r="D1955" s="647">
        <v>15.72</v>
      </c>
      <c r="E1955" s="643">
        <f>143052000/100000000</f>
        <v>1.43052</v>
      </c>
      <c r="F1955" s="645"/>
      <c r="G1955" s="645"/>
      <c r="H1955" s="645"/>
    </row>
    <row r="1956" spans="3:8">
      <c r="C1956" s="1512"/>
      <c r="D1956" s="647">
        <v>13.51</v>
      </c>
      <c r="E1956" s="643">
        <f>169550500/100000000</f>
        <v>1.695505</v>
      </c>
      <c r="F1956" s="645"/>
      <c r="G1956" s="645"/>
      <c r="H1956" s="645"/>
    </row>
    <row r="1957" spans="3:8">
      <c r="C1957" s="646" t="s">
        <v>336</v>
      </c>
      <c r="D1957" s="647">
        <v>13.02</v>
      </c>
      <c r="E1957" s="643">
        <f>232999410/100000000</f>
        <v>2.3299941</v>
      </c>
      <c r="F1957" s="645"/>
      <c r="G1957" s="645"/>
      <c r="H1957" s="645"/>
    </row>
    <row r="1958" spans="3:8" ht="16" customHeight="1">
      <c r="C1958" s="646" t="s">
        <v>150</v>
      </c>
      <c r="D1958" s="647">
        <v>15.52</v>
      </c>
      <c r="E1958" s="643">
        <f>155200000/100000000</f>
        <v>1.552</v>
      </c>
      <c r="F1958" s="645"/>
      <c r="G1958" s="645"/>
      <c r="H1958" s="645"/>
    </row>
    <row r="1959" spans="3:8">
      <c r="C1959" s="646"/>
      <c r="D1959" s="647">
        <v>14.48</v>
      </c>
      <c r="E1959" s="643">
        <f>175932000/100000000</f>
        <v>1.75932</v>
      </c>
      <c r="F1959" s="645"/>
      <c r="G1959" s="645"/>
      <c r="H1959" s="645"/>
    </row>
    <row r="1960" spans="3:8">
      <c r="C1960" s="646"/>
      <c r="D1960" s="647">
        <v>13.58</v>
      </c>
      <c r="E1960" s="643">
        <f>236292000/100000000</f>
        <v>2.3629199999999999</v>
      </c>
      <c r="F1960" s="645"/>
      <c r="G1960" s="645"/>
      <c r="H1960" s="645"/>
    </row>
    <row r="1961" spans="3:8" ht="16" customHeight="1">
      <c r="C1961" s="646" t="s">
        <v>173</v>
      </c>
      <c r="D1961" s="647">
        <v>17.5</v>
      </c>
      <c r="E1961" s="643">
        <f>143015250/100000000</f>
        <v>1.4301524999999999</v>
      </c>
      <c r="F1961" s="645"/>
      <c r="G1961" s="645"/>
      <c r="H1961" s="645"/>
    </row>
    <row r="1962" spans="3:8">
      <c r="C1962" s="646"/>
      <c r="D1962" s="647">
        <v>16.260000000000002</v>
      </c>
      <c r="E1962" s="643">
        <f>164063400/100000000</f>
        <v>1.6406339999999999</v>
      </c>
      <c r="F1962" s="645"/>
      <c r="G1962" s="645"/>
      <c r="H1962" s="645"/>
    </row>
    <row r="1963" spans="3:8" ht="16" customHeight="1">
      <c r="C1963" s="646" t="s">
        <v>352</v>
      </c>
      <c r="D1963" s="647">
        <v>16.510000000000002</v>
      </c>
      <c r="E1963" s="643">
        <f>165100000/100000000</f>
        <v>1.651</v>
      </c>
      <c r="F1963" s="645"/>
      <c r="G1963" s="645"/>
      <c r="H1963" s="645"/>
    </row>
    <row r="1964" spans="3:8">
      <c r="C1964" s="646"/>
      <c r="D1964" s="647">
        <v>14.5</v>
      </c>
      <c r="E1964" s="643">
        <f>188500000/100000000</f>
        <v>1.885</v>
      </c>
      <c r="F1964" s="645"/>
      <c r="G1964" s="645"/>
      <c r="H1964" s="645"/>
    </row>
    <row r="1965" spans="3:8">
      <c r="C1965" s="646"/>
      <c r="D1965" s="647">
        <v>12.5</v>
      </c>
      <c r="E1965" s="643">
        <f>287500000/100000000</f>
        <v>2.875</v>
      </c>
      <c r="F1965" s="645"/>
      <c r="G1965" s="645"/>
      <c r="H1965" s="645"/>
    </row>
    <row r="1966" spans="3:8" ht="16" customHeight="1">
      <c r="C1966" s="646" t="s">
        <v>115</v>
      </c>
      <c r="D1966" s="647">
        <v>18.27</v>
      </c>
      <c r="E1966" s="643">
        <f>287752500/100000000</f>
        <v>2.8775249999999999</v>
      </c>
      <c r="F1966" s="645"/>
      <c r="G1966" s="644">
        <f>28843388/10000</f>
        <v>2884.3388</v>
      </c>
      <c r="H1966" s="643">
        <f>521200021.16/100000000</f>
        <v>5.2120002116000004</v>
      </c>
    </row>
    <row r="1967" spans="3:8">
      <c r="C1967" s="646"/>
      <c r="D1967" s="647">
        <v>18.07</v>
      </c>
      <c r="E1967" s="643">
        <f>678889900/100000000</f>
        <v>6.7888989999999998</v>
      </c>
      <c r="F1967" s="645"/>
      <c r="G1967" s="645"/>
      <c r="H1967" s="645"/>
    </row>
    <row r="1968" spans="3:8" ht="28">
      <c r="C1968" s="673" t="s">
        <v>3413</v>
      </c>
      <c r="D1968" s="647">
        <v>18.100000000000001</v>
      </c>
      <c r="E1968" s="643">
        <f>179999993.1/100000000</f>
        <v>1.7999999309999999</v>
      </c>
      <c r="F1968" s="645"/>
      <c r="G1968" s="644">
        <f>9961261/10000</f>
        <v>996.12609999999995</v>
      </c>
      <c r="H1968" s="643">
        <f>179999986.27/100000000</f>
        <v>1.7999998627</v>
      </c>
    </row>
    <row r="1969" spans="3:8">
      <c r="C1969" s="646" t="s">
        <v>966</v>
      </c>
      <c r="D1969" s="647">
        <v>9.51</v>
      </c>
      <c r="E1969" s="643">
        <f>15036848/100000000</f>
        <v>0.15036848</v>
      </c>
      <c r="F1969" s="645"/>
      <c r="G1969" s="645"/>
      <c r="H1969" s="645"/>
    </row>
    <row r="1970" spans="3:8">
      <c r="C1970" s="646" t="s">
        <v>136</v>
      </c>
      <c r="D1970" s="647">
        <v>13.1</v>
      </c>
      <c r="E1970" s="643">
        <f>147699997.9/100000000</f>
        <v>1.4769999790000001</v>
      </c>
      <c r="F1970" s="645"/>
      <c r="G1970" s="645"/>
      <c r="H1970" s="645"/>
    </row>
    <row r="1971" spans="3:8" ht="28">
      <c r="C1971" s="673" t="s">
        <v>3412</v>
      </c>
      <c r="D1971" s="647">
        <v>16.28</v>
      </c>
      <c r="E1971" s="643">
        <f>162800000/100000000</f>
        <v>1.6279999999999999</v>
      </c>
      <c r="F1971" s="645"/>
      <c r="G1971" s="645"/>
      <c r="H1971" s="645"/>
    </row>
    <row r="1972" spans="3:8">
      <c r="C1972" s="646" t="s">
        <v>3411</v>
      </c>
      <c r="D1972" s="647">
        <v>17</v>
      </c>
      <c r="E1972" s="643">
        <f>357510000/100000000</f>
        <v>3.5750999999999999</v>
      </c>
      <c r="F1972" s="645"/>
      <c r="G1972" s="645"/>
      <c r="H1972" s="645"/>
    </row>
    <row r="1973" spans="3:8">
      <c r="C1973" s="646" t="s">
        <v>371</v>
      </c>
      <c r="D1973" s="647">
        <v>18.61</v>
      </c>
      <c r="E1973" s="643">
        <f>217799994.85/100000000</f>
        <v>2.1779999485000001</v>
      </c>
      <c r="F1973" s="645"/>
      <c r="G1973" s="644">
        <f>12053126/10000</f>
        <v>1205.3126</v>
      </c>
      <c r="H1973" s="643">
        <f>217799986.82/100000000</f>
        <v>2.1779998682000001</v>
      </c>
    </row>
    <row r="1974" spans="3:8" ht="16" customHeight="1">
      <c r="C1974" s="646" t="s">
        <v>278</v>
      </c>
      <c r="D1974" s="647">
        <v>18.61</v>
      </c>
      <c r="E1974" s="643">
        <f>367599998.81/100000000</f>
        <v>3.6759999881000001</v>
      </c>
      <c r="F1974" s="645"/>
      <c r="G1974" s="644">
        <f>20343110/10000</f>
        <v>2034.3109999999999</v>
      </c>
      <c r="H1974" s="643">
        <f>367599997.7/100000000</f>
        <v>3.675999977</v>
      </c>
    </row>
    <row r="1975" spans="3:8">
      <c r="C1975" s="646"/>
      <c r="D1975" s="647">
        <v>17.149999999999999</v>
      </c>
      <c r="E1975" s="643">
        <f>516799986.5/100000000</f>
        <v>5.1679998649999996</v>
      </c>
      <c r="F1975" s="645"/>
      <c r="G1975" s="645"/>
      <c r="H1975" s="645"/>
    </row>
    <row r="1976" spans="3:8">
      <c r="C1976" s="646" t="s">
        <v>147</v>
      </c>
      <c r="D1976" s="647">
        <v>12.96</v>
      </c>
      <c r="E1976" s="643">
        <f>255970251.36/100000000</f>
        <v>2.5597025136</v>
      </c>
      <c r="F1976" s="645"/>
      <c r="G1976" s="645"/>
      <c r="H1976" s="645"/>
    </row>
    <row r="1977" spans="3:8">
      <c r="C1977" s="646" t="s">
        <v>3410</v>
      </c>
      <c r="D1977" s="647">
        <v>16.5</v>
      </c>
      <c r="E1977" s="643">
        <f>357500005.5/100000000</f>
        <v>3.5750000549999998</v>
      </c>
      <c r="F1977" s="645"/>
      <c r="G1977" s="645"/>
      <c r="H1977" s="645"/>
    </row>
    <row r="1978" spans="3:8" ht="16" customHeight="1">
      <c r="C1978" s="646" t="s">
        <v>148</v>
      </c>
      <c r="D1978" s="647">
        <v>14.55</v>
      </c>
      <c r="E1978" s="643">
        <f>212149996.4/100000000</f>
        <v>2.1214999639999998</v>
      </c>
      <c r="F1978" s="645"/>
      <c r="G1978" s="645"/>
      <c r="H1978" s="645"/>
    </row>
    <row r="1979" spans="3:8">
      <c r="C1979" s="646"/>
      <c r="D1979" s="647">
        <v>14.5</v>
      </c>
      <c r="E1979" s="643">
        <f>464149988/100000000</f>
        <v>4.6414998799999996</v>
      </c>
      <c r="F1979" s="645"/>
      <c r="G1979" s="645"/>
      <c r="H1979" s="645"/>
    </row>
    <row r="1980" spans="3:8">
      <c r="C1980" s="646" t="s">
        <v>3409</v>
      </c>
      <c r="D1980" s="647">
        <v>15.06</v>
      </c>
      <c r="E1980" s="643">
        <f>143070000/100000000</f>
        <v>1.4307000000000001</v>
      </c>
      <c r="F1980" s="645"/>
      <c r="G1980" s="645"/>
      <c r="H1980" s="645"/>
    </row>
    <row r="1981" spans="3:8">
      <c r="C1981" s="646" t="s">
        <v>127</v>
      </c>
      <c r="D1981" s="647">
        <v>18.5</v>
      </c>
      <c r="E1981" s="643">
        <f>161875000/100000000</f>
        <v>1.6187499999999999</v>
      </c>
      <c r="F1981" s="645"/>
      <c r="G1981" s="645"/>
      <c r="H1981" s="645"/>
    </row>
    <row r="1982" spans="3:8">
      <c r="C1982" s="646" t="s">
        <v>3408</v>
      </c>
      <c r="D1982" s="647">
        <v>17.100000000000001</v>
      </c>
      <c r="E1982" s="643">
        <f>143000015.4/100000000</f>
        <v>1.430000154</v>
      </c>
      <c r="F1982" s="645"/>
      <c r="G1982" s="645"/>
      <c r="H1982" s="645"/>
    </row>
    <row r="1983" spans="3:8">
      <c r="C1983" s="646" t="s">
        <v>3407</v>
      </c>
      <c r="D1983" s="645"/>
      <c r="E1983" s="645"/>
      <c r="F1983" s="645"/>
      <c r="G1983" s="644">
        <f>30514665/10000</f>
        <v>3051.4665</v>
      </c>
      <c r="H1983" s="643">
        <f>551399996.55/100000000</f>
        <v>5.5139999654999992</v>
      </c>
    </row>
    <row r="1985" spans="1:56" s="663" customFormat="1">
      <c r="A1985" s="663" t="s">
        <v>2861</v>
      </c>
      <c r="B1985" s="665" t="s">
        <v>2036</v>
      </c>
      <c r="C1985" s="667" t="s">
        <v>126</v>
      </c>
      <c r="D1985" s="667" t="s">
        <v>1583</v>
      </c>
      <c r="E1985" s="667" t="s">
        <v>4</v>
      </c>
      <c r="F1985" s="667" t="s">
        <v>2860</v>
      </c>
      <c r="G1985" s="667" t="s">
        <v>2859</v>
      </c>
      <c r="H1985" s="667" t="s">
        <v>2858</v>
      </c>
      <c r="I1985" s="667" t="s">
        <v>751</v>
      </c>
      <c r="J1985" s="665" t="s">
        <v>274</v>
      </c>
      <c r="K1985" s="665" t="s">
        <v>273</v>
      </c>
      <c r="L1985" s="665" t="s">
        <v>116</v>
      </c>
      <c r="M1985" s="665" t="s">
        <v>110</v>
      </c>
      <c r="N1985" s="665" t="s">
        <v>276</v>
      </c>
      <c r="O1985" s="667" t="s">
        <v>1311</v>
      </c>
      <c r="P1985" s="665" t="s">
        <v>275</v>
      </c>
      <c r="Q1985" s="665" t="s">
        <v>111</v>
      </c>
      <c r="R1985" s="665" t="s">
        <v>2857</v>
      </c>
      <c r="S1985" s="665" t="s">
        <v>747</v>
      </c>
      <c r="T1985" s="667" t="s">
        <v>12</v>
      </c>
      <c r="U1985" s="666" t="s">
        <v>948</v>
      </c>
      <c r="V1985" s="665" t="s">
        <v>129</v>
      </c>
      <c r="W1985" s="665" t="s">
        <v>220</v>
      </c>
      <c r="X1985" s="665" t="s">
        <v>749</v>
      </c>
      <c r="Y1985" s="665" t="s">
        <v>750</v>
      </c>
      <c r="Z1985" s="665" t="s">
        <v>748</v>
      </c>
      <c r="BB1985" s="664"/>
      <c r="BD1985" s="664"/>
    </row>
    <row r="1986" spans="1:56">
      <c r="A1986" s="642" t="s">
        <v>2078</v>
      </c>
      <c r="B1986" s="1436">
        <v>147</v>
      </c>
      <c r="C1986" s="1437" t="s">
        <v>2379</v>
      </c>
      <c r="D1986" s="662" t="s">
        <v>2378</v>
      </c>
      <c r="E1986" s="662" t="s">
        <v>2377</v>
      </c>
      <c r="F1986" s="661">
        <v>15</v>
      </c>
      <c r="G1986" s="660">
        <v>15</v>
      </c>
      <c r="H1986" s="659">
        <f>L1986*R1986</f>
        <v>105.30221</v>
      </c>
      <c r="I1986" s="656">
        <f>F1986/H1986</f>
        <v>0.14244715281854009</v>
      </c>
      <c r="J1986" s="658" t="s">
        <v>2941</v>
      </c>
      <c r="K1986" s="645" t="s">
        <v>2089</v>
      </c>
      <c r="L1986" s="645">
        <v>43.94</v>
      </c>
      <c r="M1986" s="658">
        <v>22.12</v>
      </c>
      <c r="N1986" s="653">
        <f>M1986/L1986</f>
        <v>0.50341374601729638</v>
      </c>
      <c r="O1986" s="656">
        <v>41.09</v>
      </c>
      <c r="P1986" s="653">
        <f>O1986/L1986</f>
        <v>0.93513882567137019</v>
      </c>
      <c r="Q1986" s="645">
        <v>7</v>
      </c>
      <c r="R1986" s="653">
        <v>2.3965000000000001</v>
      </c>
      <c r="S1986" s="645" t="s">
        <v>2376</v>
      </c>
      <c r="T1986" s="654">
        <v>42963</v>
      </c>
      <c r="U1986" s="645">
        <v>43.96</v>
      </c>
      <c r="V1986" s="653">
        <f>((U1986*(1+X1986/10)+Y1986/10)/O1986)</f>
        <v>1.0873691895838402</v>
      </c>
      <c r="W1986" s="645" t="s">
        <v>2375</v>
      </c>
      <c r="X1986" s="645">
        <v>0</v>
      </c>
      <c r="Y1986" s="645">
        <v>7.1999999999999993</v>
      </c>
      <c r="Z1986" s="652" t="s">
        <v>2374</v>
      </c>
      <c r="BB1986" s="651"/>
      <c r="BD1986" s="650"/>
    </row>
    <row r="1987" spans="1:56">
      <c r="C1987" s="648" t="s">
        <v>112</v>
      </c>
      <c r="D1987" s="648" t="s">
        <v>113</v>
      </c>
      <c r="E1987" s="648" t="s">
        <v>943</v>
      </c>
      <c r="F1987" s="649" t="s">
        <v>411</v>
      </c>
      <c r="G1987" s="649" t="s">
        <v>942</v>
      </c>
      <c r="H1987" s="648" t="s">
        <v>231</v>
      </c>
    </row>
    <row r="1988" spans="1:56">
      <c r="C1988" s="646" t="s">
        <v>1206</v>
      </c>
      <c r="D1988" s="647">
        <v>43.94</v>
      </c>
      <c r="E1988" s="643">
        <f>200000000/100000000</f>
        <v>2</v>
      </c>
      <c r="F1988" s="645"/>
      <c r="G1988" s="644">
        <f>4867364/10000</f>
        <v>486.7364</v>
      </c>
      <c r="H1988" s="643">
        <f>199999986.76/100000000</f>
        <v>1.9999998675999999</v>
      </c>
    </row>
    <row r="1989" spans="1:56">
      <c r="C1989" s="646" t="s">
        <v>629</v>
      </c>
      <c r="D1989" s="647">
        <v>43</v>
      </c>
      <c r="E1989" s="643">
        <f>150000000/100000000</f>
        <v>1.5</v>
      </c>
      <c r="F1989" s="645"/>
      <c r="G1989" s="644">
        <f>3650523/10000</f>
        <v>365.0523</v>
      </c>
      <c r="H1989" s="643">
        <f>149999990.07/100000000</f>
        <v>1.4999999007</v>
      </c>
    </row>
    <row r="1990" spans="1:56">
      <c r="C1990" s="646" t="s">
        <v>3275</v>
      </c>
      <c r="D1990" s="647">
        <v>42.62</v>
      </c>
      <c r="E1990" s="643">
        <f>160000000/100000000</f>
        <v>1.6</v>
      </c>
      <c r="F1990" s="645"/>
      <c r="G1990" s="644">
        <f>3893891/10000</f>
        <v>389.38909999999998</v>
      </c>
      <c r="H1990" s="643">
        <f>159999981.19/100000000</f>
        <v>1.5999998119000001</v>
      </c>
    </row>
    <row r="1991" spans="1:56">
      <c r="C1991" s="646" t="s">
        <v>230</v>
      </c>
      <c r="D1991" s="647">
        <v>41.83</v>
      </c>
      <c r="E1991" s="643">
        <f>150000000/100000000</f>
        <v>1.5</v>
      </c>
      <c r="F1991" s="645"/>
      <c r="G1991" s="644">
        <f>3650523/10000</f>
        <v>365.0523</v>
      </c>
      <c r="H1991" s="643">
        <f>149999990.07/100000000</f>
        <v>1.4999999007</v>
      </c>
    </row>
    <row r="1992" spans="1:56">
      <c r="C1992" s="646" t="s">
        <v>505</v>
      </c>
      <c r="D1992" s="647">
        <v>41.58</v>
      </c>
      <c r="E1992" s="643">
        <f>150000000/100000000</f>
        <v>1.5</v>
      </c>
      <c r="F1992" s="645"/>
      <c r="G1992" s="644">
        <f>3650523/10000</f>
        <v>365.0523</v>
      </c>
      <c r="H1992" s="643">
        <f>149999990.07/100000000</f>
        <v>1.4999999007</v>
      </c>
    </row>
    <row r="1993" spans="1:56">
      <c r="C1993" s="646" t="s">
        <v>125</v>
      </c>
      <c r="D1993" s="647">
        <v>41.52</v>
      </c>
      <c r="E1993" s="643">
        <f>300000000/100000000</f>
        <v>3</v>
      </c>
      <c r="F1993" s="645"/>
      <c r="G1993" s="644">
        <f>7301046/10000</f>
        <v>730.1046</v>
      </c>
      <c r="H1993" s="643">
        <f>299999980.14/100000000</f>
        <v>2.9999998014</v>
      </c>
    </row>
    <row r="1994" spans="1:56">
      <c r="C1994" s="646" t="s">
        <v>277</v>
      </c>
      <c r="D1994" s="647">
        <v>41.09</v>
      </c>
      <c r="E1994" s="643">
        <f>450000000/100000000</f>
        <v>4.5</v>
      </c>
      <c r="F1994" s="645"/>
      <c r="G1994" s="644">
        <f>9491362/10000</f>
        <v>949.13620000000003</v>
      </c>
      <c r="H1994" s="643">
        <f>390000064.58/100000000</f>
        <v>3.9000006458000001</v>
      </c>
    </row>
    <row r="1995" spans="1:56">
      <c r="C1995" s="646" t="s">
        <v>371</v>
      </c>
      <c r="D1995" s="647">
        <v>40.909999999999997</v>
      </c>
      <c r="E1995" s="643">
        <f>150000000/100000000</f>
        <v>1.5</v>
      </c>
      <c r="F1995" s="645"/>
      <c r="G1995" s="645"/>
      <c r="H1995" s="645"/>
    </row>
    <row r="1996" spans="1:56">
      <c r="C1996" s="1512" t="s">
        <v>139</v>
      </c>
      <c r="D1996" s="647">
        <v>40.799999999999997</v>
      </c>
      <c r="E1996" s="643">
        <f>157500000/100000000</f>
        <v>1.575</v>
      </c>
      <c r="F1996" s="645"/>
      <c r="G1996" s="645"/>
      <c r="H1996" s="645"/>
    </row>
    <row r="1997" spans="1:56">
      <c r="C1997" s="1512"/>
      <c r="D1997" s="647">
        <v>33.33</v>
      </c>
      <c r="E1997" s="643">
        <f>207500000/100000000</f>
        <v>2.0750000000000002</v>
      </c>
      <c r="F1997" s="645"/>
      <c r="G1997" s="645"/>
      <c r="H1997" s="645"/>
    </row>
    <row r="1998" spans="1:56">
      <c r="C1998" s="1512" t="s">
        <v>115</v>
      </c>
      <c r="D1998" s="647">
        <v>40.5</v>
      </c>
      <c r="E1998" s="643">
        <f>207000000/100000000</f>
        <v>2.0699999999999998</v>
      </c>
      <c r="F1998" s="645"/>
      <c r="G1998" s="645"/>
      <c r="H1998" s="645"/>
    </row>
    <row r="1999" spans="1:56">
      <c r="C1999" s="1512"/>
      <c r="D1999" s="647">
        <v>39.299999999999997</v>
      </c>
      <c r="E1999" s="643">
        <f>513000000/100000000</f>
        <v>5.13</v>
      </c>
      <c r="F1999" s="645"/>
      <c r="G1999" s="645"/>
      <c r="H1999" s="645"/>
    </row>
    <row r="2000" spans="1:56">
      <c r="C2000" s="1512"/>
      <c r="D2000" s="647">
        <v>37</v>
      </c>
      <c r="E2000" s="643">
        <f>1215000000/100000000</f>
        <v>12.15</v>
      </c>
      <c r="F2000" s="645"/>
      <c r="G2000" s="645"/>
      <c r="H2000" s="645"/>
    </row>
    <row r="2001" spans="3:8">
      <c r="C2001" s="1512" t="s">
        <v>121</v>
      </c>
      <c r="D2001" s="647">
        <v>39.68</v>
      </c>
      <c r="E2001" s="643">
        <f>150000000/100000000</f>
        <v>1.5</v>
      </c>
      <c r="F2001" s="645"/>
      <c r="G2001" s="645"/>
      <c r="H2001" s="645"/>
    </row>
    <row r="2002" spans="3:8">
      <c r="C2002" s="1512"/>
      <c r="D2002" s="647">
        <v>30.38</v>
      </c>
      <c r="E2002" s="643">
        <f>300000000/100000000</f>
        <v>3</v>
      </c>
      <c r="F2002" s="645"/>
      <c r="G2002" s="645"/>
      <c r="H2002" s="645"/>
    </row>
    <row r="2003" spans="3:8">
      <c r="C2003" s="1512" t="s">
        <v>150</v>
      </c>
      <c r="D2003" s="647">
        <v>39.67</v>
      </c>
      <c r="E2003" s="643">
        <f>222500000/100000000</f>
        <v>2.2250000000000001</v>
      </c>
      <c r="F2003" s="645"/>
      <c r="G2003" s="645"/>
      <c r="H2003" s="645"/>
    </row>
    <row r="2004" spans="3:8">
      <c r="C2004" s="1512"/>
      <c r="D2004" s="647">
        <v>35.06</v>
      </c>
      <c r="E2004" s="643">
        <f>242500000/100000000</f>
        <v>2.4249999999999998</v>
      </c>
      <c r="F2004" s="645"/>
      <c r="G2004" s="645"/>
      <c r="H2004" s="645"/>
    </row>
    <row r="2005" spans="3:8">
      <c r="C2005" s="1512" t="s">
        <v>594</v>
      </c>
      <c r="D2005" s="647">
        <v>39.659999999999997</v>
      </c>
      <c r="E2005" s="643">
        <f>198300000/100000000</f>
        <v>1.9830000000000001</v>
      </c>
      <c r="F2005" s="645"/>
      <c r="G2005" s="645"/>
      <c r="H2005" s="645"/>
    </row>
    <row r="2006" spans="3:8">
      <c r="C2006" s="1512"/>
      <c r="D2006" s="647">
        <v>35.880000000000003</v>
      </c>
      <c r="E2006" s="643">
        <f>215280000/100000000</f>
        <v>2.1528</v>
      </c>
      <c r="F2006" s="645"/>
      <c r="G2006" s="645"/>
      <c r="H2006" s="645"/>
    </row>
    <row r="2007" spans="3:8">
      <c r="C2007" s="1512"/>
      <c r="D2007" s="647">
        <v>32.89</v>
      </c>
      <c r="E2007" s="643">
        <f>296010000/100000000</f>
        <v>2.9601000000000002</v>
      </c>
      <c r="F2007" s="645"/>
      <c r="G2007" s="645"/>
      <c r="H2007" s="645"/>
    </row>
    <row r="2008" spans="3:8">
      <c r="C2008" s="1512" t="s">
        <v>336</v>
      </c>
      <c r="D2008" s="647">
        <v>39.33</v>
      </c>
      <c r="E2008" s="643">
        <f>198000000/100000000</f>
        <v>1.98</v>
      </c>
      <c r="F2008" s="645"/>
      <c r="G2008" s="645"/>
      <c r="H2008" s="645"/>
    </row>
    <row r="2009" spans="3:8">
      <c r="C2009" s="1512"/>
      <c r="D2009" s="647">
        <v>37.200000000000003</v>
      </c>
      <c r="E2009" s="643">
        <f>211000000/100000000</f>
        <v>2.11</v>
      </c>
      <c r="F2009" s="645"/>
      <c r="G2009" s="645"/>
      <c r="H2009" s="645"/>
    </row>
    <row r="2010" spans="3:8">
      <c r="C2010" s="1512"/>
      <c r="D2010" s="647">
        <v>35</v>
      </c>
      <c r="E2010" s="643">
        <f>216000000/100000000</f>
        <v>2.16</v>
      </c>
      <c r="F2010" s="645"/>
      <c r="G2010" s="645"/>
      <c r="H2010" s="645"/>
    </row>
    <row r="2011" spans="3:8">
      <c r="C2011" s="646" t="s">
        <v>173</v>
      </c>
      <c r="D2011" s="647">
        <v>37.68</v>
      </c>
      <c r="E2011" s="643">
        <f>236000000/100000000</f>
        <v>2.36</v>
      </c>
      <c r="F2011" s="645"/>
      <c r="G2011" s="645"/>
      <c r="H2011" s="645"/>
    </row>
    <row r="2012" spans="3:8">
      <c r="C2012" s="646" t="s">
        <v>138</v>
      </c>
      <c r="D2012" s="647">
        <v>37.28</v>
      </c>
      <c r="E2012" s="643">
        <f>160000000/100000000</f>
        <v>1.6</v>
      </c>
      <c r="F2012" s="645"/>
      <c r="G2012" s="645"/>
      <c r="H2012" s="645"/>
    </row>
    <row r="2013" spans="3:8">
      <c r="C2013" s="1512" t="s">
        <v>3406</v>
      </c>
      <c r="D2013" s="647">
        <v>37.15</v>
      </c>
      <c r="E2013" s="643">
        <f>150000035/100000000</f>
        <v>1.5000003500000001</v>
      </c>
      <c r="F2013" s="645"/>
      <c r="G2013" s="645"/>
      <c r="H2013" s="645"/>
    </row>
    <row r="2014" spans="3:8">
      <c r="C2014" s="1512"/>
      <c r="D2014" s="647">
        <v>33</v>
      </c>
      <c r="E2014" s="643">
        <f>150000015/100000000</f>
        <v>1.50000015</v>
      </c>
      <c r="F2014" s="645"/>
      <c r="G2014" s="645"/>
      <c r="H2014" s="645"/>
    </row>
    <row r="2015" spans="3:8">
      <c r="C2015" s="1512"/>
      <c r="D2015" s="647">
        <v>23</v>
      </c>
      <c r="E2015" s="643">
        <f>150000020/100000000</f>
        <v>1.5000001999999999</v>
      </c>
      <c r="F2015" s="645"/>
      <c r="G2015" s="645"/>
      <c r="H2015" s="645"/>
    </row>
    <row r="2016" spans="3:8">
      <c r="C2016" s="646" t="s">
        <v>522</v>
      </c>
      <c r="D2016" s="647">
        <v>37.049999999999997</v>
      </c>
      <c r="E2016" s="643">
        <f>150000000/100000000</f>
        <v>1.5</v>
      </c>
      <c r="F2016" s="645"/>
      <c r="G2016" s="645"/>
      <c r="H2016" s="645"/>
    </row>
    <row r="2017" spans="3:8">
      <c r="C2017" s="646" t="s">
        <v>146</v>
      </c>
      <c r="D2017" s="647">
        <v>36.5</v>
      </c>
      <c r="E2017" s="643">
        <f>150000000/100000000</f>
        <v>1.5</v>
      </c>
      <c r="F2017" s="645"/>
      <c r="G2017" s="645"/>
      <c r="H2017" s="645"/>
    </row>
    <row r="2018" spans="3:8">
      <c r="C2018" s="646" t="s">
        <v>127</v>
      </c>
      <c r="D2018" s="647">
        <v>36.119999999999997</v>
      </c>
      <c r="E2018" s="643">
        <f>150000000/100000000</f>
        <v>1.5</v>
      </c>
      <c r="F2018" s="645"/>
      <c r="G2018" s="645"/>
      <c r="H2018" s="645"/>
    </row>
    <row r="2019" spans="3:8">
      <c r="C2019" s="1512" t="s">
        <v>1647</v>
      </c>
      <c r="D2019" s="647">
        <v>36.020000000000003</v>
      </c>
      <c r="E2019" s="643">
        <f>150001688/100000000</f>
        <v>1.50001688</v>
      </c>
      <c r="F2019" s="645"/>
      <c r="G2019" s="645"/>
      <c r="H2019" s="645"/>
    </row>
    <row r="2020" spans="3:8">
      <c r="C2020" s="1512"/>
      <c r="D2020" s="647">
        <v>34.96</v>
      </c>
      <c r="E2020" s="643">
        <f>151027200/100000000</f>
        <v>1.5102720000000001</v>
      </c>
      <c r="F2020" s="645"/>
      <c r="G2020" s="645"/>
      <c r="H2020" s="645"/>
    </row>
    <row r="2021" spans="3:8">
      <c r="C2021" s="646" t="s">
        <v>384</v>
      </c>
      <c r="D2021" s="647">
        <v>36</v>
      </c>
      <c r="E2021" s="643">
        <f>150000000/100000000</f>
        <v>1.5</v>
      </c>
      <c r="F2021" s="645"/>
      <c r="G2021" s="645"/>
      <c r="H2021" s="645"/>
    </row>
    <row r="2022" spans="3:8">
      <c r="C2022" s="646" t="s">
        <v>300</v>
      </c>
      <c r="D2022" s="647">
        <v>34.26</v>
      </c>
      <c r="E2022" s="643">
        <f>150000000/100000000</f>
        <v>1.5</v>
      </c>
      <c r="F2022" s="645"/>
      <c r="G2022" s="645"/>
      <c r="H2022" s="645"/>
    </row>
    <row r="2023" spans="3:8">
      <c r="C2023" s="1512" t="s">
        <v>131</v>
      </c>
      <c r="D2023" s="647">
        <v>33</v>
      </c>
      <c r="E2023" s="643">
        <f>257000000/100000000</f>
        <v>2.57</v>
      </c>
      <c r="F2023" s="645"/>
      <c r="G2023" s="645"/>
      <c r="H2023" s="645"/>
    </row>
    <row r="2024" spans="3:8">
      <c r="C2024" s="1512"/>
      <c r="D2024" s="647">
        <v>22.51</v>
      </c>
      <c r="E2024" s="643">
        <f>363000000/100000000</f>
        <v>3.63</v>
      </c>
      <c r="F2024" s="645"/>
      <c r="G2024" s="645"/>
      <c r="H2024" s="645"/>
    </row>
    <row r="2025" spans="3:8">
      <c r="C2025" s="646" t="s">
        <v>147</v>
      </c>
      <c r="D2025" s="647">
        <v>32.68</v>
      </c>
      <c r="E2025" s="643">
        <f>230000000/100000000</f>
        <v>2.2999999999999998</v>
      </c>
      <c r="F2025" s="645"/>
      <c r="G2025" s="645"/>
      <c r="H2025" s="645"/>
    </row>
    <row r="2026" spans="3:8">
      <c r="C2026" s="646" t="s">
        <v>311</v>
      </c>
      <c r="D2026" s="647">
        <v>32.15</v>
      </c>
      <c r="E2026" s="643">
        <f>150000000/100000000</f>
        <v>1.5</v>
      </c>
      <c r="F2026" s="645"/>
      <c r="G2026" s="645"/>
      <c r="H2026" s="645"/>
    </row>
    <row r="2027" spans="3:8">
      <c r="C2027" s="1512" t="s">
        <v>128</v>
      </c>
      <c r="D2027" s="647">
        <v>32</v>
      </c>
      <c r="E2027" s="643">
        <f>150000000/100000000</f>
        <v>1.5</v>
      </c>
      <c r="F2027" s="645"/>
      <c r="G2027" s="645"/>
      <c r="H2027" s="645"/>
    </row>
    <row r="2028" spans="3:8">
      <c r="C2028" s="1512"/>
      <c r="D2028" s="647">
        <v>28</v>
      </c>
      <c r="E2028" s="643">
        <f>300000000/100000000</f>
        <v>3</v>
      </c>
      <c r="F2028" s="645"/>
      <c r="G2028" s="645"/>
      <c r="H2028" s="645"/>
    </row>
    <row r="2029" spans="3:8">
      <c r="C2029" s="646" t="s">
        <v>320</v>
      </c>
      <c r="D2029" s="647">
        <v>31.51</v>
      </c>
      <c r="E2029" s="643">
        <f>180000000/100000000</f>
        <v>1.8</v>
      </c>
      <c r="F2029" s="645"/>
      <c r="G2029" s="645"/>
      <c r="H2029" s="645"/>
    </row>
    <row r="2030" spans="3:8">
      <c r="C2030" s="646" t="s">
        <v>2997</v>
      </c>
      <c r="D2030" s="647">
        <v>31</v>
      </c>
      <c r="E2030" s="643">
        <f>150000000/100000000</f>
        <v>1.5</v>
      </c>
      <c r="F2030" s="645"/>
      <c r="G2030" s="645"/>
      <c r="H2030" s="645"/>
    </row>
    <row r="2031" spans="3:8">
      <c r="C2031" s="646" t="s">
        <v>119</v>
      </c>
      <c r="D2031" s="647">
        <v>30</v>
      </c>
      <c r="E2031" s="643">
        <f>150000000/100000000</f>
        <v>1.5</v>
      </c>
      <c r="F2031" s="645"/>
      <c r="G2031" s="645"/>
      <c r="H2031" s="645"/>
    </row>
    <row r="2032" spans="3:8">
      <c r="C2032" s="646" t="s">
        <v>8</v>
      </c>
      <c r="D2032" s="647">
        <v>28.18</v>
      </c>
      <c r="E2032" s="643">
        <f>150000000/100000000</f>
        <v>1.5</v>
      </c>
      <c r="F2032" s="645"/>
      <c r="G2032" s="645"/>
      <c r="H2032" s="645"/>
    </row>
    <row r="2033" spans="1:56">
      <c r="C2033" s="646" t="s">
        <v>977</v>
      </c>
      <c r="D2033" s="647">
        <v>23.24</v>
      </c>
      <c r="E2033" s="643">
        <f>150000000/100000000</f>
        <v>1.5</v>
      </c>
      <c r="F2033" s="645"/>
      <c r="G2033" s="645"/>
      <c r="H2033" s="645"/>
    </row>
    <row r="2035" spans="1:56" s="663" customFormat="1">
      <c r="A2035" s="663" t="s">
        <v>2861</v>
      </c>
      <c r="B2035" s="665" t="s">
        <v>2036</v>
      </c>
      <c r="C2035" s="667" t="s">
        <v>126</v>
      </c>
      <c r="D2035" s="667" t="s">
        <v>1583</v>
      </c>
      <c r="E2035" s="667" t="s">
        <v>4</v>
      </c>
      <c r="F2035" s="667" t="s">
        <v>2860</v>
      </c>
      <c r="G2035" s="667" t="s">
        <v>2859</v>
      </c>
      <c r="H2035" s="667" t="s">
        <v>2858</v>
      </c>
      <c r="I2035" s="667" t="s">
        <v>751</v>
      </c>
      <c r="J2035" s="665" t="s">
        <v>274</v>
      </c>
      <c r="K2035" s="665" t="s">
        <v>273</v>
      </c>
      <c r="L2035" s="665" t="s">
        <v>116</v>
      </c>
      <c r="M2035" s="665" t="s">
        <v>110</v>
      </c>
      <c r="N2035" s="665" t="s">
        <v>276</v>
      </c>
      <c r="O2035" s="667" t="s">
        <v>1311</v>
      </c>
      <c r="P2035" s="665" t="s">
        <v>275</v>
      </c>
      <c r="Q2035" s="665" t="s">
        <v>111</v>
      </c>
      <c r="R2035" s="665" t="s">
        <v>2857</v>
      </c>
      <c r="S2035" s="665" t="s">
        <v>747</v>
      </c>
      <c r="T2035" s="667" t="s">
        <v>12</v>
      </c>
      <c r="U2035" s="666" t="s">
        <v>948</v>
      </c>
      <c r="V2035" s="665" t="s">
        <v>129</v>
      </c>
      <c r="W2035" s="665" t="s">
        <v>220</v>
      </c>
      <c r="X2035" s="665" t="s">
        <v>749</v>
      </c>
      <c r="Y2035" s="665" t="s">
        <v>750</v>
      </c>
      <c r="Z2035" s="665" t="s">
        <v>748</v>
      </c>
      <c r="BB2035" s="664"/>
      <c r="BD2035" s="664"/>
    </row>
    <row r="2036" spans="1:56">
      <c r="A2036" s="642" t="s">
        <v>2078</v>
      </c>
      <c r="B2036" s="1436">
        <v>148</v>
      </c>
      <c r="C2036" s="1437" t="s">
        <v>4213</v>
      </c>
      <c r="D2036" s="662" t="s">
        <v>2372</v>
      </c>
      <c r="E2036" s="662" t="s">
        <v>2371</v>
      </c>
      <c r="F2036" s="661">
        <v>10.3</v>
      </c>
      <c r="G2036" s="660">
        <v>10.3</v>
      </c>
      <c r="H2036" s="659">
        <f>L2036*R2036</f>
        <v>153.96167624999998</v>
      </c>
      <c r="I2036" s="656">
        <f>F2036/H2036</f>
        <v>6.6899765258953539E-2</v>
      </c>
      <c r="J2036" s="658" t="s">
        <v>2944</v>
      </c>
      <c r="K2036" s="645" t="s">
        <v>2370</v>
      </c>
      <c r="L2036" s="645">
        <v>45.3</v>
      </c>
      <c r="M2036" s="658">
        <v>21.48</v>
      </c>
      <c r="N2036" s="653">
        <f>M2036/L2036</f>
        <v>0.47417218543046363</v>
      </c>
      <c r="O2036" s="656">
        <v>43.31</v>
      </c>
      <c r="P2036" s="653">
        <f>O2036/L2036</f>
        <v>0.95607064017660059</v>
      </c>
      <c r="Q2036" s="645">
        <v>7</v>
      </c>
      <c r="R2036" s="653">
        <v>3.3987124999999998</v>
      </c>
      <c r="S2036" s="645" t="s">
        <v>2369</v>
      </c>
      <c r="T2036" s="654">
        <v>42965</v>
      </c>
      <c r="U2036" s="645">
        <v>13.47</v>
      </c>
      <c r="V2036" s="653">
        <f>((U2036*(1+X2036/10)+Y2036/10)/O2036)</f>
        <v>0.78561533133225592</v>
      </c>
      <c r="W2036" s="645" t="s">
        <v>2368</v>
      </c>
      <c r="X2036" s="645">
        <v>15</v>
      </c>
      <c r="Y2036" s="645">
        <v>3.5</v>
      </c>
      <c r="Z2036" s="652" t="s">
        <v>2116</v>
      </c>
      <c r="BB2036" s="651"/>
      <c r="BD2036" s="650"/>
    </row>
    <row r="2037" spans="1:56">
      <c r="C2037" s="648" t="s">
        <v>112</v>
      </c>
      <c r="D2037" s="648" t="s">
        <v>113</v>
      </c>
      <c r="E2037" s="648" t="s">
        <v>943</v>
      </c>
      <c r="F2037" s="649" t="s">
        <v>411</v>
      </c>
      <c r="G2037" s="649" t="s">
        <v>942</v>
      </c>
      <c r="H2037" s="648" t="s">
        <v>231</v>
      </c>
    </row>
    <row r="2038" spans="1:56">
      <c r="C2038" s="646" t="s">
        <v>696</v>
      </c>
      <c r="D2038" s="645"/>
      <c r="E2038" s="645"/>
      <c r="F2038" s="645"/>
      <c r="G2038" s="644">
        <v>6801662</v>
      </c>
      <c r="H2038" s="643">
        <f>294579981.22/100000000</f>
        <v>2.9457998122000002</v>
      </c>
    </row>
    <row r="2039" spans="1:56" ht="15.5">
      <c r="C2039" s="1557" t="s">
        <v>3405</v>
      </c>
      <c r="D2039" s="810">
        <v>41.88</v>
      </c>
      <c r="E2039" s="809">
        <v>2.0939999999999999</v>
      </c>
      <c r="F2039" s="466"/>
      <c r="G2039" s="808"/>
      <c r="H2039" s="808"/>
    </row>
    <row r="2040" spans="1:56" ht="15.5">
      <c r="C2040" s="1559"/>
      <c r="D2040" s="810">
        <v>37.89</v>
      </c>
      <c r="E2040" s="809">
        <v>2.6522999999999999</v>
      </c>
      <c r="F2040" s="466"/>
      <c r="G2040" s="808"/>
      <c r="H2040" s="808"/>
    </row>
    <row r="2041" spans="1:56" ht="15.5">
      <c r="C2041" s="1558"/>
      <c r="D2041" s="810">
        <v>36.29</v>
      </c>
      <c r="E2041" s="809">
        <v>3.0846499999999999</v>
      </c>
      <c r="F2041" s="466"/>
      <c r="G2041" s="808"/>
      <c r="H2041" s="808"/>
    </row>
    <row r="2042" spans="1:56" ht="15.5">
      <c r="C2042" s="813" t="s">
        <v>3404</v>
      </c>
      <c r="D2042" s="810">
        <v>30.18</v>
      </c>
      <c r="E2042" s="809">
        <v>0.82000025760000006</v>
      </c>
      <c r="F2042" s="466"/>
      <c r="G2042" s="808"/>
      <c r="H2042" s="808"/>
    </row>
    <row r="2043" spans="1:56" ht="15.5">
      <c r="C2043" s="1557" t="s">
        <v>3403</v>
      </c>
      <c r="D2043" s="810">
        <v>33</v>
      </c>
      <c r="E2043" s="809">
        <v>0.82000017000000003</v>
      </c>
      <c r="F2043" s="466"/>
      <c r="G2043" s="808"/>
      <c r="H2043" s="808"/>
    </row>
    <row r="2044" spans="1:56" ht="15.5">
      <c r="C2044" s="1559"/>
      <c r="D2044" s="810">
        <v>30</v>
      </c>
      <c r="E2044" s="809">
        <v>1.0000001999999999</v>
      </c>
      <c r="F2044" s="466"/>
      <c r="G2044" s="808"/>
      <c r="H2044" s="808"/>
    </row>
    <row r="2045" spans="1:56" s="119" customFormat="1" ht="17.25" customHeight="1">
      <c r="A2045" s="812"/>
      <c r="B2045" s="1438"/>
      <c r="C2045" s="1558"/>
      <c r="D2045" s="810">
        <v>27</v>
      </c>
      <c r="E2045" s="809">
        <v>1.2000001499999999</v>
      </c>
      <c r="F2045" s="466"/>
      <c r="G2045" s="808"/>
      <c r="H2045" s="808"/>
    </row>
    <row r="2046" spans="1:56" s="119" customFormat="1" ht="17.25" customHeight="1">
      <c r="A2046" s="812"/>
      <c r="B2046" s="1438"/>
      <c r="C2046" s="1557" t="s">
        <v>3402</v>
      </c>
      <c r="D2046" s="810">
        <v>41</v>
      </c>
      <c r="E2046" s="809">
        <v>0.82</v>
      </c>
      <c r="F2046" s="466"/>
      <c r="G2046" s="808"/>
      <c r="H2046" s="808"/>
    </row>
    <row r="2047" spans="1:56" s="119" customFormat="1" ht="17.25" customHeight="1">
      <c r="A2047" s="812"/>
      <c r="B2047" s="1438"/>
      <c r="C2047" s="1559"/>
      <c r="D2047" s="810">
        <v>39.950000000000003</v>
      </c>
      <c r="E2047" s="809">
        <v>0.82000011700000008</v>
      </c>
      <c r="F2047" s="466"/>
      <c r="G2047" s="808"/>
      <c r="H2047" s="808"/>
    </row>
    <row r="2048" spans="1:56" s="119" customFormat="1" ht="18.75" customHeight="1">
      <c r="A2048" s="806"/>
      <c r="B2048" s="1438"/>
      <c r="C2048" s="1558"/>
      <c r="D2048" s="810">
        <v>38.82</v>
      </c>
      <c r="E2048" s="809">
        <v>0.82000029480000003</v>
      </c>
      <c r="F2048" s="466"/>
      <c r="G2048" s="808"/>
      <c r="H2048" s="808"/>
    </row>
    <row r="2049" spans="1:8" s="119" customFormat="1" ht="17.25" customHeight="1">
      <c r="A2049" s="812"/>
      <c r="B2049" s="1438"/>
      <c r="C2049" s="813" t="s">
        <v>3401</v>
      </c>
      <c r="D2049" s="810">
        <v>38.130000000000003</v>
      </c>
      <c r="E2049" s="809">
        <v>0.82000013939999994</v>
      </c>
      <c r="F2049" s="466"/>
      <c r="G2049" s="808"/>
      <c r="H2049" s="808"/>
    </row>
    <row r="2050" spans="1:8" s="119" customFormat="1" ht="17.25" customHeight="1">
      <c r="A2050" s="812"/>
      <c r="B2050" s="1438"/>
      <c r="C2050" s="813" t="s">
        <v>3400</v>
      </c>
      <c r="D2050" s="810">
        <v>43.85</v>
      </c>
      <c r="E2050" s="809">
        <v>0.82438</v>
      </c>
      <c r="F2050" s="466"/>
      <c r="G2050" s="644">
        <v>1903440</v>
      </c>
      <c r="H2050" s="643">
        <f>82437986.4/100000000</f>
        <v>0.82437986400000007</v>
      </c>
    </row>
    <row r="2051" spans="1:8" s="119" customFormat="1" ht="17.25" customHeight="1">
      <c r="A2051" s="812"/>
      <c r="B2051" s="1438"/>
      <c r="C2051" s="813" t="s">
        <v>3399</v>
      </c>
      <c r="D2051" s="810">
        <v>36</v>
      </c>
      <c r="E2051" s="809">
        <v>0.82079999999999997</v>
      </c>
      <c r="F2051" s="466"/>
      <c r="G2051" s="808"/>
      <c r="H2051" s="808"/>
    </row>
    <row r="2052" spans="1:8" s="119" customFormat="1" ht="17.25" customHeight="1">
      <c r="A2052" s="812"/>
      <c r="B2052" s="1438"/>
      <c r="C2052" s="1557" t="s">
        <v>3398</v>
      </c>
      <c r="D2052" s="810">
        <v>40</v>
      </c>
      <c r="E2052" s="809">
        <v>0.84</v>
      </c>
      <c r="F2052" s="466"/>
      <c r="G2052" s="808"/>
      <c r="H2052" s="808"/>
    </row>
    <row r="2053" spans="1:8" s="119" customFormat="1" ht="17.25" customHeight="1">
      <c r="A2053" s="812"/>
      <c r="B2053" s="1438"/>
      <c r="C2053" s="1558"/>
      <c r="D2053" s="810">
        <v>38</v>
      </c>
      <c r="E2053" s="809">
        <v>1.9379999999999999</v>
      </c>
      <c r="F2053" s="466"/>
      <c r="G2053" s="808"/>
      <c r="H2053" s="808"/>
    </row>
    <row r="2054" spans="1:8" s="119" customFormat="1" ht="17.25" customHeight="1">
      <c r="A2054" s="812"/>
      <c r="B2054" s="1438"/>
      <c r="C2054" s="813" t="s">
        <v>3193</v>
      </c>
      <c r="D2054" s="810">
        <v>30</v>
      </c>
      <c r="E2054" s="809">
        <v>0.82499999999999996</v>
      </c>
      <c r="F2054" s="466"/>
      <c r="G2054" s="808"/>
      <c r="H2054" s="808"/>
    </row>
    <row r="2055" spans="1:8" s="119" customFormat="1" ht="18.75" customHeight="1">
      <c r="A2055" s="806"/>
      <c r="B2055" s="1438"/>
      <c r="C2055" s="813" t="s">
        <v>3397</v>
      </c>
      <c r="D2055" s="810">
        <v>40.520000000000003</v>
      </c>
      <c r="E2055" s="809">
        <v>0.99962839999999997</v>
      </c>
      <c r="F2055" s="466"/>
      <c r="G2055" s="808"/>
      <c r="H2055" s="808"/>
    </row>
    <row r="2056" spans="1:8" s="119" customFormat="1" ht="18.75" customHeight="1">
      <c r="A2056" s="806"/>
      <c r="B2056" s="1438"/>
      <c r="C2056" s="813"/>
      <c r="D2056" s="810">
        <v>38.21</v>
      </c>
      <c r="E2056" s="809">
        <v>1.5998527</v>
      </c>
      <c r="F2056" s="466"/>
      <c r="G2056" s="808"/>
      <c r="H2056" s="808"/>
    </row>
    <row r="2057" spans="1:8" s="119" customFormat="1" ht="18.75" customHeight="1">
      <c r="A2057" s="806"/>
      <c r="B2057" s="1438"/>
      <c r="C2057" s="813" t="s">
        <v>3194</v>
      </c>
      <c r="D2057" s="810">
        <v>43.5</v>
      </c>
      <c r="E2057" s="809">
        <v>1.5051000000000001</v>
      </c>
      <c r="F2057" s="466"/>
      <c r="G2057" s="644">
        <v>3475178</v>
      </c>
      <c r="H2057" s="643">
        <f>150509959.18/100000000</f>
        <v>1.5050995918000001</v>
      </c>
    </row>
    <row r="2058" spans="1:8" s="119" customFormat="1" ht="17.25" customHeight="1">
      <c r="A2058" s="807"/>
      <c r="B2058" s="1438"/>
      <c r="C2058" s="1557" t="s">
        <v>3396</v>
      </c>
      <c r="D2058" s="810">
        <v>41.59</v>
      </c>
      <c r="E2058" s="809">
        <v>0.9000001138</v>
      </c>
      <c r="F2058" s="466"/>
      <c r="G2058" s="808"/>
      <c r="H2058" s="808"/>
    </row>
    <row r="2059" spans="1:8" s="119" customFormat="1" ht="17.25" customHeight="1">
      <c r="A2059" s="807"/>
      <c r="B2059" s="1438"/>
      <c r="C2059" s="1559"/>
      <c r="D2059" s="810">
        <v>40.369999999999997</v>
      </c>
      <c r="E2059" s="809">
        <v>0.95000016209999993</v>
      </c>
      <c r="F2059" s="466"/>
      <c r="G2059" s="808"/>
      <c r="H2059" s="808"/>
    </row>
    <row r="2060" spans="1:8" s="119" customFormat="1" ht="18.75" customHeight="1">
      <c r="A2060" s="806"/>
      <c r="B2060" s="1438"/>
      <c r="C2060" s="1558"/>
      <c r="D2060" s="810">
        <v>39.479999999999997</v>
      </c>
      <c r="E2060" s="809">
        <v>0.99999997439999999</v>
      </c>
      <c r="F2060" s="466"/>
      <c r="G2060" s="808"/>
      <c r="H2060" s="808"/>
    </row>
    <row r="2061" spans="1:8" s="119" customFormat="1" ht="17.25" customHeight="1">
      <c r="A2061" s="807"/>
      <c r="B2061" s="1438"/>
      <c r="C2061" s="1557" t="s">
        <v>3395</v>
      </c>
      <c r="D2061" s="810">
        <v>42</v>
      </c>
      <c r="E2061" s="809">
        <v>0.87799908000000004</v>
      </c>
      <c r="F2061" s="466"/>
      <c r="G2061" s="808"/>
      <c r="H2061" s="808"/>
    </row>
    <row r="2062" spans="1:8" s="119" customFormat="1" ht="17.25" customHeight="1">
      <c r="A2062" s="807"/>
      <c r="B2062" s="1438"/>
      <c r="C2062" s="1559"/>
      <c r="D2062" s="810">
        <v>40.5</v>
      </c>
      <c r="E2062" s="809">
        <v>2.63000034</v>
      </c>
      <c r="F2062" s="466"/>
      <c r="G2062" s="808"/>
      <c r="H2062" s="808"/>
    </row>
    <row r="2063" spans="1:8" s="119" customFormat="1" ht="18.75" customHeight="1">
      <c r="A2063" s="806"/>
      <c r="B2063" s="1438"/>
      <c r="C2063" s="1558"/>
      <c r="D2063" s="810">
        <v>39.799999999999997</v>
      </c>
      <c r="E2063" s="809">
        <v>3.08200056</v>
      </c>
      <c r="F2063" s="466"/>
      <c r="G2063" s="808"/>
      <c r="H2063" s="808"/>
    </row>
    <row r="2064" spans="1:8" s="119" customFormat="1" ht="17.25" customHeight="1">
      <c r="A2064" s="812"/>
      <c r="B2064" s="1438"/>
      <c r="C2064" s="813" t="s">
        <v>3394</v>
      </c>
      <c r="D2064" s="810">
        <v>37.5</v>
      </c>
      <c r="E2064" s="809">
        <v>0.82005375000000003</v>
      </c>
      <c r="F2064" s="466"/>
      <c r="G2064" s="808"/>
      <c r="H2064" s="808"/>
    </row>
    <row r="2065" spans="1:8" s="119" customFormat="1" ht="17.25" customHeight="1">
      <c r="A2065" s="812"/>
      <c r="B2065" s="1438"/>
      <c r="C2065" s="813" t="s">
        <v>3393</v>
      </c>
      <c r="D2065" s="810">
        <v>33.659999999999997</v>
      </c>
      <c r="E2065" s="809">
        <v>0.82000001159999991</v>
      </c>
      <c r="F2065" s="466"/>
      <c r="G2065" s="808"/>
      <c r="H2065" s="808"/>
    </row>
    <row r="2066" spans="1:8" s="119" customFormat="1" ht="17.25" customHeight="1">
      <c r="A2066" s="812"/>
      <c r="B2066" s="1438"/>
      <c r="C2066" s="813"/>
      <c r="D2066" s="810">
        <v>31.32</v>
      </c>
      <c r="E2066" s="809">
        <v>1.0000003068000001</v>
      </c>
      <c r="F2066" s="466"/>
      <c r="G2066" s="808"/>
      <c r="H2066" s="808"/>
    </row>
    <row r="2067" spans="1:8" s="119" customFormat="1" ht="17.25" customHeight="1">
      <c r="A2067" s="812"/>
      <c r="B2067" s="1438"/>
      <c r="C2067" s="813" t="s">
        <v>3392</v>
      </c>
      <c r="D2067" s="810">
        <v>38.5</v>
      </c>
      <c r="E2067" s="809">
        <v>2.5448499999999998</v>
      </c>
      <c r="F2067" s="466"/>
      <c r="G2067" s="808"/>
      <c r="H2067" s="808"/>
    </row>
    <row r="2068" spans="1:8" s="119" customFormat="1" ht="17.25" customHeight="1">
      <c r="A2068" s="812"/>
      <c r="B2068" s="1438"/>
      <c r="C2068" s="813" t="s">
        <v>3391</v>
      </c>
      <c r="D2068" s="810">
        <v>42</v>
      </c>
      <c r="E2068" s="809">
        <v>1.9999996799999999</v>
      </c>
      <c r="F2068" s="466"/>
      <c r="G2068" s="808"/>
      <c r="H2068" s="808"/>
    </row>
    <row r="2069" spans="1:8" s="119" customFormat="1" ht="17.25" customHeight="1">
      <c r="A2069" s="812"/>
      <c r="B2069" s="1438"/>
      <c r="C2069" s="1561" t="s">
        <v>3390</v>
      </c>
      <c r="D2069" s="810">
        <v>37.229999999999997</v>
      </c>
      <c r="E2069" s="809">
        <v>1.0300424100000001</v>
      </c>
      <c r="F2069" s="466"/>
      <c r="G2069" s="808"/>
      <c r="H2069" s="808"/>
    </row>
    <row r="2070" spans="1:8" s="119" customFormat="1" ht="18.75" customHeight="1">
      <c r="A2070" s="806"/>
      <c r="B2070" s="1438"/>
      <c r="C2070" s="1562"/>
      <c r="D2070" s="810">
        <v>35.22</v>
      </c>
      <c r="E2070" s="809">
        <v>1.0300441199999999</v>
      </c>
      <c r="F2070" s="466"/>
      <c r="G2070" s="808"/>
      <c r="H2070" s="808"/>
    </row>
    <row r="2071" spans="1:8" s="119" customFormat="1" ht="17.25" customHeight="1">
      <c r="A2071" s="807"/>
      <c r="B2071" s="1438"/>
      <c r="C2071" s="1563"/>
      <c r="D2071" s="810">
        <v>32.75</v>
      </c>
      <c r="E2071" s="809">
        <v>1.0300530000000001</v>
      </c>
      <c r="F2071" s="466"/>
      <c r="G2071" s="808"/>
      <c r="H2071" s="808"/>
    </row>
    <row r="2072" spans="1:8" s="119" customFormat="1" ht="17.25" customHeight="1">
      <c r="A2072" s="807"/>
      <c r="B2072" s="1438"/>
      <c r="C2072" s="813" t="s">
        <v>3185</v>
      </c>
      <c r="D2072" s="810">
        <v>37.229999999999997</v>
      </c>
      <c r="E2072" s="809">
        <v>0.82278300000000004</v>
      </c>
      <c r="F2072" s="466"/>
      <c r="G2072" s="808"/>
      <c r="H2072" s="808"/>
    </row>
    <row r="2073" spans="1:8" s="119" customFormat="1" ht="18.75" customHeight="1">
      <c r="A2073" s="806"/>
      <c r="B2073" s="1438"/>
      <c r="C2073" s="813" t="s">
        <v>3389</v>
      </c>
      <c r="D2073" s="810">
        <v>32</v>
      </c>
      <c r="E2073" s="809">
        <v>0.82</v>
      </c>
      <c r="F2073" s="466"/>
      <c r="G2073" s="808"/>
      <c r="H2073" s="808"/>
    </row>
    <row r="2074" spans="1:8" s="119" customFormat="1" ht="18.75" customHeight="1">
      <c r="A2074" s="806"/>
      <c r="B2074" s="1438"/>
      <c r="C2074" s="811" t="s">
        <v>3388</v>
      </c>
      <c r="D2074" s="810">
        <v>44.6</v>
      </c>
      <c r="E2074" s="809">
        <v>0.999999792</v>
      </c>
      <c r="F2074" s="466"/>
      <c r="G2074" s="644">
        <v>2308935</v>
      </c>
      <c r="H2074" s="643">
        <f>99999974.85/100000000</f>
        <v>0.99999974849999995</v>
      </c>
    </row>
    <row r="2075" spans="1:8" s="119" customFormat="1" ht="17.25" customHeight="1">
      <c r="A2075" s="812"/>
      <c r="B2075" s="1438"/>
      <c r="C2075" s="1557" t="s">
        <v>3187</v>
      </c>
      <c r="D2075" s="810">
        <v>38</v>
      </c>
      <c r="E2075" s="809">
        <v>0.82003999999999999</v>
      </c>
      <c r="F2075" s="466"/>
      <c r="G2075" s="808"/>
      <c r="H2075" s="808"/>
    </row>
    <row r="2076" spans="1:8" s="119" customFormat="1" ht="17.25" customHeight="1">
      <c r="A2076" s="812"/>
      <c r="B2076" s="1438"/>
      <c r="C2076" s="1558"/>
      <c r="D2076" s="810">
        <v>37.99</v>
      </c>
      <c r="E2076" s="809">
        <v>1.2200397323999999</v>
      </c>
      <c r="F2076" s="466"/>
      <c r="G2076" s="808"/>
      <c r="H2076" s="808"/>
    </row>
    <row r="2077" spans="1:8" s="119" customFormat="1" ht="17.25" customHeight="1">
      <c r="A2077" s="812"/>
      <c r="B2077" s="1438"/>
      <c r="C2077" s="813" t="s">
        <v>3387</v>
      </c>
      <c r="D2077" s="810">
        <v>45.45</v>
      </c>
      <c r="E2077" s="809">
        <v>0.89990999999999999</v>
      </c>
      <c r="F2077" s="466"/>
      <c r="G2077" s="644">
        <v>2077834</v>
      </c>
      <c r="H2077" s="643">
        <f>89990990.54/100000000</f>
        <v>0.89990990540000004</v>
      </c>
    </row>
    <row r="2078" spans="1:8" s="119" customFormat="1" ht="18.75" customHeight="1">
      <c r="A2078" s="806"/>
      <c r="B2078" s="1438"/>
      <c r="C2078" s="1557" t="s">
        <v>3386</v>
      </c>
      <c r="D2078" s="810">
        <v>43.31</v>
      </c>
      <c r="E2078" s="809">
        <v>2.1999994466999997</v>
      </c>
      <c r="F2078" s="466"/>
      <c r="G2078" s="644">
        <v>4785649</v>
      </c>
      <c r="H2078" s="643">
        <f>207266458.19/100000000</f>
        <v>2.0726645818999998</v>
      </c>
    </row>
    <row r="2079" spans="1:8" s="119" customFormat="1" ht="18.75" customHeight="1">
      <c r="A2079" s="806"/>
      <c r="B2079" s="1438"/>
      <c r="C2079" s="1559"/>
      <c r="D2079" s="810">
        <v>42.81</v>
      </c>
      <c r="E2079" s="809">
        <v>2.5999994225999998</v>
      </c>
      <c r="F2079" s="466"/>
      <c r="G2079" s="808"/>
      <c r="H2079" s="808"/>
    </row>
    <row r="2080" spans="1:8" s="119" customFormat="1" ht="37.5" customHeight="1">
      <c r="A2080" s="806"/>
      <c r="B2080" s="1438"/>
      <c r="C2080" s="1558"/>
      <c r="D2080" s="810">
        <v>40.82</v>
      </c>
      <c r="E2080" s="809">
        <v>2.6999988963999999</v>
      </c>
      <c r="F2080" s="466"/>
      <c r="G2080" s="808"/>
      <c r="H2080" s="808"/>
    </row>
    <row r="2081" spans="1:8" s="119" customFormat="1" ht="17.25" customHeight="1">
      <c r="A2081" s="807"/>
      <c r="B2081" s="1438"/>
      <c r="C2081" s="813" t="s">
        <v>3190</v>
      </c>
      <c r="D2081" s="810">
        <v>34.86</v>
      </c>
      <c r="E2081" s="809">
        <v>1.7611059353999998</v>
      </c>
      <c r="F2081" s="466"/>
      <c r="G2081" s="808"/>
      <c r="H2081" s="808"/>
    </row>
    <row r="2082" spans="1:8" s="119" customFormat="1" ht="17.25" customHeight="1">
      <c r="A2082" s="807"/>
      <c r="B2082" s="1438"/>
      <c r="C2082" s="813" t="s">
        <v>3385</v>
      </c>
      <c r="D2082" s="810">
        <v>25.77</v>
      </c>
      <c r="E2082" s="809">
        <v>0.82000139999999999</v>
      </c>
      <c r="F2082" s="466"/>
      <c r="G2082" s="808"/>
      <c r="H2082" s="808"/>
    </row>
    <row r="2083" spans="1:8" s="119" customFormat="1" ht="18.75" customHeight="1">
      <c r="A2083" s="806"/>
      <c r="B2083" s="1438"/>
      <c r="C2083" s="813" t="s">
        <v>3183</v>
      </c>
      <c r="D2083" s="810">
        <v>39.47</v>
      </c>
      <c r="E2083" s="809">
        <v>0.95199863849999999</v>
      </c>
      <c r="F2083" s="466"/>
      <c r="G2083" s="808"/>
      <c r="H2083" s="808"/>
    </row>
    <row r="2084" spans="1:8" s="119" customFormat="1" ht="17.25" customHeight="1">
      <c r="A2084" s="812"/>
      <c r="B2084" s="1438"/>
      <c r="C2084" s="813"/>
      <c r="D2084" s="810">
        <v>38.130000000000003</v>
      </c>
      <c r="E2084" s="809">
        <v>0.99699959939999994</v>
      </c>
      <c r="F2084" s="466"/>
      <c r="G2084" s="808"/>
      <c r="H2084" s="808"/>
    </row>
    <row r="2085" spans="1:8" s="119" customFormat="1" ht="17.25" customHeight="1">
      <c r="A2085" s="812"/>
      <c r="B2085" s="1438"/>
      <c r="C2085" s="813" t="s">
        <v>3384</v>
      </c>
      <c r="D2085" s="810">
        <v>30</v>
      </c>
      <c r="E2085" s="809">
        <v>0.82199999999999995</v>
      </c>
      <c r="F2085" s="466"/>
      <c r="G2085" s="808"/>
      <c r="H2085" s="808"/>
    </row>
    <row r="2086" spans="1:8" s="119" customFormat="1" ht="17.25" customHeight="1">
      <c r="A2086" s="812"/>
      <c r="B2086" s="1438"/>
      <c r="C2086" s="813" t="s">
        <v>3383</v>
      </c>
      <c r="D2086" s="810">
        <v>33.1</v>
      </c>
      <c r="E2086" s="809">
        <v>0.82001939999999995</v>
      </c>
      <c r="F2086" s="466"/>
      <c r="G2086" s="808"/>
      <c r="H2086" s="808"/>
    </row>
    <row r="2087" spans="1:8" s="119" customFormat="1" ht="18.75" customHeight="1">
      <c r="A2087" s="806"/>
      <c r="B2087" s="1438"/>
      <c r="C2087" s="813"/>
      <c r="D2087" s="810">
        <v>31.1</v>
      </c>
      <c r="E2087" s="809">
        <v>1.0000205</v>
      </c>
      <c r="F2087" s="466"/>
      <c r="G2087" s="808"/>
      <c r="H2087" s="808"/>
    </row>
    <row r="2088" spans="1:8" s="119" customFormat="1" ht="18.75" customHeight="1">
      <c r="A2088" s="806"/>
      <c r="B2088" s="1438"/>
      <c r="C2088" s="671" t="s">
        <v>3184</v>
      </c>
      <c r="D2088" s="810">
        <v>44.1</v>
      </c>
      <c r="E2088" s="809">
        <v>1.05214662</v>
      </c>
      <c r="F2088" s="466"/>
      <c r="G2088" s="644">
        <v>2429338</v>
      </c>
      <c r="H2088" s="643">
        <f>105214628.78/100000000</f>
        <v>1.0521462878000001</v>
      </c>
    </row>
    <row r="2089" spans="1:8" s="119" customFormat="1" ht="17.25" customHeight="1">
      <c r="A2089" s="807"/>
      <c r="B2089" s="1438"/>
      <c r="C2089" s="671"/>
      <c r="D2089" s="810">
        <v>42.61</v>
      </c>
      <c r="E2089" s="809">
        <v>1.3699988505</v>
      </c>
      <c r="F2089" s="466"/>
      <c r="G2089" s="808"/>
      <c r="H2089" s="808"/>
    </row>
    <row r="2090" spans="1:8" s="119" customFormat="1" ht="17.25" customHeight="1">
      <c r="A2090" s="807"/>
      <c r="B2090" s="1438"/>
      <c r="C2090" s="671"/>
      <c r="D2090" s="810">
        <v>38.1</v>
      </c>
      <c r="E2090" s="809">
        <v>2.3956578959999999</v>
      </c>
      <c r="F2090" s="466"/>
      <c r="G2090" s="808"/>
      <c r="H2090" s="808"/>
    </row>
    <row r="2091" spans="1:8" s="119" customFormat="1" ht="18.75" customHeight="1">
      <c r="A2091" s="806"/>
      <c r="B2091" s="1438"/>
      <c r="C2091" s="811" t="s">
        <v>3382</v>
      </c>
      <c r="D2091" s="810">
        <v>40.5</v>
      </c>
      <c r="E2091" s="809">
        <v>0.89999991000000001</v>
      </c>
      <c r="F2091" s="466"/>
      <c r="G2091" s="808"/>
      <c r="H2091" s="808"/>
    </row>
    <row r="2092" spans="1:8" s="119" customFormat="1" ht="17.25" customHeight="1">
      <c r="A2092" s="807"/>
      <c r="B2092" s="1438"/>
      <c r="C2092" s="1560" t="s">
        <v>3381</v>
      </c>
      <c r="D2092" s="810">
        <v>38.97</v>
      </c>
      <c r="E2092" s="809">
        <v>1.02035151</v>
      </c>
      <c r="F2092" s="466"/>
      <c r="G2092" s="808"/>
      <c r="H2092" s="808"/>
    </row>
    <row r="2093" spans="1:8" s="119" customFormat="1" ht="17.25" customHeight="1">
      <c r="A2093" s="807"/>
      <c r="B2093" s="1438"/>
      <c r="C2093" s="1560"/>
      <c r="D2093" s="810">
        <v>38</v>
      </c>
      <c r="E2093" s="809">
        <v>1.0210653199999999</v>
      </c>
      <c r="F2093" s="466"/>
      <c r="G2093" s="808"/>
      <c r="H2093" s="808"/>
    </row>
    <row r="2094" spans="1:8" s="119" customFormat="1" ht="17.25" customHeight="1">
      <c r="A2094" s="812"/>
      <c r="B2094" s="1438"/>
      <c r="C2094" s="1560" t="s">
        <v>3192</v>
      </c>
      <c r="D2094" s="810">
        <v>36</v>
      </c>
      <c r="E2094" s="809">
        <v>0.82079999999999997</v>
      </c>
      <c r="F2094" s="466"/>
      <c r="G2094" s="808"/>
      <c r="H2094" s="808"/>
    </row>
    <row r="2095" spans="1:8" s="119" customFormat="1" ht="17.25" customHeight="1">
      <c r="A2095" s="812"/>
      <c r="B2095" s="1438"/>
      <c r="C2095" s="1560"/>
      <c r="D2095" s="810">
        <v>35</v>
      </c>
      <c r="E2095" s="809">
        <v>1.498</v>
      </c>
      <c r="F2095" s="466"/>
      <c r="G2095" s="808"/>
      <c r="H2095" s="808"/>
    </row>
    <row r="2096" spans="1:8" s="119" customFormat="1" ht="17.25" customHeight="1">
      <c r="A2096" s="812"/>
      <c r="B2096" s="1438"/>
      <c r="C2096" s="811" t="s">
        <v>3380</v>
      </c>
      <c r="D2096" s="810">
        <v>37.28</v>
      </c>
      <c r="E2096" s="809">
        <v>1.1184000000000001</v>
      </c>
      <c r="F2096" s="466"/>
      <c r="G2096" s="808"/>
      <c r="H2096" s="808"/>
    </row>
    <row r="2097" spans="1:56" s="119" customFormat="1" ht="37.5" customHeight="1">
      <c r="A2097" s="806"/>
      <c r="B2097" s="1438"/>
    </row>
    <row r="2098" spans="1:56" s="119" customFormat="1" ht="17.25" customHeight="1">
      <c r="A2098" s="807"/>
      <c r="B2098" s="1438"/>
    </row>
    <row r="2099" spans="1:56" s="119" customFormat="1" ht="17.25" customHeight="1">
      <c r="A2099" s="807"/>
      <c r="B2099" s="1438"/>
    </row>
    <row r="2100" spans="1:56" s="119" customFormat="1" ht="17.25" customHeight="1">
      <c r="A2100" s="807"/>
      <c r="B2100" s="1438"/>
    </row>
    <row r="2101" spans="1:56" s="119" customFormat="1" ht="17.25" customHeight="1">
      <c r="A2101" s="807"/>
      <c r="B2101" s="1438"/>
    </row>
    <row r="2102" spans="1:56" s="119" customFormat="1" ht="37.5" customHeight="1">
      <c r="A2102" s="806"/>
      <c r="B2102" s="1438"/>
    </row>
    <row r="2104" spans="1:56" s="663" customFormat="1">
      <c r="A2104" s="663" t="s">
        <v>2861</v>
      </c>
      <c r="B2104" s="665" t="s">
        <v>2036</v>
      </c>
      <c r="C2104" s="667" t="s">
        <v>126</v>
      </c>
      <c r="D2104" s="667" t="s">
        <v>1583</v>
      </c>
      <c r="E2104" s="667" t="s">
        <v>4</v>
      </c>
      <c r="F2104" s="667" t="s">
        <v>2860</v>
      </c>
      <c r="G2104" s="667" t="s">
        <v>2859</v>
      </c>
      <c r="H2104" s="667" t="s">
        <v>2858</v>
      </c>
      <c r="I2104" s="667" t="s">
        <v>751</v>
      </c>
      <c r="J2104" s="665" t="s">
        <v>274</v>
      </c>
      <c r="K2104" s="665" t="s">
        <v>273</v>
      </c>
      <c r="L2104" s="665" t="s">
        <v>116</v>
      </c>
      <c r="M2104" s="665" t="s">
        <v>110</v>
      </c>
      <c r="N2104" s="665" t="s">
        <v>276</v>
      </c>
      <c r="O2104" s="667" t="s">
        <v>1311</v>
      </c>
      <c r="P2104" s="665" t="s">
        <v>275</v>
      </c>
      <c r="Q2104" s="665" t="s">
        <v>111</v>
      </c>
      <c r="R2104" s="665" t="s">
        <v>2857</v>
      </c>
      <c r="S2104" s="665" t="s">
        <v>747</v>
      </c>
      <c r="T2104" s="667" t="s">
        <v>12</v>
      </c>
      <c r="U2104" s="666" t="s">
        <v>948</v>
      </c>
      <c r="V2104" s="665" t="s">
        <v>129</v>
      </c>
      <c r="W2104" s="665" t="s">
        <v>220</v>
      </c>
      <c r="X2104" s="665" t="s">
        <v>749</v>
      </c>
      <c r="Y2104" s="665" t="s">
        <v>750</v>
      </c>
      <c r="Z2104" s="665" t="s">
        <v>748</v>
      </c>
      <c r="BB2104" s="664"/>
      <c r="BD2104" s="664"/>
    </row>
    <row r="2105" spans="1:56">
      <c r="A2105" s="642" t="s">
        <v>2078</v>
      </c>
      <c r="B2105" s="1435">
        <v>149</v>
      </c>
      <c r="C2105" s="1437" t="s">
        <v>2367</v>
      </c>
      <c r="D2105" s="805" t="s">
        <v>2366</v>
      </c>
      <c r="E2105" s="805" t="s">
        <v>2365</v>
      </c>
      <c r="F2105" s="659">
        <v>15</v>
      </c>
      <c r="G2105" s="660">
        <v>15</v>
      </c>
      <c r="H2105" s="659">
        <f>L2105*R2105</f>
        <v>52.287999999999997</v>
      </c>
      <c r="I2105" s="656">
        <f>F2105/H2105</f>
        <v>0.28687270501835987</v>
      </c>
      <c r="J2105" s="645" t="s">
        <v>2968</v>
      </c>
      <c r="K2105" s="645" t="s">
        <v>2089</v>
      </c>
      <c r="L2105" s="645">
        <v>12.16</v>
      </c>
      <c r="M2105" s="645">
        <v>11.17</v>
      </c>
      <c r="N2105" s="653">
        <f>M2105/L2105</f>
        <v>0.91858552631578949</v>
      </c>
      <c r="O2105" s="656">
        <v>11.2</v>
      </c>
      <c r="P2105" s="653">
        <f>O2105/L2105</f>
        <v>0.92105263157894735</v>
      </c>
      <c r="Q2105" s="645">
        <v>6</v>
      </c>
      <c r="R2105" s="645">
        <v>4.3</v>
      </c>
      <c r="S2105" s="645" t="s">
        <v>2364</v>
      </c>
      <c r="T2105" s="654">
        <v>42965</v>
      </c>
      <c r="U2105" s="645">
        <v>11.67</v>
      </c>
      <c r="V2105" s="653">
        <f>((U2105*(1+X2105/10)+Y2105/10)/O2105)</f>
        <v>1.05</v>
      </c>
      <c r="W2105" s="645" t="s">
        <v>2363</v>
      </c>
      <c r="X2105" s="645">
        <v>0</v>
      </c>
      <c r="Y2105" s="645">
        <v>0.89999999999999991</v>
      </c>
      <c r="Z2105" s="652" t="s">
        <v>2362</v>
      </c>
      <c r="BB2105" s="651"/>
      <c r="BD2105" s="650"/>
    </row>
    <row r="2106" spans="1:56">
      <c r="C2106" s="648" t="s">
        <v>112</v>
      </c>
      <c r="D2106" s="648" t="s">
        <v>113</v>
      </c>
      <c r="E2106" s="648" t="s">
        <v>943</v>
      </c>
      <c r="F2106" s="649" t="s">
        <v>411</v>
      </c>
      <c r="G2106" s="649" t="s">
        <v>942</v>
      </c>
      <c r="H2106" s="648" t="s">
        <v>231</v>
      </c>
    </row>
    <row r="2107" spans="1:56" ht="16" customHeight="1">
      <c r="C2107" s="646" t="s">
        <v>664</v>
      </c>
      <c r="D2107" s="647">
        <v>12.9</v>
      </c>
      <c r="E2107" s="643">
        <v>1.55</v>
      </c>
      <c r="F2107" s="644"/>
      <c r="G2107" s="644">
        <f>13839285/10000</f>
        <v>1383.9285</v>
      </c>
      <c r="H2107" s="643">
        <f>154999992/100000000</f>
        <v>1.5499999200000001</v>
      </c>
    </row>
    <row r="2108" spans="1:56">
      <c r="C2108" s="646" t="s">
        <v>3379</v>
      </c>
      <c r="D2108" s="647">
        <v>12</v>
      </c>
      <c r="E2108" s="643">
        <v>1.7</v>
      </c>
      <c r="F2108" s="644"/>
      <c r="G2108" s="644">
        <f>15178571/10000</f>
        <v>1517.8570999999999</v>
      </c>
      <c r="H2108" s="643">
        <f>169999995.2/100000000</f>
        <v>1.699999952</v>
      </c>
    </row>
    <row r="2109" spans="1:56">
      <c r="C2109" s="646"/>
      <c r="D2109" s="647">
        <v>11.6</v>
      </c>
      <c r="E2109" s="643">
        <v>1.7</v>
      </c>
      <c r="F2109" s="644"/>
      <c r="G2109" s="644"/>
      <c r="H2109" s="643"/>
    </row>
    <row r="2110" spans="1:56" ht="16" customHeight="1">
      <c r="C2110" s="646"/>
      <c r="D2110" s="647">
        <v>11.17</v>
      </c>
      <c r="E2110" s="643">
        <v>1.7</v>
      </c>
      <c r="F2110" s="644"/>
      <c r="G2110" s="644"/>
      <c r="H2110" s="643"/>
    </row>
    <row r="2111" spans="1:56">
      <c r="C2111" s="646" t="s">
        <v>300</v>
      </c>
      <c r="D2111" s="647">
        <v>11.5</v>
      </c>
      <c r="E2111" s="643">
        <v>1.5</v>
      </c>
      <c r="F2111" s="644"/>
      <c r="G2111" s="644">
        <f>13392857/10000</f>
        <v>1339.2856999999999</v>
      </c>
      <c r="H2111" s="643">
        <f>149999998.4/100000000</f>
        <v>1.499999984</v>
      </c>
    </row>
    <row r="2112" spans="1:56">
      <c r="C2112" s="646"/>
      <c r="D2112" s="647">
        <v>11.17</v>
      </c>
      <c r="E2112" s="643">
        <v>1.51</v>
      </c>
      <c r="F2112" s="644"/>
      <c r="G2112" s="644"/>
      <c r="H2112" s="643"/>
    </row>
    <row r="2113" spans="1:56">
      <c r="C2113" s="646" t="s">
        <v>115</v>
      </c>
      <c r="D2113" s="647">
        <v>11.5</v>
      </c>
      <c r="E2113" s="643">
        <v>1.96</v>
      </c>
      <c r="F2113" s="644"/>
      <c r="G2113" s="644">
        <f>19821428/10000</f>
        <v>1982.1428000000001</v>
      </c>
      <c r="H2113" s="643">
        <f>221999993.6/100000000</f>
        <v>2.2199999359999998</v>
      </c>
    </row>
    <row r="2114" spans="1:56">
      <c r="C2114" s="646"/>
      <c r="D2114" s="647">
        <v>11.3</v>
      </c>
      <c r="E2114" s="643">
        <v>2.2200000000000002</v>
      </c>
      <c r="F2114" s="644"/>
      <c r="G2114" s="644"/>
      <c r="H2114" s="643"/>
    </row>
    <row r="2115" spans="1:56">
      <c r="C2115" s="646"/>
      <c r="D2115" s="647">
        <v>11.17</v>
      </c>
      <c r="E2115" s="643">
        <v>2.91</v>
      </c>
      <c r="F2115" s="644"/>
      <c r="G2115" s="644"/>
      <c r="H2115" s="643"/>
    </row>
    <row r="2116" spans="1:56" ht="16" customHeight="1">
      <c r="C2116" s="646" t="s">
        <v>278</v>
      </c>
      <c r="D2116" s="647">
        <v>11.3</v>
      </c>
      <c r="E2116" s="643">
        <f>75000/10000</f>
        <v>7.5</v>
      </c>
      <c r="F2116" s="644"/>
      <c r="G2116" s="644">
        <f>66964285/10000</f>
        <v>6696.4285</v>
      </c>
      <c r="H2116" s="643">
        <f>749999992/100000000</f>
        <v>7.4999999199999996</v>
      </c>
    </row>
    <row r="2117" spans="1:56">
      <c r="C2117" s="646" t="s">
        <v>131</v>
      </c>
      <c r="D2117" s="647">
        <v>11.2</v>
      </c>
      <c r="E2117" s="643">
        <f>45000/10000</f>
        <v>4.5</v>
      </c>
      <c r="F2117" s="644"/>
      <c r="G2117" s="644">
        <f>4732145/10000</f>
        <v>473.21449999999999</v>
      </c>
      <c r="H2117" s="643">
        <f>53000024/100000000</f>
        <v>0.53000024000000001</v>
      </c>
    </row>
    <row r="2119" spans="1:56" s="663" customFormat="1" ht="16" customHeight="1">
      <c r="A2119" s="663" t="s">
        <v>2861</v>
      </c>
      <c r="B2119" s="665" t="s">
        <v>2036</v>
      </c>
      <c r="C2119" s="667" t="s">
        <v>126</v>
      </c>
      <c r="D2119" s="667" t="s">
        <v>1583</v>
      </c>
      <c r="E2119" s="667" t="s">
        <v>4</v>
      </c>
      <c r="F2119" s="667" t="s">
        <v>2860</v>
      </c>
      <c r="G2119" s="667" t="s">
        <v>2859</v>
      </c>
      <c r="H2119" s="667" t="s">
        <v>2858</v>
      </c>
      <c r="I2119" s="667" t="s">
        <v>751</v>
      </c>
      <c r="J2119" s="665" t="s">
        <v>274</v>
      </c>
      <c r="K2119" s="665" t="s">
        <v>273</v>
      </c>
      <c r="L2119" s="665" t="s">
        <v>116</v>
      </c>
      <c r="M2119" s="665" t="s">
        <v>110</v>
      </c>
      <c r="N2119" s="665" t="s">
        <v>276</v>
      </c>
      <c r="O2119" s="667" t="s">
        <v>1311</v>
      </c>
      <c r="P2119" s="665" t="s">
        <v>275</v>
      </c>
      <c r="Q2119" s="665" t="s">
        <v>111</v>
      </c>
      <c r="R2119" s="665" t="s">
        <v>2857</v>
      </c>
      <c r="S2119" s="665" t="s">
        <v>747</v>
      </c>
      <c r="T2119" s="667" t="s">
        <v>12</v>
      </c>
      <c r="U2119" s="666" t="s">
        <v>948</v>
      </c>
      <c r="V2119" s="665" t="s">
        <v>129</v>
      </c>
      <c r="W2119" s="665" t="s">
        <v>220</v>
      </c>
      <c r="X2119" s="665" t="s">
        <v>749</v>
      </c>
      <c r="Y2119" s="665" t="s">
        <v>750</v>
      </c>
      <c r="Z2119" s="665" t="s">
        <v>748</v>
      </c>
      <c r="BB2119" s="664"/>
      <c r="BD2119" s="664"/>
    </row>
    <row r="2120" spans="1:56">
      <c r="A2120" s="642" t="s">
        <v>2078</v>
      </c>
      <c r="B2120" s="1436">
        <v>150</v>
      </c>
      <c r="C2120" s="1437" t="s">
        <v>2361</v>
      </c>
      <c r="D2120" s="662" t="s">
        <v>2360</v>
      </c>
      <c r="E2120" s="662" t="s">
        <v>2359</v>
      </c>
      <c r="F2120" s="661">
        <v>11</v>
      </c>
      <c r="G2120" s="660">
        <v>4.0999999999999996</v>
      </c>
      <c r="H2120" s="659">
        <f>L2120*R2120</f>
        <v>47.893144433400003</v>
      </c>
      <c r="I2120" s="656">
        <f>F2120/H2120</f>
        <v>0.22967796602489846</v>
      </c>
      <c r="J2120" s="658" t="s">
        <v>2967</v>
      </c>
      <c r="K2120" s="645" t="s">
        <v>2207</v>
      </c>
      <c r="L2120" s="645">
        <v>9.18</v>
      </c>
      <c r="M2120" s="658">
        <v>8.9600000000000009</v>
      </c>
      <c r="N2120" s="653">
        <f>M2120/L2120</f>
        <v>0.97603485838779969</v>
      </c>
      <c r="O2120" s="656">
        <v>9.02</v>
      </c>
      <c r="P2120" s="653">
        <f>O2120/L2120</f>
        <v>0.98257080610021785</v>
      </c>
      <c r="Q2120" s="645">
        <v>2</v>
      </c>
      <c r="R2120" s="653">
        <v>5.2171181300000002</v>
      </c>
      <c r="S2120" s="645" t="s">
        <v>2358</v>
      </c>
      <c r="T2120" s="654">
        <v>42965</v>
      </c>
      <c r="U2120" s="645">
        <v>8.2799999999999994</v>
      </c>
      <c r="V2120" s="653">
        <f>((U2120*(1+X2120/10)+Y2120/10)/O2120)</f>
        <v>0.94013303769401324</v>
      </c>
      <c r="W2120" s="645" t="s">
        <v>2348</v>
      </c>
      <c r="X2120" s="645">
        <v>0</v>
      </c>
      <c r="Y2120" s="645">
        <v>2</v>
      </c>
      <c r="Z2120" s="652" t="s">
        <v>2093</v>
      </c>
      <c r="BB2120" s="651"/>
      <c r="BD2120" s="650"/>
    </row>
    <row r="2121" spans="1:56">
      <c r="C2121" s="648" t="s">
        <v>112</v>
      </c>
      <c r="D2121" s="648" t="s">
        <v>113</v>
      </c>
      <c r="E2121" s="648" t="s">
        <v>943</v>
      </c>
      <c r="F2121" s="649" t="s">
        <v>411</v>
      </c>
      <c r="G2121" s="649" t="s">
        <v>942</v>
      </c>
      <c r="H2121" s="648" t="s">
        <v>231</v>
      </c>
    </row>
    <row r="2122" spans="1:56" ht="15" customHeight="1">
      <c r="C2122" s="1512" t="s">
        <v>152</v>
      </c>
      <c r="D2122" s="647">
        <v>9.15</v>
      </c>
      <c r="E2122" s="643">
        <v>2.78</v>
      </c>
      <c r="F2122" s="645"/>
      <c r="G2122" s="643">
        <f>3314.8558</f>
        <v>3314.8557999999998</v>
      </c>
      <c r="H2122" s="712">
        <f>G2122*9.02/10000</f>
        <v>2.9899999315999999</v>
      </c>
    </row>
    <row r="2123" spans="1:56">
      <c r="C2123" s="1512"/>
      <c r="D2123" s="647">
        <v>9.02</v>
      </c>
      <c r="E2123" s="643">
        <v>2.99</v>
      </c>
      <c r="F2123" s="645"/>
      <c r="G2123" s="712"/>
      <c r="H2123" s="712"/>
    </row>
    <row r="2124" spans="1:56" ht="28">
      <c r="C2124" s="646" t="s">
        <v>2966</v>
      </c>
      <c r="D2124" s="647">
        <v>9.15</v>
      </c>
      <c r="E2124" s="643">
        <v>1.1100000000000001</v>
      </c>
      <c r="F2124" s="645"/>
      <c r="G2124" s="643">
        <f>1230.5986</f>
        <v>1230.5986</v>
      </c>
      <c r="H2124" s="712">
        <f>G2124*9.02/10000</f>
        <v>1.1099999372</v>
      </c>
    </row>
    <row r="2126" spans="1:56" s="663" customFormat="1">
      <c r="A2126" s="663" t="s">
        <v>2861</v>
      </c>
      <c r="B2126" s="665" t="s">
        <v>2036</v>
      </c>
      <c r="C2126" s="667" t="s">
        <v>126</v>
      </c>
      <c r="D2126" s="667" t="s">
        <v>1583</v>
      </c>
      <c r="E2126" s="667" t="s">
        <v>4</v>
      </c>
      <c r="F2126" s="667" t="s">
        <v>2860</v>
      </c>
      <c r="G2126" s="667" t="s">
        <v>2859</v>
      </c>
      <c r="H2126" s="667" t="s">
        <v>2858</v>
      </c>
      <c r="I2126" s="667" t="s">
        <v>751</v>
      </c>
      <c r="J2126" s="665" t="s">
        <v>274</v>
      </c>
      <c r="K2126" s="665" t="s">
        <v>273</v>
      </c>
      <c r="L2126" s="665" t="s">
        <v>116</v>
      </c>
      <c r="M2126" s="665" t="s">
        <v>110</v>
      </c>
      <c r="N2126" s="665" t="s">
        <v>276</v>
      </c>
      <c r="O2126" s="667" t="s">
        <v>1311</v>
      </c>
      <c r="P2126" s="665" t="s">
        <v>275</v>
      </c>
      <c r="Q2126" s="665" t="s">
        <v>111</v>
      </c>
      <c r="R2126" s="665" t="s">
        <v>2857</v>
      </c>
      <c r="S2126" s="665" t="s">
        <v>747</v>
      </c>
      <c r="T2126" s="667" t="s">
        <v>12</v>
      </c>
      <c r="U2126" s="666" t="s">
        <v>948</v>
      </c>
      <c r="V2126" s="665" t="s">
        <v>129</v>
      </c>
      <c r="W2126" s="665" t="s">
        <v>220</v>
      </c>
      <c r="X2126" s="665" t="s">
        <v>749</v>
      </c>
      <c r="Y2126" s="665" t="s">
        <v>750</v>
      </c>
      <c r="Z2126" s="665" t="s">
        <v>748</v>
      </c>
      <c r="BB2126" s="664"/>
      <c r="BD2126" s="664"/>
    </row>
    <row r="2127" spans="1:56">
      <c r="A2127" s="642" t="s">
        <v>2078</v>
      </c>
      <c r="B2127" s="1436">
        <v>151</v>
      </c>
      <c r="C2127" s="1437" t="s">
        <v>2357</v>
      </c>
      <c r="D2127" s="662" t="s">
        <v>2356</v>
      </c>
      <c r="E2127" s="662" t="s">
        <v>2355</v>
      </c>
      <c r="F2127" s="661">
        <v>11.22</v>
      </c>
      <c r="G2127" s="660">
        <v>11.47</v>
      </c>
      <c r="H2127" s="659">
        <f>L2127*R2127</f>
        <v>33.853859999999997</v>
      </c>
      <c r="I2127" s="656">
        <f>F2127/H2127</f>
        <v>0.33142454065799298</v>
      </c>
      <c r="J2127" s="658" t="s">
        <v>2900</v>
      </c>
      <c r="K2127" s="645" t="s">
        <v>2240</v>
      </c>
      <c r="L2127" s="645">
        <v>13.95</v>
      </c>
      <c r="M2127" s="658">
        <v>12.29</v>
      </c>
      <c r="N2127" s="653">
        <f>M2127/L2127</f>
        <v>0.88100358422939062</v>
      </c>
      <c r="O2127" s="656">
        <v>12.85</v>
      </c>
      <c r="P2127" s="653">
        <f>O2127/L2127</f>
        <v>0.92114695340501795</v>
      </c>
      <c r="Q2127" s="645">
        <v>7</v>
      </c>
      <c r="R2127" s="653">
        <v>2.4268000000000001</v>
      </c>
      <c r="S2127" s="645" t="s">
        <v>2354</v>
      </c>
      <c r="T2127" s="654">
        <v>42968</v>
      </c>
      <c r="U2127" s="645">
        <v>16.170000000000002</v>
      </c>
      <c r="V2127" s="653">
        <f>((U2127*(1+X2127/10)+Y2127/10)/O2127)</f>
        <v>1.2607237354085605</v>
      </c>
      <c r="W2127" s="645" t="s">
        <v>2353</v>
      </c>
      <c r="X2127" s="645">
        <v>0</v>
      </c>
      <c r="Y2127" s="645">
        <v>0.30299999999999999</v>
      </c>
      <c r="Z2127" s="652" t="s">
        <v>2223</v>
      </c>
      <c r="BB2127" s="651"/>
      <c r="BD2127" s="650"/>
    </row>
    <row r="2128" spans="1:56">
      <c r="C2128" s="648" t="s">
        <v>112</v>
      </c>
      <c r="D2128" s="648" t="s">
        <v>113</v>
      </c>
      <c r="E2128" s="648" t="s">
        <v>943</v>
      </c>
      <c r="F2128" s="649" t="s">
        <v>411</v>
      </c>
      <c r="G2128" s="649" t="s">
        <v>942</v>
      </c>
      <c r="H2128" s="648" t="s">
        <v>231</v>
      </c>
    </row>
    <row r="2129" spans="3:8" ht="16" customHeight="1">
      <c r="C2129" s="646" t="s">
        <v>955</v>
      </c>
      <c r="D2129" s="647">
        <v>14.01</v>
      </c>
      <c r="E2129" s="643">
        <v>1.2</v>
      </c>
      <c r="F2129" s="645"/>
      <c r="G2129" s="647">
        <f>933.8521</f>
        <v>933.85209999999995</v>
      </c>
      <c r="H2129" s="647">
        <f>11999.999485/10000</f>
        <v>1.1999999485000001</v>
      </c>
    </row>
    <row r="2130" spans="3:8" ht="15" customHeight="1">
      <c r="C2130" s="1512" t="s">
        <v>1065</v>
      </c>
      <c r="D2130" s="647">
        <v>14.25</v>
      </c>
      <c r="E2130" s="643">
        <v>1.3</v>
      </c>
      <c r="F2130" s="645"/>
      <c r="G2130" s="647">
        <f>1245.1361</f>
        <v>1245.1360999999999</v>
      </c>
      <c r="H2130" s="647">
        <f>15999.998885/10000</f>
        <v>1.5999998885000002</v>
      </c>
    </row>
    <row r="2131" spans="3:8">
      <c r="C2131" s="1512"/>
      <c r="D2131" s="647">
        <v>13</v>
      </c>
      <c r="E2131" s="643">
        <v>1.6</v>
      </c>
      <c r="F2131" s="645"/>
      <c r="G2131" s="653"/>
      <c r="H2131" s="653"/>
    </row>
    <row r="2132" spans="3:8">
      <c r="C2132" s="646" t="s">
        <v>128</v>
      </c>
      <c r="D2132" s="647">
        <v>12.31</v>
      </c>
      <c r="E2132" s="643">
        <v>1.2</v>
      </c>
      <c r="F2132" s="645"/>
      <c r="G2132" s="653"/>
      <c r="H2132" s="653"/>
    </row>
    <row r="2133" spans="3:8" ht="15" customHeight="1">
      <c r="C2133" s="1512" t="s">
        <v>173</v>
      </c>
      <c r="D2133" s="647">
        <v>13.83</v>
      </c>
      <c r="E2133" s="643">
        <v>1.86</v>
      </c>
      <c r="F2133" s="645"/>
      <c r="G2133" s="647">
        <f>1447.4708</f>
        <v>1447.4708000000001</v>
      </c>
      <c r="H2133" s="647">
        <f>18599.99978/10000</f>
        <v>1.8599999779999998</v>
      </c>
    </row>
    <row r="2134" spans="3:8">
      <c r="C2134" s="1512"/>
      <c r="D2134" s="647">
        <v>12.82</v>
      </c>
      <c r="E2134" s="643">
        <v>2.06</v>
      </c>
      <c r="F2134" s="645"/>
      <c r="G2134" s="653"/>
      <c r="H2134" s="653"/>
    </row>
    <row r="2135" spans="3:8" ht="15" customHeight="1">
      <c r="C2135" s="1512" t="s">
        <v>115</v>
      </c>
      <c r="D2135" s="647">
        <v>12.82</v>
      </c>
      <c r="E2135" s="643">
        <v>1.83</v>
      </c>
      <c r="F2135" s="645"/>
      <c r="G2135" s="653"/>
      <c r="H2135" s="653"/>
    </row>
    <row r="2136" spans="3:8">
      <c r="C2136" s="1512"/>
      <c r="D2136" s="647">
        <v>12.5</v>
      </c>
      <c r="E2136" s="643">
        <f>33100/10000</f>
        <v>3.31</v>
      </c>
      <c r="F2136" s="645"/>
      <c r="G2136" s="653"/>
      <c r="H2136" s="653"/>
    </row>
    <row r="2137" spans="3:8">
      <c r="C2137" s="679"/>
      <c r="D2137" s="647">
        <v>12.29</v>
      </c>
      <c r="E2137" s="643">
        <f>36200/10000</f>
        <v>3.62</v>
      </c>
      <c r="F2137" s="645"/>
      <c r="G2137" s="653"/>
      <c r="H2137" s="653"/>
    </row>
    <row r="2138" spans="3:8">
      <c r="C2138" s="646" t="s">
        <v>234</v>
      </c>
      <c r="D2138" s="647">
        <v>12.83</v>
      </c>
      <c r="E2138" s="643">
        <v>1.2</v>
      </c>
      <c r="F2138" s="645"/>
      <c r="G2138" s="653"/>
      <c r="H2138" s="653"/>
    </row>
    <row r="2139" spans="3:8" ht="16" customHeight="1">
      <c r="C2139" s="646" t="s">
        <v>966</v>
      </c>
      <c r="D2139" s="647">
        <v>12.85</v>
      </c>
      <c r="E2139" s="643">
        <v>1.2</v>
      </c>
      <c r="F2139" s="645"/>
      <c r="G2139" s="647">
        <f>165.4424</f>
        <v>165.44239999999999</v>
      </c>
      <c r="H2139" s="647">
        <f>2125.93484/10000</f>
        <v>0.212593484</v>
      </c>
    </row>
    <row r="2140" spans="3:8">
      <c r="C2140" s="646" t="s">
        <v>131</v>
      </c>
      <c r="D2140" s="647">
        <v>12.29</v>
      </c>
      <c r="E2140" s="643">
        <v>1.35</v>
      </c>
      <c r="F2140" s="645"/>
      <c r="G2140" s="653"/>
      <c r="H2140" s="653"/>
    </row>
    <row r="2141" spans="3:8" ht="15" customHeight="1">
      <c r="C2141" s="1512" t="s">
        <v>146</v>
      </c>
      <c r="D2141" s="647">
        <v>14.2</v>
      </c>
      <c r="E2141" s="643">
        <f>40000/10000</f>
        <v>4</v>
      </c>
      <c r="F2141" s="645"/>
      <c r="G2141" s="647">
        <f>3112.8404</f>
        <v>3112.8404</v>
      </c>
      <c r="H2141" s="647">
        <f>39999.99914/10000</f>
        <v>3.999999914</v>
      </c>
    </row>
    <row r="2142" spans="3:8" ht="16" customHeight="1">
      <c r="C2142" s="1512"/>
      <c r="D2142" s="647">
        <v>12.9</v>
      </c>
      <c r="E2142" s="643">
        <f>40000/10000</f>
        <v>4</v>
      </c>
      <c r="F2142" s="645"/>
      <c r="G2142" s="653"/>
      <c r="H2142" s="653"/>
    </row>
    <row r="2143" spans="3:8">
      <c r="C2143" s="646" t="s">
        <v>121</v>
      </c>
      <c r="D2143" s="647">
        <v>12.4</v>
      </c>
      <c r="E2143" s="643">
        <v>1.2</v>
      </c>
      <c r="F2143" s="645"/>
      <c r="G2143" s="653"/>
      <c r="H2143" s="653"/>
    </row>
    <row r="2144" spans="3:8">
      <c r="C2144" s="646" t="s">
        <v>147</v>
      </c>
      <c r="D2144" s="647">
        <v>12.38</v>
      </c>
      <c r="E2144" s="643">
        <v>1.67</v>
      </c>
      <c r="F2144" s="645"/>
      <c r="G2144" s="653"/>
      <c r="H2144" s="653"/>
    </row>
    <row r="2145" spans="1:56">
      <c r="C2145" s="646" t="s">
        <v>1044</v>
      </c>
      <c r="D2145" s="647">
        <v>16.18</v>
      </c>
      <c r="E2145" s="643">
        <v>1.2</v>
      </c>
      <c r="F2145" s="645"/>
      <c r="G2145" s="647">
        <f>933.8521</f>
        <v>933.85209999999995</v>
      </c>
      <c r="H2145" s="647">
        <f>11999.999485/10000</f>
        <v>1.1999999485000001</v>
      </c>
    </row>
    <row r="2146" spans="1:56">
      <c r="C2146" s="646" t="s">
        <v>2965</v>
      </c>
      <c r="D2146" s="647">
        <v>12.5</v>
      </c>
      <c r="E2146" s="643">
        <v>1.2</v>
      </c>
      <c r="F2146" s="645"/>
      <c r="G2146" s="653"/>
      <c r="H2146" s="653"/>
    </row>
    <row r="2147" spans="1:56" ht="16" customHeight="1">
      <c r="C2147" s="646" t="s">
        <v>2906</v>
      </c>
      <c r="D2147" s="647">
        <v>12.29</v>
      </c>
      <c r="E2147" s="643">
        <v>1.2</v>
      </c>
      <c r="F2147" s="645"/>
      <c r="G2147" s="653"/>
      <c r="H2147" s="653"/>
    </row>
    <row r="2148" spans="1:56">
      <c r="C2148" s="646" t="s">
        <v>2964</v>
      </c>
      <c r="D2148" s="647">
        <v>14.41</v>
      </c>
      <c r="E2148" s="643">
        <v>1.4</v>
      </c>
      <c r="F2148" s="645"/>
      <c r="G2148" s="647">
        <f>1089.4941</f>
        <v>1089.4940999999999</v>
      </c>
      <c r="H2148" s="647">
        <f>13999.999185/10000</f>
        <v>1.3999999185000001</v>
      </c>
    </row>
    <row r="2149" spans="1:56" ht="28">
      <c r="C2149" s="646" t="s">
        <v>2963</v>
      </c>
      <c r="D2149" s="647">
        <v>12.68</v>
      </c>
      <c r="E2149" s="643">
        <v>1.2</v>
      </c>
      <c r="F2149" s="645"/>
      <c r="G2149" s="645"/>
      <c r="H2149" s="645"/>
    </row>
    <row r="2151" spans="1:56" s="663" customFormat="1">
      <c r="A2151" s="663" t="s">
        <v>2861</v>
      </c>
      <c r="B2151" s="665" t="s">
        <v>2036</v>
      </c>
      <c r="C2151" s="667" t="s">
        <v>126</v>
      </c>
      <c r="D2151" s="667" t="s">
        <v>1583</v>
      </c>
      <c r="E2151" s="667" t="s">
        <v>4</v>
      </c>
      <c r="F2151" s="667" t="s">
        <v>2860</v>
      </c>
      <c r="G2151" s="667" t="s">
        <v>2859</v>
      </c>
      <c r="H2151" s="667" t="s">
        <v>2858</v>
      </c>
      <c r="I2151" s="667" t="s">
        <v>751</v>
      </c>
      <c r="J2151" s="665" t="s">
        <v>274</v>
      </c>
      <c r="K2151" s="665" t="s">
        <v>273</v>
      </c>
      <c r="L2151" s="665" t="s">
        <v>116</v>
      </c>
      <c r="M2151" s="665" t="s">
        <v>110</v>
      </c>
      <c r="N2151" s="665" t="s">
        <v>276</v>
      </c>
      <c r="O2151" s="667" t="s">
        <v>1311</v>
      </c>
      <c r="P2151" s="665" t="s">
        <v>275</v>
      </c>
      <c r="Q2151" s="665" t="s">
        <v>111</v>
      </c>
      <c r="R2151" s="665" t="s">
        <v>2857</v>
      </c>
      <c r="S2151" s="665" t="s">
        <v>747</v>
      </c>
      <c r="T2151" s="667" t="s">
        <v>12</v>
      </c>
      <c r="U2151" s="666" t="s">
        <v>948</v>
      </c>
      <c r="V2151" s="665" t="s">
        <v>129</v>
      </c>
      <c r="W2151" s="665" t="s">
        <v>220</v>
      </c>
      <c r="X2151" s="665" t="s">
        <v>749</v>
      </c>
      <c r="Y2151" s="665" t="s">
        <v>750</v>
      </c>
      <c r="Z2151" s="665" t="s">
        <v>748</v>
      </c>
      <c r="BB2151" s="664"/>
      <c r="BD2151" s="664"/>
    </row>
    <row r="2152" spans="1:56" ht="16" customHeight="1">
      <c r="A2152" s="642" t="s">
        <v>2078</v>
      </c>
      <c r="B2152" s="1436">
        <v>152</v>
      </c>
      <c r="C2152" s="1437" t="s">
        <v>2352</v>
      </c>
      <c r="D2152" s="662" t="s">
        <v>2351</v>
      </c>
      <c r="E2152" s="662" t="s">
        <v>2350</v>
      </c>
      <c r="F2152" s="661">
        <v>9.1</v>
      </c>
      <c r="G2152" s="660">
        <v>9.1</v>
      </c>
      <c r="H2152" s="659">
        <f>L2152*R2152</f>
        <v>117.14197966639999</v>
      </c>
      <c r="I2152" s="656">
        <f>F2152/H2152</f>
        <v>7.7683508729451373E-2</v>
      </c>
      <c r="J2152" s="658" t="s">
        <v>2962</v>
      </c>
      <c r="K2152" s="645" t="s">
        <v>2174</v>
      </c>
      <c r="L2152" s="645">
        <v>15.86</v>
      </c>
      <c r="M2152" s="658">
        <v>15.11</v>
      </c>
      <c r="N2152" s="653">
        <f>M2152/L2152</f>
        <v>0.95271122320302648</v>
      </c>
      <c r="O2152" s="656">
        <v>15.41</v>
      </c>
      <c r="P2152" s="653">
        <f>O2152/L2152</f>
        <v>0.97162673392181598</v>
      </c>
      <c r="Q2152" s="645">
        <v>7</v>
      </c>
      <c r="R2152" s="653">
        <v>7.3860012399999997</v>
      </c>
      <c r="S2152" s="645" t="s">
        <v>2349</v>
      </c>
      <c r="T2152" s="654">
        <v>42968</v>
      </c>
      <c r="U2152" s="645">
        <v>11.83</v>
      </c>
      <c r="V2152" s="653">
        <f>((U2152*(1+X2152/10)+Y2152/10)/O2152)</f>
        <v>0.78066190785204403</v>
      </c>
      <c r="W2152" s="645" t="s">
        <v>2348</v>
      </c>
      <c r="X2152" s="645">
        <v>0</v>
      </c>
      <c r="Y2152" s="645">
        <v>2</v>
      </c>
      <c r="Z2152" s="652" t="s">
        <v>2104</v>
      </c>
      <c r="BB2152" s="651"/>
      <c r="BD2152" s="650"/>
    </row>
    <row r="2153" spans="1:56">
      <c r="C2153" s="648" t="s">
        <v>112</v>
      </c>
      <c r="D2153" s="648" t="s">
        <v>113</v>
      </c>
      <c r="E2153" s="648" t="s">
        <v>943</v>
      </c>
      <c r="F2153" s="649" t="s">
        <v>411</v>
      </c>
      <c r="G2153" s="649" t="s">
        <v>942</v>
      </c>
      <c r="H2153" s="648" t="s">
        <v>231</v>
      </c>
    </row>
    <row r="2154" spans="1:56">
      <c r="C2154" s="646" t="s">
        <v>233</v>
      </c>
      <c r="D2154" s="647">
        <v>15.5</v>
      </c>
      <c r="E2154" s="643">
        <v>1.7</v>
      </c>
      <c r="F2154" s="645"/>
      <c r="G2154" s="644">
        <v>1103.1796999999999</v>
      </c>
      <c r="H2154" s="643">
        <f>169999991.77/100000000</f>
        <v>1.6999999177</v>
      </c>
    </row>
    <row r="2155" spans="1:56">
      <c r="C2155" s="646" t="s">
        <v>2961</v>
      </c>
      <c r="D2155" s="647">
        <v>15.69</v>
      </c>
      <c r="E2155" s="643">
        <v>2</v>
      </c>
      <c r="F2155" s="645"/>
      <c r="G2155" s="644">
        <v>1297.8585</v>
      </c>
      <c r="H2155" s="643">
        <f>199999994.85/100000000</f>
        <v>1.9999999485</v>
      </c>
    </row>
    <row r="2156" spans="1:56" ht="16" customHeight="1">
      <c r="C2156" s="646" t="s">
        <v>124</v>
      </c>
      <c r="D2156" s="647">
        <v>15.38</v>
      </c>
      <c r="E2156" s="643">
        <v>1.3</v>
      </c>
      <c r="F2156" s="645"/>
      <c r="G2156" s="645"/>
      <c r="H2156" s="645"/>
    </row>
    <row r="2157" spans="1:56">
      <c r="C2157" s="646" t="s">
        <v>2960</v>
      </c>
      <c r="D2157" s="647">
        <v>15.2</v>
      </c>
      <c r="E2157" s="643">
        <v>1</v>
      </c>
      <c r="F2157" s="645"/>
      <c r="G2157" s="645"/>
      <c r="H2157" s="645"/>
    </row>
    <row r="2158" spans="1:56" ht="16" customHeight="1">
      <c r="C2158" s="646" t="s">
        <v>2959</v>
      </c>
      <c r="D2158" s="647">
        <v>15.5</v>
      </c>
      <c r="E2158" s="643">
        <v>1</v>
      </c>
      <c r="F2158" s="645"/>
      <c r="G2158" s="644">
        <v>648.92920000000004</v>
      </c>
      <c r="H2158" s="643">
        <f>99999989.72/100000000</f>
        <v>0.99999989720000004</v>
      </c>
    </row>
    <row r="2159" spans="1:56" ht="15" customHeight="1">
      <c r="B2159" s="1480"/>
      <c r="C2159" s="1512" t="s">
        <v>336</v>
      </c>
      <c r="D2159" s="647">
        <v>15.22</v>
      </c>
      <c r="E2159" s="643">
        <v>1</v>
      </c>
      <c r="F2159" s="645"/>
      <c r="G2159" s="645"/>
      <c r="H2159" s="645"/>
    </row>
    <row r="2160" spans="1:56">
      <c r="C2160" s="1512"/>
      <c r="D2160" s="647">
        <v>15.21</v>
      </c>
      <c r="E2160" s="643">
        <v>1.8</v>
      </c>
      <c r="F2160" s="645"/>
      <c r="G2160" s="645"/>
      <c r="H2160" s="645"/>
    </row>
    <row r="2161" spans="1:56">
      <c r="C2161" s="1512" t="s">
        <v>2958</v>
      </c>
      <c r="D2161" s="647">
        <v>15.78</v>
      </c>
      <c r="E2161" s="643">
        <v>1</v>
      </c>
      <c r="F2161" s="645"/>
      <c r="G2161" s="644">
        <v>648.92920000000004</v>
      </c>
      <c r="H2161" s="643">
        <f>99999989.72/100000000</f>
        <v>0.99999989720000004</v>
      </c>
    </row>
    <row r="2162" spans="1:56">
      <c r="C2162" s="1512"/>
      <c r="D2162" s="647">
        <v>15.5</v>
      </c>
      <c r="E2162" s="643">
        <v>1</v>
      </c>
      <c r="F2162" s="645"/>
      <c r="G2162" s="645"/>
      <c r="H2162" s="645"/>
    </row>
    <row r="2163" spans="1:56">
      <c r="C2163" s="1512"/>
      <c r="D2163" s="647">
        <v>15.21</v>
      </c>
      <c r="E2163" s="643">
        <v>1</v>
      </c>
      <c r="F2163" s="645"/>
      <c r="G2163" s="645"/>
      <c r="H2163" s="645"/>
    </row>
    <row r="2164" spans="1:56">
      <c r="C2164" s="646" t="s">
        <v>955</v>
      </c>
      <c r="D2164" s="647">
        <v>15.5</v>
      </c>
      <c r="E2164" s="643">
        <v>1</v>
      </c>
      <c r="F2164" s="645"/>
      <c r="G2164" s="644">
        <v>648.92920000000004</v>
      </c>
      <c r="H2164" s="643">
        <f>99999989.72/100000000</f>
        <v>0.99999989720000004</v>
      </c>
    </row>
    <row r="2165" spans="1:56">
      <c r="C2165" s="646" t="s">
        <v>2957</v>
      </c>
      <c r="D2165" s="647">
        <v>15.11</v>
      </c>
      <c r="E2165" s="643">
        <v>1</v>
      </c>
      <c r="F2165" s="645"/>
      <c r="G2165" s="645"/>
      <c r="H2165" s="645"/>
    </row>
    <row r="2166" spans="1:56">
      <c r="C2166" s="1512" t="s">
        <v>115</v>
      </c>
      <c r="D2166" s="647">
        <v>15.85</v>
      </c>
      <c r="E2166" s="643">
        <v>2.39</v>
      </c>
      <c r="F2166" s="645"/>
      <c r="G2166" s="644">
        <v>1550.9409000000001</v>
      </c>
      <c r="H2166" s="643">
        <f>238999992.69/100000000</f>
        <v>2.3899999268999998</v>
      </c>
    </row>
    <row r="2167" spans="1:56">
      <c r="C2167" s="1512"/>
      <c r="D2167" s="647">
        <v>15.18</v>
      </c>
      <c r="E2167" s="643">
        <v>3.02</v>
      </c>
      <c r="F2167" s="645"/>
      <c r="G2167" s="645"/>
      <c r="H2167" s="645"/>
    </row>
    <row r="2168" spans="1:56">
      <c r="C2168" s="1512"/>
      <c r="D2168" s="647">
        <v>15.11</v>
      </c>
      <c r="E2168" s="643">
        <v>3.02</v>
      </c>
      <c r="F2168" s="645"/>
      <c r="G2168" s="645"/>
      <c r="H2168" s="645"/>
    </row>
    <row r="2169" spans="1:56">
      <c r="C2169" s="646" t="s">
        <v>139</v>
      </c>
      <c r="D2169" s="647">
        <v>15.41</v>
      </c>
      <c r="E2169" s="643">
        <v>2.17</v>
      </c>
      <c r="F2169" s="645"/>
      <c r="G2169" s="644">
        <v>6.4896000000000003</v>
      </c>
      <c r="H2169" s="643">
        <f>1000047.36/100000000</f>
        <v>1.00004736E-2</v>
      </c>
    </row>
    <row r="2170" spans="1:56">
      <c r="C2170" s="646" t="s">
        <v>1212</v>
      </c>
      <c r="D2170" s="647">
        <v>15.11</v>
      </c>
      <c r="E2170" s="643">
        <v>1</v>
      </c>
      <c r="F2170" s="645"/>
      <c r="G2170" s="645"/>
      <c r="H2170" s="645"/>
    </row>
    <row r="2172" spans="1:56" s="663" customFormat="1">
      <c r="A2172" s="665" t="s">
        <v>2861</v>
      </c>
      <c r="B2172" s="665" t="s">
        <v>2036</v>
      </c>
      <c r="C2172" s="667" t="s">
        <v>126</v>
      </c>
      <c r="D2172" s="667" t="s">
        <v>1583</v>
      </c>
      <c r="E2172" s="667" t="s">
        <v>4</v>
      </c>
      <c r="F2172" s="667" t="s">
        <v>2860</v>
      </c>
      <c r="G2172" s="667" t="s">
        <v>2859</v>
      </c>
      <c r="H2172" s="667" t="s">
        <v>2858</v>
      </c>
      <c r="I2172" s="678" t="s">
        <v>751</v>
      </c>
      <c r="J2172" s="665" t="s">
        <v>274</v>
      </c>
      <c r="K2172" s="665" t="s">
        <v>273</v>
      </c>
      <c r="L2172" s="665" t="s">
        <v>116</v>
      </c>
      <c r="M2172" s="665" t="s">
        <v>110</v>
      </c>
      <c r="N2172" s="665" t="s">
        <v>276</v>
      </c>
      <c r="O2172" s="667" t="s">
        <v>1311</v>
      </c>
      <c r="P2172" s="665" t="s">
        <v>275</v>
      </c>
      <c r="Q2172" s="665" t="s">
        <v>111</v>
      </c>
      <c r="R2172" s="665" t="s">
        <v>2857</v>
      </c>
      <c r="S2172" s="665" t="s">
        <v>747</v>
      </c>
      <c r="T2172" s="667" t="s">
        <v>12</v>
      </c>
      <c r="U2172" s="666" t="s">
        <v>948</v>
      </c>
      <c r="V2172" s="665" t="s">
        <v>129</v>
      </c>
      <c r="W2172" s="665" t="s">
        <v>220</v>
      </c>
      <c r="X2172" s="665" t="s">
        <v>749</v>
      </c>
      <c r="Y2172" s="665" t="s">
        <v>750</v>
      </c>
      <c r="Z2172" s="665" t="s">
        <v>748</v>
      </c>
      <c r="AA2172" s="665"/>
      <c r="BB2172" s="664"/>
      <c r="BD2172" s="664"/>
    </row>
    <row r="2173" spans="1:56">
      <c r="A2173" s="645" t="s">
        <v>2078</v>
      </c>
      <c r="B2173" s="1436">
        <v>153</v>
      </c>
      <c r="C2173" s="1471" t="s">
        <v>2347</v>
      </c>
      <c r="D2173" s="722" t="s">
        <v>2346</v>
      </c>
      <c r="E2173" s="722" t="s">
        <v>2345</v>
      </c>
      <c r="F2173" s="721">
        <v>18</v>
      </c>
      <c r="G2173" s="656">
        <v>18</v>
      </c>
      <c r="H2173" s="656">
        <f>L2173*R2173</f>
        <v>68.735520022399996</v>
      </c>
      <c r="I2173" s="742">
        <f>F2173/H2173</f>
        <v>0.26187333701896831</v>
      </c>
      <c r="J2173" s="658" t="s">
        <v>2956</v>
      </c>
      <c r="K2173" s="645" t="s">
        <v>204</v>
      </c>
      <c r="L2173" s="645">
        <v>12.76</v>
      </c>
      <c r="M2173" s="658">
        <v>11.54</v>
      </c>
      <c r="N2173" s="653">
        <f>M2173/L2173</f>
        <v>0.90438871473354232</v>
      </c>
      <c r="O2173" s="656">
        <v>11.54</v>
      </c>
      <c r="P2173" s="653">
        <f>O2173/L2173</f>
        <v>0.90438871473354232</v>
      </c>
      <c r="Q2173" s="645">
        <v>7</v>
      </c>
      <c r="R2173" s="653">
        <v>5.3867962399999998</v>
      </c>
      <c r="S2173" s="645" t="s">
        <v>2344</v>
      </c>
      <c r="T2173" s="654">
        <v>42968</v>
      </c>
      <c r="U2173" s="645">
        <v>9.4499999999999993</v>
      </c>
      <c r="V2173" s="653">
        <f>((U2173*(1+X2173/10)+Y2173/10)/O2173)</f>
        <v>1.1551126516464472</v>
      </c>
      <c r="W2173" s="645" t="s">
        <v>2343</v>
      </c>
      <c r="X2173" s="645">
        <v>4</v>
      </c>
      <c r="Y2173" s="645">
        <v>1</v>
      </c>
      <c r="Z2173" s="652" t="s">
        <v>2116</v>
      </c>
      <c r="AA2173" s="645"/>
      <c r="BB2173" s="651"/>
      <c r="BD2173" s="650"/>
    </row>
    <row r="2174" spans="1:56">
      <c r="B2174" s="750"/>
      <c r="C2174" s="804"/>
      <c r="D2174" s="748"/>
      <c r="E2174" s="748"/>
      <c r="F2174" s="747"/>
      <c r="G2174" s="660"/>
      <c r="H2174" s="803"/>
      <c r="I2174" s="660"/>
      <c r="J2174" s="645" t="s">
        <v>3376</v>
      </c>
      <c r="K2174" s="720">
        <v>0.70833333333333337</v>
      </c>
      <c r="L2174" s="259">
        <v>13.62</v>
      </c>
      <c r="M2174" s="259"/>
      <c r="N2174" s="462">
        <f>M2173/L2174</f>
        <v>0.84728340675477243</v>
      </c>
      <c r="O2174" s="782"/>
      <c r="P2174" s="462">
        <f>O2173/L2174</f>
        <v>0.84728340675477243</v>
      </c>
      <c r="R2174" s="699"/>
      <c r="T2174" s="651"/>
      <c r="V2174" s="699"/>
      <c r="Z2174" s="650"/>
      <c r="BB2174" s="651"/>
      <c r="BD2174" s="650"/>
    </row>
    <row r="2175" spans="1:56">
      <c r="C2175" s="802" t="s">
        <v>112</v>
      </c>
      <c r="D2175" s="801" t="s">
        <v>113</v>
      </c>
      <c r="E2175" s="801" t="s">
        <v>943</v>
      </c>
      <c r="F2175" s="800" t="s">
        <v>411</v>
      </c>
      <c r="G2175" s="800" t="s">
        <v>942</v>
      </c>
      <c r="H2175" s="799" t="s">
        <v>231</v>
      </c>
    </row>
    <row r="2176" spans="1:56">
      <c r="C2176" s="792" t="s">
        <v>1983</v>
      </c>
      <c r="D2176" s="796">
        <v>11.9</v>
      </c>
      <c r="E2176" s="795">
        <f>378000000/100000000</f>
        <v>3.78</v>
      </c>
      <c r="G2176" s="794">
        <v>3275.5632000000001</v>
      </c>
      <c r="H2176" s="793">
        <f>377999993.28/100000000</f>
        <v>3.7799999327999996</v>
      </c>
    </row>
    <row r="2177" spans="3:8">
      <c r="C2177" s="798"/>
      <c r="D2177" s="796">
        <v>11.65</v>
      </c>
      <c r="E2177" s="795">
        <f>378000000/100000000</f>
        <v>3.78</v>
      </c>
      <c r="H2177" s="789"/>
    </row>
    <row r="2178" spans="3:8">
      <c r="C2178" s="797" t="s">
        <v>300</v>
      </c>
      <c r="D2178" s="796">
        <v>11.66</v>
      </c>
      <c r="E2178" s="795">
        <f>180200000/100000000</f>
        <v>1.802</v>
      </c>
      <c r="G2178" s="794">
        <v>1561.5251000000001</v>
      </c>
      <c r="H2178" s="793">
        <f>180199996.54/100000000</f>
        <v>1.8019999653999998</v>
      </c>
    </row>
    <row r="2179" spans="3:8">
      <c r="C2179" s="792" t="s">
        <v>3378</v>
      </c>
      <c r="D2179" s="796">
        <v>11.65</v>
      </c>
      <c r="E2179" s="795">
        <f>200000000/100000000</f>
        <v>2</v>
      </c>
      <c r="G2179" s="794">
        <v>1733.1022</v>
      </c>
      <c r="H2179" s="793">
        <f>199999993.88/100000000</f>
        <v>1.9999999388</v>
      </c>
    </row>
    <row r="2180" spans="3:8">
      <c r="C2180" s="798"/>
      <c r="D2180" s="796">
        <v>11.6</v>
      </c>
      <c r="E2180" s="795">
        <f>200000000/100000000</f>
        <v>2</v>
      </c>
      <c r="H2180" s="789"/>
    </row>
    <row r="2181" spans="3:8">
      <c r="C2181" s="792" t="s">
        <v>3377</v>
      </c>
      <c r="D2181" s="796">
        <v>11.57</v>
      </c>
      <c r="E2181" s="795">
        <f>180000000/100000000</f>
        <v>1.8</v>
      </c>
      <c r="G2181" s="794">
        <v>1559.7919999999999</v>
      </c>
      <c r="H2181" s="793">
        <f>179999996.8/100000000</f>
        <v>1.7999999680000001</v>
      </c>
    </row>
    <row r="2182" spans="3:8">
      <c r="C2182" s="798"/>
      <c r="D2182" s="796">
        <v>11.54</v>
      </c>
      <c r="E2182" s="795">
        <f>180000000/100000000</f>
        <v>1.8</v>
      </c>
      <c r="H2182" s="789"/>
    </row>
    <row r="2183" spans="3:8">
      <c r="C2183" s="797" t="s">
        <v>600</v>
      </c>
      <c r="D2183" s="796">
        <v>11.54</v>
      </c>
      <c r="E2183" s="795">
        <f>360000000/100000000</f>
        <v>3.6</v>
      </c>
      <c r="G2183" s="794">
        <v>3119.5839999999998</v>
      </c>
      <c r="H2183" s="793">
        <f>359999993.6/100000000</f>
        <v>3.5999999360000001</v>
      </c>
    </row>
    <row r="2184" spans="3:8">
      <c r="C2184" s="797" t="s">
        <v>965</v>
      </c>
      <c r="D2184" s="796">
        <v>11.54</v>
      </c>
      <c r="E2184" s="795">
        <f>360000000/100000000</f>
        <v>3.6</v>
      </c>
      <c r="G2184" s="794">
        <v>3119.5839999999998</v>
      </c>
      <c r="H2184" s="793">
        <f>359999993.6/100000000</f>
        <v>3.5999999360000001</v>
      </c>
    </row>
    <row r="2185" spans="3:8">
      <c r="C2185" s="797" t="s">
        <v>3258</v>
      </c>
      <c r="D2185" s="796">
        <v>11.54</v>
      </c>
      <c r="E2185" s="795">
        <f>90000000/100000000</f>
        <v>0.9</v>
      </c>
      <c r="H2185" s="789"/>
    </row>
    <row r="2186" spans="3:8">
      <c r="C2186" s="797" t="s">
        <v>229</v>
      </c>
      <c r="D2186" s="796">
        <v>11.54</v>
      </c>
      <c r="E2186" s="795">
        <f>40000000/100000000</f>
        <v>0.4</v>
      </c>
      <c r="H2186" s="789"/>
    </row>
    <row r="2187" spans="3:8">
      <c r="C2187" s="797" t="s">
        <v>115</v>
      </c>
      <c r="D2187" s="796">
        <v>11.54</v>
      </c>
      <c r="E2187" s="795">
        <f>141800000/100000000</f>
        <v>1.4179999999999999</v>
      </c>
      <c r="G2187" s="794">
        <v>1228.7693999999999</v>
      </c>
      <c r="H2187" s="793">
        <f>141799988.76/100000000</f>
        <v>1.4179998876</v>
      </c>
    </row>
    <row r="2188" spans="3:8">
      <c r="C2188" s="792" t="s">
        <v>336</v>
      </c>
      <c r="D2188" s="791">
        <v>11.54</v>
      </c>
      <c r="E2188" s="790">
        <f>50000000/100000000</f>
        <v>0.5</v>
      </c>
      <c r="H2188" s="789"/>
    </row>
    <row r="2189" spans="3:8">
      <c r="C2189" s="646"/>
      <c r="D2189" s="1556" t="s">
        <v>3221</v>
      </c>
      <c r="E2189" s="1556"/>
      <c r="F2189" s="1543" t="s">
        <v>3376</v>
      </c>
      <c r="G2189" s="1543"/>
      <c r="H2189" s="789"/>
    </row>
    <row r="2190" spans="3:8">
      <c r="C2190" s="467" t="s">
        <v>3258</v>
      </c>
      <c r="D2190" s="647">
        <v>11.54</v>
      </c>
      <c r="E2190" s="647">
        <v>0.9</v>
      </c>
      <c r="F2190" s="645"/>
      <c r="G2190" s="645"/>
      <c r="H2190" s="789"/>
    </row>
    <row r="2191" spans="3:8">
      <c r="C2191" s="467" t="s">
        <v>229</v>
      </c>
      <c r="D2191" s="647">
        <v>11.54</v>
      </c>
      <c r="E2191" s="647">
        <v>0.4</v>
      </c>
      <c r="F2191" s="645"/>
      <c r="G2191" s="645"/>
      <c r="H2191" s="789"/>
    </row>
    <row r="2192" spans="3:8">
      <c r="C2192" s="467" t="s">
        <v>115</v>
      </c>
      <c r="D2192" s="647">
        <v>11.54</v>
      </c>
      <c r="E2192" s="647">
        <v>14.18</v>
      </c>
      <c r="F2192" s="645"/>
      <c r="G2192" s="645"/>
      <c r="H2192" s="789"/>
    </row>
    <row r="2193" spans="1:56">
      <c r="C2193" s="467" t="s">
        <v>336</v>
      </c>
      <c r="D2193" s="647">
        <v>11.54</v>
      </c>
      <c r="E2193" s="643">
        <v>0.5</v>
      </c>
      <c r="F2193" s="645"/>
      <c r="G2193" s="645"/>
      <c r="H2193" s="788"/>
    </row>
    <row r="2194" spans="1:56">
      <c r="C2194" s="787"/>
      <c r="D2194" s="779"/>
      <c r="E2194" s="687"/>
    </row>
    <row r="2195" spans="1:56" s="663" customFormat="1">
      <c r="A2195" s="663" t="s">
        <v>2861</v>
      </c>
      <c r="B2195" s="665" t="s">
        <v>2036</v>
      </c>
      <c r="C2195" s="667" t="s">
        <v>126</v>
      </c>
      <c r="D2195" s="667" t="s">
        <v>1583</v>
      </c>
      <c r="E2195" s="667" t="s">
        <v>4</v>
      </c>
      <c r="F2195" s="667" t="s">
        <v>2860</v>
      </c>
      <c r="G2195" s="667" t="s">
        <v>2859</v>
      </c>
      <c r="H2195" s="667" t="s">
        <v>2858</v>
      </c>
      <c r="I2195" s="667" t="s">
        <v>751</v>
      </c>
      <c r="J2195" s="665" t="s">
        <v>274</v>
      </c>
      <c r="K2195" s="665" t="s">
        <v>273</v>
      </c>
      <c r="L2195" s="665" t="s">
        <v>116</v>
      </c>
      <c r="M2195" s="665" t="s">
        <v>110</v>
      </c>
      <c r="N2195" s="665" t="s">
        <v>276</v>
      </c>
      <c r="O2195" s="667" t="s">
        <v>1311</v>
      </c>
      <c r="P2195" s="665" t="s">
        <v>275</v>
      </c>
      <c r="Q2195" s="665" t="s">
        <v>111</v>
      </c>
      <c r="R2195" s="665" t="s">
        <v>2857</v>
      </c>
      <c r="S2195" s="665" t="s">
        <v>747</v>
      </c>
      <c r="T2195" s="667" t="s">
        <v>12</v>
      </c>
      <c r="U2195" s="666" t="s">
        <v>948</v>
      </c>
      <c r="V2195" s="665" t="s">
        <v>129</v>
      </c>
      <c r="W2195" s="665" t="s">
        <v>220</v>
      </c>
      <c r="X2195" s="665" t="s">
        <v>749</v>
      </c>
      <c r="Y2195" s="665" t="s">
        <v>750</v>
      </c>
      <c r="Z2195" s="668" t="s">
        <v>748</v>
      </c>
      <c r="AA2195" s="716"/>
      <c r="BB2195" s="664"/>
      <c r="BD2195" s="664"/>
    </row>
    <row r="2196" spans="1:56">
      <c r="A2196" s="642" t="s">
        <v>2078</v>
      </c>
      <c r="B2196" s="1436">
        <v>154</v>
      </c>
      <c r="C2196" s="786" t="s">
        <v>2342</v>
      </c>
      <c r="D2196" s="652" t="s">
        <v>2341</v>
      </c>
      <c r="E2196" s="652" t="s">
        <v>2340</v>
      </c>
      <c r="F2196" s="656">
        <v>8.6999999999999993</v>
      </c>
      <c r="G2196" s="656">
        <v>8.6999998319999996</v>
      </c>
      <c r="H2196" s="721">
        <f>L2196*R2196</f>
        <v>172.02541708000001</v>
      </c>
      <c r="I2196" s="721">
        <f>F2196/H2196</f>
        <v>5.0573921852223064E-2</v>
      </c>
      <c r="J2196" s="645" t="s">
        <v>2955</v>
      </c>
      <c r="K2196" s="645" t="s">
        <v>2089</v>
      </c>
      <c r="L2196" s="785">
        <v>23</v>
      </c>
      <c r="M2196" s="653">
        <v>22.8</v>
      </c>
      <c r="N2196" s="653">
        <f>M2196/L2196</f>
        <v>0.99130434782608701</v>
      </c>
      <c r="O2196" s="721">
        <v>22.8</v>
      </c>
      <c r="P2196" s="653">
        <f>O2196/L2196</f>
        <v>0.99130434782608701</v>
      </c>
      <c r="Q2196" s="645">
        <v>3</v>
      </c>
      <c r="R2196" s="653">
        <v>7.47936596</v>
      </c>
      <c r="S2196" s="784" t="s">
        <v>2339</v>
      </c>
      <c r="T2196" s="654">
        <v>42984</v>
      </c>
      <c r="U2196" s="781">
        <v>15.12</v>
      </c>
      <c r="V2196" s="653">
        <f>((U2196*(1+X2196/10)+Y2196/10)/O2196)</f>
        <v>0.66469780701754377</v>
      </c>
      <c r="W2196" s="658" t="s">
        <v>2338</v>
      </c>
      <c r="X2196" s="645">
        <v>0</v>
      </c>
      <c r="Y2196" s="645">
        <v>0.35110000000000002</v>
      </c>
      <c r="Z2196" s="783" t="s">
        <v>2337</v>
      </c>
      <c r="AA2196" s="688"/>
      <c r="BB2196" s="749"/>
      <c r="BD2196" s="748"/>
    </row>
    <row r="2197" spans="1:56">
      <c r="B2197" s="1436"/>
      <c r="C2197" s="723"/>
      <c r="D2197" s="652"/>
      <c r="E2197" s="652"/>
      <c r="F2197" s="656"/>
      <c r="G2197" s="656"/>
      <c r="H2197" s="721"/>
      <c r="I2197" s="721"/>
      <c r="J2197" s="645" t="s">
        <v>2954</v>
      </c>
      <c r="K2197" s="720">
        <v>0.47916666666666669</v>
      </c>
      <c r="L2197" s="259">
        <v>23</v>
      </c>
      <c r="M2197" s="259"/>
      <c r="N2197" s="462">
        <f>M2196/L2197</f>
        <v>0.99130434782608701</v>
      </c>
      <c r="O2197" s="782"/>
      <c r="P2197" s="462">
        <f>O2196/L2197</f>
        <v>0.99130434782608701</v>
      </c>
      <c r="Q2197" s="645"/>
      <c r="R2197" s="645"/>
      <c r="S2197" s="645"/>
      <c r="T2197" s="654"/>
      <c r="U2197" s="781"/>
      <c r="V2197" s="653"/>
      <c r="W2197" s="658"/>
      <c r="X2197" s="645"/>
      <c r="Y2197" s="645"/>
      <c r="Z2197" s="655"/>
      <c r="AA2197" s="688"/>
      <c r="BB2197" s="749"/>
      <c r="BD2197" s="748"/>
    </row>
    <row r="2198" spans="1:56">
      <c r="B2198" s="1436"/>
      <c r="C2198" s="723"/>
      <c r="D2198" s="652"/>
      <c r="E2198" s="652"/>
      <c r="F2198" s="656"/>
      <c r="G2198" s="656"/>
      <c r="H2198" s="721"/>
      <c r="I2198" s="721"/>
      <c r="J2198" s="645" t="s">
        <v>3375</v>
      </c>
      <c r="K2198" s="645" t="s">
        <v>2089</v>
      </c>
      <c r="L2198" s="259">
        <v>23</v>
      </c>
      <c r="M2198" s="259"/>
      <c r="N2198" s="462">
        <f>M2196/L2198</f>
        <v>0.99130434782608701</v>
      </c>
      <c r="O2198" s="782"/>
      <c r="P2198" s="462">
        <f>O2196/L2198</f>
        <v>0.99130434782608701</v>
      </c>
      <c r="Q2198" s="645"/>
      <c r="R2198" s="645"/>
      <c r="S2198" s="645"/>
      <c r="T2198" s="654"/>
      <c r="U2198" s="781"/>
      <c r="V2198" s="653"/>
      <c r="W2198" s="658"/>
      <c r="X2198" s="645"/>
      <c r="Y2198" s="645"/>
      <c r="Z2198" s="655"/>
      <c r="AA2198" s="688"/>
      <c r="BB2198" s="749"/>
      <c r="BD2198" s="748"/>
    </row>
    <row r="2199" spans="1:56">
      <c r="C2199" s="648" t="s">
        <v>112</v>
      </c>
      <c r="D2199" s="648" t="s">
        <v>113</v>
      </c>
      <c r="E2199" s="648" t="s">
        <v>943</v>
      </c>
      <c r="F2199" s="649" t="s">
        <v>411</v>
      </c>
      <c r="G2199" s="649" t="s">
        <v>942</v>
      </c>
      <c r="H2199" s="648" t="s">
        <v>231</v>
      </c>
    </row>
    <row r="2200" spans="1:56" ht="19" customHeight="1">
      <c r="C2200" s="645" t="s">
        <v>2953</v>
      </c>
      <c r="D2200" s="780" t="s">
        <v>2952</v>
      </c>
      <c r="E2200" s="712">
        <f>300000000/100000000</f>
        <v>3</v>
      </c>
      <c r="F2200" s="645"/>
      <c r="G2200" s="712">
        <f>13157894/10000</f>
        <v>1315.7893999999999</v>
      </c>
      <c r="H2200" s="712">
        <f>299999983.2/100000000</f>
        <v>2.9999998319999999</v>
      </c>
    </row>
    <row r="2201" spans="1:56">
      <c r="C2201" s="645" t="s">
        <v>1861</v>
      </c>
      <c r="D2201" s="647">
        <v>22.8</v>
      </c>
      <c r="E2201" s="712">
        <f>317600000/100000000</f>
        <v>3.1760000000000002</v>
      </c>
      <c r="F2201" s="645"/>
      <c r="G2201" s="712">
        <f>13929808/10000</f>
        <v>1392.9808</v>
      </c>
      <c r="H2201" s="712">
        <f>317599622.4/100000000</f>
        <v>3.1759962239999999</v>
      </c>
    </row>
    <row r="2202" spans="1:56">
      <c r="C2202" s="645" t="s">
        <v>2951</v>
      </c>
      <c r="D2202" s="647">
        <v>22.8</v>
      </c>
      <c r="E2202" s="712">
        <f>261000000/100000000</f>
        <v>2.61</v>
      </c>
      <c r="F2202" s="645"/>
      <c r="G2202" s="712">
        <f>11070192/10000</f>
        <v>1107.0192</v>
      </c>
      <c r="H2202" s="712">
        <f>252400377.6/100000000</f>
        <v>2.5240037759999998</v>
      </c>
    </row>
    <row r="2203" spans="1:56">
      <c r="C2203" s="707"/>
      <c r="D2203" s="779"/>
      <c r="E2203" s="687"/>
      <c r="G2203" s="778"/>
      <c r="H2203" s="777"/>
    </row>
    <row r="2207" spans="1:56" s="663" customFormat="1">
      <c r="A2207" s="663" t="s">
        <v>2861</v>
      </c>
      <c r="B2207" s="665" t="s">
        <v>2036</v>
      </c>
      <c r="C2207" s="667" t="s">
        <v>126</v>
      </c>
      <c r="D2207" s="667" t="s">
        <v>1583</v>
      </c>
      <c r="E2207" s="667" t="s">
        <v>4</v>
      </c>
      <c r="F2207" s="667" t="s">
        <v>2860</v>
      </c>
      <c r="G2207" s="667" t="s">
        <v>2859</v>
      </c>
      <c r="H2207" s="667" t="s">
        <v>2858</v>
      </c>
      <c r="I2207" s="667" t="s">
        <v>751</v>
      </c>
      <c r="J2207" s="665" t="s">
        <v>274</v>
      </c>
      <c r="K2207" s="665" t="s">
        <v>273</v>
      </c>
      <c r="L2207" s="665" t="s">
        <v>116</v>
      </c>
      <c r="M2207" s="665" t="s">
        <v>110</v>
      </c>
      <c r="N2207" s="665" t="s">
        <v>276</v>
      </c>
      <c r="O2207" s="667" t="s">
        <v>1311</v>
      </c>
      <c r="P2207" s="665" t="s">
        <v>275</v>
      </c>
      <c r="Q2207" s="665" t="s">
        <v>111</v>
      </c>
      <c r="R2207" s="665" t="s">
        <v>2857</v>
      </c>
      <c r="S2207" s="665" t="s">
        <v>747</v>
      </c>
      <c r="T2207" s="667" t="s">
        <v>12</v>
      </c>
      <c r="U2207" s="666" t="s">
        <v>948</v>
      </c>
      <c r="V2207" s="665" t="s">
        <v>129</v>
      </c>
      <c r="W2207" s="665" t="s">
        <v>220</v>
      </c>
      <c r="X2207" s="665" t="s">
        <v>749</v>
      </c>
      <c r="Y2207" s="665" t="s">
        <v>750</v>
      </c>
      <c r="Z2207" s="665" t="s">
        <v>748</v>
      </c>
      <c r="BB2207" s="664"/>
      <c r="BD2207" s="664"/>
    </row>
    <row r="2208" spans="1:56">
      <c r="A2208" s="642" t="s">
        <v>2078</v>
      </c>
      <c r="B2208" s="1436">
        <v>155</v>
      </c>
      <c r="C2208" s="1437" t="s">
        <v>2336</v>
      </c>
      <c r="D2208" s="662" t="s">
        <v>2335</v>
      </c>
      <c r="E2208" s="662" t="s">
        <v>2334</v>
      </c>
      <c r="F2208" s="661">
        <v>11.27</v>
      </c>
      <c r="G2208" s="660">
        <v>11.27</v>
      </c>
      <c r="H2208" s="659">
        <f>L2208*R2208</f>
        <v>71.217434927200003</v>
      </c>
      <c r="I2208" s="656">
        <f>F2208/H2208</f>
        <v>0.15824776631621787</v>
      </c>
      <c r="J2208" s="658" t="s">
        <v>2950</v>
      </c>
      <c r="K2208" s="645" t="s">
        <v>2089</v>
      </c>
      <c r="L2208" s="645">
        <v>22.28</v>
      </c>
      <c r="M2208" s="658">
        <v>15.65</v>
      </c>
      <c r="N2208" s="653">
        <f>M2208/L2208</f>
        <v>0.70242369838420105</v>
      </c>
      <c r="O2208" s="656">
        <v>21</v>
      </c>
      <c r="P2208" s="653">
        <f>O2208/L2208</f>
        <v>0.94254937163375219</v>
      </c>
      <c r="Q2208" s="645">
        <v>7</v>
      </c>
      <c r="R2208" s="653">
        <v>3.1964737400000001</v>
      </c>
      <c r="S2208" s="645" t="s">
        <v>2333</v>
      </c>
      <c r="T2208" s="654">
        <v>42969</v>
      </c>
      <c r="U2208" s="645">
        <v>12.93</v>
      </c>
      <c r="V2208" s="653">
        <f>((U2208*(1+X2208/10)+Y2208/10)/O2208)</f>
        <v>0.6204761904761904</v>
      </c>
      <c r="W2208" s="645" t="s">
        <v>2123</v>
      </c>
      <c r="X2208" s="645">
        <v>0</v>
      </c>
      <c r="Y2208" s="645">
        <v>1</v>
      </c>
      <c r="Z2208" s="652" t="s">
        <v>2332</v>
      </c>
      <c r="BB2208" s="651"/>
      <c r="BD2208" s="650"/>
    </row>
    <row r="2209" spans="3:8">
      <c r="C2209" s="648" t="s">
        <v>112</v>
      </c>
      <c r="D2209" s="648" t="s">
        <v>113</v>
      </c>
      <c r="E2209" s="648" t="s">
        <v>943</v>
      </c>
      <c r="F2209" s="649" t="s">
        <v>411</v>
      </c>
      <c r="G2209" s="649" t="s">
        <v>942</v>
      </c>
      <c r="H2209" s="648" t="s">
        <v>231</v>
      </c>
    </row>
    <row r="2210" spans="3:8">
      <c r="C2210" s="646" t="s">
        <v>316</v>
      </c>
      <c r="D2210" s="647">
        <v>15.65</v>
      </c>
      <c r="E2210" s="643">
        <v>1.1299999999999999</v>
      </c>
      <c r="F2210" s="645"/>
      <c r="G2210" s="645"/>
      <c r="H2210" s="645"/>
    </row>
    <row r="2211" spans="3:8">
      <c r="C2211" s="646" t="s">
        <v>155</v>
      </c>
      <c r="D2211" s="647">
        <v>15.99</v>
      </c>
      <c r="E2211" s="643">
        <v>1.4</v>
      </c>
      <c r="F2211" s="645"/>
      <c r="G2211" s="645"/>
      <c r="H2211" s="645"/>
    </row>
    <row r="2212" spans="3:8">
      <c r="C2212" s="646" t="s">
        <v>1052</v>
      </c>
      <c r="D2212" s="647">
        <v>20.93</v>
      </c>
      <c r="E2212" s="643">
        <v>1.1299999999999999</v>
      </c>
      <c r="F2212" s="645"/>
      <c r="G2212" s="645"/>
      <c r="H2212" s="645"/>
    </row>
    <row r="2213" spans="3:8">
      <c r="C2213" s="646" t="s">
        <v>127</v>
      </c>
      <c r="D2213" s="647">
        <v>17.55</v>
      </c>
      <c r="E2213" s="643">
        <v>1.5</v>
      </c>
      <c r="F2213" s="645"/>
      <c r="G2213" s="645"/>
      <c r="H2213" s="645"/>
    </row>
    <row r="2214" spans="3:8">
      <c r="C2214" s="646" t="s">
        <v>128</v>
      </c>
      <c r="D2214" s="647">
        <v>16.010000000000002</v>
      </c>
      <c r="E2214" s="643">
        <v>1.1299999999999999</v>
      </c>
      <c r="F2214" s="645"/>
      <c r="G2214" s="645"/>
      <c r="H2214" s="645"/>
    </row>
    <row r="2215" spans="3:8">
      <c r="C2215" s="646" t="s">
        <v>955</v>
      </c>
      <c r="D2215" s="647">
        <v>16.809999999999999</v>
      </c>
      <c r="E2215" s="643">
        <v>1.1299999999999999</v>
      </c>
      <c r="F2215" s="645"/>
      <c r="G2215" s="645"/>
      <c r="H2215" s="645"/>
    </row>
    <row r="2216" spans="3:8">
      <c r="C2216" s="646" t="s">
        <v>351</v>
      </c>
      <c r="D2216" s="647">
        <v>17.8</v>
      </c>
      <c r="E2216" s="643">
        <v>1.1299999999999999</v>
      </c>
      <c r="F2216" s="645"/>
      <c r="G2216" s="645"/>
      <c r="H2216" s="645"/>
    </row>
    <row r="2217" spans="3:8">
      <c r="C2217" s="646" t="s">
        <v>1288</v>
      </c>
      <c r="D2217" s="647">
        <v>17.82</v>
      </c>
      <c r="E2217" s="643">
        <v>1.1299999999999999</v>
      </c>
      <c r="F2217" s="645"/>
      <c r="G2217" s="645"/>
      <c r="H2217" s="645"/>
    </row>
    <row r="2218" spans="3:8">
      <c r="C2218" s="646" t="s">
        <v>131</v>
      </c>
      <c r="D2218" s="647">
        <v>15.66</v>
      </c>
      <c r="E2218" s="643">
        <v>2.57</v>
      </c>
      <c r="F2218" s="645"/>
      <c r="G2218" s="645"/>
      <c r="H2218" s="645"/>
    </row>
    <row r="2219" spans="3:8">
      <c r="C2219" s="646" t="s">
        <v>148</v>
      </c>
      <c r="D2219" s="647">
        <v>16</v>
      </c>
      <c r="E2219" s="643">
        <v>1.29</v>
      </c>
      <c r="F2219" s="645"/>
      <c r="G2219" s="645"/>
      <c r="H2219" s="645"/>
    </row>
    <row r="2220" spans="3:8">
      <c r="C2220" s="646" t="s">
        <v>977</v>
      </c>
      <c r="D2220" s="647">
        <v>16.5</v>
      </c>
      <c r="E2220" s="643">
        <v>1.1299999999999999</v>
      </c>
      <c r="F2220" s="645"/>
      <c r="G2220" s="645"/>
      <c r="H2220" s="645"/>
    </row>
    <row r="2221" spans="3:8">
      <c r="C2221" s="1512" t="s">
        <v>115</v>
      </c>
      <c r="D2221" s="647">
        <v>20.3</v>
      </c>
      <c r="E2221" s="643">
        <v>1.2</v>
      </c>
      <c r="F2221" s="645"/>
      <c r="G2221" s="645"/>
      <c r="H2221" s="645"/>
    </row>
    <row r="2222" spans="3:8">
      <c r="C2222" s="1512"/>
      <c r="D2222" s="647">
        <v>20</v>
      </c>
      <c r="E2222" s="643">
        <f>35500/10000</f>
        <v>3.55</v>
      </c>
      <c r="F2222" s="645"/>
      <c r="G2222" s="645"/>
      <c r="H2222" s="645"/>
    </row>
    <row r="2223" spans="3:8">
      <c r="C2223" s="1512"/>
      <c r="D2223" s="647">
        <v>18.899999999999999</v>
      </c>
      <c r="E2223" s="643">
        <f>65000/10000</f>
        <v>6.5</v>
      </c>
      <c r="F2223" s="645"/>
      <c r="G2223" s="645"/>
      <c r="H2223" s="645"/>
    </row>
    <row r="2224" spans="3:8">
      <c r="C2224" s="646" t="s">
        <v>975</v>
      </c>
      <c r="D2224" s="647">
        <v>21.88</v>
      </c>
      <c r="E2224" s="643">
        <v>1.1499999999999999</v>
      </c>
      <c r="F2224" s="645"/>
      <c r="G2224" s="643">
        <f>5476190/10000</f>
        <v>547.61900000000003</v>
      </c>
      <c r="H2224" s="643">
        <f>114999990/100000000</f>
        <v>1.1499999000000001</v>
      </c>
    </row>
    <row r="2225" spans="1:56">
      <c r="C2225" s="646" t="s">
        <v>300</v>
      </c>
      <c r="D2225" s="647">
        <v>16.7</v>
      </c>
      <c r="E2225" s="643">
        <v>1.1299999999999999</v>
      </c>
      <c r="F2225" s="645"/>
      <c r="G2225" s="712"/>
      <c r="H2225" s="712"/>
    </row>
    <row r="2226" spans="1:56">
      <c r="C2226" s="646" t="s">
        <v>960</v>
      </c>
      <c r="D2226" s="647">
        <v>25.5</v>
      </c>
      <c r="E2226" s="643">
        <f>45400/10000</f>
        <v>4.54</v>
      </c>
      <c r="F2226" s="645"/>
      <c r="G2226" s="643">
        <f>21619047/10000</f>
        <v>2161.9047</v>
      </c>
      <c r="H2226" s="643">
        <f>453999987/100000000</f>
        <v>4.5399998699999999</v>
      </c>
    </row>
    <row r="2227" spans="1:56">
      <c r="C2227" s="646" t="s">
        <v>285</v>
      </c>
      <c r="D2227" s="647">
        <v>21.56</v>
      </c>
      <c r="E2227" s="643">
        <v>1.1299999999999999</v>
      </c>
      <c r="F2227" s="645"/>
      <c r="G2227" s="643">
        <f>5380952/10000</f>
        <v>538.09519999999998</v>
      </c>
      <c r="H2227" s="643">
        <f>112999992/100000000</f>
        <v>1.1299999199999999</v>
      </c>
    </row>
    <row r="2228" spans="1:56">
      <c r="C2228" s="1512" t="s">
        <v>133</v>
      </c>
      <c r="D2228" s="647">
        <v>21</v>
      </c>
      <c r="E2228" s="643">
        <v>1.51</v>
      </c>
      <c r="F2228" s="645"/>
      <c r="G2228" s="643">
        <f>7190476/10000</f>
        <v>719.04759999999999</v>
      </c>
      <c r="H2228" s="643">
        <f>150999996/100000000</f>
        <v>1.50999996</v>
      </c>
    </row>
    <row r="2229" spans="1:56">
      <c r="C2229" s="1512"/>
      <c r="D2229" s="647">
        <v>18</v>
      </c>
      <c r="E2229" s="643">
        <f>45000/10000</f>
        <v>4.5</v>
      </c>
      <c r="F2229" s="645"/>
      <c r="G2229" s="712"/>
      <c r="H2229" s="712"/>
    </row>
    <row r="2230" spans="1:56">
      <c r="C2230" s="1512"/>
      <c r="D2230" s="647">
        <v>17</v>
      </c>
      <c r="E2230" s="643">
        <f>45000/10000</f>
        <v>4.5</v>
      </c>
      <c r="F2230" s="645"/>
      <c r="G2230" s="712"/>
      <c r="H2230" s="712"/>
    </row>
    <row r="2231" spans="1:56">
      <c r="C2231" s="646" t="s">
        <v>136</v>
      </c>
      <c r="D2231" s="647">
        <v>18.5</v>
      </c>
      <c r="E2231" s="643">
        <v>1.1299999999999999</v>
      </c>
      <c r="F2231" s="645"/>
      <c r="G2231" s="712"/>
      <c r="H2231" s="712"/>
    </row>
    <row r="2232" spans="1:56">
      <c r="C2232" s="646" t="s">
        <v>147</v>
      </c>
      <c r="D2232" s="647">
        <v>15.66</v>
      </c>
      <c r="E2232" s="643">
        <v>1.94</v>
      </c>
      <c r="F2232" s="645"/>
      <c r="G2232" s="712"/>
      <c r="H2232" s="712"/>
    </row>
    <row r="2233" spans="1:56">
      <c r="C2233" s="646" t="s">
        <v>282</v>
      </c>
      <c r="D2233" s="647">
        <v>21</v>
      </c>
      <c r="E2233" s="643">
        <v>1.2</v>
      </c>
      <c r="F2233" s="645"/>
      <c r="G2233" s="643">
        <f>2302383/10000</f>
        <v>230.23830000000001</v>
      </c>
      <c r="H2233" s="643">
        <f>48350043/100000000</f>
        <v>0.48350042999999998</v>
      </c>
    </row>
    <row r="2234" spans="1:56">
      <c r="C2234" s="646" t="s">
        <v>3275</v>
      </c>
      <c r="D2234" s="647">
        <v>21</v>
      </c>
      <c r="E2234" s="643">
        <v>1.3</v>
      </c>
      <c r="F2234" s="645"/>
      <c r="G2234" s="643">
        <f>6190476/10000</f>
        <v>619.04759999999999</v>
      </c>
      <c r="H2234" s="643">
        <f>129999996/100000000</f>
        <v>1.2999999600000001</v>
      </c>
    </row>
    <row r="2235" spans="1:56">
      <c r="C2235" s="646" t="s">
        <v>278</v>
      </c>
      <c r="D2235" s="647">
        <v>20.2</v>
      </c>
      <c r="E2235" s="643">
        <v>1.1499999999999999</v>
      </c>
      <c r="F2235" s="645"/>
      <c r="G2235" s="712"/>
      <c r="H2235" s="712"/>
    </row>
    <row r="2236" spans="1:56">
      <c r="C2236" s="646" t="s">
        <v>146</v>
      </c>
      <c r="D2236" s="647">
        <v>18.2</v>
      </c>
      <c r="E2236" s="643">
        <v>1.1299999999999999</v>
      </c>
      <c r="F2236" s="645"/>
      <c r="G2236" s="712"/>
      <c r="H2236" s="712"/>
    </row>
    <row r="2237" spans="1:56">
      <c r="C2237" s="646" t="s">
        <v>138</v>
      </c>
      <c r="D2237" s="647">
        <v>18.28</v>
      </c>
      <c r="E2237" s="643">
        <v>1.3</v>
      </c>
      <c r="F2237" s="645"/>
      <c r="G2237" s="712"/>
      <c r="H2237" s="712"/>
    </row>
    <row r="2238" spans="1:56">
      <c r="C2238" s="646" t="s">
        <v>3374</v>
      </c>
      <c r="D2238" s="647">
        <v>22</v>
      </c>
      <c r="E2238" s="643">
        <v>1.1599999999999999</v>
      </c>
      <c r="F2238" s="645"/>
      <c r="G2238" s="643">
        <f>5523809/10000</f>
        <v>552.3809</v>
      </c>
      <c r="H2238" s="643">
        <f>115999989/100000000</f>
        <v>1.1599998899999999</v>
      </c>
    </row>
    <row r="2240" spans="1:56" s="663" customFormat="1">
      <c r="A2240" s="663" t="s">
        <v>2861</v>
      </c>
      <c r="B2240" s="665" t="s">
        <v>2036</v>
      </c>
      <c r="C2240" s="667" t="s">
        <v>126</v>
      </c>
      <c r="D2240" s="667" t="s">
        <v>1583</v>
      </c>
      <c r="E2240" s="667" t="s">
        <v>4</v>
      </c>
      <c r="F2240" s="667" t="s">
        <v>2860</v>
      </c>
      <c r="G2240" s="667" t="s">
        <v>2859</v>
      </c>
      <c r="H2240" s="667" t="s">
        <v>2858</v>
      </c>
      <c r="I2240" s="667" t="s">
        <v>751</v>
      </c>
      <c r="J2240" s="665" t="s">
        <v>274</v>
      </c>
      <c r="K2240" s="665" t="s">
        <v>273</v>
      </c>
      <c r="L2240" s="665" t="s">
        <v>116</v>
      </c>
      <c r="M2240" s="665" t="s">
        <v>110</v>
      </c>
      <c r="N2240" s="665" t="s">
        <v>276</v>
      </c>
      <c r="O2240" s="667" t="s">
        <v>1311</v>
      </c>
      <c r="P2240" s="665" t="s">
        <v>275</v>
      </c>
      <c r="Q2240" s="665" t="s">
        <v>111</v>
      </c>
      <c r="R2240" s="665" t="s">
        <v>2857</v>
      </c>
      <c r="S2240" s="665" t="s">
        <v>747</v>
      </c>
      <c r="T2240" s="667" t="s">
        <v>12</v>
      </c>
      <c r="U2240" s="666" t="s">
        <v>948</v>
      </c>
      <c r="V2240" s="665" t="s">
        <v>129</v>
      </c>
      <c r="W2240" s="665" t="s">
        <v>220</v>
      </c>
      <c r="X2240" s="665" t="s">
        <v>749</v>
      </c>
      <c r="Y2240" s="665" t="s">
        <v>750</v>
      </c>
      <c r="Z2240" s="665" t="s">
        <v>748</v>
      </c>
      <c r="BB2240" s="664"/>
      <c r="BD2240" s="664"/>
    </row>
    <row r="2241" spans="1:56">
      <c r="A2241" s="642" t="s">
        <v>2078</v>
      </c>
      <c r="B2241" s="1436">
        <v>156</v>
      </c>
      <c r="C2241" s="1471" t="s">
        <v>2331</v>
      </c>
      <c r="D2241" s="722" t="s">
        <v>2330</v>
      </c>
      <c r="E2241" s="722" t="s">
        <v>2329</v>
      </c>
      <c r="F2241" s="721">
        <v>21.6</v>
      </c>
      <c r="G2241" s="656">
        <v>21.6</v>
      </c>
      <c r="H2241" s="656">
        <f>L2241*R2241</f>
        <v>135.55880000000002</v>
      </c>
      <c r="I2241" s="656">
        <f>F2241/H2241</f>
        <v>0.15934044857287022</v>
      </c>
      <c r="J2241" s="658" t="s">
        <v>2949</v>
      </c>
      <c r="K2241" s="645" t="s">
        <v>2089</v>
      </c>
      <c r="L2241" s="645">
        <v>17.03</v>
      </c>
      <c r="M2241" s="658">
        <v>13.88</v>
      </c>
      <c r="N2241" s="653">
        <f>M2241/L2241</f>
        <v>0.81503229594832649</v>
      </c>
      <c r="O2241" s="656">
        <v>16.100000000000001</v>
      </c>
      <c r="P2241" s="653">
        <f>O2241/L2241</f>
        <v>0.94539048737522025</v>
      </c>
      <c r="Q2241" s="645">
        <v>9</v>
      </c>
      <c r="R2241" s="645">
        <v>7.96</v>
      </c>
      <c r="S2241" s="645" t="s">
        <v>2328</v>
      </c>
      <c r="T2241" s="654">
        <v>42970</v>
      </c>
      <c r="U2241" s="645">
        <v>15.5</v>
      </c>
      <c r="V2241" s="653">
        <f>((U2241*(1+X2241/10)+Y2241/10)/O2241)</f>
        <v>0.97329192546583843</v>
      </c>
      <c r="W2241" s="645" t="s">
        <v>2327</v>
      </c>
      <c r="X2241" s="645">
        <v>0</v>
      </c>
      <c r="Y2241" s="645">
        <v>1.7000000000000002</v>
      </c>
      <c r="Z2241" s="652" t="s">
        <v>2122</v>
      </c>
      <c r="BB2241" s="651"/>
      <c r="BD2241" s="650"/>
    </row>
    <row r="2242" spans="1:56">
      <c r="C2242" s="648" t="s">
        <v>112</v>
      </c>
      <c r="D2242" s="648" t="s">
        <v>113</v>
      </c>
      <c r="E2242" s="648" t="s">
        <v>943</v>
      </c>
      <c r="F2242" s="649" t="s">
        <v>411</v>
      </c>
      <c r="G2242" s="649" t="s">
        <v>942</v>
      </c>
      <c r="H2242" s="648" t="s">
        <v>231</v>
      </c>
    </row>
    <row r="2243" spans="1:56">
      <c r="C2243" s="1512" t="s">
        <v>352</v>
      </c>
      <c r="D2243" s="647">
        <v>14.36</v>
      </c>
      <c r="E2243" s="643">
        <f>216000000/100000000</f>
        <v>2.16</v>
      </c>
      <c r="F2243" s="645"/>
      <c r="G2243" s="645"/>
      <c r="H2243" s="645"/>
    </row>
    <row r="2244" spans="1:56">
      <c r="C2244" s="1512"/>
      <c r="D2244" s="647">
        <v>13.88</v>
      </c>
      <c r="E2244" s="643">
        <f>432000000/100000000</f>
        <v>4.32</v>
      </c>
      <c r="F2244" s="645"/>
      <c r="G2244" s="645"/>
      <c r="H2244" s="645"/>
    </row>
    <row r="2245" spans="1:56">
      <c r="C2245" s="646" t="s">
        <v>3373</v>
      </c>
      <c r="D2245" s="647">
        <v>17.100000000000001</v>
      </c>
      <c r="E2245" s="643">
        <f>266760000/100000000</f>
        <v>2.6676000000000002</v>
      </c>
      <c r="F2245" s="645"/>
      <c r="G2245" s="644">
        <f>16568944/10000</f>
        <v>1656.8943999999999</v>
      </c>
      <c r="H2245" s="643">
        <f>266759998.4/100000000</f>
        <v>2.6675999840000002</v>
      </c>
      <c r="I2245" s="687"/>
    </row>
    <row r="2246" spans="1:56">
      <c r="C2246" s="1512" t="s">
        <v>131</v>
      </c>
      <c r="D2246" s="647">
        <v>14.21</v>
      </c>
      <c r="E2246" s="643">
        <f>216000000/100000000</f>
        <v>2.16</v>
      </c>
      <c r="F2246" s="645"/>
      <c r="G2246" s="645"/>
      <c r="H2246" s="645"/>
    </row>
    <row r="2247" spans="1:56">
      <c r="C2247" s="1512"/>
      <c r="D2247" s="647">
        <v>14.01</v>
      </c>
      <c r="E2247" s="643">
        <f>309000000/100000000</f>
        <v>3.09</v>
      </c>
      <c r="F2247" s="645"/>
      <c r="G2247" s="645"/>
      <c r="H2247" s="645"/>
    </row>
    <row r="2248" spans="1:56">
      <c r="C2248" s="646" t="s">
        <v>234</v>
      </c>
      <c r="D2248" s="647">
        <v>16.07</v>
      </c>
      <c r="E2248" s="643">
        <f>216000000/100000000</f>
        <v>2.16</v>
      </c>
      <c r="F2248" s="645"/>
      <c r="G2248" s="645"/>
      <c r="H2248" s="645"/>
    </row>
    <row r="2249" spans="1:56">
      <c r="C2249" s="1512" t="s">
        <v>115</v>
      </c>
      <c r="D2249" s="647">
        <v>16.100000000000001</v>
      </c>
      <c r="E2249" s="643">
        <f>254000000/100000000</f>
        <v>2.54</v>
      </c>
      <c r="F2249" s="645"/>
      <c r="G2249" s="644">
        <f>12996273/10000</f>
        <v>1299.6273000000001</v>
      </c>
      <c r="H2249" s="643">
        <f>209239995.3/100000000</f>
        <v>2.0923999530000001</v>
      </c>
      <c r="I2249" s="687"/>
    </row>
    <row r="2250" spans="1:56">
      <c r="C2250" s="1512"/>
      <c r="D2250" s="647">
        <v>15.75</v>
      </c>
      <c r="E2250" s="643">
        <f>613000000/100000000</f>
        <v>6.13</v>
      </c>
      <c r="F2250" s="645"/>
      <c r="G2250" s="645"/>
      <c r="H2250" s="645"/>
    </row>
    <row r="2251" spans="1:56">
      <c r="C2251" s="1512"/>
      <c r="D2251" s="647">
        <v>14.3</v>
      </c>
      <c r="E2251" s="643">
        <f>846000000/100000000</f>
        <v>8.4600000000000009</v>
      </c>
      <c r="F2251" s="645"/>
      <c r="G2251" s="645"/>
      <c r="H2251" s="645"/>
    </row>
    <row r="2252" spans="1:56" ht="28">
      <c r="C2252" s="673" t="s">
        <v>3372</v>
      </c>
      <c r="D2252" s="647">
        <v>17.600000000000001</v>
      </c>
      <c r="E2252" s="643">
        <f t="shared" ref="E2252:E2259" si="1">216000000/100000000</f>
        <v>2.16</v>
      </c>
      <c r="F2252" s="645"/>
      <c r="G2252" s="644">
        <f>13416149/10000</f>
        <v>1341.6149</v>
      </c>
      <c r="H2252" s="643">
        <f>215999998.9/100000000</f>
        <v>2.1599999890000001</v>
      </c>
      <c r="I2252" s="687"/>
    </row>
    <row r="2253" spans="1:56">
      <c r="C2253" s="1512" t="s">
        <v>315</v>
      </c>
      <c r="D2253" s="647">
        <v>17.309999999999999</v>
      </c>
      <c r="E2253" s="643">
        <f t="shared" si="1"/>
        <v>2.16</v>
      </c>
      <c r="F2253" s="645"/>
      <c r="G2253" s="644">
        <f>13416149/10000</f>
        <v>1341.6149</v>
      </c>
      <c r="H2253" s="643">
        <f>215999998.9/100000000</f>
        <v>2.1599999890000001</v>
      </c>
      <c r="I2253" s="687"/>
    </row>
    <row r="2254" spans="1:56">
      <c r="C2254" s="1512"/>
      <c r="D2254" s="647">
        <v>17.21</v>
      </c>
      <c r="E2254" s="643">
        <f t="shared" si="1"/>
        <v>2.16</v>
      </c>
      <c r="F2254" s="645"/>
      <c r="G2254" s="645"/>
      <c r="H2254" s="645"/>
    </row>
    <row r="2255" spans="1:56">
      <c r="C2255" s="1512"/>
      <c r="D2255" s="647">
        <v>17.11</v>
      </c>
      <c r="E2255" s="643">
        <f t="shared" si="1"/>
        <v>2.16</v>
      </c>
      <c r="F2255" s="645"/>
      <c r="G2255" s="645"/>
      <c r="H2255" s="645"/>
    </row>
    <row r="2256" spans="1:56">
      <c r="C2256" s="1512" t="s">
        <v>3371</v>
      </c>
      <c r="D2256" s="647">
        <v>17.3</v>
      </c>
      <c r="E2256" s="643">
        <f t="shared" si="1"/>
        <v>2.16</v>
      </c>
      <c r="F2256" s="645"/>
      <c r="G2256" s="644">
        <f>13416149/10000</f>
        <v>1341.6149</v>
      </c>
      <c r="H2256" s="643">
        <f>215999998.9/100000000</f>
        <v>2.1599999890000001</v>
      </c>
      <c r="I2256" s="687"/>
    </row>
    <row r="2257" spans="1:56">
      <c r="C2257" s="1512"/>
      <c r="D2257" s="647">
        <v>17.2</v>
      </c>
      <c r="E2257" s="643">
        <f t="shared" si="1"/>
        <v>2.16</v>
      </c>
      <c r="F2257" s="645"/>
      <c r="G2257" s="645"/>
      <c r="H2257" s="645"/>
    </row>
    <row r="2258" spans="1:56">
      <c r="C2258" s="1512"/>
      <c r="D2258" s="647">
        <v>17.100000000000001</v>
      </c>
      <c r="E2258" s="643">
        <f t="shared" si="1"/>
        <v>2.16</v>
      </c>
      <c r="F2258" s="645"/>
      <c r="G2258" s="645"/>
      <c r="H2258" s="645"/>
    </row>
    <row r="2259" spans="1:56">
      <c r="C2259" s="1512" t="s">
        <v>278</v>
      </c>
      <c r="D2259" s="647">
        <v>17.5</v>
      </c>
      <c r="E2259" s="643">
        <f t="shared" si="1"/>
        <v>2.16</v>
      </c>
      <c r="F2259" s="645"/>
      <c r="G2259" s="644">
        <f>16708074/10000</f>
        <v>1670.8073999999999</v>
      </c>
      <c r="H2259" s="643">
        <f>268999991.4/100000000</f>
        <v>2.6899999139999999</v>
      </c>
      <c r="I2259" s="687"/>
    </row>
    <row r="2260" spans="1:56">
      <c r="C2260" s="1512"/>
      <c r="D2260" s="647">
        <v>17.2</v>
      </c>
      <c r="E2260" s="643">
        <f>269000000/100000000</f>
        <v>2.69</v>
      </c>
      <c r="F2260" s="645"/>
      <c r="G2260" s="645"/>
      <c r="H2260" s="645"/>
    </row>
    <row r="2261" spans="1:56">
      <c r="C2261" s="646" t="s">
        <v>147</v>
      </c>
      <c r="D2261" s="647">
        <v>14.21</v>
      </c>
      <c r="E2261" s="643">
        <f>321000000/100000000</f>
        <v>3.21</v>
      </c>
      <c r="F2261" s="645"/>
      <c r="G2261" s="645"/>
      <c r="H2261" s="645"/>
    </row>
    <row r="2262" spans="1:56">
      <c r="C2262" s="646" t="s">
        <v>3045</v>
      </c>
      <c r="D2262" s="647">
        <v>16.28</v>
      </c>
      <c r="E2262" s="643">
        <f>331000000/100000000</f>
        <v>3.31</v>
      </c>
      <c r="F2262" s="645"/>
      <c r="G2262" s="644">
        <f>20559006/10000</f>
        <v>2055.9005999999999</v>
      </c>
      <c r="H2262" s="643">
        <f>330999996.6/100000000</f>
        <v>3.3099999660000003</v>
      </c>
      <c r="I2262" s="687"/>
    </row>
    <row r="2263" spans="1:56" ht="28">
      <c r="C2263" s="673" t="s">
        <v>3370</v>
      </c>
      <c r="D2263" s="647">
        <v>14.3</v>
      </c>
      <c r="E2263" s="643">
        <f>216000000/100000000</f>
        <v>2.16</v>
      </c>
      <c r="F2263" s="645"/>
      <c r="G2263" s="645"/>
      <c r="H2263" s="645"/>
    </row>
    <row r="2264" spans="1:56">
      <c r="C2264" s="646" t="s">
        <v>300</v>
      </c>
      <c r="D2264" s="647">
        <v>15.26</v>
      </c>
      <c r="E2264" s="643">
        <f>216000000/100000000</f>
        <v>2.16</v>
      </c>
      <c r="F2264" s="645"/>
      <c r="G2264" s="645"/>
      <c r="H2264" s="645"/>
    </row>
    <row r="2265" spans="1:56">
      <c r="C2265" s="646" t="s">
        <v>6</v>
      </c>
      <c r="D2265" s="647">
        <v>17.3</v>
      </c>
      <c r="E2265" s="643">
        <f>216000000/100000000</f>
        <v>2.16</v>
      </c>
      <c r="F2265" s="645"/>
      <c r="G2265" s="644">
        <f>13416149/10000</f>
        <v>1341.6149</v>
      </c>
      <c r="H2265" s="643">
        <f>215999998.9/100000000</f>
        <v>2.1599999890000001</v>
      </c>
      <c r="I2265" s="687"/>
    </row>
    <row r="2266" spans="1:56">
      <c r="C2266" s="1514"/>
      <c r="D2266" s="647">
        <v>17.2</v>
      </c>
      <c r="E2266" s="643">
        <f>216000000/100000000</f>
        <v>2.16</v>
      </c>
      <c r="F2266" s="645"/>
      <c r="G2266" s="645"/>
      <c r="H2266" s="645"/>
    </row>
    <row r="2267" spans="1:56">
      <c r="C2267" s="1514"/>
      <c r="D2267" s="647">
        <v>17.100000000000001</v>
      </c>
      <c r="E2267" s="643">
        <f>216000000/100000000</f>
        <v>2.16</v>
      </c>
      <c r="F2267" s="645"/>
      <c r="G2267" s="645"/>
      <c r="H2267" s="645"/>
    </row>
    <row r="2268" spans="1:56" ht="28">
      <c r="C2268" s="673" t="s">
        <v>3369</v>
      </c>
      <c r="D2268" s="647">
        <v>17.03</v>
      </c>
      <c r="E2268" s="643">
        <f>220000000/100000000</f>
        <v>2.2000000000000002</v>
      </c>
      <c r="F2268" s="645"/>
      <c r="G2268" s="644">
        <f>13664596/10000</f>
        <v>1366.4595999999999</v>
      </c>
      <c r="H2268" s="643">
        <f>219999995.6/100000000</f>
        <v>2.1999999560000001</v>
      </c>
      <c r="I2268" s="687"/>
    </row>
    <row r="2270" spans="1:56" s="663" customFormat="1">
      <c r="A2270" s="663" t="s">
        <v>2861</v>
      </c>
      <c r="B2270" s="665" t="s">
        <v>2036</v>
      </c>
      <c r="C2270" s="667" t="s">
        <v>126</v>
      </c>
      <c r="D2270" s="667" t="s">
        <v>1583</v>
      </c>
      <c r="E2270" s="667" t="s">
        <v>4</v>
      </c>
      <c r="F2270" s="667" t="s">
        <v>2860</v>
      </c>
      <c r="G2270" s="667" t="s">
        <v>2859</v>
      </c>
      <c r="H2270" s="667" t="s">
        <v>2858</v>
      </c>
      <c r="I2270" s="667" t="s">
        <v>751</v>
      </c>
      <c r="J2270" s="665" t="s">
        <v>274</v>
      </c>
      <c r="K2270" s="665" t="s">
        <v>273</v>
      </c>
      <c r="L2270" s="665" t="s">
        <v>116</v>
      </c>
      <c r="M2270" s="665" t="s">
        <v>110</v>
      </c>
      <c r="N2270" s="665" t="s">
        <v>276</v>
      </c>
      <c r="O2270" s="667" t="s">
        <v>1311</v>
      </c>
      <c r="P2270" s="665" t="s">
        <v>275</v>
      </c>
      <c r="Q2270" s="665" t="s">
        <v>111</v>
      </c>
      <c r="R2270" s="665" t="s">
        <v>2857</v>
      </c>
      <c r="S2270" s="665" t="s">
        <v>747</v>
      </c>
      <c r="T2270" s="667" t="s">
        <v>12</v>
      </c>
      <c r="U2270" s="666" t="s">
        <v>948</v>
      </c>
      <c r="V2270" s="665" t="s">
        <v>129</v>
      </c>
      <c r="W2270" s="665" t="s">
        <v>220</v>
      </c>
      <c r="X2270" s="665" t="s">
        <v>749</v>
      </c>
      <c r="Y2270" s="665" t="s">
        <v>750</v>
      </c>
      <c r="Z2270" s="665" t="s">
        <v>748</v>
      </c>
      <c r="BB2270" s="664"/>
      <c r="BD2270" s="664"/>
    </row>
    <row r="2271" spans="1:56" ht="17" customHeight="1">
      <c r="A2271" s="642" t="s">
        <v>2078</v>
      </c>
      <c r="B2271" s="1436">
        <v>157</v>
      </c>
      <c r="C2271" s="1437" t="s">
        <v>2326</v>
      </c>
      <c r="D2271" s="662" t="s">
        <v>2325</v>
      </c>
      <c r="E2271" s="662" t="s">
        <v>2324</v>
      </c>
      <c r="F2271" s="661">
        <v>8</v>
      </c>
      <c r="G2271" s="660">
        <v>8</v>
      </c>
      <c r="H2271" s="659">
        <f>L2271*R2271</f>
        <v>83.424000000000007</v>
      </c>
      <c r="I2271" s="656">
        <f>F2271/H2271</f>
        <v>9.5895665515918674E-2</v>
      </c>
      <c r="J2271" s="658" t="s">
        <v>2944</v>
      </c>
      <c r="K2271" s="645" t="s">
        <v>2089</v>
      </c>
      <c r="L2271" s="645">
        <v>43.45</v>
      </c>
      <c r="M2271" s="658">
        <v>37.15</v>
      </c>
      <c r="N2271" s="653">
        <f>M2271/L2271</f>
        <v>0.85500575373993082</v>
      </c>
      <c r="O2271" s="656">
        <v>39.51</v>
      </c>
      <c r="P2271" s="653">
        <f>O2271/L2271</f>
        <v>0.90932105868814717</v>
      </c>
      <c r="Q2271" s="645">
        <v>5</v>
      </c>
      <c r="R2271" s="645">
        <v>1.92</v>
      </c>
      <c r="S2271" s="645" t="s">
        <v>2323</v>
      </c>
      <c r="T2271" s="654">
        <v>42969</v>
      </c>
      <c r="U2271" s="645">
        <v>27.82</v>
      </c>
      <c r="V2271" s="653">
        <f>((U2271*(1+X2271/10)+Y2271/10)/O2271)</f>
        <v>0.71171855226524938</v>
      </c>
      <c r="W2271" s="645" t="s">
        <v>2322</v>
      </c>
      <c r="X2271" s="645">
        <v>0</v>
      </c>
      <c r="Y2271" s="645">
        <v>3</v>
      </c>
      <c r="Z2271" s="652" t="s">
        <v>2172</v>
      </c>
      <c r="BB2271" s="651"/>
      <c r="BD2271" s="650"/>
    </row>
    <row r="2272" spans="1:56">
      <c r="C2272" s="648" t="s">
        <v>112</v>
      </c>
      <c r="D2272" s="648" t="s">
        <v>113</v>
      </c>
      <c r="E2272" s="648" t="s">
        <v>943</v>
      </c>
      <c r="F2272" s="649" t="s">
        <v>411</v>
      </c>
      <c r="G2272" s="649" t="s">
        <v>942</v>
      </c>
      <c r="H2272" s="648" t="s">
        <v>231</v>
      </c>
    </row>
    <row r="2273" spans="1:56">
      <c r="C2273" s="646" t="s">
        <v>228</v>
      </c>
      <c r="D2273" s="647">
        <v>38.25</v>
      </c>
      <c r="E2273" s="643">
        <v>1.7</v>
      </c>
      <c r="F2273" s="645"/>
      <c r="G2273" s="645"/>
      <c r="H2273" s="645"/>
    </row>
    <row r="2274" spans="1:56" ht="28">
      <c r="C2274" s="673" t="s">
        <v>3368</v>
      </c>
      <c r="D2274" s="647">
        <v>38</v>
      </c>
      <c r="E2274" s="643">
        <v>1.77</v>
      </c>
      <c r="F2274" s="645"/>
      <c r="G2274" s="645"/>
      <c r="H2274" s="645"/>
    </row>
    <row r="2275" spans="1:56">
      <c r="C2275" s="1512" t="s">
        <v>173</v>
      </c>
      <c r="D2275" s="647">
        <v>41.3</v>
      </c>
      <c r="E2275" s="643">
        <v>1.7</v>
      </c>
      <c r="F2275" s="645"/>
      <c r="G2275" s="644">
        <f>4302708/10000</f>
        <v>430.27080000000001</v>
      </c>
      <c r="H2275" s="643">
        <f>169999993.08/100000000</f>
        <v>1.6999999308000002</v>
      </c>
      <c r="I2275" s="705"/>
      <c r="K2275" s="687"/>
    </row>
    <row r="2276" spans="1:56">
      <c r="C2276" s="1512"/>
      <c r="D2276" s="647">
        <v>39.1</v>
      </c>
      <c r="E2276" s="643">
        <v>2.2000000000000002</v>
      </c>
      <c r="F2276" s="645"/>
      <c r="G2276" s="645"/>
      <c r="H2276" s="645"/>
    </row>
    <row r="2277" spans="1:56">
      <c r="C2277" s="646" t="s">
        <v>634</v>
      </c>
      <c r="D2277" s="647">
        <v>43.44</v>
      </c>
      <c r="E2277" s="643">
        <v>1.7050000000000001</v>
      </c>
      <c r="F2277" s="645"/>
      <c r="G2277" s="644">
        <f>4315363/10000</f>
        <v>431.53629999999998</v>
      </c>
      <c r="H2277" s="643">
        <f>170499992.13/100000000</f>
        <v>1.7049999213</v>
      </c>
      <c r="I2277" s="705"/>
      <c r="K2277" s="687"/>
    </row>
    <row r="2278" spans="1:56">
      <c r="C2278" s="1512" t="s">
        <v>115</v>
      </c>
      <c r="D2278" s="647">
        <v>37.6</v>
      </c>
      <c r="E2278" s="643">
        <v>2.88</v>
      </c>
      <c r="F2278" s="645"/>
      <c r="G2278" s="645"/>
      <c r="H2278" s="645"/>
    </row>
    <row r="2279" spans="1:56">
      <c r="C2279" s="1512"/>
      <c r="D2279" s="647">
        <v>37.25</v>
      </c>
      <c r="E2279" s="643">
        <v>3.25</v>
      </c>
      <c r="F2279" s="645"/>
      <c r="G2279" s="645"/>
      <c r="H2279" s="645"/>
    </row>
    <row r="2280" spans="1:56">
      <c r="C2280" s="1512"/>
      <c r="D2280" s="647">
        <v>37.15</v>
      </c>
      <c r="E2280" s="643">
        <f>33200/10000</f>
        <v>3.32</v>
      </c>
      <c r="F2280" s="645"/>
      <c r="G2280" s="645"/>
      <c r="H2280" s="645"/>
    </row>
    <row r="2281" spans="1:56">
      <c r="C2281" s="646" t="s">
        <v>147</v>
      </c>
      <c r="D2281" s="647">
        <v>37.18</v>
      </c>
      <c r="E2281" s="643">
        <v>2.11</v>
      </c>
      <c r="F2281" s="645"/>
      <c r="G2281" s="645"/>
      <c r="H2281" s="645"/>
    </row>
    <row r="2282" spans="1:56">
      <c r="C2282" s="646" t="s">
        <v>309</v>
      </c>
      <c r="D2282" s="647">
        <v>38</v>
      </c>
      <c r="E2282" s="643">
        <v>1.7</v>
      </c>
      <c r="F2282" s="645"/>
      <c r="G2282" s="645"/>
      <c r="H2282" s="645"/>
    </row>
    <row r="2283" spans="1:56" ht="28">
      <c r="C2283" s="673" t="s">
        <v>3367</v>
      </c>
      <c r="D2283" s="647">
        <v>39.51</v>
      </c>
      <c r="E2283" s="643">
        <v>1.7909999999999999</v>
      </c>
      <c r="F2283" s="645"/>
      <c r="G2283" s="644">
        <f>4036953/10000</f>
        <v>403.69529999999997</v>
      </c>
      <c r="H2283" s="643">
        <f>159500013.03/100000000</f>
        <v>1.5950001303000001</v>
      </c>
      <c r="I2283" s="705"/>
      <c r="K2283" s="687"/>
    </row>
    <row r="2284" spans="1:56">
      <c r="C2284" s="646" t="s">
        <v>1206</v>
      </c>
      <c r="D2284" s="647">
        <v>40.5</v>
      </c>
      <c r="E2284" s="643">
        <v>1.8</v>
      </c>
      <c r="F2284" s="645"/>
      <c r="G2284" s="644">
        <f>4555808/10000</f>
        <v>455.58080000000001</v>
      </c>
      <c r="H2284" s="643">
        <f>179999974.08/100000000</f>
        <v>1.7999997408000001</v>
      </c>
      <c r="I2284" s="705"/>
      <c r="K2284" s="687"/>
    </row>
    <row r="2285" spans="1:56">
      <c r="C2285" s="646" t="s">
        <v>3366</v>
      </c>
      <c r="D2285" s="646"/>
      <c r="E2285" s="646"/>
      <c r="F2285" s="645"/>
      <c r="G2285" s="644">
        <f>3037206/10000</f>
        <v>303.72059999999999</v>
      </c>
      <c r="H2285" s="643">
        <f>120000009.06/100000000</f>
        <v>1.2000000906000001</v>
      </c>
      <c r="I2285" s="705"/>
      <c r="K2285" s="687"/>
    </row>
    <row r="2287" spans="1:56" s="663" customFormat="1">
      <c r="A2287" s="663" t="s">
        <v>2861</v>
      </c>
      <c r="B2287" s="665" t="s">
        <v>2036</v>
      </c>
      <c r="C2287" s="667" t="s">
        <v>126</v>
      </c>
      <c r="D2287" s="667" t="s">
        <v>1583</v>
      </c>
      <c r="E2287" s="667" t="s">
        <v>4</v>
      </c>
      <c r="F2287" s="667" t="s">
        <v>2860</v>
      </c>
      <c r="G2287" s="667" t="s">
        <v>2859</v>
      </c>
      <c r="H2287" s="667" t="s">
        <v>2858</v>
      </c>
      <c r="I2287" s="667" t="s">
        <v>751</v>
      </c>
      <c r="J2287" s="665" t="s">
        <v>274</v>
      </c>
      <c r="K2287" s="665" t="s">
        <v>273</v>
      </c>
      <c r="L2287" s="665" t="s">
        <v>116</v>
      </c>
      <c r="M2287" s="665" t="s">
        <v>110</v>
      </c>
      <c r="N2287" s="665" t="s">
        <v>276</v>
      </c>
      <c r="O2287" s="667" t="s">
        <v>1311</v>
      </c>
      <c r="P2287" s="665" t="s">
        <v>275</v>
      </c>
      <c r="Q2287" s="665" t="s">
        <v>111</v>
      </c>
      <c r="R2287" s="665" t="s">
        <v>2857</v>
      </c>
      <c r="S2287" s="665" t="s">
        <v>747</v>
      </c>
      <c r="T2287" s="667" t="s">
        <v>12</v>
      </c>
      <c r="U2287" s="666" t="s">
        <v>948</v>
      </c>
      <c r="V2287" s="665" t="s">
        <v>129</v>
      </c>
      <c r="W2287" s="665" t="s">
        <v>220</v>
      </c>
      <c r="X2287" s="665" t="s">
        <v>749</v>
      </c>
      <c r="Y2287" s="665" t="s">
        <v>750</v>
      </c>
      <c r="Z2287" s="665" t="s">
        <v>748</v>
      </c>
      <c r="BB2287" s="664"/>
      <c r="BD2287" s="664"/>
    </row>
    <row r="2288" spans="1:56">
      <c r="A2288" s="642" t="s">
        <v>2078</v>
      </c>
      <c r="B2288" s="1436">
        <v>158</v>
      </c>
      <c r="C2288" s="1437" t="s">
        <v>2321</v>
      </c>
      <c r="D2288" s="662" t="s">
        <v>2320</v>
      </c>
      <c r="E2288" s="662" t="s">
        <v>2319</v>
      </c>
      <c r="F2288" s="661">
        <v>13.7</v>
      </c>
      <c r="G2288" s="776">
        <v>13.7</v>
      </c>
      <c r="H2288" s="715">
        <f>L2288*R2288</f>
        <v>64.897154862000008</v>
      </c>
      <c r="I2288" s="656">
        <f>F2288/H2288</f>
        <v>0.21110324526756596</v>
      </c>
      <c r="J2288" s="658" t="s">
        <v>2948</v>
      </c>
      <c r="K2288" s="645" t="s">
        <v>2240</v>
      </c>
      <c r="L2288" s="645">
        <v>31.7</v>
      </c>
      <c r="M2288" s="658">
        <v>26.85</v>
      </c>
      <c r="N2288" s="653">
        <f>M2288/L2288</f>
        <v>0.84700315457413256</v>
      </c>
      <c r="O2288" s="656">
        <v>29.03</v>
      </c>
      <c r="P2288" s="653">
        <f>O2288/L2288</f>
        <v>0.9157728706624606</v>
      </c>
      <c r="Q2288" s="645">
        <v>5</v>
      </c>
      <c r="R2288" s="653">
        <v>2.0472288600000002</v>
      </c>
      <c r="S2288" s="645" t="s">
        <v>2318</v>
      </c>
      <c r="T2288" s="654">
        <v>42970</v>
      </c>
      <c r="U2288" s="645">
        <v>15.55</v>
      </c>
      <c r="V2288" s="653">
        <f>((U2288*(1+X2288/10)+Y2288/10)/O2288)</f>
        <v>0.97106441612125383</v>
      </c>
      <c r="W2288" s="645" t="s">
        <v>2317</v>
      </c>
      <c r="X2288" s="645">
        <v>8</v>
      </c>
      <c r="Y2288" s="645">
        <v>2</v>
      </c>
      <c r="Z2288" s="652" t="s">
        <v>2316</v>
      </c>
      <c r="BB2288" s="651"/>
      <c r="BD2288" s="650"/>
    </row>
    <row r="2289" spans="3:8">
      <c r="C2289" s="648" t="s">
        <v>112</v>
      </c>
      <c r="D2289" s="648" t="s">
        <v>113</v>
      </c>
      <c r="E2289" s="648" t="s">
        <v>943</v>
      </c>
      <c r="F2289" s="649" t="s">
        <v>411</v>
      </c>
      <c r="G2289" s="649" t="s">
        <v>942</v>
      </c>
      <c r="H2289" s="648" t="s">
        <v>231</v>
      </c>
    </row>
    <row r="2290" spans="3:8">
      <c r="C2290" s="775" t="s">
        <v>131</v>
      </c>
      <c r="D2290" s="774">
        <v>27.51</v>
      </c>
      <c r="E2290" s="773">
        <v>3.01</v>
      </c>
      <c r="F2290" s="645"/>
      <c r="G2290" s="645"/>
      <c r="H2290" s="645"/>
    </row>
    <row r="2291" spans="3:8">
      <c r="C2291" s="775" t="s">
        <v>225</v>
      </c>
      <c r="D2291" s="774">
        <v>29.01</v>
      </c>
      <c r="E2291" s="773">
        <v>3.1</v>
      </c>
      <c r="F2291" s="645"/>
      <c r="G2291" s="645"/>
      <c r="H2291" s="645"/>
    </row>
    <row r="2292" spans="3:8">
      <c r="C2292" s="775" t="s">
        <v>115</v>
      </c>
      <c r="D2292" s="774">
        <v>29.19</v>
      </c>
      <c r="E2292" s="773">
        <f>50000/10000</f>
        <v>5</v>
      </c>
      <c r="F2292" s="645"/>
      <c r="G2292" s="644">
        <f>17223561/10000</f>
        <v>1722.3561</v>
      </c>
      <c r="H2292" s="643">
        <f>499999975.83/100000000</f>
        <v>4.9999997582999995</v>
      </c>
    </row>
    <row r="2293" spans="3:8">
      <c r="C2293" s="775" t="s">
        <v>173</v>
      </c>
      <c r="D2293" s="774">
        <v>28.53</v>
      </c>
      <c r="E2293" s="773">
        <f>34300/10000</f>
        <v>3.43</v>
      </c>
      <c r="F2293" s="645"/>
      <c r="G2293" s="645"/>
      <c r="H2293" s="645"/>
    </row>
    <row r="2294" spans="3:8">
      <c r="C2294" s="775" t="s">
        <v>2947</v>
      </c>
      <c r="D2294" s="774">
        <v>29.03</v>
      </c>
      <c r="E2294" s="773">
        <v>3</v>
      </c>
      <c r="F2294" s="645"/>
      <c r="G2294" s="644">
        <f>688944/10000</f>
        <v>68.894400000000005</v>
      </c>
      <c r="H2294" s="643">
        <f>20000044.32/100000000</f>
        <v>0.20000044320000002</v>
      </c>
    </row>
    <row r="2295" spans="3:8">
      <c r="C2295" s="775" t="s">
        <v>2946</v>
      </c>
      <c r="D2295" s="774">
        <v>27</v>
      </c>
      <c r="E2295" s="773">
        <v>3</v>
      </c>
      <c r="F2295" s="645"/>
      <c r="G2295" s="645"/>
      <c r="H2295" s="645"/>
    </row>
    <row r="2296" spans="3:8">
      <c r="C2296" s="775" t="s">
        <v>147</v>
      </c>
      <c r="D2296" s="774">
        <v>26.88</v>
      </c>
      <c r="E2296" s="773">
        <f>35300/10000</f>
        <v>3.53</v>
      </c>
      <c r="F2296" s="645"/>
      <c r="G2296" s="645"/>
      <c r="H2296" s="645"/>
    </row>
    <row r="2297" spans="3:8">
      <c r="C2297" s="1555" t="s">
        <v>300</v>
      </c>
      <c r="D2297" s="774">
        <v>28.65</v>
      </c>
      <c r="E2297" s="773">
        <v>3</v>
      </c>
      <c r="F2297" s="645"/>
      <c r="G2297" s="645"/>
      <c r="H2297" s="645"/>
    </row>
    <row r="2298" spans="3:8">
      <c r="C2298" s="1555"/>
      <c r="D2298" s="774">
        <v>27.31</v>
      </c>
      <c r="E2298" s="773">
        <f>34000/10000</f>
        <v>3.4</v>
      </c>
      <c r="F2298" s="645"/>
      <c r="G2298" s="645"/>
      <c r="H2298" s="645"/>
    </row>
    <row r="2299" spans="3:8">
      <c r="C2299" s="775" t="s">
        <v>1037</v>
      </c>
      <c r="D2299" s="774">
        <v>30.6</v>
      </c>
      <c r="E2299" s="773">
        <f>35000/10000</f>
        <v>3.5</v>
      </c>
      <c r="F2299" s="645"/>
      <c r="G2299" s="644">
        <f>12056493/10000</f>
        <v>1205.6493</v>
      </c>
      <c r="H2299" s="643">
        <f>349999991.79/100000000</f>
        <v>3.4999999179000003</v>
      </c>
    </row>
    <row r="2300" spans="3:8">
      <c r="C2300" s="775" t="s">
        <v>120</v>
      </c>
      <c r="D2300" s="774">
        <v>29.05</v>
      </c>
      <c r="E2300" s="773">
        <v>3</v>
      </c>
      <c r="F2300" s="645"/>
      <c r="G2300" s="644">
        <f>10334137/10000</f>
        <v>1033.4137000000001</v>
      </c>
      <c r="H2300" s="643">
        <f>299999997.11/100000000</f>
        <v>2.9999999711000003</v>
      </c>
    </row>
    <row r="2301" spans="3:8">
      <c r="C2301" s="775" t="s">
        <v>136</v>
      </c>
      <c r="D2301" s="774">
        <v>27.15</v>
      </c>
      <c r="E2301" s="773">
        <f>34300/10000</f>
        <v>3.43</v>
      </c>
      <c r="F2301" s="645"/>
      <c r="G2301" s="645"/>
      <c r="H2301" s="645"/>
    </row>
    <row r="2302" spans="3:8" ht="28">
      <c r="C2302" s="775" t="s">
        <v>2905</v>
      </c>
      <c r="D2302" s="774">
        <v>27.13</v>
      </c>
      <c r="E2302" s="773">
        <v>3</v>
      </c>
      <c r="F2302" s="645"/>
      <c r="G2302" s="645"/>
      <c r="H2302" s="645"/>
    </row>
    <row r="2303" spans="3:8">
      <c r="C2303" s="772" t="s">
        <v>3365</v>
      </c>
      <c r="G2303" s="771">
        <f>6889424/10000</f>
        <v>688.94240000000002</v>
      </c>
      <c r="H2303" s="770">
        <f>199999978.72/100000000</f>
        <v>1.9999997871999999</v>
      </c>
    </row>
    <row r="2305" spans="1:56" s="663" customFormat="1">
      <c r="A2305" s="663" t="s">
        <v>2861</v>
      </c>
      <c r="B2305" s="665" t="s">
        <v>2036</v>
      </c>
      <c r="C2305" s="667" t="s">
        <v>126</v>
      </c>
      <c r="D2305" s="667" t="s">
        <v>1583</v>
      </c>
      <c r="E2305" s="667" t="s">
        <v>4</v>
      </c>
      <c r="F2305" s="667" t="s">
        <v>2860</v>
      </c>
      <c r="G2305" s="667" t="s">
        <v>2859</v>
      </c>
      <c r="H2305" s="667" t="s">
        <v>2858</v>
      </c>
      <c r="I2305" s="667" t="s">
        <v>751</v>
      </c>
      <c r="J2305" s="665" t="s">
        <v>274</v>
      </c>
      <c r="K2305" s="665" t="s">
        <v>273</v>
      </c>
      <c r="L2305" s="665" t="s">
        <v>116</v>
      </c>
      <c r="M2305" s="665" t="s">
        <v>110</v>
      </c>
      <c r="N2305" s="665" t="s">
        <v>276</v>
      </c>
      <c r="O2305" s="667" t="s">
        <v>1311</v>
      </c>
      <c r="P2305" s="665" t="s">
        <v>275</v>
      </c>
      <c r="Q2305" s="665" t="s">
        <v>111</v>
      </c>
      <c r="R2305" s="665" t="s">
        <v>2857</v>
      </c>
      <c r="S2305" s="665" t="s">
        <v>747</v>
      </c>
      <c r="T2305" s="667" t="s">
        <v>12</v>
      </c>
      <c r="U2305" s="666" t="s">
        <v>948</v>
      </c>
      <c r="V2305" s="665" t="s">
        <v>129</v>
      </c>
      <c r="W2305" s="665" t="s">
        <v>220</v>
      </c>
      <c r="X2305" s="665" t="s">
        <v>749</v>
      </c>
      <c r="Y2305" s="665" t="s">
        <v>750</v>
      </c>
      <c r="Z2305" s="665" t="s">
        <v>748</v>
      </c>
      <c r="BB2305" s="664"/>
      <c r="BD2305" s="664"/>
    </row>
    <row r="2306" spans="1:56">
      <c r="A2306" s="642" t="s">
        <v>2078</v>
      </c>
      <c r="B2306" s="1436">
        <v>159</v>
      </c>
      <c r="C2306" s="1437" t="s">
        <v>2315</v>
      </c>
      <c r="D2306" s="662" t="s">
        <v>2314</v>
      </c>
      <c r="E2306" s="662" t="s">
        <v>2313</v>
      </c>
      <c r="F2306" s="661">
        <v>30.09</v>
      </c>
      <c r="G2306" s="660">
        <v>21.09</v>
      </c>
      <c r="H2306" s="659">
        <f>L2306*R2306</f>
        <v>184.14786852</v>
      </c>
      <c r="I2306" s="656">
        <f>F2306/H2306</f>
        <v>0.16340129398093997</v>
      </c>
      <c r="J2306" s="658" t="s">
        <v>2945</v>
      </c>
      <c r="K2306" s="645" t="s">
        <v>2089</v>
      </c>
      <c r="L2306" s="645">
        <v>11.97</v>
      </c>
      <c r="M2306" s="658">
        <v>8.2200000000000006</v>
      </c>
      <c r="N2306" s="653">
        <f>M2306/L2306</f>
        <v>0.68671679197994984</v>
      </c>
      <c r="O2306" s="656">
        <v>11.1</v>
      </c>
      <c r="P2306" s="653">
        <f>O2306/L2306</f>
        <v>0.92731829573934832</v>
      </c>
      <c r="Q2306" s="645">
        <v>8</v>
      </c>
      <c r="R2306" s="769">
        <v>15.384116000000001</v>
      </c>
      <c r="S2306" s="645" t="s">
        <v>2312</v>
      </c>
      <c r="T2306" s="654">
        <v>42970</v>
      </c>
      <c r="U2306" s="645">
        <v>15.32</v>
      </c>
      <c r="V2306" s="653">
        <f>((U2306*(1+X2306/10)+Y2306/10)/O2306)</f>
        <v>1.3833333333333335</v>
      </c>
      <c r="W2306" s="645" t="s">
        <v>2311</v>
      </c>
      <c r="X2306" s="645">
        <v>0</v>
      </c>
      <c r="Y2306" s="645">
        <v>0.35000000000000003</v>
      </c>
      <c r="Z2306" s="652" t="s">
        <v>2160</v>
      </c>
      <c r="BB2306" s="651"/>
      <c r="BD2306" s="650"/>
    </row>
    <row r="2307" spans="1:56">
      <c r="C2307" s="648" t="s">
        <v>112</v>
      </c>
      <c r="D2307" s="648" t="s">
        <v>113</v>
      </c>
      <c r="E2307" s="648" t="s">
        <v>943</v>
      </c>
      <c r="F2307" s="649" t="s">
        <v>411</v>
      </c>
      <c r="G2307" s="649" t="s">
        <v>942</v>
      </c>
      <c r="H2307" s="648" t="s">
        <v>231</v>
      </c>
    </row>
    <row r="2308" spans="1:56">
      <c r="C2308" s="646" t="s">
        <v>225</v>
      </c>
      <c r="D2308" s="647">
        <v>11.7</v>
      </c>
      <c r="E2308" s="643">
        <v>4.4000000000000004</v>
      </c>
      <c r="F2308" s="645"/>
      <c r="G2308" s="644">
        <f>39639639/10000</f>
        <v>3963.9639000000002</v>
      </c>
      <c r="H2308" s="643">
        <f>439999992.9/100000000</f>
        <v>4.3999999289999998</v>
      </c>
    </row>
    <row r="2309" spans="1:56">
      <c r="C2309" s="1512" t="s">
        <v>136</v>
      </c>
      <c r="D2309" s="647">
        <v>12</v>
      </c>
      <c r="E2309" s="643">
        <v>3.35</v>
      </c>
      <c r="F2309" s="645"/>
      <c r="G2309" s="644">
        <f>32252252/10000</f>
        <v>3225.2251999999999</v>
      </c>
      <c r="H2309" s="643">
        <f>357999997.2/100000000</f>
        <v>3.579999972</v>
      </c>
    </row>
    <row r="2310" spans="1:56">
      <c r="C2310" s="1512"/>
      <c r="D2310" s="647">
        <v>11.8</v>
      </c>
      <c r="E2310" s="643">
        <v>3.38</v>
      </c>
      <c r="F2310" s="645"/>
      <c r="G2310" s="645"/>
      <c r="H2310" s="645"/>
    </row>
    <row r="2311" spans="1:56">
      <c r="C2311" s="1512"/>
      <c r="D2311" s="647">
        <v>11.4</v>
      </c>
      <c r="E2311" s="643">
        <v>3.58</v>
      </c>
      <c r="F2311" s="645"/>
      <c r="G2311" s="645"/>
      <c r="H2311" s="645"/>
    </row>
    <row r="2312" spans="1:56">
      <c r="C2312" s="1512" t="s">
        <v>173</v>
      </c>
      <c r="D2312" s="647">
        <v>11.3</v>
      </c>
      <c r="E2312" s="643">
        <v>2.9</v>
      </c>
      <c r="F2312" s="645"/>
      <c r="G2312" s="644">
        <f>26126126/10000</f>
        <v>2612.6125999999999</v>
      </c>
      <c r="H2312" s="643">
        <f>289999998.6/100000000</f>
        <v>2.8999999860000001</v>
      </c>
    </row>
    <row r="2313" spans="1:56">
      <c r="C2313" s="1512"/>
      <c r="D2313" s="647">
        <v>10.8</v>
      </c>
      <c r="E2313" s="643">
        <v>3.8</v>
      </c>
      <c r="F2313" s="645"/>
      <c r="G2313" s="645"/>
      <c r="H2313" s="645"/>
    </row>
    <row r="2314" spans="1:56">
      <c r="C2314" s="1512" t="s">
        <v>115</v>
      </c>
      <c r="D2314" s="647">
        <v>11.8</v>
      </c>
      <c r="E2314" s="643">
        <v>2.7</v>
      </c>
      <c r="F2314" s="645"/>
      <c r="G2314" s="644">
        <f>24324324/10000</f>
        <v>2432.4324000000001</v>
      </c>
      <c r="H2314" s="643">
        <f>269999996.4/100000000</f>
        <v>2.6999999639999999</v>
      </c>
    </row>
    <row r="2315" spans="1:56">
      <c r="C2315" s="1512"/>
      <c r="D2315" s="647">
        <v>11</v>
      </c>
      <c r="E2315" s="643">
        <v>4.4000000000000004</v>
      </c>
      <c r="F2315" s="645"/>
      <c r="G2315" s="645"/>
      <c r="H2315" s="645"/>
    </row>
    <row r="2316" spans="1:56">
      <c r="C2316" s="1512" t="s">
        <v>664</v>
      </c>
      <c r="D2316" s="647">
        <v>12.1</v>
      </c>
      <c r="E2316" s="643">
        <v>2.2000000000000002</v>
      </c>
      <c r="F2316" s="645"/>
      <c r="G2316" s="644">
        <f>23423423/10000</f>
        <v>2342.3422999999998</v>
      </c>
      <c r="H2316" s="643">
        <f>259999995.3/100000000</f>
        <v>2.5999999530000002</v>
      </c>
    </row>
    <row r="2317" spans="1:56">
      <c r="C2317" s="1512"/>
      <c r="D2317" s="647">
        <v>11.4</v>
      </c>
      <c r="E2317" s="643">
        <v>2.6</v>
      </c>
      <c r="F2317" s="645"/>
      <c r="G2317" s="645"/>
      <c r="H2317" s="645"/>
    </row>
    <row r="2318" spans="1:56">
      <c r="C2318" s="1512"/>
      <c r="D2318" s="647">
        <v>10.8</v>
      </c>
      <c r="E2318" s="643">
        <v>3</v>
      </c>
      <c r="F2318" s="645"/>
      <c r="G2318" s="645"/>
      <c r="H2318" s="645"/>
    </row>
    <row r="2319" spans="1:56">
      <c r="C2319" s="1512" t="s">
        <v>279</v>
      </c>
      <c r="D2319" s="647">
        <v>11.5</v>
      </c>
      <c r="E2319" s="643">
        <v>2.2000000000000002</v>
      </c>
      <c r="F2319" s="645"/>
      <c r="G2319" s="644">
        <f>22072072/10000</f>
        <v>2207.2071999999998</v>
      </c>
      <c r="H2319" s="643">
        <f>244999999.2/100000000</f>
        <v>2.449999992</v>
      </c>
    </row>
    <row r="2320" spans="1:56">
      <c r="C2320" s="1512"/>
      <c r="D2320" s="647">
        <v>11.1</v>
      </c>
      <c r="E2320" s="643">
        <v>2.4500000000000002</v>
      </c>
      <c r="F2320" s="645"/>
      <c r="G2320" s="645"/>
      <c r="H2320" s="645"/>
    </row>
    <row r="2321" spans="3:8">
      <c r="C2321" s="1512"/>
      <c r="D2321" s="647">
        <v>9.6999999999999993</v>
      </c>
      <c r="E2321" s="643">
        <v>2.83</v>
      </c>
      <c r="F2321" s="645"/>
      <c r="G2321" s="645"/>
      <c r="H2321" s="645"/>
    </row>
    <row r="2322" spans="3:8">
      <c r="C2322" s="1512" t="s">
        <v>139</v>
      </c>
      <c r="D2322" s="647">
        <v>11.7</v>
      </c>
      <c r="E2322" s="643">
        <v>2.2000000000000002</v>
      </c>
      <c r="F2322" s="645"/>
      <c r="G2322" s="644">
        <f>19819819/10000</f>
        <v>1981.9819</v>
      </c>
      <c r="H2322" s="643">
        <f>219999990.9/100000000</f>
        <v>2.1999999090000002</v>
      </c>
    </row>
    <row r="2323" spans="3:8">
      <c r="C2323" s="1512"/>
      <c r="D2323" s="647">
        <v>9.6999999999999993</v>
      </c>
      <c r="E2323" s="643">
        <v>2.5</v>
      </c>
      <c r="F2323" s="645"/>
      <c r="G2323" s="645"/>
      <c r="H2323" s="645"/>
    </row>
    <row r="2324" spans="3:8">
      <c r="C2324" s="646" t="s">
        <v>138</v>
      </c>
      <c r="D2324" s="647">
        <v>11.1</v>
      </c>
      <c r="E2324" s="643">
        <v>2.8</v>
      </c>
      <c r="F2324" s="645"/>
      <c r="G2324" s="644">
        <f>2345002/10000</f>
        <v>234.50020000000001</v>
      </c>
      <c r="H2324" s="643">
        <f>26029522.2/100000000</f>
        <v>0.26029522199999999</v>
      </c>
    </row>
    <row r="2325" spans="3:8">
      <c r="C2325" s="646" t="s">
        <v>332</v>
      </c>
      <c r="D2325" s="647">
        <v>8.5</v>
      </c>
      <c r="E2325" s="643">
        <v>2.2000000000000002</v>
      </c>
      <c r="F2325" s="645"/>
      <c r="G2325" s="645"/>
      <c r="H2325" s="645"/>
    </row>
    <row r="2326" spans="3:8">
      <c r="C2326" s="646" t="s">
        <v>127</v>
      </c>
      <c r="D2326" s="647">
        <v>10.5</v>
      </c>
      <c r="E2326" s="643">
        <v>2.2000000000000002</v>
      </c>
      <c r="F2326" s="645"/>
      <c r="G2326" s="645"/>
      <c r="H2326" s="645"/>
    </row>
    <row r="2327" spans="3:8">
      <c r="C2327" s="646" t="s">
        <v>128</v>
      </c>
      <c r="D2327" s="647">
        <v>9.5</v>
      </c>
      <c r="E2327" s="643">
        <v>2.2000000000000002</v>
      </c>
      <c r="F2327" s="645"/>
      <c r="G2327" s="645"/>
      <c r="H2327" s="645"/>
    </row>
    <row r="2328" spans="3:8">
      <c r="C2328" s="646"/>
      <c r="D2328" s="647">
        <v>8.5</v>
      </c>
      <c r="E2328" s="643">
        <v>4.03</v>
      </c>
      <c r="F2328" s="645"/>
      <c r="G2328" s="645"/>
      <c r="H2328" s="645"/>
    </row>
    <row r="2329" spans="3:8">
      <c r="C2329" s="646" t="s">
        <v>522</v>
      </c>
      <c r="D2329" s="647">
        <v>10.5</v>
      </c>
      <c r="E2329" s="643">
        <v>2.2000000000000002</v>
      </c>
      <c r="F2329" s="645"/>
      <c r="G2329" s="645"/>
      <c r="H2329" s="645"/>
    </row>
    <row r="2330" spans="3:8">
      <c r="C2330" s="646" t="s">
        <v>309</v>
      </c>
      <c r="D2330" s="647">
        <v>10.3</v>
      </c>
      <c r="E2330" s="643">
        <v>2.2000000000000002</v>
      </c>
      <c r="F2330" s="645"/>
      <c r="G2330" s="645"/>
      <c r="H2330" s="645"/>
    </row>
    <row r="2331" spans="3:8">
      <c r="C2331" s="646" t="s">
        <v>122</v>
      </c>
      <c r="D2331" s="647">
        <v>10.199999999999999</v>
      </c>
      <c r="E2331" s="643">
        <v>2.2000000000000002</v>
      </c>
      <c r="F2331" s="645"/>
      <c r="G2331" s="645"/>
      <c r="H2331" s="645"/>
    </row>
    <row r="2332" spans="3:8">
      <c r="C2332" s="646"/>
      <c r="D2332" s="647">
        <v>9.5</v>
      </c>
      <c r="E2332" s="643">
        <v>2.4</v>
      </c>
      <c r="F2332" s="645"/>
      <c r="G2332" s="645"/>
      <c r="H2332" s="645"/>
    </row>
    <row r="2333" spans="3:8">
      <c r="C2333" s="646"/>
      <c r="D2333" s="647">
        <v>8.8000000000000007</v>
      </c>
      <c r="E2333" s="643">
        <v>2.6</v>
      </c>
      <c r="F2333" s="645"/>
      <c r="G2333" s="645"/>
      <c r="H2333" s="645"/>
    </row>
    <row r="2334" spans="3:8">
      <c r="C2334" s="646" t="s">
        <v>147</v>
      </c>
      <c r="D2334" s="647">
        <v>9.5</v>
      </c>
      <c r="E2334" s="643">
        <v>3.27</v>
      </c>
      <c r="F2334" s="645"/>
      <c r="G2334" s="645"/>
      <c r="H2334" s="645"/>
    </row>
    <row r="2335" spans="3:8">
      <c r="C2335" s="646" t="s">
        <v>148</v>
      </c>
      <c r="D2335" s="647">
        <v>11.1</v>
      </c>
      <c r="E2335" s="643">
        <v>2.64</v>
      </c>
      <c r="F2335" s="645"/>
      <c r="G2335" s="645"/>
      <c r="H2335" s="645"/>
    </row>
    <row r="2336" spans="3:8">
      <c r="C2336" s="646"/>
      <c r="D2336" s="647">
        <v>10.8</v>
      </c>
      <c r="E2336" s="643">
        <v>3.46</v>
      </c>
      <c r="F2336" s="645"/>
      <c r="G2336" s="645"/>
      <c r="H2336" s="645"/>
    </row>
    <row r="2337" spans="1:56">
      <c r="C2337" s="646"/>
      <c r="D2337" s="647">
        <v>10.3</v>
      </c>
      <c r="E2337" s="643">
        <v>3.54</v>
      </c>
      <c r="F2337" s="645"/>
      <c r="G2337" s="645"/>
      <c r="H2337" s="645"/>
    </row>
    <row r="2338" spans="1:56">
      <c r="C2338" s="646" t="s">
        <v>131</v>
      </c>
      <c r="D2338" s="647">
        <v>10.1</v>
      </c>
      <c r="E2338" s="643">
        <v>2.2599999999999998</v>
      </c>
      <c r="F2338" s="645"/>
      <c r="G2338" s="645"/>
      <c r="H2338" s="645"/>
    </row>
    <row r="2339" spans="1:56">
      <c r="C2339" s="646"/>
      <c r="D2339" s="647">
        <v>8.6</v>
      </c>
      <c r="E2339" s="643">
        <v>3.89</v>
      </c>
      <c r="F2339" s="645"/>
      <c r="G2339" s="645"/>
      <c r="H2339" s="645"/>
    </row>
    <row r="2340" spans="1:56">
      <c r="C2340" s="646" t="s">
        <v>150</v>
      </c>
      <c r="D2340" s="647">
        <v>10.3</v>
      </c>
      <c r="E2340" s="643">
        <v>2.72</v>
      </c>
      <c r="F2340" s="645"/>
      <c r="G2340" s="645"/>
      <c r="H2340" s="645"/>
    </row>
    <row r="2341" spans="1:56">
      <c r="C2341" s="646" t="s">
        <v>133</v>
      </c>
      <c r="D2341" s="647">
        <v>10.8</v>
      </c>
      <c r="E2341" s="643">
        <v>3.01</v>
      </c>
      <c r="F2341" s="645"/>
      <c r="G2341" s="645"/>
      <c r="H2341" s="645"/>
    </row>
    <row r="2342" spans="1:56">
      <c r="C2342" s="646" t="s">
        <v>13</v>
      </c>
      <c r="D2342" s="647">
        <v>11</v>
      </c>
      <c r="E2342" s="643">
        <v>2.5</v>
      </c>
      <c r="F2342" s="645"/>
      <c r="G2342" s="645"/>
      <c r="H2342" s="645"/>
    </row>
    <row r="2343" spans="1:56">
      <c r="C2343" s="646" t="s">
        <v>316</v>
      </c>
      <c r="D2343" s="647">
        <v>8.2200000000000006</v>
      </c>
      <c r="E2343" s="643">
        <v>2.2000000000000002</v>
      </c>
      <c r="F2343" s="645"/>
      <c r="G2343" s="645"/>
      <c r="H2343" s="645"/>
    </row>
    <row r="2344" spans="1:56">
      <c r="C2344" s="646" t="s">
        <v>1169</v>
      </c>
      <c r="D2344" s="647">
        <v>11</v>
      </c>
      <c r="E2344" s="643">
        <v>4.0999999999999996</v>
      </c>
      <c r="F2344" s="645"/>
      <c r="G2344" s="645"/>
      <c r="H2344" s="645"/>
    </row>
    <row r="2345" spans="1:56">
      <c r="C2345" s="646"/>
      <c r="D2345" s="647">
        <v>10.5</v>
      </c>
      <c r="E2345" s="643">
        <v>4.4000000000000004</v>
      </c>
      <c r="F2345" s="645"/>
      <c r="G2345" s="645"/>
      <c r="H2345" s="645"/>
    </row>
    <row r="2347" spans="1:56" s="663" customFormat="1">
      <c r="A2347" s="663" t="s">
        <v>2861</v>
      </c>
      <c r="B2347" s="665" t="s">
        <v>2036</v>
      </c>
      <c r="C2347" s="667" t="s">
        <v>126</v>
      </c>
      <c r="D2347" s="667" t="s">
        <v>1583</v>
      </c>
      <c r="E2347" s="667" t="s">
        <v>4</v>
      </c>
      <c r="F2347" s="667" t="s">
        <v>2860</v>
      </c>
      <c r="G2347" s="667" t="s">
        <v>2859</v>
      </c>
      <c r="H2347" s="667" t="s">
        <v>2858</v>
      </c>
      <c r="I2347" s="667" t="s">
        <v>751</v>
      </c>
      <c r="J2347" s="665" t="s">
        <v>274</v>
      </c>
      <c r="K2347" s="665" t="s">
        <v>273</v>
      </c>
      <c r="L2347" s="665" t="s">
        <v>116</v>
      </c>
      <c r="M2347" s="665" t="s">
        <v>110</v>
      </c>
      <c r="N2347" s="665" t="s">
        <v>276</v>
      </c>
      <c r="O2347" s="667" t="s">
        <v>1311</v>
      </c>
      <c r="P2347" s="665" t="s">
        <v>275</v>
      </c>
      <c r="Q2347" s="665" t="s">
        <v>111</v>
      </c>
      <c r="R2347" s="665" t="s">
        <v>2857</v>
      </c>
      <c r="S2347" s="665" t="s">
        <v>747</v>
      </c>
      <c r="T2347" s="667" t="s">
        <v>12</v>
      </c>
      <c r="U2347" s="666" t="s">
        <v>948</v>
      </c>
      <c r="V2347" s="665" t="s">
        <v>129</v>
      </c>
      <c r="W2347" s="665" t="s">
        <v>220</v>
      </c>
      <c r="X2347" s="665" t="s">
        <v>749</v>
      </c>
      <c r="Y2347" s="665" t="s">
        <v>750</v>
      </c>
      <c r="Z2347" s="665" t="s">
        <v>748</v>
      </c>
      <c r="BB2347" s="664"/>
      <c r="BD2347" s="664"/>
    </row>
    <row r="2348" spans="1:56">
      <c r="A2348" s="642" t="s">
        <v>2078</v>
      </c>
      <c r="B2348" s="1436">
        <v>160</v>
      </c>
      <c r="C2348" s="1437" t="s">
        <v>2310</v>
      </c>
      <c r="D2348" s="662" t="s">
        <v>2309</v>
      </c>
      <c r="E2348" s="662" t="s">
        <v>2308</v>
      </c>
      <c r="F2348" s="661">
        <v>31</v>
      </c>
      <c r="G2348" s="660">
        <v>31</v>
      </c>
      <c r="H2348" s="659">
        <f>L2348*R2348</f>
        <v>180.89208578559999</v>
      </c>
      <c r="I2348" s="656">
        <f>F2348/H2348</f>
        <v>0.17137289265790406</v>
      </c>
      <c r="J2348" s="658" t="s">
        <v>2944</v>
      </c>
      <c r="K2348" s="645" t="s">
        <v>2240</v>
      </c>
      <c r="L2348" s="645">
        <v>32.619999999999997</v>
      </c>
      <c r="M2348" s="658">
        <v>24.72</v>
      </c>
      <c r="N2348" s="653">
        <f>M2348/L2348</f>
        <v>0.75781729000613118</v>
      </c>
      <c r="O2348" s="656">
        <v>31.1</v>
      </c>
      <c r="P2348" s="653">
        <f>O2348/L2348</f>
        <v>0.95340282035561019</v>
      </c>
      <c r="Q2348" s="645">
        <v>9</v>
      </c>
      <c r="R2348" s="653">
        <v>5.5454348800000002</v>
      </c>
      <c r="S2348" s="645" t="s">
        <v>2307</v>
      </c>
      <c r="T2348" s="654">
        <v>42978</v>
      </c>
      <c r="U2348" s="645">
        <v>14.62</v>
      </c>
      <c r="V2348" s="653">
        <f>((U2348*(1+X2348/10)+Y2348/10)/O2348)</f>
        <v>1.0841479099678455</v>
      </c>
      <c r="W2348" s="645" t="s">
        <v>2306</v>
      </c>
      <c r="X2348" s="645">
        <v>13</v>
      </c>
      <c r="Y2348" s="645">
        <v>0.90999999999999992</v>
      </c>
      <c r="Z2348" s="652" t="s">
        <v>2281</v>
      </c>
      <c r="BB2348" s="651"/>
      <c r="BD2348" s="650"/>
    </row>
    <row r="2349" spans="1:56">
      <c r="C2349" s="648" t="s">
        <v>112</v>
      </c>
      <c r="D2349" s="648" t="s">
        <v>113</v>
      </c>
      <c r="E2349" s="648" t="s">
        <v>943</v>
      </c>
      <c r="F2349" s="649" t="s">
        <v>411</v>
      </c>
      <c r="G2349" s="649" t="s">
        <v>942</v>
      </c>
      <c r="H2349" s="648" t="s">
        <v>231</v>
      </c>
    </row>
    <row r="2350" spans="1:56" ht="28">
      <c r="C2350" s="673" t="s">
        <v>3364</v>
      </c>
      <c r="D2350" s="647">
        <v>32.700000000000003</v>
      </c>
      <c r="E2350" s="643">
        <f>310000000/100000000</f>
        <v>3.1</v>
      </c>
      <c r="F2350" s="645"/>
      <c r="G2350" s="644">
        <f>9967845/10000</f>
        <v>996.78449999999998</v>
      </c>
      <c r="H2350" s="643">
        <f>309999979.5/100000000</f>
        <v>3.099999795</v>
      </c>
    </row>
    <row r="2351" spans="1:56">
      <c r="C2351" s="1514" t="s">
        <v>3363</v>
      </c>
      <c r="D2351" s="647">
        <v>32.4</v>
      </c>
      <c r="E2351" s="643">
        <f>321000000/100000000</f>
        <v>3.21</v>
      </c>
      <c r="F2351" s="645"/>
      <c r="G2351" s="644">
        <f>10321543/10000</f>
        <v>1032.1542999999999</v>
      </c>
      <c r="H2351" s="1535">
        <f>320999987.3/100000000</f>
        <v>3.2099998730000001</v>
      </c>
    </row>
    <row r="2352" spans="1:56">
      <c r="C2352" s="1514"/>
      <c r="D2352" s="647">
        <v>26.8</v>
      </c>
      <c r="E2352" s="643">
        <f>331000000/100000000</f>
        <v>3.31</v>
      </c>
      <c r="F2352" s="645"/>
      <c r="G2352" s="644"/>
      <c r="H2352" s="1535"/>
    </row>
    <row r="2353" spans="1:56">
      <c r="C2353" s="1512" t="s">
        <v>136</v>
      </c>
      <c r="D2353" s="647">
        <v>32.5</v>
      </c>
      <c r="E2353" s="643">
        <f>331000000/100000000</f>
        <v>3.31</v>
      </c>
      <c r="F2353" s="645"/>
      <c r="G2353" s="644">
        <f>13762057/10000</f>
        <v>1376.2057</v>
      </c>
      <c r="H2353" s="1535">
        <f>427999972.7/100000000</f>
        <v>4.2799997269999999</v>
      </c>
    </row>
    <row r="2354" spans="1:56">
      <c r="C2354" s="1512"/>
      <c r="D2354" s="647">
        <v>31.74</v>
      </c>
      <c r="E2354" s="643">
        <f>428000000/100000000</f>
        <v>4.28</v>
      </c>
      <c r="F2354" s="645"/>
      <c r="G2354" s="644"/>
      <c r="H2354" s="1535"/>
    </row>
    <row r="2355" spans="1:56">
      <c r="C2355" s="1512"/>
      <c r="D2355" s="647">
        <v>29.12</v>
      </c>
      <c r="E2355" s="643">
        <f>501000000/100000000</f>
        <v>5.01</v>
      </c>
      <c r="F2355" s="645"/>
      <c r="G2355" s="644"/>
      <c r="H2355" s="1535"/>
    </row>
    <row r="2356" spans="1:56">
      <c r="C2356" s="1512" t="s">
        <v>316</v>
      </c>
      <c r="D2356" s="647">
        <v>32.4</v>
      </c>
      <c r="E2356" s="643">
        <f>326000000/100000000</f>
        <v>3.26</v>
      </c>
      <c r="F2356" s="645"/>
      <c r="G2356" s="644">
        <f>13858520/10000</f>
        <v>1385.8520000000001</v>
      </c>
      <c r="H2356" s="1535">
        <f>430999972/100000000</f>
        <v>4.3099997200000004</v>
      </c>
    </row>
    <row r="2357" spans="1:56">
      <c r="C2357" s="1512"/>
      <c r="D2357" s="647">
        <v>31.71</v>
      </c>
      <c r="E2357" s="643">
        <f>431000000/100000000</f>
        <v>4.3099999999999996</v>
      </c>
      <c r="F2357" s="645"/>
      <c r="G2357" s="644"/>
      <c r="H2357" s="1535"/>
    </row>
    <row r="2358" spans="1:56">
      <c r="C2358" s="673"/>
      <c r="D2358" s="647">
        <v>30.83</v>
      </c>
      <c r="E2358" s="643">
        <f>521000000/100000000</f>
        <v>5.21</v>
      </c>
      <c r="F2358" s="645"/>
      <c r="G2358" s="673"/>
      <c r="H2358" s="673"/>
    </row>
    <row r="2359" spans="1:56">
      <c r="C2359" s="1512" t="s">
        <v>115</v>
      </c>
      <c r="D2359" s="647">
        <v>31.71</v>
      </c>
      <c r="E2359" s="643">
        <f>317000000/100000000</f>
        <v>3.17</v>
      </c>
      <c r="F2359" s="645"/>
      <c r="G2359" s="644">
        <f>10192926/10000</f>
        <v>1019.2926</v>
      </c>
      <c r="H2359" s="1535">
        <f>316999998.6/100000000</f>
        <v>3.1699999860000001</v>
      </c>
    </row>
    <row r="2360" spans="1:56">
      <c r="C2360" s="1512"/>
      <c r="D2360" s="647">
        <v>30.04</v>
      </c>
      <c r="E2360" s="643">
        <f>860000000/100000000</f>
        <v>8.6</v>
      </c>
      <c r="F2360" s="645"/>
      <c r="G2360" s="644"/>
      <c r="H2360" s="1535"/>
    </row>
    <row r="2361" spans="1:56">
      <c r="C2361" s="1512"/>
      <c r="D2361" s="647">
        <v>28.28</v>
      </c>
      <c r="E2361" s="643">
        <f>1002000000/100000000</f>
        <v>10.02</v>
      </c>
      <c r="F2361" s="645"/>
      <c r="G2361" s="644"/>
      <c r="H2361" s="1535"/>
    </row>
    <row r="2362" spans="1:56" ht="28">
      <c r="C2362" s="673" t="s">
        <v>3362</v>
      </c>
      <c r="D2362" s="647">
        <v>31.68</v>
      </c>
      <c r="E2362" s="643">
        <f>310000000/100000000</f>
        <v>3.1</v>
      </c>
      <c r="F2362" s="645"/>
      <c r="G2362" s="644">
        <f>9967845/10000</f>
        <v>996.78449999999998</v>
      </c>
      <c r="H2362" s="643">
        <f>309999979.5/100000000</f>
        <v>3.099999795</v>
      </c>
    </row>
    <row r="2363" spans="1:56">
      <c r="C2363" s="646" t="s">
        <v>309</v>
      </c>
      <c r="D2363" s="647">
        <v>31.5</v>
      </c>
      <c r="E2363" s="643">
        <f>310000000/100000000</f>
        <v>3.1</v>
      </c>
      <c r="F2363" s="645"/>
      <c r="G2363" s="644">
        <f>9967845/10000</f>
        <v>996.78449999999998</v>
      </c>
      <c r="H2363" s="643">
        <f>309999979.5/100000000</f>
        <v>3.099999795</v>
      </c>
    </row>
    <row r="2364" spans="1:56" ht="28">
      <c r="C2364" s="673" t="s">
        <v>3361</v>
      </c>
      <c r="D2364" s="647">
        <v>31.1</v>
      </c>
      <c r="E2364" s="643">
        <f>600000000/100000000</f>
        <v>6</v>
      </c>
      <c r="F2364" s="645"/>
      <c r="G2364" s="644">
        <f>11672029/10000</f>
        <v>1167.2029</v>
      </c>
      <c r="H2364" s="643">
        <f>363000101.9/100000000</f>
        <v>3.6300010189999998</v>
      </c>
    </row>
    <row r="2365" spans="1:56">
      <c r="C2365" s="646" t="s">
        <v>3360</v>
      </c>
      <c r="D2365" s="645"/>
      <c r="E2365" s="645"/>
      <c r="F2365" s="645"/>
      <c r="G2365" s="644">
        <f>9967846/10000</f>
        <v>996.78459999999995</v>
      </c>
      <c r="H2365" s="643">
        <f>310000010.6/100000000</f>
        <v>3.1000001060000004</v>
      </c>
    </row>
    <row r="2367" spans="1:56" s="663" customFormat="1">
      <c r="A2367" s="663" t="s">
        <v>2861</v>
      </c>
      <c r="B2367" s="665" t="s">
        <v>2036</v>
      </c>
      <c r="C2367" s="667" t="s">
        <v>126</v>
      </c>
      <c r="D2367" s="667" t="s">
        <v>1583</v>
      </c>
      <c r="E2367" s="667" t="s">
        <v>4</v>
      </c>
      <c r="F2367" s="667" t="s">
        <v>2860</v>
      </c>
      <c r="G2367" s="667" t="s">
        <v>2859</v>
      </c>
      <c r="H2367" s="667" t="s">
        <v>2858</v>
      </c>
      <c r="I2367" s="667" t="s">
        <v>751</v>
      </c>
      <c r="J2367" s="665" t="s">
        <v>274</v>
      </c>
      <c r="K2367" s="665" t="s">
        <v>273</v>
      </c>
      <c r="L2367" s="665" t="s">
        <v>116</v>
      </c>
      <c r="M2367" s="665" t="s">
        <v>110</v>
      </c>
      <c r="N2367" s="665" t="s">
        <v>276</v>
      </c>
      <c r="O2367" s="667" t="s">
        <v>1311</v>
      </c>
      <c r="P2367" s="665" t="s">
        <v>275</v>
      </c>
      <c r="Q2367" s="665" t="s">
        <v>111</v>
      </c>
      <c r="R2367" s="665" t="s">
        <v>2857</v>
      </c>
      <c r="S2367" s="665" t="s">
        <v>747</v>
      </c>
      <c r="T2367" s="667" t="s">
        <v>12</v>
      </c>
      <c r="U2367" s="666" t="s">
        <v>948</v>
      </c>
      <c r="V2367" s="665" t="s">
        <v>129</v>
      </c>
      <c r="W2367" s="665" t="s">
        <v>220</v>
      </c>
      <c r="X2367" s="665" t="s">
        <v>749</v>
      </c>
      <c r="Y2367" s="665" t="s">
        <v>750</v>
      </c>
      <c r="Z2367" s="665" t="s">
        <v>748</v>
      </c>
      <c r="BB2367" s="664"/>
      <c r="BD2367" s="664"/>
    </row>
    <row r="2368" spans="1:56">
      <c r="A2368" s="642" t="s">
        <v>2078</v>
      </c>
      <c r="B2368" s="1436">
        <v>161</v>
      </c>
      <c r="C2368" s="1437" t="s">
        <v>2305</v>
      </c>
      <c r="D2368" s="662" t="s">
        <v>2304</v>
      </c>
      <c r="E2368" s="662" t="s">
        <v>2303</v>
      </c>
      <c r="F2368" s="661">
        <v>4.49</v>
      </c>
      <c r="G2368" s="660">
        <v>4.49</v>
      </c>
      <c r="H2368" s="659">
        <f>L2368*R2368</f>
        <v>86.212823999999998</v>
      </c>
      <c r="I2368" s="656">
        <f>F2368/H2368</f>
        <v>5.2080419033715915E-2</v>
      </c>
      <c r="J2368" s="658" t="s">
        <v>2943</v>
      </c>
      <c r="K2368" s="645" t="s">
        <v>2302</v>
      </c>
      <c r="L2368" s="645">
        <v>76.62</v>
      </c>
      <c r="M2368" s="658">
        <v>61.17</v>
      </c>
      <c r="N2368" s="653">
        <f>M2368/L2368</f>
        <v>0.79835552075176197</v>
      </c>
      <c r="O2368" s="656">
        <v>68.95</v>
      </c>
      <c r="P2368" s="653">
        <f>O2368/L2368</f>
        <v>0.89989558861915953</v>
      </c>
      <c r="Q2368" s="645">
        <v>2</v>
      </c>
      <c r="R2368" s="653">
        <v>1.1252</v>
      </c>
      <c r="S2368" s="645" t="s">
        <v>2301</v>
      </c>
      <c r="T2368" s="654">
        <v>42971</v>
      </c>
      <c r="U2368" s="645">
        <v>22.3</v>
      </c>
      <c r="V2368" s="653">
        <f>((U2368*(1+X2368/10)+Y2368/10)/O2368)</f>
        <v>0.65206671501087743</v>
      </c>
      <c r="W2368" s="645" t="s">
        <v>2300</v>
      </c>
      <c r="X2368" s="645">
        <v>10</v>
      </c>
      <c r="Y2368" s="645">
        <v>3.5999999999999996</v>
      </c>
      <c r="Z2368" s="652" t="s">
        <v>2072</v>
      </c>
      <c r="BB2368" s="651"/>
      <c r="BD2368" s="650"/>
    </row>
    <row r="2369" spans="1:8">
      <c r="C2369" s="648" t="s">
        <v>112</v>
      </c>
      <c r="D2369" s="648" t="s">
        <v>113</v>
      </c>
      <c r="E2369" s="648" t="s">
        <v>943</v>
      </c>
      <c r="F2369" s="649" t="s">
        <v>411</v>
      </c>
      <c r="G2369" s="649" t="s">
        <v>942</v>
      </c>
      <c r="H2369" s="648" t="s">
        <v>231</v>
      </c>
    </row>
    <row r="2370" spans="1:8">
      <c r="C2370" s="1514" t="s">
        <v>3359</v>
      </c>
      <c r="D2370" s="647">
        <v>70.650000000000006</v>
      </c>
      <c r="E2370" s="643">
        <f>303100000/100000000</f>
        <v>3.0310000000000001</v>
      </c>
      <c r="F2370" s="645"/>
      <c r="G2370" s="1542">
        <f>5203108/10000</f>
        <v>520.31079999999997</v>
      </c>
      <c r="H2370" s="1524">
        <f>358754296.6/100000000</f>
        <v>3.5875429660000004</v>
      </c>
    </row>
    <row r="2371" spans="1:8">
      <c r="C2371" s="1514"/>
      <c r="D2371" s="647">
        <v>68.95</v>
      </c>
      <c r="E2371" s="643">
        <f>447400000/100000000</f>
        <v>4.4740000000000002</v>
      </c>
      <c r="F2371" s="645"/>
      <c r="G2371" s="1542"/>
      <c r="H2371" s="1526"/>
    </row>
    <row r="2372" spans="1:8" ht="28">
      <c r="C2372" s="673" t="s">
        <v>3358</v>
      </c>
      <c r="D2372" s="647">
        <v>70.55</v>
      </c>
      <c r="E2372" s="643">
        <f>90000000/100000000</f>
        <v>0.9</v>
      </c>
      <c r="F2372" s="645"/>
      <c r="G2372" s="644">
        <f>1305293/10000</f>
        <v>130.52930000000001</v>
      </c>
      <c r="H2372" s="643">
        <f>89999952.35/100000000</f>
        <v>0.8999995234999999</v>
      </c>
    </row>
    <row r="2373" spans="1:8" s="119" customFormat="1" ht="17" customHeight="1">
      <c r="A2373" s="1551"/>
      <c r="B2373" s="1438"/>
      <c r="C2373" s="1531" t="s">
        <v>122</v>
      </c>
      <c r="D2373" s="732">
        <v>68.5</v>
      </c>
      <c r="E2373" s="730">
        <v>0.9</v>
      </c>
      <c r="F2373" s="20"/>
      <c r="G2373" s="20"/>
      <c r="H2373" s="20"/>
    </row>
    <row r="2374" spans="1:8" s="119" customFormat="1" ht="16.25" customHeight="1">
      <c r="A2374" s="1551"/>
      <c r="B2374" s="1438"/>
      <c r="C2374" s="1531"/>
      <c r="D2374" s="732">
        <v>64.8</v>
      </c>
      <c r="E2374" s="730">
        <v>1</v>
      </c>
      <c r="F2374" s="20"/>
      <c r="G2374" s="20"/>
      <c r="H2374" s="20"/>
    </row>
    <row r="2375" spans="1:8" s="119" customFormat="1" ht="18.75" customHeight="1">
      <c r="A2375" s="768"/>
      <c r="B2375" s="1438"/>
      <c r="C2375" s="1531"/>
      <c r="D2375" s="732">
        <v>61.2</v>
      </c>
      <c r="E2375" s="730">
        <v>1.1000000000000001</v>
      </c>
      <c r="F2375" s="20"/>
      <c r="G2375" s="20"/>
      <c r="H2375" s="20"/>
    </row>
    <row r="2376" spans="1:8" s="119" customFormat="1" ht="16" customHeight="1">
      <c r="A2376" s="1550"/>
      <c r="B2376" s="1438"/>
      <c r="C2376" s="1531" t="s">
        <v>173</v>
      </c>
      <c r="D2376" s="732">
        <v>67.11</v>
      </c>
      <c r="E2376" s="730">
        <v>1.44</v>
      </c>
      <c r="F2376" s="20"/>
      <c r="G2376" s="20"/>
      <c r="H2376" s="20"/>
    </row>
    <row r="2377" spans="1:8" s="119" customFormat="1" ht="16.25" customHeight="1">
      <c r="A2377" s="1550"/>
      <c r="B2377" s="1438"/>
      <c r="C2377" s="1531"/>
      <c r="D2377" s="732">
        <v>62.67</v>
      </c>
      <c r="E2377" s="730">
        <v>1.79</v>
      </c>
      <c r="F2377" s="20"/>
      <c r="G2377" s="20"/>
      <c r="H2377" s="20"/>
    </row>
    <row r="2378" spans="1:8" s="119" customFormat="1" ht="17.5" customHeight="1">
      <c r="A2378" s="1550"/>
      <c r="B2378" s="1438"/>
      <c r="C2378" s="734" t="s">
        <v>351</v>
      </c>
      <c r="D2378" s="732">
        <v>62.6</v>
      </c>
      <c r="E2378" s="730">
        <v>0.9</v>
      </c>
      <c r="F2378" s="20"/>
      <c r="G2378" s="20"/>
      <c r="H2378" s="20"/>
    </row>
    <row r="2379" spans="1:8" s="119" customFormat="1" ht="16.25" customHeight="1">
      <c r="A2379" s="1551"/>
      <c r="B2379" s="1438"/>
      <c r="C2379" s="734" t="s">
        <v>147</v>
      </c>
      <c r="D2379" s="732">
        <v>61.18</v>
      </c>
      <c r="E2379" s="730">
        <v>1.58</v>
      </c>
      <c r="F2379" s="20"/>
      <c r="G2379" s="20"/>
      <c r="H2379" s="20"/>
    </row>
    <row r="2380" spans="1:8" s="119" customFormat="1" ht="16" customHeight="1">
      <c r="A2380" s="1551"/>
      <c r="B2380" s="1438"/>
      <c r="C2380" s="734" t="s">
        <v>134</v>
      </c>
      <c r="D2380" s="732">
        <v>61.17</v>
      </c>
      <c r="E2380" s="730">
        <v>0.9</v>
      </c>
      <c r="F2380" s="20"/>
      <c r="G2380" s="20"/>
      <c r="H2380" s="20"/>
    </row>
    <row r="2381" spans="1:8" s="119" customFormat="1" ht="17.25" customHeight="1">
      <c r="A2381" s="768"/>
      <c r="B2381" s="1438"/>
    </row>
    <row r="2382" spans="1:8" s="119" customFormat="1" ht="21.75" customHeight="1">
      <c r="A2382" s="768"/>
      <c r="B2382" s="1438"/>
    </row>
    <row r="2383" spans="1:8" s="119" customFormat="1" ht="17.25" customHeight="1">
      <c r="A2383" s="768"/>
      <c r="B2383" s="1438"/>
    </row>
    <row r="2385" spans="1:56" s="663" customFormat="1">
      <c r="A2385" s="663" t="s">
        <v>2861</v>
      </c>
      <c r="B2385" s="665" t="s">
        <v>2036</v>
      </c>
      <c r="C2385" s="667" t="s">
        <v>126</v>
      </c>
      <c r="D2385" s="667" t="s">
        <v>1583</v>
      </c>
      <c r="E2385" s="667" t="s">
        <v>4</v>
      </c>
      <c r="F2385" s="667" t="s">
        <v>2860</v>
      </c>
      <c r="G2385" s="667" t="s">
        <v>2859</v>
      </c>
      <c r="H2385" s="667" t="s">
        <v>2858</v>
      </c>
      <c r="I2385" s="667" t="s">
        <v>751</v>
      </c>
      <c r="J2385" s="665" t="s">
        <v>274</v>
      </c>
      <c r="K2385" s="665" t="s">
        <v>273</v>
      </c>
      <c r="L2385" s="665" t="s">
        <v>116</v>
      </c>
      <c r="M2385" s="665" t="s">
        <v>110</v>
      </c>
      <c r="N2385" s="665" t="s">
        <v>276</v>
      </c>
      <c r="O2385" s="667" t="s">
        <v>1311</v>
      </c>
      <c r="P2385" s="665" t="s">
        <v>275</v>
      </c>
      <c r="Q2385" s="665" t="s">
        <v>111</v>
      </c>
      <c r="R2385" s="665" t="s">
        <v>2857</v>
      </c>
      <c r="S2385" s="665" t="s">
        <v>747</v>
      </c>
      <c r="T2385" s="667" t="s">
        <v>12</v>
      </c>
      <c r="U2385" s="666" t="s">
        <v>948</v>
      </c>
      <c r="V2385" s="665" t="s">
        <v>129</v>
      </c>
      <c r="W2385" s="665" t="s">
        <v>220</v>
      </c>
      <c r="X2385" s="665" t="s">
        <v>749</v>
      </c>
      <c r="Y2385" s="665" t="s">
        <v>750</v>
      </c>
      <c r="Z2385" s="665" t="s">
        <v>748</v>
      </c>
      <c r="BB2385" s="664"/>
      <c r="BD2385" s="664"/>
    </row>
    <row r="2386" spans="1:56">
      <c r="A2386" s="642" t="s">
        <v>2078</v>
      </c>
      <c r="B2386" s="1436">
        <v>162</v>
      </c>
      <c r="C2386" s="1437" t="s">
        <v>2299</v>
      </c>
      <c r="D2386" s="662" t="s">
        <v>2298</v>
      </c>
      <c r="E2386" s="662" t="s">
        <v>2297</v>
      </c>
      <c r="F2386" s="661">
        <v>69.5</v>
      </c>
      <c r="G2386" s="660">
        <v>69.5</v>
      </c>
      <c r="H2386" s="659">
        <f>L2386*R2386</f>
        <v>508.90456980020002</v>
      </c>
      <c r="I2386" s="656">
        <f>F2386/H2386</f>
        <v>0.13656784419775647</v>
      </c>
      <c r="J2386" s="658" t="s">
        <v>2942</v>
      </c>
      <c r="K2386" s="645" t="s">
        <v>2089</v>
      </c>
      <c r="L2386" s="645">
        <v>13.27</v>
      </c>
      <c r="M2386" s="658">
        <v>6.29</v>
      </c>
      <c r="N2386" s="653">
        <f>M2386/L2386</f>
        <v>0.4740015071590053</v>
      </c>
      <c r="O2386" s="656">
        <v>6.29</v>
      </c>
      <c r="P2386" s="653">
        <f>O2386/L2386</f>
        <v>0.4740015071590053</v>
      </c>
      <c r="Q2386" s="645">
        <v>9</v>
      </c>
      <c r="R2386" s="653">
        <v>38.350005260000003</v>
      </c>
      <c r="S2386" s="645" t="s">
        <v>2296</v>
      </c>
      <c r="T2386" s="654">
        <v>42975</v>
      </c>
      <c r="U2386" s="645">
        <v>10.29</v>
      </c>
      <c r="V2386" s="653">
        <f>((U2386*(1+X2386/10)+Y2386/10)/O2386)</f>
        <v>1.6470588235294117</v>
      </c>
      <c r="W2386" s="645" t="s">
        <v>2295</v>
      </c>
      <c r="X2386" s="645">
        <v>0</v>
      </c>
      <c r="Y2386" s="645">
        <v>0.70000000000000007</v>
      </c>
      <c r="Z2386" s="652" t="s">
        <v>2160</v>
      </c>
      <c r="BB2386" s="651"/>
      <c r="BD2386" s="650"/>
    </row>
    <row r="2387" spans="1:56">
      <c r="C2387" s="648" t="s">
        <v>112</v>
      </c>
      <c r="D2387" s="648" t="s">
        <v>113</v>
      </c>
      <c r="E2387" s="648" t="s">
        <v>943</v>
      </c>
      <c r="F2387" s="649" t="s">
        <v>411</v>
      </c>
      <c r="G2387" s="649" t="s">
        <v>942</v>
      </c>
      <c r="H2387" s="648" t="s">
        <v>231</v>
      </c>
    </row>
    <row r="2388" spans="1:56">
      <c r="C2388" s="1512" t="s">
        <v>1924</v>
      </c>
      <c r="D2388" s="647">
        <v>6.95</v>
      </c>
      <c r="E2388" s="709">
        <f t="shared" ref="E2388:E2393" si="2">69500/10000</f>
        <v>6.95</v>
      </c>
      <c r="F2388" s="645"/>
      <c r="G2388" s="1548">
        <v>11049.2845</v>
      </c>
      <c r="H2388" s="1535">
        <f>694999995.05/100000000</f>
        <v>6.9499999504999996</v>
      </c>
      <c r="I2388" s="687"/>
    </row>
    <row r="2389" spans="1:56">
      <c r="C2389" s="1512"/>
      <c r="D2389" s="647">
        <v>6.8</v>
      </c>
      <c r="E2389" s="709">
        <f t="shared" si="2"/>
        <v>6.95</v>
      </c>
      <c r="F2389" s="645"/>
      <c r="G2389" s="1552"/>
      <c r="H2389" s="1535"/>
    </row>
    <row r="2390" spans="1:56">
      <c r="C2390" s="1512"/>
      <c r="D2390" s="647">
        <v>6.7</v>
      </c>
      <c r="E2390" s="709">
        <f t="shared" si="2"/>
        <v>6.95</v>
      </c>
      <c r="F2390" s="645"/>
      <c r="G2390" s="1549"/>
      <c r="H2390" s="1535"/>
    </row>
    <row r="2391" spans="1:56" ht="28">
      <c r="C2391" s="673" t="s">
        <v>3357</v>
      </c>
      <c r="D2391" s="647">
        <v>7.51</v>
      </c>
      <c r="E2391" s="709">
        <f t="shared" si="2"/>
        <v>6.95</v>
      </c>
      <c r="F2391" s="645"/>
      <c r="G2391" s="644">
        <v>10413.354499999999</v>
      </c>
      <c r="H2391" s="643">
        <f>654999998.05/100000000</f>
        <v>6.5499999804999991</v>
      </c>
      <c r="I2391" s="687"/>
    </row>
    <row r="2392" spans="1:56">
      <c r="C2392" s="646" t="s">
        <v>3356</v>
      </c>
      <c r="D2392" s="647">
        <v>6.29</v>
      </c>
      <c r="E2392" s="709">
        <f t="shared" si="2"/>
        <v>6.95</v>
      </c>
      <c r="F2392" s="645"/>
      <c r="G2392" s="645"/>
      <c r="H2392" s="645"/>
    </row>
    <row r="2393" spans="1:56" ht="28">
      <c r="C2393" s="673" t="s">
        <v>3355</v>
      </c>
      <c r="D2393" s="647">
        <v>8.5</v>
      </c>
      <c r="E2393" s="709">
        <f t="shared" si="2"/>
        <v>6.95</v>
      </c>
      <c r="F2393" s="645"/>
      <c r="G2393" s="644">
        <v>11049.2845</v>
      </c>
      <c r="H2393" s="643">
        <f>694999995.05/100000000</f>
        <v>6.9499999504999996</v>
      </c>
      <c r="I2393" s="687"/>
    </row>
    <row r="2394" spans="1:56">
      <c r="C2394" s="646" t="s">
        <v>152</v>
      </c>
      <c r="D2394" s="647">
        <v>6.35</v>
      </c>
      <c r="E2394" s="709">
        <f>70000/10000</f>
        <v>7</v>
      </c>
      <c r="F2394" s="645"/>
      <c r="G2394" s="644">
        <v>11128.775799999999</v>
      </c>
      <c r="H2394" s="643">
        <f>699999997.82/100000000</f>
        <v>6.9999999782000009</v>
      </c>
      <c r="I2394" s="687"/>
    </row>
    <row r="2395" spans="1:56" ht="28">
      <c r="C2395" s="673" t="s">
        <v>3354</v>
      </c>
      <c r="D2395" s="647">
        <v>6.29</v>
      </c>
      <c r="E2395" s="709">
        <f>140000/10000</f>
        <v>14</v>
      </c>
      <c r="F2395" s="645"/>
      <c r="G2395" s="644">
        <v>22257.551599999999</v>
      </c>
      <c r="H2395" s="643">
        <f>1399999995.64/100000000</f>
        <v>13.999999956400002</v>
      </c>
      <c r="I2395" s="687"/>
    </row>
    <row r="2396" spans="1:56">
      <c r="C2396" s="646" t="s">
        <v>1092</v>
      </c>
      <c r="D2396" s="647">
        <v>6.29</v>
      </c>
      <c r="E2396" s="709">
        <f>75000/10000</f>
        <v>7.5</v>
      </c>
      <c r="F2396" s="645"/>
      <c r="G2396" s="645"/>
      <c r="H2396" s="645"/>
      <c r="I2396" s="687"/>
    </row>
    <row r="2397" spans="1:56" ht="28">
      <c r="C2397" s="673" t="s">
        <v>3353</v>
      </c>
      <c r="D2397" s="647">
        <v>6.29</v>
      </c>
      <c r="E2397" s="709">
        <f>69500/10000</f>
        <v>6.95</v>
      </c>
      <c r="F2397" s="645"/>
      <c r="G2397" s="644">
        <v>9697.9336000000003</v>
      </c>
      <c r="H2397" s="643">
        <f>610000023.44/100000000</f>
        <v>6.1000002344000004</v>
      </c>
    </row>
    <row r="2398" spans="1:56">
      <c r="C2398" s="646" t="s">
        <v>147</v>
      </c>
      <c r="D2398" s="647">
        <v>7.21</v>
      </c>
      <c r="E2398" s="709">
        <f>79500/10000</f>
        <v>7.95</v>
      </c>
      <c r="F2398" s="645"/>
      <c r="G2398" s="644">
        <v>12639.1096</v>
      </c>
      <c r="H2398" s="643">
        <f>794999993.84/100000000</f>
        <v>7.9499999384000004</v>
      </c>
    </row>
    <row r="2399" spans="1:56" ht="28">
      <c r="C2399" s="673" t="s">
        <v>3352</v>
      </c>
      <c r="D2399" s="647">
        <v>6.29</v>
      </c>
      <c r="E2399" s="709">
        <f>70000/10000</f>
        <v>7</v>
      </c>
      <c r="F2399" s="645"/>
      <c r="G2399" s="644">
        <v>11128.775799999999</v>
      </c>
      <c r="H2399" s="643">
        <f>699999997.82/100000000</f>
        <v>6.9999999782000009</v>
      </c>
      <c r="I2399" s="687"/>
    </row>
    <row r="2400" spans="1:56" ht="28">
      <c r="C2400" s="673" t="s">
        <v>3351</v>
      </c>
      <c r="D2400" s="647">
        <v>8.2799999999999994</v>
      </c>
      <c r="E2400" s="709">
        <f>70000/10000</f>
        <v>7</v>
      </c>
      <c r="F2400" s="645"/>
      <c r="G2400" s="644">
        <v>11128.775799999999</v>
      </c>
      <c r="H2400" s="643">
        <f>699999997.82/100000000</f>
        <v>6.9999999782000009</v>
      </c>
      <c r="I2400" s="687"/>
    </row>
    <row r="2402" spans="1:56" s="663" customFormat="1">
      <c r="A2402" s="663" t="s">
        <v>2861</v>
      </c>
      <c r="B2402" s="665" t="s">
        <v>2036</v>
      </c>
      <c r="C2402" s="667" t="s">
        <v>126</v>
      </c>
      <c r="D2402" s="667" t="s">
        <v>1583</v>
      </c>
      <c r="E2402" s="667" t="s">
        <v>4</v>
      </c>
      <c r="F2402" s="667" t="s">
        <v>2860</v>
      </c>
      <c r="G2402" s="667" t="s">
        <v>2859</v>
      </c>
      <c r="H2402" s="667" t="s">
        <v>2858</v>
      </c>
      <c r="I2402" s="667" t="s">
        <v>751</v>
      </c>
      <c r="J2402" s="665" t="s">
        <v>274</v>
      </c>
      <c r="K2402" s="665" t="s">
        <v>273</v>
      </c>
      <c r="L2402" s="665" t="s">
        <v>116</v>
      </c>
      <c r="M2402" s="665" t="s">
        <v>110</v>
      </c>
      <c r="N2402" s="665" t="s">
        <v>276</v>
      </c>
      <c r="O2402" s="667" t="s">
        <v>1311</v>
      </c>
      <c r="P2402" s="665" t="s">
        <v>275</v>
      </c>
      <c r="Q2402" s="665" t="s">
        <v>111</v>
      </c>
      <c r="R2402" s="665" t="s">
        <v>2857</v>
      </c>
      <c r="S2402" s="665" t="s">
        <v>747</v>
      </c>
      <c r="T2402" s="667" t="s">
        <v>12</v>
      </c>
      <c r="U2402" s="666" t="s">
        <v>948</v>
      </c>
      <c r="V2402" s="665" t="s">
        <v>129</v>
      </c>
      <c r="W2402" s="665" t="s">
        <v>220</v>
      </c>
      <c r="X2402" s="665" t="s">
        <v>749</v>
      </c>
      <c r="Y2402" s="665" t="s">
        <v>750</v>
      </c>
      <c r="Z2402" s="665" t="s">
        <v>748</v>
      </c>
      <c r="BB2402" s="664"/>
      <c r="BD2402" s="664"/>
    </row>
    <row r="2403" spans="1:56">
      <c r="A2403" s="642" t="s">
        <v>2078</v>
      </c>
      <c r="B2403" s="1436">
        <v>163</v>
      </c>
      <c r="C2403" s="1471" t="s">
        <v>2294</v>
      </c>
      <c r="D2403" s="722" t="s">
        <v>2293</v>
      </c>
      <c r="E2403" s="722" t="s">
        <v>2292</v>
      </c>
      <c r="F2403" s="721">
        <v>10.27</v>
      </c>
      <c r="G2403" s="656">
        <v>10.26</v>
      </c>
      <c r="H2403" s="656">
        <f>L2403*R2403</f>
        <v>131.78880000000001</v>
      </c>
      <c r="I2403" s="656">
        <f>F2403/H2403</f>
        <v>7.7927714646464641E-2</v>
      </c>
      <c r="J2403" s="658" t="s">
        <v>2911</v>
      </c>
      <c r="K2403" s="645" t="s">
        <v>2240</v>
      </c>
      <c r="L2403" s="645">
        <v>79.2</v>
      </c>
      <c r="M2403" s="658">
        <v>65.349999999999994</v>
      </c>
      <c r="N2403" s="653">
        <f>M2403/L2403</f>
        <v>0.82512626262626254</v>
      </c>
      <c r="O2403" s="656">
        <v>69.989999999999995</v>
      </c>
      <c r="P2403" s="653">
        <f>O2403/L2403</f>
        <v>0.88371212121212117</v>
      </c>
      <c r="Q2403" s="645">
        <v>7</v>
      </c>
      <c r="R2403" s="653">
        <v>1.6639999999999999</v>
      </c>
      <c r="S2403" s="645" t="s">
        <v>2291</v>
      </c>
      <c r="T2403" s="654">
        <v>42975</v>
      </c>
      <c r="U2403" s="645">
        <v>24.07</v>
      </c>
      <c r="V2403" s="653">
        <f>((U2403*(1+X2403/10)+Y2403/10)/O2403)</f>
        <v>0.86305186455207883</v>
      </c>
      <c r="W2403" s="645" t="s">
        <v>2290</v>
      </c>
      <c r="X2403" s="645">
        <v>15</v>
      </c>
      <c r="Y2403" s="645">
        <v>2.3000000000000003</v>
      </c>
      <c r="Z2403" s="652" t="s">
        <v>2160</v>
      </c>
      <c r="BB2403" s="651"/>
      <c r="BD2403" s="650"/>
    </row>
    <row r="2404" spans="1:56">
      <c r="C2404" s="648" t="s">
        <v>112</v>
      </c>
      <c r="D2404" s="767" t="s">
        <v>113</v>
      </c>
      <c r="E2404" s="767" t="s">
        <v>943</v>
      </c>
      <c r="F2404" s="649" t="s">
        <v>411</v>
      </c>
      <c r="G2404" s="649" t="s">
        <v>942</v>
      </c>
      <c r="H2404" s="648" t="s">
        <v>231</v>
      </c>
    </row>
    <row r="2405" spans="1:56">
      <c r="C2405" s="764" t="s">
        <v>955</v>
      </c>
      <c r="D2405" s="766"/>
      <c r="E2405" s="765"/>
      <c r="F2405" s="758"/>
      <c r="G2405" s="644">
        <f>1466638/10000</f>
        <v>146.66380000000001</v>
      </c>
      <c r="H2405" s="643">
        <f>102649993.62/100000000</f>
        <v>1.0264999362</v>
      </c>
    </row>
    <row r="2406" spans="1:56">
      <c r="C2406" s="764" t="s">
        <v>951</v>
      </c>
      <c r="D2406" s="763"/>
      <c r="E2406" s="762"/>
      <c r="F2406" s="758"/>
      <c r="G2406" s="644">
        <f>1466638/10000</f>
        <v>146.66380000000001</v>
      </c>
      <c r="H2406" s="643">
        <f>102649993.62/100000000</f>
        <v>1.0264999362</v>
      </c>
    </row>
    <row r="2407" spans="1:56">
      <c r="C2407" s="764" t="s">
        <v>1846</v>
      </c>
      <c r="D2407" s="1553" t="s">
        <v>3350</v>
      </c>
      <c r="E2407" s="1554"/>
      <c r="F2407" s="758"/>
      <c r="G2407" s="644">
        <f>2857551/10000</f>
        <v>285.75510000000003</v>
      </c>
      <c r="H2407" s="643">
        <f>199999994.49/100000000</f>
        <v>1.9999999449000001</v>
      </c>
    </row>
    <row r="2408" spans="1:56">
      <c r="C2408" s="764" t="s">
        <v>121</v>
      </c>
      <c r="D2408" s="1553"/>
      <c r="E2408" s="1554"/>
      <c r="F2408" s="758"/>
      <c r="G2408" s="644">
        <f>4286326/10000</f>
        <v>428.63260000000002</v>
      </c>
      <c r="H2408" s="643">
        <f>299999956.74/100000000</f>
        <v>2.9999995674000002</v>
      </c>
    </row>
    <row r="2409" spans="1:56">
      <c r="C2409" s="764" t="s">
        <v>3349</v>
      </c>
      <c r="D2409" s="763"/>
      <c r="E2409" s="762"/>
      <c r="F2409" s="758"/>
      <c r="G2409" s="644">
        <f>1500214/10000</f>
        <v>150.0214</v>
      </c>
      <c r="H2409" s="643">
        <f>104999977.86/100000000</f>
        <v>1.0499997785999999</v>
      </c>
    </row>
    <row r="2410" spans="1:56">
      <c r="C2410" s="764" t="s">
        <v>965</v>
      </c>
      <c r="D2410" s="763"/>
      <c r="E2410" s="762"/>
      <c r="F2410" s="758"/>
      <c r="G2410" s="644">
        <f>2643234/10000</f>
        <v>264.32339999999999</v>
      </c>
      <c r="H2410" s="643">
        <f>184999947.66/100000000</f>
        <v>1.8499994765999999</v>
      </c>
    </row>
    <row r="2411" spans="1:56" ht="28">
      <c r="C2411" s="761" t="s">
        <v>3348</v>
      </c>
      <c r="D2411" s="760"/>
      <c r="E2411" s="759"/>
      <c r="F2411" s="758"/>
      <c r="G2411" s="644">
        <f>445779/10000</f>
        <v>44.5779</v>
      </c>
      <c r="H2411" s="643">
        <f>31200072.21/100000000</f>
        <v>0.31200072210000002</v>
      </c>
    </row>
    <row r="2413" spans="1:56" s="663" customFormat="1">
      <c r="A2413" s="663" t="s">
        <v>2861</v>
      </c>
      <c r="B2413" s="665" t="s">
        <v>2036</v>
      </c>
      <c r="C2413" s="667" t="s">
        <v>126</v>
      </c>
      <c r="D2413" s="667" t="s">
        <v>1583</v>
      </c>
      <c r="E2413" s="667" t="s">
        <v>4</v>
      </c>
      <c r="F2413" s="667" t="s">
        <v>2860</v>
      </c>
      <c r="G2413" s="667" t="s">
        <v>2859</v>
      </c>
      <c r="H2413" s="667" t="s">
        <v>2858</v>
      </c>
      <c r="I2413" s="667" t="s">
        <v>751</v>
      </c>
      <c r="J2413" s="665" t="s">
        <v>274</v>
      </c>
      <c r="K2413" s="665" t="s">
        <v>273</v>
      </c>
      <c r="L2413" s="665" t="s">
        <v>116</v>
      </c>
      <c r="M2413" s="665" t="s">
        <v>110</v>
      </c>
      <c r="N2413" s="665" t="s">
        <v>276</v>
      </c>
      <c r="O2413" s="667" t="s">
        <v>1311</v>
      </c>
      <c r="P2413" s="665" t="s">
        <v>275</v>
      </c>
      <c r="Q2413" s="665" t="s">
        <v>111</v>
      </c>
      <c r="R2413" s="665" t="s">
        <v>2857</v>
      </c>
      <c r="S2413" s="665" t="s">
        <v>747</v>
      </c>
      <c r="T2413" s="667" t="s">
        <v>12</v>
      </c>
      <c r="U2413" s="666" t="s">
        <v>948</v>
      </c>
      <c r="V2413" s="665" t="s">
        <v>129</v>
      </c>
      <c r="W2413" s="665" t="s">
        <v>220</v>
      </c>
      <c r="X2413" s="665" t="s">
        <v>749</v>
      </c>
      <c r="Y2413" s="665" t="s">
        <v>750</v>
      </c>
      <c r="Z2413" s="665" t="s">
        <v>748</v>
      </c>
      <c r="BB2413" s="664"/>
      <c r="BD2413" s="664"/>
    </row>
    <row r="2414" spans="1:56">
      <c r="A2414" s="642" t="s">
        <v>2078</v>
      </c>
      <c r="B2414" s="1436">
        <v>164</v>
      </c>
      <c r="C2414" s="1437" t="s">
        <v>2289</v>
      </c>
      <c r="D2414" s="662" t="s">
        <v>2288</v>
      </c>
      <c r="E2414" s="662" t="s">
        <v>2287</v>
      </c>
      <c r="F2414" s="661">
        <v>9.35</v>
      </c>
      <c r="G2414" s="660">
        <v>9.35</v>
      </c>
      <c r="H2414" s="659">
        <f>L2414*R2414</f>
        <v>77.203800000000001</v>
      </c>
      <c r="I2414" s="656">
        <f>F2414/H2414</f>
        <v>0.12110802836129828</v>
      </c>
      <c r="J2414" s="658" t="s">
        <v>2941</v>
      </c>
      <c r="K2414" s="645" t="s">
        <v>2089</v>
      </c>
      <c r="L2414" s="645">
        <v>25.23</v>
      </c>
      <c r="M2414" s="658">
        <v>13.21</v>
      </c>
      <c r="N2414" s="653">
        <f>M2414/L2414</f>
        <v>0.5235830360681728</v>
      </c>
      <c r="O2414" s="656">
        <v>21.2</v>
      </c>
      <c r="P2414" s="653">
        <f>O2414/L2414</f>
        <v>0.84026952041220759</v>
      </c>
      <c r="Q2414" s="645">
        <v>6</v>
      </c>
      <c r="R2414" s="645">
        <v>3.06</v>
      </c>
      <c r="S2414" s="645" t="s">
        <v>2286</v>
      </c>
      <c r="T2414" s="654">
        <v>42977</v>
      </c>
      <c r="U2414" s="645">
        <v>16.600000000000001</v>
      </c>
      <c r="V2414" s="653">
        <f>((U2414*(1+X2414/10)+Y2414/10)/O2414)</f>
        <v>0.79009433962264153</v>
      </c>
      <c r="W2414" s="645" t="s">
        <v>2117</v>
      </c>
      <c r="X2414" s="645">
        <v>0</v>
      </c>
      <c r="Y2414" s="645">
        <v>1.5</v>
      </c>
      <c r="Z2414" s="652" t="s">
        <v>2122</v>
      </c>
      <c r="BB2414" s="651"/>
      <c r="BD2414" s="650"/>
    </row>
    <row r="2415" spans="1:56">
      <c r="C2415" s="648" t="s">
        <v>112</v>
      </c>
      <c r="D2415" s="648" t="s">
        <v>113</v>
      </c>
      <c r="E2415" s="648" t="s">
        <v>943</v>
      </c>
      <c r="F2415" s="649" t="s">
        <v>411</v>
      </c>
      <c r="G2415" s="649" t="s">
        <v>942</v>
      </c>
      <c r="H2415" s="648" t="s">
        <v>231</v>
      </c>
    </row>
    <row r="2416" spans="1:56">
      <c r="C2416" s="646" t="s">
        <v>122</v>
      </c>
      <c r="D2416" s="647">
        <v>19.5</v>
      </c>
      <c r="E2416" s="643">
        <v>0.95</v>
      </c>
      <c r="F2416" s="645"/>
      <c r="G2416" s="645"/>
      <c r="H2416" s="645"/>
    </row>
    <row r="2417" spans="3:8">
      <c r="C2417" s="646" t="s">
        <v>1124</v>
      </c>
      <c r="D2417" s="647">
        <v>20.99</v>
      </c>
      <c r="E2417" s="643">
        <v>2</v>
      </c>
      <c r="F2417" s="645"/>
      <c r="G2417" s="645"/>
      <c r="H2417" s="645"/>
    </row>
    <row r="2418" spans="3:8">
      <c r="C2418" s="646" t="s">
        <v>955</v>
      </c>
      <c r="D2418" s="647">
        <v>19.11</v>
      </c>
      <c r="E2418" s="643">
        <v>0.95</v>
      </c>
      <c r="F2418" s="645"/>
      <c r="G2418" s="645"/>
      <c r="H2418" s="645"/>
    </row>
    <row r="2419" spans="3:8">
      <c r="C2419" s="646" t="s">
        <v>127</v>
      </c>
      <c r="D2419" s="647">
        <v>22.22</v>
      </c>
      <c r="E2419" s="643">
        <v>1.7</v>
      </c>
      <c r="F2419" s="645"/>
      <c r="G2419" s="644">
        <f>8018867/10000</f>
        <v>801.88670000000002</v>
      </c>
      <c r="H2419" s="643">
        <f>169999980.4/100000000</f>
        <v>1.6999998040000002</v>
      </c>
    </row>
    <row r="2420" spans="3:8">
      <c r="C2420" s="646" t="s">
        <v>1148</v>
      </c>
      <c r="D2420" s="647">
        <v>20</v>
      </c>
      <c r="E2420" s="643">
        <v>0.95</v>
      </c>
      <c r="F2420" s="645"/>
      <c r="G2420" s="645"/>
      <c r="H2420" s="645"/>
    </row>
    <row r="2421" spans="3:8">
      <c r="C2421" s="646" t="s">
        <v>2940</v>
      </c>
      <c r="D2421" s="647">
        <v>15</v>
      </c>
      <c r="E2421" s="643">
        <v>0.95</v>
      </c>
      <c r="F2421" s="645"/>
      <c r="G2421" s="645"/>
      <c r="H2421" s="645"/>
    </row>
    <row r="2422" spans="3:8">
      <c r="C2422" s="646" t="s">
        <v>131</v>
      </c>
      <c r="D2422" s="647">
        <v>18</v>
      </c>
      <c r="E2422" s="643">
        <v>1.97</v>
      </c>
      <c r="F2422" s="645"/>
      <c r="G2422" s="645"/>
      <c r="H2422" s="645"/>
    </row>
    <row r="2423" spans="3:8">
      <c r="C2423" s="646" t="s">
        <v>6</v>
      </c>
      <c r="D2423" s="647">
        <v>17.559999999999999</v>
      </c>
      <c r="E2423" s="643">
        <v>0.95</v>
      </c>
      <c r="F2423" s="645"/>
      <c r="G2423" s="645"/>
      <c r="H2423" s="645"/>
    </row>
    <row r="2424" spans="3:8">
      <c r="C2424" s="646" t="s">
        <v>526</v>
      </c>
      <c r="D2424" s="647">
        <v>18.059999999999999</v>
      </c>
      <c r="E2424" s="643">
        <v>0.95</v>
      </c>
      <c r="F2424" s="645"/>
      <c r="G2424" s="645"/>
      <c r="H2424" s="645"/>
    </row>
    <row r="2425" spans="3:8">
      <c r="C2425" s="646" t="s">
        <v>629</v>
      </c>
      <c r="D2425" s="647">
        <v>18</v>
      </c>
      <c r="E2425" s="643">
        <v>0.95</v>
      </c>
      <c r="F2425" s="645"/>
      <c r="G2425" s="645"/>
      <c r="H2425" s="645"/>
    </row>
    <row r="2426" spans="3:8">
      <c r="C2426" s="646" t="s">
        <v>351</v>
      </c>
      <c r="D2426" s="647">
        <v>18.95</v>
      </c>
      <c r="E2426" s="643">
        <v>0.95</v>
      </c>
      <c r="F2426" s="645"/>
      <c r="G2426" s="645"/>
      <c r="H2426" s="645"/>
    </row>
    <row r="2427" spans="3:8">
      <c r="C2427" s="646" t="s">
        <v>977</v>
      </c>
      <c r="D2427" s="647">
        <v>13.88</v>
      </c>
      <c r="E2427" s="643">
        <v>0.95</v>
      </c>
      <c r="F2427" s="645"/>
      <c r="G2427" s="645"/>
      <c r="H2427" s="645"/>
    </row>
    <row r="2428" spans="3:8">
      <c r="C2428" s="646" t="s">
        <v>332</v>
      </c>
      <c r="D2428" s="647">
        <v>22.85</v>
      </c>
      <c r="E2428" s="643">
        <v>1.4</v>
      </c>
      <c r="F2428" s="645"/>
      <c r="G2428" s="644">
        <f>6603773/10000</f>
        <v>660.37729999999999</v>
      </c>
      <c r="H2428" s="643">
        <f>139999987.6/100000000</f>
        <v>1.3999998759999999</v>
      </c>
    </row>
    <row r="2429" spans="3:8">
      <c r="C2429" s="646" t="s">
        <v>115</v>
      </c>
      <c r="D2429" s="647">
        <v>22.57</v>
      </c>
      <c r="E2429" s="643">
        <v>2</v>
      </c>
      <c r="F2429" s="645"/>
      <c r="G2429" s="644">
        <f>9433962/10000</f>
        <v>943.39620000000002</v>
      </c>
      <c r="H2429" s="643">
        <f>199999994.4/100000000</f>
        <v>1.999999944</v>
      </c>
    </row>
    <row r="2430" spans="3:8">
      <c r="C2430" s="646" t="s">
        <v>2939</v>
      </c>
      <c r="D2430" s="647">
        <v>20.11</v>
      </c>
      <c r="E2430" s="643">
        <v>1</v>
      </c>
      <c r="F2430" s="645"/>
      <c r="G2430" s="645"/>
      <c r="H2430" s="645"/>
    </row>
    <row r="2431" spans="3:8">
      <c r="C2431" s="646" t="s">
        <v>121</v>
      </c>
      <c r="D2431" s="647">
        <v>23.12</v>
      </c>
      <c r="E2431" s="643">
        <v>1.72</v>
      </c>
      <c r="F2431" s="645"/>
      <c r="G2431" s="644">
        <f>8113207/10000</f>
        <v>811.32069999999999</v>
      </c>
      <c r="H2431" s="643">
        <f>171999988.4/100000000</f>
        <v>1.7199998840000001</v>
      </c>
    </row>
    <row r="2432" spans="3:8">
      <c r="C2432" s="646" t="s">
        <v>336</v>
      </c>
      <c r="D2432" s="647">
        <v>25.3</v>
      </c>
      <c r="E2432" s="643">
        <v>1.9</v>
      </c>
      <c r="F2432" s="645"/>
      <c r="G2432" s="644">
        <f>8962264/10000</f>
        <v>896.22640000000001</v>
      </c>
      <c r="H2432" s="643">
        <f>189999996.8/100000000</f>
        <v>1.8999999680000002</v>
      </c>
    </row>
    <row r="2433" spans="1:56">
      <c r="C2433" s="646" t="s">
        <v>1031</v>
      </c>
      <c r="D2433" s="647">
        <v>20.2</v>
      </c>
      <c r="E2433" s="643">
        <v>1</v>
      </c>
      <c r="F2433" s="645"/>
      <c r="G2433" s="645"/>
      <c r="H2433" s="645"/>
    </row>
    <row r="2434" spans="1:56">
      <c r="C2434" s="646" t="s">
        <v>300</v>
      </c>
      <c r="D2434" s="647">
        <v>19.399999999999999</v>
      </c>
      <c r="E2434" s="643">
        <v>0.96</v>
      </c>
      <c r="F2434" s="645"/>
      <c r="G2434" s="645"/>
      <c r="H2434" s="645"/>
    </row>
    <row r="2435" spans="1:56">
      <c r="C2435" s="646" t="s">
        <v>147</v>
      </c>
      <c r="D2435" s="647">
        <v>19.059999999999999</v>
      </c>
      <c r="E2435" s="643">
        <v>1.75</v>
      </c>
      <c r="F2435" s="645"/>
      <c r="G2435" s="645"/>
      <c r="H2435" s="645"/>
    </row>
    <row r="2436" spans="1:56">
      <c r="C2436" s="646" t="s">
        <v>2938</v>
      </c>
      <c r="D2436" s="647">
        <v>21.2</v>
      </c>
      <c r="E2436" s="643">
        <v>0.95</v>
      </c>
      <c r="F2436" s="645"/>
      <c r="G2436" s="644">
        <f>2981134/10000</f>
        <v>298.11340000000001</v>
      </c>
      <c r="H2436" s="643">
        <f>63200040.8/100000000</f>
        <v>0.63200040800000001</v>
      </c>
    </row>
    <row r="2437" spans="1:56">
      <c r="C2437" s="646" t="s">
        <v>2937</v>
      </c>
      <c r="D2437" s="647">
        <v>20.13</v>
      </c>
      <c r="E2437" s="643">
        <v>1.1000000000000001</v>
      </c>
      <c r="F2437" s="645"/>
      <c r="G2437" s="645"/>
      <c r="H2437" s="645"/>
    </row>
    <row r="2439" spans="1:56" s="663" customFormat="1">
      <c r="A2439" s="663" t="s">
        <v>2861</v>
      </c>
      <c r="B2439" s="665" t="s">
        <v>2036</v>
      </c>
      <c r="C2439" s="667" t="s">
        <v>126</v>
      </c>
      <c r="D2439" s="667" t="s">
        <v>1583</v>
      </c>
      <c r="E2439" s="667" t="s">
        <v>4</v>
      </c>
      <c r="F2439" s="667" t="s">
        <v>2860</v>
      </c>
      <c r="G2439" s="667" t="s">
        <v>2859</v>
      </c>
      <c r="H2439" s="667" t="s">
        <v>2858</v>
      </c>
      <c r="I2439" s="667" t="s">
        <v>751</v>
      </c>
      <c r="J2439" s="665" t="s">
        <v>274</v>
      </c>
      <c r="K2439" s="665" t="s">
        <v>273</v>
      </c>
      <c r="L2439" s="665" t="s">
        <v>116</v>
      </c>
      <c r="M2439" s="665" t="s">
        <v>110</v>
      </c>
      <c r="N2439" s="665" t="s">
        <v>276</v>
      </c>
      <c r="O2439" s="667" t="s">
        <v>1311</v>
      </c>
      <c r="P2439" s="665" t="s">
        <v>275</v>
      </c>
      <c r="Q2439" s="665" t="s">
        <v>111</v>
      </c>
      <c r="R2439" s="665" t="s">
        <v>2857</v>
      </c>
      <c r="S2439" s="665" t="s">
        <v>747</v>
      </c>
      <c r="T2439" s="667" t="s">
        <v>12</v>
      </c>
      <c r="U2439" s="666" t="s">
        <v>948</v>
      </c>
      <c r="V2439" s="665" t="s">
        <v>129</v>
      </c>
      <c r="W2439" s="665" t="s">
        <v>220</v>
      </c>
      <c r="X2439" s="665" t="s">
        <v>749</v>
      </c>
      <c r="Y2439" s="665" t="s">
        <v>750</v>
      </c>
      <c r="Z2439" s="665" t="s">
        <v>748</v>
      </c>
      <c r="BB2439" s="664"/>
      <c r="BD2439" s="664"/>
    </row>
    <row r="2440" spans="1:56">
      <c r="A2440" s="642" t="s">
        <v>2078</v>
      </c>
      <c r="B2440" s="1436">
        <v>165</v>
      </c>
      <c r="C2440" s="1471" t="s">
        <v>2285</v>
      </c>
      <c r="D2440" s="722" t="s">
        <v>2284</v>
      </c>
      <c r="E2440" s="722" t="s">
        <v>2283</v>
      </c>
      <c r="F2440" s="721">
        <v>10.7</v>
      </c>
      <c r="G2440" s="660">
        <v>10.7</v>
      </c>
      <c r="H2440" s="656">
        <f>L2440*R2440</f>
        <v>117.8720324355</v>
      </c>
      <c r="I2440" s="656">
        <f>F2440/H2440</f>
        <v>9.0776410475954736E-2</v>
      </c>
      <c r="J2440" s="658" t="s">
        <v>2936</v>
      </c>
      <c r="K2440" s="645" t="s">
        <v>2089</v>
      </c>
      <c r="L2440" s="645">
        <v>12.53</v>
      </c>
      <c r="M2440" s="658">
        <v>11.12</v>
      </c>
      <c r="N2440" s="653">
        <f>M2440/L2440</f>
        <v>0.88747007182761373</v>
      </c>
      <c r="O2440" s="656">
        <v>12.02</v>
      </c>
      <c r="P2440" s="653">
        <f>O2440/L2440</f>
        <v>0.95929768555466877</v>
      </c>
      <c r="Q2440" s="645">
        <v>7</v>
      </c>
      <c r="R2440" s="653">
        <v>9.4071853500000007</v>
      </c>
      <c r="S2440" s="645" t="s">
        <v>2282</v>
      </c>
      <c r="T2440" s="654">
        <v>42976</v>
      </c>
      <c r="U2440" s="645">
        <v>13</v>
      </c>
      <c r="V2440" s="653">
        <f>((U2440*(1+X2440/10)+Y2440/10)/O2440)</f>
        <v>1.094009983361065</v>
      </c>
      <c r="W2440" s="645" t="s">
        <v>239</v>
      </c>
      <c r="X2440" s="645">
        <v>0</v>
      </c>
      <c r="Y2440" s="645">
        <v>1.5</v>
      </c>
      <c r="Z2440" s="652" t="s">
        <v>2281</v>
      </c>
      <c r="BB2440" s="651"/>
      <c r="BD2440" s="650"/>
    </row>
    <row r="2441" spans="1:56">
      <c r="C2441" s="696" t="s">
        <v>112</v>
      </c>
      <c r="D2441" s="696" t="s">
        <v>113</v>
      </c>
      <c r="E2441" s="696" t="s">
        <v>943</v>
      </c>
      <c r="F2441" s="697" t="s">
        <v>411</v>
      </c>
      <c r="G2441" s="697" t="s">
        <v>942</v>
      </c>
      <c r="H2441" s="696" t="s">
        <v>231</v>
      </c>
    </row>
    <row r="2442" spans="1:56" ht="28">
      <c r="C2442" s="673" t="s">
        <v>3347</v>
      </c>
      <c r="D2442" s="647">
        <v>12.6</v>
      </c>
      <c r="E2442" s="643">
        <v>1.2</v>
      </c>
      <c r="F2442" s="645"/>
      <c r="G2442" s="644">
        <f>9983361/10000</f>
        <v>998.33609999999999</v>
      </c>
      <c r="H2442" s="643">
        <f>119999999.22/100000000</f>
        <v>1.1999999922</v>
      </c>
    </row>
    <row r="2443" spans="1:56">
      <c r="C2443" s="1512" t="s">
        <v>3346</v>
      </c>
      <c r="D2443" s="647">
        <v>12.66</v>
      </c>
      <c r="E2443" s="643">
        <v>1.1000000000000001</v>
      </c>
      <c r="F2443" s="645"/>
      <c r="G2443" s="1548">
        <f>13810318/10000</f>
        <v>1381.0318</v>
      </c>
      <c r="H2443" s="1535">
        <f>166000022.36/100000000</f>
        <v>1.6600002236000002</v>
      </c>
    </row>
    <row r="2444" spans="1:56">
      <c r="C2444" s="1512"/>
      <c r="D2444" s="647">
        <v>12.4</v>
      </c>
      <c r="E2444" s="643">
        <v>1.5</v>
      </c>
      <c r="F2444" s="645"/>
      <c r="G2444" s="1552"/>
      <c r="H2444" s="1535"/>
    </row>
    <row r="2445" spans="1:56">
      <c r="C2445" s="1512"/>
      <c r="D2445" s="647">
        <v>12.02</v>
      </c>
      <c r="E2445" s="643">
        <v>2</v>
      </c>
      <c r="F2445" s="645"/>
      <c r="G2445" s="1549"/>
      <c r="H2445" s="1535"/>
    </row>
    <row r="2446" spans="1:56" ht="28">
      <c r="C2446" s="673" t="s">
        <v>3345</v>
      </c>
      <c r="D2446" s="647">
        <v>11.6</v>
      </c>
      <c r="E2446" s="643">
        <v>1.5</v>
      </c>
      <c r="F2446" s="645"/>
      <c r="G2446" s="645"/>
      <c r="H2446" s="646" t="s">
        <v>294</v>
      </c>
    </row>
    <row r="2447" spans="1:56">
      <c r="C2447" s="1512" t="s">
        <v>465</v>
      </c>
      <c r="D2447" s="647">
        <v>12.24</v>
      </c>
      <c r="E2447" s="643">
        <v>1.07</v>
      </c>
      <c r="F2447" s="645"/>
      <c r="G2447" s="756">
        <f>8901830/10000</f>
        <v>890.18299999999999</v>
      </c>
      <c r="H2447" s="1535">
        <f>106999996.6/100000000</f>
        <v>1.0699999659999999</v>
      </c>
    </row>
    <row r="2448" spans="1:56">
      <c r="C2448" s="1512"/>
      <c r="D2448" s="647">
        <v>11.47</v>
      </c>
      <c r="E2448" s="643">
        <v>1.07</v>
      </c>
      <c r="F2448" s="645"/>
      <c r="G2448" s="757"/>
      <c r="H2448" s="1535"/>
    </row>
    <row r="2449" spans="3:8">
      <c r="C2449" s="1512"/>
      <c r="D2449" s="647">
        <v>11.22</v>
      </c>
      <c r="E2449" s="643">
        <v>1.07</v>
      </c>
      <c r="F2449" s="645"/>
      <c r="G2449" s="755"/>
      <c r="H2449" s="1535"/>
    </row>
    <row r="2450" spans="3:8">
      <c r="C2450" s="1514" t="s">
        <v>3344</v>
      </c>
      <c r="D2450" s="647">
        <v>12</v>
      </c>
      <c r="E2450" s="643">
        <v>2.57</v>
      </c>
      <c r="F2450" s="645"/>
      <c r="G2450" s="756">
        <f>12479201/10000</f>
        <v>1247.9201</v>
      </c>
      <c r="H2450" s="1535">
        <f>149999996.02/100000000</f>
        <v>1.4999999602</v>
      </c>
    </row>
    <row r="2451" spans="3:8">
      <c r="C2451" s="1514"/>
      <c r="D2451" s="647">
        <v>12.48</v>
      </c>
      <c r="E2451" s="643">
        <v>1.5</v>
      </c>
      <c r="F2451" s="645"/>
      <c r="G2451" s="755"/>
      <c r="H2451" s="1535"/>
    </row>
    <row r="2452" spans="3:8" ht="28">
      <c r="C2452" s="673" t="s">
        <v>3313</v>
      </c>
      <c r="D2452" s="647">
        <v>11.17</v>
      </c>
      <c r="E2452" s="643">
        <v>1.07</v>
      </c>
      <c r="F2452" s="645"/>
      <c r="G2452" s="645"/>
      <c r="H2452" s="646" t="s">
        <v>294</v>
      </c>
    </row>
    <row r="2453" spans="3:8">
      <c r="C2453" s="1514" t="s">
        <v>3343</v>
      </c>
      <c r="D2453" s="647">
        <v>12.13</v>
      </c>
      <c r="E2453" s="643">
        <v>2.35</v>
      </c>
      <c r="F2453" s="645"/>
      <c r="G2453" s="756">
        <f>19550748/10000</f>
        <v>1955.0748000000001</v>
      </c>
      <c r="H2453" s="1535">
        <f>234999990.96/100000000</f>
        <v>2.3499999096000002</v>
      </c>
    </row>
    <row r="2454" spans="3:8">
      <c r="C2454" s="1514"/>
      <c r="D2454" s="647">
        <v>11.66</v>
      </c>
      <c r="E2454" s="643">
        <v>2.89</v>
      </c>
      <c r="F2454" s="645"/>
      <c r="G2454" s="755"/>
      <c r="H2454" s="1535"/>
    </row>
    <row r="2455" spans="3:8">
      <c r="C2455" s="1514" t="s">
        <v>3342</v>
      </c>
      <c r="D2455" s="647">
        <v>12.12</v>
      </c>
      <c r="E2455" s="643">
        <v>1.1000000000000001</v>
      </c>
      <c r="F2455" s="645"/>
      <c r="G2455" s="756">
        <f>9151414/10000</f>
        <v>915.14139999999998</v>
      </c>
      <c r="H2455" s="1535">
        <f>109999996.28/100000000</f>
        <v>1.0999999628000001</v>
      </c>
    </row>
    <row r="2456" spans="3:8">
      <c r="C2456" s="1514"/>
      <c r="D2456" s="647">
        <v>11.47</v>
      </c>
      <c r="E2456" s="643">
        <v>1.87</v>
      </c>
      <c r="F2456" s="645"/>
      <c r="G2456" s="755"/>
      <c r="H2456" s="1535"/>
    </row>
    <row r="2457" spans="3:8">
      <c r="C2457" s="1514" t="s">
        <v>3341</v>
      </c>
      <c r="D2457" s="647">
        <v>11.2</v>
      </c>
      <c r="E2457" s="643">
        <v>1.07</v>
      </c>
      <c r="F2457" s="645"/>
      <c r="G2457" s="754"/>
      <c r="H2457" s="1512" t="s">
        <v>294</v>
      </c>
    </row>
    <row r="2458" spans="3:8">
      <c r="C2458" s="1514"/>
      <c r="D2458" s="647">
        <v>11.12</v>
      </c>
      <c r="E2458" s="643">
        <v>1.32</v>
      </c>
      <c r="F2458" s="645"/>
      <c r="G2458" s="681"/>
      <c r="H2458" s="1512"/>
    </row>
    <row r="2459" spans="3:8" ht="28">
      <c r="C2459" s="673" t="s">
        <v>3340</v>
      </c>
      <c r="D2459" s="647">
        <v>11.24</v>
      </c>
      <c r="E2459" s="643">
        <v>1.6</v>
      </c>
      <c r="F2459" s="645"/>
      <c r="G2459" s="645"/>
      <c r="H2459" s="646" t="s">
        <v>294</v>
      </c>
    </row>
    <row r="2460" spans="3:8">
      <c r="C2460" s="1514" t="s">
        <v>3339</v>
      </c>
      <c r="D2460" s="647">
        <v>11.95</v>
      </c>
      <c r="E2460" s="643">
        <v>1.07</v>
      </c>
      <c r="F2460" s="645"/>
      <c r="G2460" s="754"/>
      <c r="H2460" s="1512" t="s">
        <v>294</v>
      </c>
    </row>
    <row r="2461" spans="3:8">
      <c r="C2461" s="1514"/>
      <c r="D2461" s="647">
        <v>11.48</v>
      </c>
      <c r="E2461" s="643">
        <v>1.2</v>
      </c>
      <c r="F2461" s="645"/>
      <c r="G2461" s="681"/>
      <c r="H2461" s="1512"/>
    </row>
    <row r="2462" spans="3:8" ht="28">
      <c r="C2462" s="673" t="s">
        <v>3338</v>
      </c>
      <c r="D2462" s="647">
        <v>12.28</v>
      </c>
      <c r="E2462" s="643">
        <v>1.82</v>
      </c>
      <c r="F2462" s="645"/>
      <c r="G2462" s="644">
        <f>15141430/10000</f>
        <v>1514.143</v>
      </c>
      <c r="H2462" s="643">
        <f>181999988.6/100000000</f>
        <v>1.819999886</v>
      </c>
    </row>
    <row r="2463" spans="3:8" ht="28">
      <c r="C2463" s="673" t="s">
        <v>3337</v>
      </c>
      <c r="D2463" s="745">
        <v>11.5</v>
      </c>
      <c r="E2463" s="643">
        <v>1.07</v>
      </c>
      <c r="F2463" s="645"/>
      <c r="G2463" s="645"/>
      <c r="H2463" s="646" t="s">
        <v>294</v>
      </c>
    </row>
    <row r="2464" spans="3:8">
      <c r="H2464" s="753"/>
    </row>
    <row r="2465" spans="1:56" s="663" customFormat="1">
      <c r="A2465" s="663" t="s">
        <v>2861</v>
      </c>
      <c r="B2465" s="665" t="s">
        <v>2036</v>
      </c>
      <c r="C2465" s="667" t="s">
        <v>126</v>
      </c>
      <c r="D2465" s="667" t="s">
        <v>1583</v>
      </c>
      <c r="E2465" s="667" t="s">
        <v>4</v>
      </c>
      <c r="F2465" s="667" t="s">
        <v>2860</v>
      </c>
      <c r="G2465" s="667" t="s">
        <v>2859</v>
      </c>
      <c r="H2465" s="667" t="s">
        <v>2858</v>
      </c>
      <c r="I2465" s="667" t="s">
        <v>751</v>
      </c>
      <c r="J2465" s="665" t="s">
        <v>274</v>
      </c>
      <c r="K2465" s="665" t="s">
        <v>273</v>
      </c>
      <c r="L2465" s="665" t="s">
        <v>116</v>
      </c>
      <c r="M2465" s="665" t="s">
        <v>110</v>
      </c>
      <c r="N2465" s="665" t="s">
        <v>276</v>
      </c>
      <c r="O2465" s="667" t="s">
        <v>1311</v>
      </c>
      <c r="P2465" s="665" t="s">
        <v>275</v>
      </c>
      <c r="Q2465" s="665" t="s">
        <v>111</v>
      </c>
      <c r="R2465" s="665" t="s">
        <v>2857</v>
      </c>
      <c r="S2465" s="665" t="s">
        <v>747</v>
      </c>
      <c r="T2465" s="667" t="s">
        <v>12</v>
      </c>
      <c r="U2465" s="666" t="s">
        <v>948</v>
      </c>
      <c r="V2465" s="665" t="s">
        <v>129</v>
      </c>
      <c r="W2465" s="665" t="s">
        <v>220</v>
      </c>
      <c r="X2465" s="665" t="s">
        <v>749</v>
      </c>
      <c r="Y2465" s="665" t="s">
        <v>750</v>
      </c>
      <c r="Z2465" s="665" t="s">
        <v>748</v>
      </c>
      <c r="BB2465" s="664"/>
      <c r="BD2465" s="664"/>
    </row>
    <row r="2466" spans="1:56">
      <c r="A2466" s="642" t="s">
        <v>2078</v>
      </c>
      <c r="B2466" s="1436">
        <v>166</v>
      </c>
      <c r="C2466" s="1471" t="s">
        <v>2280</v>
      </c>
      <c r="D2466" s="722" t="s">
        <v>2279</v>
      </c>
      <c r="E2466" s="722" t="s">
        <v>2278</v>
      </c>
      <c r="F2466" s="721">
        <v>27</v>
      </c>
      <c r="G2466" s="656">
        <v>27</v>
      </c>
      <c r="H2466" s="656">
        <f>L2466*R2466</f>
        <v>174.48817963049999</v>
      </c>
      <c r="I2466" s="742">
        <f>F2466/H2466</f>
        <v>0.15473827543605415</v>
      </c>
      <c r="J2466" s="658" t="s">
        <v>2935</v>
      </c>
      <c r="K2466" s="645" t="s">
        <v>2277</v>
      </c>
      <c r="L2466" s="645">
        <v>22.95</v>
      </c>
      <c r="M2466" s="658">
        <v>15.28</v>
      </c>
      <c r="N2466" s="653">
        <f>M2466/L2466</f>
        <v>0.6657952069716776</v>
      </c>
      <c r="O2466" s="656">
        <v>15.31</v>
      </c>
      <c r="P2466" s="653">
        <f>O2466/L2466</f>
        <v>0.66710239651416126</v>
      </c>
      <c r="Q2466" s="645">
        <v>7</v>
      </c>
      <c r="R2466" s="653">
        <v>7.6029707899999996</v>
      </c>
      <c r="S2466" s="645" t="s">
        <v>2276</v>
      </c>
      <c r="T2466" s="654">
        <v>42976</v>
      </c>
      <c r="U2466" s="645">
        <v>9.6199999999999992</v>
      </c>
      <c r="V2466" s="653">
        <f>((U2466*(1+X2466/10)+Y2466/10)/O2466)</f>
        <v>1.258001306335728</v>
      </c>
      <c r="W2466" s="645" t="s">
        <v>2275</v>
      </c>
      <c r="X2466" s="645">
        <v>10</v>
      </c>
      <c r="Y2466" s="645">
        <v>0.2</v>
      </c>
      <c r="Z2466" s="652" t="s">
        <v>2233</v>
      </c>
      <c r="BB2466" s="651"/>
      <c r="BD2466" s="650"/>
    </row>
    <row r="2467" spans="1:56">
      <c r="B2467" s="750"/>
      <c r="C2467" s="749"/>
      <c r="D2467" s="748"/>
      <c r="E2467" s="748"/>
      <c r="F2467" s="747"/>
      <c r="G2467" s="660"/>
      <c r="H2467" s="660"/>
      <c r="I2467" s="660"/>
      <c r="J2467" s="658" t="s">
        <v>3335</v>
      </c>
      <c r="K2467" s="720">
        <v>0.4375</v>
      </c>
      <c r="L2467" s="645">
        <v>23.46</v>
      </c>
      <c r="M2467" s="658"/>
      <c r="N2467" s="653">
        <f>M2466/L2467</f>
        <v>0.6513213981244671</v>
      </c>
      <c r="O2467" s="656"/>
      <c r="P2467" s="653">
        <f>O2466/L2467</f>
        <v>0.6526001705029838</v>
      </c>
      <c r="R2467" s="699"/>
      <c r="T2467" s="651"/>
      <c r="V2467" s="699"/>
      <c r="Z2467" s="650"/>
      <c r="BB2467" s="651"/>
      <c r="BD2467" s="650"/>
    </row>
    <row r="2468" spans="1:56">
      <c r="C2468" s="648" t="s">
        <v>112</v>
      </c>
      <c r="D2468" s="648" t="s">
        <v>113</v>
      </c>
      <c r="E2468" s="648" t="s">
        <v>943</v>
      </c>
      <c r="F2468" s="649" t="s">
        <v>411</v>
      </c>
      <c r="G2468" s="649" t="s">
        <v>942</v>
      </c>
      <c r="H2468" s="648" t="s">
        <v>231</v>
      </c>
    </row>
    <row r="2469" spans="1:56">
      <c r="C2469" s="1512" t="s">
        <v>953</v>
      </c>
      <c r="D2469" s="1545">
        <v>18.510000000000002</v>
      </c>
      <c r="E2469" s="1524">
        <f>28000/10000</f>
        <v>2.8</v>
      </c>
      <c r="F2469" s="1540"/>
      <c r="G2469" s="1548">
        <f>31098461/10000</f>
        <v>3109.8461000000002</v>
      </c>
      <c r="H2469" s="1535">
        <f>476117437.91/100000000</f>
        <v>4.7611743790999999</v>
      </c>
    </row>
    <row r="2470" spans="1:56">
      <c r="C2470" s="1512"/>
      <c r="D2470" s="1546"/>
      <c r="E2470" s="1526"/>
      <c r="F2470" s="1541"/>
      <c r="G2470" s="1549"/>
      <c r="H2470" s="1535"/>
    </row>
    <row r="2471" spans="1:56">
      <c r="C2471" s="1512" t="s">
        <v>141</v>
      </c>
      <c r="D2471" s="1545">
        <v>18.5</v>
      </c>
      <c r="E2471" s="1524">
        <v>2.6</v>
      </c>
      <c r="F2471" s="1540"/>
      <c r="G2471" s="1542">
        <f>16982364/10000</f>
        <v>1698.2364</v>
      </c>
      <c r="H2471" s="1535">
        <f>259999992.84/100000000</f>
        <v>2.5999999283999999</v>
      </c>
    </row>
    <row r="2472" spans="1:56">
      <c r="C2472" s="1512"/>
      <c r="D2472" s="1546"/>
      <c r="E2472" s="1526"/>
      <c r="F2472" s="1541"/>
      <c r="G2472" s="1542"/>
      <c r="H2472" s="1535"/>
    </row>
    <row r="2473" spans="1:56">
      <c r="C2473" s="1512" t="s">
        <v>1056</v>
      </c>
      <c r="D2473" s="1545">
        <v>18</v>
      </c>
      <c r="E2473" s="1524">
        <v>2.7</v>
      </c>
      <c r="F2473" s="1540"/>
      <c r="G2473" s="1542">
        <f>17635532/10000</f>
        <v>1763.5532000000001</v>
      </c>
      <c r="H2473" s="1535">
        <f>269999994.92/100000000</f>
        <v>2.6999999492</v>
      </c>
    </row>
    <row r="2474" spans="1:56">
      <c r="C2474" s="1512"/>
      <c r="D2474" s="1546"/>
      <c r="E2474" s="1526"/>
      <c r="F2474" s="1541"/>
      <c r="G2474" s="1542"/>
      <c r="H2474" s="1535"/>
    </row>
    <row r="2475" spans="1:56">
      <c r="C2475" s="1512" t="s">
        <v>115</v>
      </c>
      <c r="D2475" s="647">
        <v>19.16</v>
      </c>
      <c r="E2475" s="643">
        <v>2.4</v>
      </c>
      <c r="F2475" s="1540"/>
      <c r="G2475" s="1542">
        <f>37230568/10000</f>
        <v>3723.0567999999998</v>
      </c>
      <c r="H2475" s="1535">
        <f>569999996.08/100000000</f>
        <v>5.6999999608000005</v>
      </c>
    </row>
    <row r="2476" spans="1:56">
      <c r="C2476" s="1512"/>
      <c r="D2476" s="647">
        <v>18.05</v>
      </c>
      <c r="E2476" s="643">
        <f>47.9/10000</f>
        <v>4.79E-3</v>
      </c>
      <c r="F2476" s="1547"/>
      <c r="G2476" s="1542"/>
      <c r="H2476" s="1535"/>
    </row>
    <row r="2477" spans="1:56">
      <c r="C2477" s="1512"/>
      <c r="D2477" s="647">
        <v>16.5</v>
      </c>
      <c r="E2477" s="643">
        <f>57000/10000</f>
        <v>5.7</v>
      </c>
      <c r="F2477" s="1541"/>
      <c r="G2477" s="1542"/>
      <c r="H2477" s="1535"/>
    </row>
    <row r="2478" spans="1:56">
      <c r="C2478" s="1512" t="s">
        <v>131</v>
      </c>
      <c r="D2478" s="647">
        <v>15.32</v>
      </c>
      <c r="E2478" s="643">
        <v>2.4</v>
      </c>
      <c r="F2478" s="1540"/>
      <c r="G2478" s="1542">
        <f>15676028/10000</f>
        <v>1567.6027999999999</v>
      </c>
      <c r="H2478" s="1535">
        <f>239999988.68/100000000</f>
        <v>2.3999998867999999</v>
      </c>
    </row>
    <row r="2479" spans="1:56">
      <c r="B2479" s="750"/>
      <c r="C2479" s="1512"/>
      <c r="D2479" s="645"/>
      <c r="E2479" s="645"/>
      <c r="F2479" s="1541"/>
      <c r="G2479" s="1542"/>
      <c r="H2479" s="1535"/>
    </row>
    <row r="2480" spans="1:56">
      <c r="C2480" s="646" t="s">
        <v>147</v>
      </c>
      <c r="D2480" s="647">
        <v>15.31</v>
      </c>
      <c r="E2480" s="643">
        <v>3.23</v>
      </c>
      <c r="F2480" s="645"/>
      <c r="G2480" s="644">
        <f>21097322/10000</f>
        <v>2109.7321999999999</v>
      </c>
      <c r="H2480" s="643">
        <f>322999999.82/100000000</f>
        <v>3.2299999981999998</v>
      </c>
    </row>
    <row r="2481" spans="1:56" ht="28">
      <c r="C2481" s="673" t="s">
        <v>3336</v>
      </c>
      <c r="D2481" s="645"/>
      <c r="E2481" s="712"/>
      <c r="F2481" s="645"/>
      <c r="G2481" s="644">
        <f>36635048/10000</f>
        <v>3663.5048000000002</v>
      </c>
      <c r="H2481" s="643">
        <f>560882584.88/100000000</f>
        <v>5.6088258487999996</v>
      </c>
    </row>
    <row r="2482" spans="1:56">
      <c r="C2482" s="673"/>
      <c r="D2482" s="1543" t="s">
        <v>3221</v>
      </c>
      <c r="E2482" s="1543"/>
      <c r="F2482" s="1544" t="s">
        <v>3335</v>
      </c>
      <c r="G2482" s="1544"/>
      <c r="H2482" s="643"/>
    </row>
    <row r="2483" spans="1:56" ht="15" customHeight="1">
      <c r="C2483" s="752" t="s">
        <v>953</v>
      </c>
      <c r="D2483" s="647">
        <v>15.31</v>
      </c>
      <c r="E2483" s="643">
        <f>196117440.91/100000000</f>
        <v>1.9611744091000001</v>
      </c>
      <c r="F2483" s="645"/>
      <c r="G2483" s="644"/>
      <c r="H2483" s="643"/>
    </row>
    <row r="2484" spans="1:56" ht="15" customHeight="1">
      <c r="C2484" s="752" t="s">
        <v>141</v>
      </c>
      <c r="D2484" s="647">
        <v>15.31</v>
      </c>
      <c r="E2484" s="643">
        <f>196117440.91/100000000</f>
        <v>1.9611744091000001</v>
      </c>
      <c r="F2484" s="645"/>
      <c r="G2484" s="644"/>
      <c r="H2484" s="643"/>
    </row>
    <row r="2485" spans="1:56" ht="15" customHeight="1">
      <c r="C2485" s="752" t="s">
        <v>1056</v>
      </c>
      <c r="D2485" s="647">
        <v>15.31</v>
      </c>
      <c r="E2485" s="643">
        <f>10000000/100000000</f>
        <v>0.1</v>
      </c>
      <c r="F2485" s="645"/>
      <c r="G2485" s="644"/>
      <c r="H2485" s="643"/>
    </row>
    <row r="2486" spans="1:56" ht="15" customHeight="1">
      <c r="C2486" s="752" t="s">
        <v>131</v>
      </c>
      <c r="D2486" s="647">
        <v>15.31</v>
      </c>
      <c r="E2486" s="643">
        <f>196117440.91/100000000</f>
        <v>1.9611744091000001</v>
      </c>
      <c r="F2486" s="645"/>
      <c r="G2486" s="644"/>
      <c r="H2486" s="643"/>
    </row>
    <row r="2487" spans="1:56">
      <c r="C2487" s="751"/>
    </row>
    <row r="2488" spans="1:56" s="663" customFormat="1">
      <c r="A2488" s="663" t="s">
        <v>2861</v>
      </c>
      <c r="B2488" s="665" t="s">
        <v>2036</v>
      </c>
      <c r="C2488" s="667" t="s">
        <v>126</v>
      </c>
      <c r="D2488" s="667" t="s">
        <v>1583</v>
      </c>
      <c r="E2488" s="667" t="s">
        <v>4</v>
      </c>
      <c r="F2488" s="667" t="s">
        <v>2860</v>
      </c>
      <c r="G2488" s="678" t="s">
        <v>2859</v>
      </c>
      <c r="H2488" s="667" t="s">
        <v>2858</v>
      </c>
      <c r="I2488" s="667" t="s">
        <v>751</v>
      </c>
      <c r="J2488" s="665" t="s">
        <v>274</v>
      </c>
      <c r="K2488" s="665" t="s">
        <v>273</v>
      </c>
      <c r="L2488" s="665" t="s">
        <v>116</v>
      </c>
      <c r="M2488" s="665" t="s">
        <v>110</v>
      </c>
      <c r="N2488" s="665" t="s">
        <v>276</v>
      </c>
      <c r="O2488" s="667" t="s">
        <v>1311</v>
      </c>
      <c r="P2488" s="665" t="s">
        <v>275</v>
      </c>
      <c r="Q2488" s="665" t="s">
        <v>111</v>
      </c>
      <c r="R2488" s="665" t="s">
        <v>2857</v>
      </c>
      <c r="S2488" s="665" t="s">
        <v>747</v>
      </c>
      <c r="T2488" s="667" t="s">
        <v>12</v>
      </c>
      <c r="U2488" s="666" t="s">
        <v>948</v>
      </c>
      <c r="V2488" s="665" t="s">
        <v>129</v>
      </c>
      <c r="W2488" s="665" t="s">
        <v>220</v>
      </c>
      <c r="X2488" s="665" t="s">
        <v>749</v>
      </c>
      <c r="Y2488" s="665" t="s">
        <v>750</v>
      </c>
      <c r="Z2488" s="665" t="s">
        <v>748</v>
      </c>
      <c r="BB2488" s="664"/>
      <c r="BD2488" s="664"/>
    </row>
    <row r="2489" spans="1:56">
      <c r="A2489" s="642" t="s">
        <v>2078</v>
      </c>
      <c r="B2489" s="750">
        <v>167</v>
      </c>
      <c r="C2489" s="1479" t="s">
        <v>2274</v>
      </c>
      <c r="D2489" s="748" t="s">
        <v>2273</v>
      </c>
      <c r="E2489" s="748" t="s">
        <v>2272</v>
      </c>
      <c r="F2489" s="747">
        <v>5.98</v>
      </c>
      <c r="G2489" s="660">
        <v>5.98</v>
      </c>
      <c r="H2489" s="656">
        <f>L2489*R2489</f>
        <v>46.741659999999996</v>
      </c>
      <c r="I2489" s="656">
        <f>F2489/H2489</f>
        <v>0.1279372619628828</v>
      </c>
      <c r="J2489" s="658" t="s">
        <v>2911</v>
      </c>
      <c r="K2489" s="645" t="s">
        <v>2174</v>
      </c>
      <c r="L2489" s="645">
        <v>19.18</v>
      </c>
      <c r="M2489" s="658">
        <v>14.3</v>
      </c>
      <c r="N2489" s="653">
        <f>M2489/L2489</f>
        <v>0.74556830031282595</v>
      </c>
      <c r="O2489" s="656">
        <v>18.88</v>
      </c>
      <c r="P2489" s="653">
        <f>O2489/L2489</f>
        <v>0.98435870698644412</v>
      </c>
      <c r="Q2489" s="645">
        <v>9</v>
      </c>
      <c r="R2489" s="653">
        <v>2.4369999999999998</v>
      </c>
      <c r="S2489" s="645" t="s">
        <v>2271</v>
      </c>
      <c r="T2489" s="654">
        <v>42977</v>
      </c>
      <c r="U2489" s="645">
        <v>17.66</v>
      </c>
      <c r="V2489" s="653">
        <f>((U2489*(1+X2489/10)+Y2489/10)/O2489)</f>
        <v>0.94253177966101709</v>
      </c>
      <c r="W2489" s="645" t="s">
        <v>2270</v>
      </c>
      <c r="X2489" s="645">
        <v>0</v>
      </c>
      <c r="Y2489" s="645">
        <v>1.35</v>
      </c>
      <c r="Z2489" s="652" t="s">
        <v>2211</v>
      </c>
      <c r="BB2489" s="651"/>
      <c r="BD2489" s="650"/>
    </row>
    <row r="2490" spans="1:56">
      <c r="C2490" s="648" t="s">
        <v>112</v>
      </c>
      <c r="D2490" s="648" t="s">
        <v>113</v>
      </c>
      <c r="E2490" s="648" t="s">
        <v>943</v>
      </c>
      <c r="F2490" s="649" t="s">
        <v>411</v>
      </c>
      <c r="G2490" s="649" t="s">
        <v>942</v>
      </c>
      <c r="H2490" s="746" t="s">
        <v>231</v>
      </c>
    </row>
    <row r="2491" spans="1:56" ht="28">
      <c r="C2491" s="646" t="s">
        <v>2934</v>
      </c>
      <c r="D2491" s="647">
        <v>19.73</v>
      </c>
      <c r="E2491" s="647">
        <v>0.6</v>
      </c>
      <c r="F2491" s="645"/>
      <c r="G2491" s="644">
        <f>3177966/10000</f>
        <v>317.79660000000001</v>
      </c>
      <c r="H2491" s="643">
        <f>59999998.08/100000000</f>
        <v>0.59999998079999994</v>
      </c>
    </row>
    <row r="2492" spans="1:56">
      <c r="C2492" s="646" t="s">
        <v>2933</v>
      </c>
      <c r="D2492" s="647">
        <v>19.16</v>
      </c>
      <c r="E2492" s="647">
        <v>0.6</v>
      </c>
      <c r="F2492" s="645"/>
      <c r="G2492" s="644">
        <f>3177966/10000</f>
        <v>317.79660000000001</v>
      </c>
      <c r="H2492" s="643">
        <f>59999998.08/100000000</f>
        <v>0.59999998079999994</v>
      </c>
    </row>
    <row r="2493" spans="1:56">
      <c r="C2493" s="1512" t="s">
        <v>2041</v>
      </c>
      <c r="D2493" s="647">
        <v>19.16</v>
      </c>
      <c r="E2493" s="647">
        <v>0.6</v>
      </c>
      <c r="F2493" s="645"/>
      <c r="G2493" s="644">
        <f>3177966/10000</f>
        <v>317.79660000000001</v>
      </c>
      <c r="H2493" s="643">
        <f>59999998.08/100000000</f>
        <v>0.59999998079999994</v>
      </c>
    </row>
    <row r="2494" spans="1:56">
      <c r="C2494" s="1512"/>
      <c r="D2494" s="647">
        <v>18.71</v>
      </c>
      <c r="E2494" s="647">
        <v>1</v>
      </c>
      <c r="F2494" s="645"/>
      <c r="G2494" s="645"/>
      <c r="H2494" s="645"/>
    </row>
    <row r="2495" spans="1:56">
      <c r="C2495" s="1512"/>
      <c r="D2495" s="745">
        <v>18.100000000000001</v>
      </c>
      <c r="E2495" s="647">
        <v>1.2</v>
      </c>
      <c r="F2495" s="645"/>
      <c r="G2495" s="645"/>
      <c r="H2495" s="645"/>
    </row>
    <row r="2496" spans="1:56" ht="28">
      <c r="C2496" s="646" t="s">
        <v>2932</v>
      </c>
      <c r="D2496" s="647">
        <v>16.97</v>
      </c>
      <c r="E2496" s="647">
        <v>1.19</v>
      </c>
      <c r="F2496" s="645"/>
      <c r="G2496" s="645"/>
      <c r="H2496" s="645"/>
    </row>
    <row r="2497" spans="3:8">
      <c r="C2497" s="646" t="s">
        <v>2931</v>
      </c>
      <c r="D2497" s="647">
        <v>19.16</v>
      </c>
      <c r="E2497" s="647">
        <v>0.6</v>
      </c>
      <c r="F2497" s="645"/>
      <c r="G2497" s="644">
        <f>3177966/10000</f>
        <v>317.79660000000001</v>
      </c>
      <c r="H2497" s="643">
        <f>59999998.08/100000000</f>
        <v>0.59999998079999994</v>
      </c>
    </row>
    <row r="2498" spans="3:8">
      <c r="C2498" s="1512" t="s">
        <v>2930</v>
      </c>
      <c r="D2498" s="647">
        <v>18.79</v>
      </c>
      <c r="E2498" s="647">
        <v>0.6</v>
      </c>
      <c r="F2498" s="645"/>
      <c r="G2498" s="645"/>
      <c r="H2498" s="645"/>
    </row>
    <row r="2499" spans="3:8">
      <c r="C2499" s="1512"/>
      <c r="D2499" s="647">
        <v>18.21</v>
      </c>
      <c r="E2499" s="647">
        <v>0.6</v>
      </c>
      <c r="F2499" s="645"/>
      <c r="G2499" s="645"/>
      <c r="H2499" s="645"/>
    </row>
    <row r="2500" spans="3:8">
      <c r="C2500" s="1512"/>
      <c r="D2500" s="647">
        <v>17.21</v>
      </c>
      <c r="E2500" s="647">
        <v>0.6</v>
      </c>
      <c r="F2500" s="645"/>
      <c r="G2500" s="645"/>
      <c r="H2500" s="645"/>
    </row>
    <row r="2501" spans="3:8">
      <c r="C2501" s="646" t="s">
        <v>2929</v>
      </c>
      <c r="D2501" s="647">
        <v>17.66</v>
      </c>
      <c r="E2501" s="647">
        <v>0.6</v>
      </c>
      <c r="F2501" s="645"/>
      <c r="G2501" s="645"/>
      <c r="H2501" s="645"/>
    </row>
    <row r="2502" spans="3:8">
      <c r="C2502" s="646" t="s">
        <v>2928</v>
      </c>
      <c r="D2502" s="679"/>
      <c r="E2502" s="744"/>
      <c r="F2502" s="645"/>
      <c r="G2502" s="645"/>
      <c r="H2502" s="645"/>
    </row>
    <row r="2503" spans="3:8">
      <c r="C2503" s="1512" t="s">
        <v>547</v>
      </c>
      <c r="D2503" s="647">
        <v>17.239999999999998</v>
      </c>
      <c r="E2503" s="647">
        <v>0.6</v>
      </c>
      <c r="F2503" s="645"/>
      <c r="G2503" s="645"/>
      <c r="H2503" s="645"/>
    </row>
    <row r="2504" spans="3:8">
      <c r="C2504" s="1512"/>
      <c r="D2504" s="647">
        <v>15.82</v>
      </c>
      <c r="E2504" s="647">
        <v>0.6</v>
      </c>
      <c r="F2504" s="645"/>
      <c r="G2504" s="645"/>
      <c r="H2504" s="645"/>
    </row>
    <row r="2505" spans="3:8">
      <c r="C2505" s="1512"/>
      <c r="D2505" s="647">
        <v>14.4</v>
      </c>
      <c r="E2505" s="647">
        <v>0.6</v>
      </c>
      <c r="F2505" s="645"/>
      <c r="G2505" s="645"/>
      <c r="H2505" s="645"/>
    </row>
    <row r="2506" spans="3:8" ht="28">
      <c r="C2506" s="646" t="s">
        <v>1252</v>
      </c>
      <c r="D2506" s="647">
        <v>17.22</v>
      </c>
      <c r="E2506" s="647">
        <v>1.2</v>
      </c>
      <c r="F2506" s="645"/>
      <c r="G2506" s="645"/>
      <c r="H2506" s="645"/>
    </row>
    <row r="2507" spans="3:8">
      <c r="C2507" s="1512" t="s">
        <v>2927</v>
      </c>
      <c r="D2507" s="647">
        <v>19</v>
      </c>
      <c r="E2507" s="647">
        <v>1.2</v>
      </c>
      <c r="F2507" s="645"/>
      <c r="G2507" s="644">
        <f>6355932/10000</f>
        <v>635.59320000000002</v>
      </c>
      <c r="H2507" s="643">
        <f>119999996.16/100000000</f>
        <v>1.1999999615999999</v>
      </c>
    </row>
    <row r="2508" spans="3:8">
      <c r="C2508" s="1512"/>
      <c r="D2508" s="647">
        <v>18.21</v>
      </c>
      <c r="E2508" s="647">
        <v>1.2</v>
      </c>
      <c r="F2508" s="645"/>
      <c r="G2508" s="645"/>
      <c r="H2508" s="645"/>
    </row>
    <row r="2509" spans="3:8">
      <c r="C2509" s="1512"/>
      <c r="D2509" s="647">
        <v>17.25</v>
      </c>
      <c r="E2509" s="647">
        <v>1.2</v>
      </c>
      <c r="F2509" s="645"/>
      <c r="G2509" s="645"/>
      <c r="H2509" s="645"/>
    </row>
    <row r="2510" spans="3:8">
      <c r="C2510" s="1512" t="s">
        <v>2926</v>
      </c>
      <c r="D2510" s="647">
        <v>18.22</v>
      </c>
      <c r="E2510" s="647">
        <v>0.6</v>
      </c>
      <c r="F2510" s="645"/>
      <c r="G2510" s="645"/>
      <c r="H2510" s="645"/>
    </row>
    <row r="2511" spans="3:8">
      <c r="C2511" s="1512"/>
      <c r="D2511" s="647">
        <v>17.260000000000002</v>
      </c>
      <c r="E2511" s="647">
        <v>0.6</v>
      </c>
      <c r="F2511" s="645"/>
      <c r="G2511" s="645"/>
      <c r="H2511" s="645"/>
    </row>
    <row r="2512" spans="3:8">
      <c r="C2512" s="1512"/>
      <c r="D2512" s="647">
        <v>16.3</v>
      </c>
      <c r="E2512" s="647">
        <v>0.6</v>
      </c>
      <c r="F2512" s="645"/>
      <c r="G2512" s="645"/>
      <c r="H2512" s="645"/>
    </row>
    <row r="2513" spans="3:8">
      <c r="C2513" s="646" t="s">
        <v>2925</v>
      </c>
      <c r="D2513" s="647">
        <v>19.2</v>
      </c>
      <c r="E2513" s="647">
        <v>0.6</v>
      </c>
      <c r="F2513" s="645"/>
      <c r="G2513" s="644">
        <f>3177966/10000</f>
        <v>317.79660000000001</v>
      </c>
      <c r="H2513" s="643">
        <f>59999998.08/100000000</f>
        <v>0.59999998079999994</v>
      </c>
    </row>
    <row r="2514" spans="3:8" ht="28">
      <c r="C2514" s="646" t="s">
        <v>2924</v>
      </c>
      <c r="D2514" s="647">
        <v>21</v>
      </c>
      <c r="E2514" s="647">
        <v>0.6</v>
      </c>
      <c r="F2514" s="645"/>
      <c r="G2514" s="644">
        <f>3177966/10000</f>
        <v>317.79660000000001</v>
      </c>
      <c r="H2514" s="643">
        <f>59999998.08/100000000</f>
        <v>0.59999998079999994</v>
      </c>
    </row>
    <row r="2515" spans="3:8">
      <c r="C2515" s="646" t="s">
        <v>115</v>
      </c>
      <c r="D2515" s="647">
        <v>18.77</v>
      </c>
      <c r="E2515" s="647">
        <v>1.2</v>
      </c>
      <c r="F2515" s="645"/>
      <c r="G2515" s="645"/>
      <c r="H2515" s="645"/>
    </row>
    <row r="2516" spans="3:8" ht="28">
      <c r="C2516" s="646" t="s">
        <v>2923</v>
      </c>
      <c r="D2516" s="647">
        <v>19.079999999999998</v>
      </c>
      <c r="E2516" s="647">
        <v>0.6</v>
      </c>
      <c r="F2516" s="645"/>
      <c r="G2516" s="644">
        <f>3177966/10000</f>
        <v>317.79660000000001</v>
      </c>
      <c r="H2516" s="643">
        <f>59999998.08/100000000</f>
        <v>0.59999998079999994</v>
      </c>
    </row>
    <row r="2517" spans="3:8" ht="28">
      <c r="C2517" s="646" t="s">
        <v>1245</v>
      </c>
      <c r="D2517" s="647">
        <v>15.28</v>
      </c>
      <c r="E2517" s="647">
        <v>0.6</v>
      </c>
      <c r="F2517" s="645"/>
      <c r="G2517" s="645"/>
      <c r="H2517" s="645"/>
    </row>
    <row r="2518" spans="3:8" ht="28">
      <c r="C2518" s="646" t="s">
        <v>2922</v>
      </c>
      <c r="D2518" s="647">
        <v>18.010000000000002</v>
      </c>
      <c r="E2518" s="647">
        <v>1.1599999999999999</v>
      </c>
      <c r="F2518" s="645"/>
      <c r="G2518" s="645"/>
      <c r="H2518" s="645"/>
    </row>
    <row r="2519" spans="3:8">
      <c r="C2519" s="1512" t="s">
        <v>173</v>
      </c>
      <c r="D2519" s="647">
        <v>18.21</v>
      </c>
      <c r="E2519" s="647">
        <v>0.86</v>
      </c>
      <c r="F2519" s="645"/>
      <c r="G2519" s="645"/>
      <c r="H2519" s="645"/>
    </row>
    <row r="2520" spans="3:8">
      <c r="C2520" s="1512"/>
      <c r="D2520" s="647">
        <v>17.63</v>
      </c>
      <c r="E2520" s="647">
        <v>1.2</v>
      </c>
      <c r="F2520" s="645"/>
      <c r="G2520" s="645"/>
      <c r="H2520" s="645"/>
    </row>
    <row r="2521" spans="3:8">
      <c r="C2521" s="646" t="s">
        <v>634</v>
      </c>
      <c r="D2521" s="647">
        <v>18.88</v>
      </c>
      <c r="E2521" s="647">
        <v>1.2</v>
      </c>
      <c r="F2521" s="645"/>
      <c r="G2521" s="644">
        <f>3072034/10000</f>
        <v>307.20339999999999</v>
      </c>
      <c r="H2521" s="643">
        <f>58000001.92/100000000</f>
        <v>0.58000001919999999</v>
      </c>
    </row>
    <row r="2522" spans="3:8">
      <c r="C2522" s="1512" t="s">
        <v>336</v>
      </c>
      <c r="D2522" s="647">
        <v>16.95</v>
      </c>
      <c r="E2522" s="647">
        <v>0.68</v>
      </c>
      <c r="F2522" s="645"/>
      <c r="G2522" s="645"/>
      <c r="H2522" s="645"/>
    </row>
    <row r="2523" spans="3:8">
      <c r="C2523" s="1512"/>
      <c r="D2523" s="647">
        <v>16.850000000000001</v>
      </c>
      <c r="E2523" s="647">
        <v>0.68</v>
      </c>
      <c r="F2523" s="645"/>
      <c r="G2523" s="645"/>
      <c r="H2523" s="645"/>
    </row>
    <row r="2524" spans="3:8">
      <c r="C2524" s="1512"/>
      <c r="D2524" s="647">
        <v>16.75</v>
      </c>
      <c r="E2524" s="647">
        <v>0.68</v>
      </c>
      <c r="F2524" s="645"/>
      <c r="G2524" s="645"/>
      <c r="H2524" s="645"/>
    </row>
    <row r="2525" spans="3:8" ht="28">
      <c r="C2525" s="646" t="s">
        <v>1253</v>
      </c>
      <c r="D2525" s="647">
        <v>17.239999999999998</v>
      </c>
      <c r="E2525" s="647">
        <v>0.6</v>
      </c>
      <c r="F2525" s="645"/>
      <c r="G2525" s="645"/>
      <c r="H2525" s="645"/>
    </row>
    <row r="2526" spans="3:8">
      <c r="C2526" s="1512" t="s">
        <v>1258</v>
      </c>
      <c r="D2526" s="647">
        <v>16.29</v>
      </c>
      <c r="E2526" s="647">
        <v>0.6</v>
      </c>
      <c r="F2526" s="645"/>
      <c r="G2526" s="645"/>
      <c r="H2526" s="645"/>
    </row>
    <row r="2527" spans="3:8">
      <c r="C2527" s="1512"/>
      <c r="D2527" s="647">
        <v>15.33</v>
      </c>
      <c r="E2527" s="647">
        <v>0.7</v>
      </c>
      <c r="F2527" s="645"/>
      <c r="G2527" s="645"/>
      <c r="H2527" s="645"/>
    </row>
    <row r="2528" spans="3:8">
      <c r="C2528" s="1512" t="s">
        <v>158</v>
      </c>
      <c r="D2528" s="647">
        <v>18.59</v>
      </c>
      <c r="E2528" s="647">
        <v>0.6</v>
      </c>
      <c r="F2528" s="645"/>
      <c r="G2528" s="645"/>
      <c r="H2528" s="645"/>
    </row>
    <row r="2529" spans="1:56">
      <c r="C2529" s="1512"/>
      <c r="D2529" s="647">
        <v>18.2</v>
      </c>
      <c r="E2529" s="647">
        <v>0.6</v>
      </c>
      <c r="F2529" s="645"/>
      <c r="G2529" s="645"/>
      <c r="H2529" s="645"/>
    </row>
    <row r="2530" spans="1:56">
      <c r="C2530" s="1512"/>
      <c r="D2530" s="647">
        <v>17.510000000000002</v>
      </c>
      <c r="E2530" s="647">
        <v>0.6</v>
      </c>
      <c r="F2530" s="645"/>
      <c r="G2530" s="645"/>
      <c r="H2530" s="645"/>
    </row>
    <row r="2531" spans="1:56" ht="28">
      <c r="C2531" s="646" t="s">
        <v>2921</v>
      </c>
      <c r="D2531" s="647">
        <v>16.5</v>
      </c>
      <c r="E2531" s="647">
        <v>0.6</v>
      </c>
      <c r="F2531" s="645"/>
      <c r="G2531" s="645"/>
      <c r="H2531" s="645"/>
    </row>
    <row r="2532" spans="1:56">
      <c r="C2532" s="646" t="s">
        <v>1037</v>
      </c>
      <c r="D2532" s="647">
        <v>16.309999999999999</v>
      </c>
      <c r="E2532" s="647">
        <v>0.6</v>
      </c>
      <c r="F2532" s="645"/>
      <c r="G2532" s="645"/>
      <c r="H2532" s="645"/>
    </row>
    <row r="2533" spans="1:56">
      <c r="C2533" s="646" t="s">
        <v>147</v>
      </c>
      <c r="D2533" s="647">
        <v>14.31</v>
      </c>
      <c r="E2533" s="647">
        <v>1.2</v>
      </c>
      <c r="F2533" s="645"/>
      <c r="G2533" s="645"/>
      <c r="H2533" s="645"/>
    </row>
    <row r="2534" spans="1:56" ht="28">
      <c r="C2534" s="646" t="s">
        <v>2920</v>
      </c>
      <c r="D2534" s="647">
        <v>16.510000000000002</v>
      </c>
      <c r="E2534" s="647">
        <v>1.2</v>
      </c>
      <c r="F2534" s="645"/>
      <c r="G2534" s="645"/>
      <c r="H2534" s="645"/>
    </row>
    <row r="2536" spans="1:56" s="663" customFormat="1">
      <c r="A2536" s="663" t="s">
        <v>2861</v>
      </c>
      <c r="B2536" s="665" t="s">
        <v>2036</v>
      </c>
      <c r="C2536" s="667" t="s">
        <v>126</v>
      </c>
      <c r="D2536" s="667" t="s">
        <v>1583</v>
      </c>
      <c r="E2536" s="667" t="s">
        <v>4</v>
      </c>
      <c r="F2536" s="667" t="s">
        <v>2860</v>
      </c>
      <c r="G2536" s="667" t="s">
        <v>2859</v>
      </c>
      <c r="H2536" s="667" t="s">
        <v>2858</v>
      </c>
      <c r="I2536" s="667" t="s">
        <v>751</v>
      </c>
      <c r="J2536" s="665" t="s">
        <v>274</v>
      </c>
      <c r="K2536" s="665" t="s">
        <v>273</v>
      </c>
      <c r="L2536" s="665" t="s">
        <v>116</v>
      </c>
      <c r="M2536" s="665" t="s">
        <v>110</v>
      </c>
      <c r="N2536" s="665" t="s">
        <v>276</v>
      </c>
      <c r="O2536" s="667" t="s">
        <v>1311</v>
      </c>
      <c r="P2536" s="665" t="s">
        <v>275</v>
      </c>
      <c r="Q2536" s="665" t="s">
        <v>111</v>
      </c>
      <c r="R2536" s="665" t="s">
        <v>2857</v>
      </c>
      <c r="S2536" s="665" t="s">
        <v>747</v>
      </c>
      <c r="T2536" s="667" t="s">
        <v>12</v>
      </c>
      <c r="U2536" s="666" t="s">
        <v>948</v>
      </c>
      <c r="V2536" s="665" t="s">
        <v>129</v>
      </c>
      <c r="W2536" s="665" t="s">
        <v>220</v>
      </c>
      <c r="X2536" s="665" t="s">
        <v>749</v>
      </c>
      <c r="Y2536" s="665" t="s">
        <v>750</v>
      </c>
      <c r="Z2536" s="665" t="s">
        <v>748</v>
      </c>
      <c r="BB2536" s="664"/>
      <c r="BD2536" s="664"/>
    </row>
    <row r="2537" spans="1:56">
      <c r="A2537" s="642" t="s">
        <v>2078</v>
      </c>
      <c r="B2537" s="1436">
        <v>168</v>
      </c>
      <c r="C2537" s="1471" t="s">
        <v>2269</v>
      </c>
      <c r="D2537" s="722" t="s">
        <v>2268</v>
      </c>
      <c r="E2537" s="722" t="s">
        <v>2267</v>
      </c>
      <c r="F2537" s="721">
        <v>10</v>
      </c>
      <c r="G2537" s="660">
        <v>10</v>
      </c>
      <c r="H2537" s="656">
        <f>L2537*R2537</f>
        <v>89.012917979999997</v>
      </c>
      <c r="I2537" s="656">
        <f>F2537/H2537</f>
        <v>0.11234324440691704</v>
      </c>
      <c r="J2537" s="658" t="s">
        <v>2919</v>
      </c>
      <c r="K2537" s="645" t="s">
        <v>2089</v>
      </c>
      <c r="L2537" s="645">
        <v>21.09</v>
      </c>
      <c r="M2537" s="658">
        <v>18.96</v>
      </c>
      <c r="N2537" s="653">
        <f>M2537/L2537</f>
        <v>0.89900426742532014</v>
      </c>
      <c r="O2537" s="656">
        <v>19.829999999999998</v>
      </c>
      <c r="P2537" s="653">
        <f>O2537/L2537</f>
        <v>0.94025604551920339</v>
      </c>
      <c r="Q2537" s="645">
        <v>5</v>
      </c>
      <c r="R2537" s="653">
        <v>4.2206219999999997</v>
      </c>
      <c r="S2537" s="645" t="s">
        <v>2266</v>
      </c>
      <c r="T2537" s="654">
        <v>42977</v>
      </c>
      <c r="U2537" s="645">
        <v>21.04</v>
      </c>
      <c r="V2537" s="653">
        <f>((U2537*(1+X2537/10)+Y2537/10)/O2537)</f>
        <v>1.0670700958144226</v>
      </c>
      <c r="W2537" s="645" t="s">
        <v>2265</v>
      </c>
      <c r="X2537" s="645">
        <v>0</v>
      </c>
      <c r="Y2537" s="645">
        <v>1.2</v>
      </c>
      <c r="Z2537" s="652" t="s">
        <v>2160</v>
      </c>
      <c r="BB2537" s="651"/>
      <c r="BD2537" s="650"/>
    </row>
    <row r="2538" spans="1:56">
      <c r="C2538" s="696" t="s">
        <v>112</v>
      </c>
      <c r="D2538" s="696" t="s">
        <v>113</v>
      </c>
      <c r="E2538" s="696" t="s">
        <v>943</v>
      </c>
      <c r="F2538" s="697" t="s">
        <v>411</v>
      </c>
      <c r="G2538" s="697" t="s">
        <v>942</v>
      </c>
      <c r="H2538" s="696" t="s">
        <v>231</v>
      </c>
    </row>
    <row r="2539" spans="1:56" ht="16" customHeight="1">
      <c r="C2539" s="1518" t="s">
        <v>142</v>
      </c>
      <c r="D2539" s="645">
        <v>23.05</v>
      </c>
      <c r="E2539" s="645">
        <v>2.02</v>
      </c>
      <c r="F2539" s="645"/>
      <c r="G2539" s="644">
        <f>10590015/10000</f>
        <v>1059.0015000000001</v>
      </c>
      <c r="H2539" s="643">
        <f>209999997.45/100000000</f>
        <v>2.0999999744999998</v>
      </c>
    </row>
    <row r="2540" spans="1:56">
      <c r="C2540" s="1520"/>
      <c r="D2540" s="645">
        <v>20</v>
      </c>
      <c r="E2540" s="645">
        <v>2.1</v>
      </c>
      <c r="F2540" s="645"/>
      <c r="G2540" s="644"/>
      <c r="H2540" s="643"/>
    </row>
    <row r="2541" spans="1:56">
      <c r="C2541" s="646" t="s">
        <v>228</v>
      </c>
      <c r="D2541" s="645">
        <v>20.05</v>
      </c>
      <c r="E2541" s="645">
        <v>2.02</v>
      </c>
      <c r="F2541" s="645"/>
      <c r="G2541" s="644">
        <f>10186585/10000</f>
        <v>1018.6585</v>
      </c>
      <c r="H2541" s="643">
        <f>201999980.55/100000000</f>
        <v>2.0199998054999999</v>
      </c>
    </row>
    <row r="2542" spans="1:56" ht="16" customHeight="1">
      <c r="C2542" s="1518" t="s">
        <v>3334</v>
      </c>
      <c r="D2542" s="645">
        <v>21.07</v>
      </c>
      <c r="E2542" s="645">
        <v>2</v>
      </c>
      <c r="F2542" s="645"/>
      <c r="G2542" s="644">
        <f>10085728/10000</f>
        <v>1008.5728</v>
      </c>
      <c r="H2542" s="643">
        <f>199999986.24/100000000</f>
        <v>1.9999998624000002</v>
      </c>
    </row>
    <row r="2543" spans="1:56">
      <c r="C2543" s="1519"/>
      <c r="D2543" s="645">
        <v>19.77</v>
      </c>
      <c r="E2543" s="645">
        <v>2</v>
      </c>
      <c r="F2543" s="645"/>
      <c r="G2543" s="644"/>
      <c r="H2543" s="643"/>
    </row>
    <row r="2544" spans="1:56">
      <c r="C2544" s="1520"/>
      <c r="D2544" s="645">
        <v>18.97</v>
      </c>
      <c r="E2544" s="645">
        <v>2</v>
      </c>
      <c r="F2544" s="645"/>
      <c r="G2544" s="644"/>
      <c r="H2544" s="643"/>
    </row>
    <row r="2545" spans="1:56" ht="32" customHeight="1">
      <c r="C2545" s="1537" t="s">
        <v>3333</v>
      </c>
      <c r="D2545" s="645">
        <v>22</v>
      </c>
      <c r="E2545" s="645">
        <v>2</v>
      </c>
      <c r="F2545" s="645"/>
      <c r="G2545" s="644">
        <f>10085728/10000</f>
        <v>1008.5728</v>
      </c>
      <c r="H2545" s="643">
        <f>199999986.24/100000000</f>
        <v>1.9999998624000002</v>
      </c>
    </row>
    <row r="2546" spans="1:56">
      <c r="C2546" s="1538"/>
      <c r="D2546" s="645">
        <v>20.3</v>
      </c>
      <c r="E2546" s="645">
        <v>2</v>
      </c>
      <c r="F2546" s="645"/>
      <c r="G2546" s="644"/>
      <c r="H2546" s="643"/>
    </row>
    <row r="2547" spans="1:56">
      <c r="C2547" s="1539"/>
      <c r="D2547" s="645">
        <v>19.5</v>
      </c>
      <c r="E2547" s="645">
        <v>2</v>
      </c>
      <c r="F2547" s="645"/>
      <c r="G2547" s="644"/>
      <c r="H2547" s="643"/>
    </row>
    <row r="2548" spans="1:56" ht="16" customHeight="1">
      <c r="C2548" s="1518" t="s">
        <v>173</v>
      </c>
      <c r="D2548" s="645">
        <v>19.829999999999998</v>
      </c>
      <c r="E2548" s="645">
        <v>2.1</v>
      </c>
      <c r="F2548" s="645"/>
      <c r="G2548" s="644">
        <f>9480587/10000</f>
        <v>948.05870000000004</v>
      </c>
      <c r="H2548" s="643">
        <f>188000040.21/100000000</f>
        <v>1.8800004021000001</v>
      </c>
    </row>
    <row r="2549" spans="1:56">
      <c r="C2549" s="1520"/>
      <c r="D2549" s="645">
        <v>18.98</v>
      </c>
      <c r="E2549" s="645">
        <v>3.49</v>
      </c>
      <c r="F2549" s="645"/>
      <c r="G2549" s="644"/>
      <c r="H2549" s="643"/>
    </row>
    <row r="2551" spans="1:56" s="663" customFormat="1">
      <c r="A2551" s="663" t="s">
        <v>2861</v>
      </c>
      <c r="B2551" s="665" t="s">
        <v>2036</v>
      </c>
      <c r="C2551" s="667" t="s">
        <v>126</v>
      </c>
      <c r="D2551" s="667" t="s">
        <v>1583</v>
      </c>
      <c r="E2551" s="667" t="s">
        <v>4</v>
      </c>
      <c r="F2551" s="667" t="s">
        <v>2860</v>
      </c>
      <c r="G2551" s="667" t="s">
        <v>2859</v>
      </c>
      <c r="H2551" s="667" t="s">
        <v>2858</v>
      </c>
      <c r="I2551" s="667" t="s">
        <v>751</v>
      </c>
      <c r="J2551" s="665" t="s">
        <v>274</v>
      </c>
      <c r="K2551" s="665" t="s">
        <v>273</v>
      </c>
      <c r="L2551" s="665" t="s">
        <v>116</v>
      </c>
      <c r="M2551" s="665" t="s">
        <v>110</v>
      </c>
      <c r="N2551" s="665" t="s">
        <v>276</v>
      </c>
      <c r="O2551" s="667" t="s">
        <v>1311</v>
      </c>
      <c r="P2551" s="665" t="s">
        <v>275</v>
      </c>
      <c r="Q2551" s="665" t="s">
        <v>111</v>
      </c>
      <c r="R2551" s="665" t="s">
        <v>2857</v>
      </c>
      <c r="S2551" s="665" t="s">
        <v>747</v>
      </c>
      <c r="T2551" s="667" t="s">
        <v>12</v>
      </c>
      <c r="U2551" s="666" t="s">
        <v>948</v>
      </c>
      <c r="V2551" s="665" t="s">
        <v>129</v>
      </c>
      <c r="W2551" s="665" t="s">
        <v>220</v>
      </c>
      <c r="X2551" s="665" t="s">
        <v>749</v>
      </c>
      <c r="Y2551" s="665" t="s">
        <v>750</v>
      </c>
      <c r="Z2551" s="665" t="s">
        <v>748</v>
      </c>
      <c r="BB2551" s="664"/>
      <c r="BD2551" s="664"/>
    </row>
    <row r="2552" spans="1:56">
      <c r="A2552" s="642" t="s">
        <v>2078</v>
      </c>
      <c r="B2552" s="1436">
        <v>169</v>
      </c>
      <c r="C2552" s="1471" t="s">
        <v>2264</v>
      </c>
      <c r="D2552" s="722" t="s">
        <v>2263</v>
      </c>
      <c r="E2552" s="722" t="s">
        <v>2262</v>
      </c>
      <c r="F2552" s="721">
        <v>18.100000000000001</v>
      </c>
      <c r="G2552" s="656">
        <v>18.100000000000001</v>
      </c>
      <c r="H2552" s="656">
        <f>L2552*R2552</f>
        <v>144.7903538676</v>
      </c>
      <c r="I2552" s="656">
        <f>F2552/H2552</f>
        <v>0.12500832767182199</v>
      </c>
      <c r="J2552" s="658" t="s">
        <v>2918</v>
      </c>
      <c r="K2552" s="645" t="s">
        <v>2240</v>
      </c>
      <c r="L2552" s="645">
        <v>10.17</v>
      </c>
      <c r="M2552" s="658">
        <v>8.17</v>
      </c>
      <c r="N2552" s="653">
        <f>M2552/L2552</f>
        <v>0.80334316617502455</v>
      </c>
      <c r="O2552" s="656">
        <v>8.18</v>
      </c>
      <c r="P2552" s="653">
        <f>O2552/L2552</f>
        <v>0.8043264503441494</v>
      </c>
      <c r="Q2552" s="645">
        <v>8</v>
      </c>
      <c r="R2552" s="653">
        <v>14.237006279999999</v>
      </c>
      <c r="S2552" s="645" t="s">
        <v>2261</v>
      </c>
      <c r="T2552" s="654">
        <v>42977</v>
      </c>
      <c r="U2552" s="645">
        <v>6.83</v>
      </c>
      <c r="V2552" s="653">
        <f>((U2552*(1+X2552/10)+Y2552/10)/O2552)</f>
        <v>0.93068459657701719</v>
      </c>
      <c r="W2552" s="645" t="s">
        <v>2260</v>
      </c>
      <c r="X2552" s="645">
        <v>1</v>
      </c>
      <c r="Y2552" s="645">
        <v>1</v>
      </c>
      <c r="Z2552" s="652" t="s">
        <v>2259</v>
      </c>
      <c r="BB2552" s="651"/>
      <c r="BD2552" s="650"/>
    </row>
    <row r="2553" spans="1:56">
      <c r="C2553" s="648" t="s">
        <v>112</v>
      </c>
      <c r="D2553" s="648" t="s">
        <v>113</v>
      </c>
      <c r="E2553" s="648" t="s">
        <v>943</v>
      </c>
      <c r="F2553" s="649" t="s">
        <v>411</v>
      </c>
      <c r="G2553" s="649" t="s">
        <v>942</v>
      </c>
      <c r="H2553" s="648" t="s">
        <v>231</v>
      </c>
    </row>
    <row r="2554" spans="1:56">
      <c r="C2554" s="645" t="s">
        <v>351</v>
      </c>
      <c r="D2554" s="645">
        <v>8.18</v>
      </c>
      <c r="E2554" s="645">
        <v>1.8</v>
      </c>
      <c r="F2554" s="645"/>
      <c r="G2554" s="653">
        <v>690.30150000000003</v>
      </c>
      <c r="H2554" s="653">
        <v>0.56469999999999998</v>
      </c>
    </row>
    <row r="2555" spans="1:56">
      <c r="C2555" s="645" t="s">
        <v>952</v>
      </c>
      <c r="D2555" s="645">
        <v>8.18</v>
      </c>
      <c r="E2555" s="645">
        <v>1.8</v>
      </c>
      <c r="F2555" s="645"/>
      <c r="G2555" s="653">
        <v>690.30150000000003</v>
      </c>
      <c r="H2555" s="653">
        <v>0.56469999999999998</v>
      </c>
    </row>
    <row r="2556" spans="1:56">
      <c r="C2556" s="645" t="s">
        <v>2997</v>
      </c>
      <c r="D2556" s="645">
        <v>8.18</v>
      </c>
      <c r="E2556" s="645">
        <v>1.8</v>
      </c>
      <c r="F2556" s="645"/>
      <c r="G2556" s="653">
        <v>690.30150000000003</v>
      </c>
      <c r="H2556" s="653">
        <v>0.56469999999999998</v>
      </c>
    </row>
    <row r="2557" spans="1:56">
      <c r="C2557" s="645" t="s">
        <v>133</v>
      </c>
      <c r="D2557" s="645">
        <v>8.26</v>
      </c>
      <c r="E2557" s="645">
        <v>3.62</v>
      </c>
      <c r="F2557" s="645"/>
      <c r="G2557" s="653">
        <v>4425.4278000000004</v>
      </c>
      <c r="H2557" s="653">
        <v>3.61999</v>
      </c>
    </row>
    <row r="2558" spans="1:56">
      <c r="C2558" s="645" t="s">
        <v>122</v>
      </c>
      <c r="D2558" s="645">
        <v>8.19</v>
      </c>
      <c r="E2558" s="645">
        <v>1.8</v>
      </c>
      <c r="F2558" s="645"/>
      <c r="G2558" s="653">
        <v>2200.4888999999998</v>
      </c>
      <c r="H2558" s="653">
        <v>1.7999000000000001</v>
      </c>
    </row>
    <row r="2559" spans="1:56">
      <c r="C2559" s="645" t="s">
        <v>115</v>
      </c>
      <c r="D2559" s="645">
        <v>8.3000000000000007</v>
      </c>
      <c r="E2559" s="653">
        <v>1.806</v>
      </c>
      <c r="F2559" s="645"/>
      <c r="G2559" s="653">
        <v>2207.8238999999999</v>
      </c>
      <c r="H2559" s="653">
        <v>1.80599</v>
      </c>
    </row>
    <row r="2560" spans="1:56">
      <c r="C2560" s="645" t="s">
        <v>3332</v>
      </c>
      <c r="D2560" s="645">
        <v>8.8800000000000008</v>
      </c>
      <c r="E2560" s="645">
        <v>3.62</v>
      </c>
      <c r="F2560" s="645"/>
      <c r="G2560" s="653">
        <v>4425.4278000000004</v>
      </c>
      <c r="H2560" s="653">
        <v>3.61999</v>
      </c>
    </row>
    <row r="2561" spans="3:8">
      <c r="C2561" s="1536" t="s">
        <v>3331</v>
      </c>
      <c r="D2561" s="645">
        <v>9.5</v>
      </c>
      <c r="E2561" s="1536">
        <v>3.6</v>
      </c>
      <c r="F2561" s="645"/>
      <c r="G2561" s="653">
        <v>4400.9778999999999</v>
      </c>
      <c r="H2561" s="653">
        <v>3.59999</v>
      </c>
    </row>
    <row r="2562" spans="3:8">
      <c r="C2562" s="1536"/>
      <c r="D2562" s="645">
        <v>8.9</v>
      </c>
      <c r="E2562" s="1536"/>
      <c r="F2562" s="645"/>
      <c r="G2562" s="645"/>
      <c r="H2562" s="645"/>
    </row>
    <row r="2563" spans="3:8">
      <c r="C2563" s="1536"/>
      <c r="D2563" s="645">
        <v>8.3000000000000007</v>
      </c>
      <c r="E2563" s="1536"/>
      <c r="F2563" s="645"/>
      <c r="G2563" s="645"/>
      <c r="H2563" s="645"/>
    </row>
    <row r="2579" spans="1:56" s="663" customFormat="1">
      <c r="A2579" s="663" t="s">
        <v>2861</v>
      </c>
      <c r="B2579" s="665" t="s">
        <v>2036</v>
      </c>
      <c r="C2579" s="667" t="s">
        <v>126</v>
      </c>
      <c r="D2579" s="667" t="s">
        <v>1583</v>
      </c>
      <c r="E2579" s="667" t="s">
        <v>4</v>
      </c>
      <c r="F2579" s="667" t="s">
        <v>2860</v>
      </c>
      <c r="G2579" s="667" t="s">
        <v>2859</v>
      </c>
      <c r="H2579" s="667" t="s">
        <v>2858</v>
      </c>
      <c r="I2579" s="667" t="s">
        <v>751</v>
      </c>
      <c r="J2579" s="665" t="s">
        <v>274</v>
      </c>
      <c r="K2579" s="665" t="s">
        <v>273</v>
      </c>
      <c r="L2579" s="665" t="s">
        <v>116</v>
      </c>
      <c r="M2579" s="665" t="s">
        <v>110</v>
      </c>
      <c r="N2579" s="665" t="s">
        <v>276</v>
      </c>
      <c r="O2579" s="667" t="s">
        <v>1311</v>
      </c>
      <c r="P2579" s="665" t="s">
        <v>275</v>
      </c>
      <c r="Q2579" s="665" t="s">
        <v>111</v>
      </c>
      <c r="R2579" s="665" t="s">
        <v>2857</v>
      </c>
      <c r="S2579" s="665" t="s">
        <v>747</v>
      </c>
      <c r="T2579" s="667" t="s">
        <v>12</v>
      </c>
      <c r="U2579" s="666" t="s">
        <v>948</v>
      </c>
      <c r="V2579" s="665" t="s">
        <v>129</v>
      </c>
      <c r="W2579" s="665" t="s">
        <v>220</v>
      </c>
      <c r="X2579" s="665" t="s">
        <v>749</v>
      </c>
      <c r="Y2579" s="665" t="s">
        <v>750</v>
      </c>
      <c r="Z2579" s="665" t="s">
        <v>748</v>
      </c>
      <c r="BB2579" s="664"/>
      <c r="BD2579" s="664"/>
    </row>
    <row r="2580" spans="1:56">
      <c r="A2580" s="642" t="s">
        <v>2078</v>
      </c>
      <c r="B2580" s="1436">
        <v>170</v>
      </c>
      <c r="C2580" s="1437" t="s">
        <v>2258</v>
      </c>
      <c r="D2580" s="662" t="s">
        <v>2257</v>
      </c>
      <c r="E2580" s="662" t="s">
        <v>2256</v>
      </c>
      <c r="F2580" s="661">
        <v>7.52</v>
      </c>
      <c r="G2580" s="660">
        <v>7.52</v>
      </c>
      <c r="H2580" s="659">
        <f>L2580*R2580</f>
        <v>76.478062603200016</v>
      </c>
      <c r="I2580" s="656">
        <f>F2580/H2580</f>
        <v>9.8328850706076151E-2</v>
      </c>
      <c r="J2580" s="658" t="s">
        <v>2917</v>
      </c>
      <c r="K2580" s="645" t="s">
        <v>2255</v>
      </c>
      <c r="L2580" s="645">
        <v>8.2200000000000006</v>
      </c>
      <c r="M2580" s="658">
        <v>6.67</v>
      </c>
      <c r="N2580" s="743">
        <f>M2580/L2580</f>
        <v>0.81143552311435518</v>
      </c>
      <c r="O2580" s="742">
        <v>6.78</v>
      </c>
      <c r="P2580" s="653">
        <f>O2580/L2580</f>
        <v>0.82481751824817517</v>
      </c>
      <c r="Q2580" s="645">
        <v>6</v>
      </c>
      <c r="R2580" s="653">
        <v>9.3039005600000007</v>
      </c>
      <c r="S2580" s="645" t="s">
        <v>2254</v>
      </c>
      <c r="T2580" s="723">
        <v>42977</v>
      </c>
      <c r="U2580" s="645">
        <v>6.12</v>
      </c>
      <c r="V2580" s="653">
        <f>((U2580*(1+X2580/10)+Y2580/10)/O2580)</f>
        <v>0.90265486725663713</v>
      </c>
      <c r="W2580" s="645" t="s">
        <v>223</v>
      </c>
      <c r="X2580" s="645">
        <v>0</v>
      </c>
      <c r="Y2580" s="645">
        <v>0</v>
      </c>
      <c r="Z2580" s="652" t="s">
        <v>2160</v>
      </c>
      <c r="BB2580" s="651"/>
      <c r="BD2580" s="650"/>
    </row>
    <row r="2581" spans="1:56">
      <c r="C2581" s="648" t="s">
        <v>112</v>
      </c>
      <c r="D2581" s="648" t="s">
        <v>113</v>
      </c>
      <c r="E2581" s="648" t="s">
        <v>943</v>
      </c>
      <c r="F2581" s="649" t="s">
        <v>411</v>
      </c>
      <c r="G2581" s="649" t="s">
        <v>942</v>
      </c>
      <c r="H2581" s="648" t="s">
        <v>231</v>
      </c>
    </row>
    <row r="2582" spans="1:56">
      <c r="C2582" s="1512" t="s">
        <v>122</v>
      </c>
      <c r="D2582" s="647">
        <v>7</v>
      </c>
      <c r="E2582" s="643">
        <v>0.8</v>
      </c>
      <c r="F2582" s="645"/>
      <c r="G2582" s="644">
        <f>11799410/10000</f>
        <v>1179.941</v>
      </c>
      <c r="H2582" s="643">
        <f>79999999.8/100000000</f>
        <v>0.79999999799999999</v>
      </c>
    </row>
    <row r="2583" spans="1:56">
      <c r="C2583" s="1512"/>
      <c r="D2583" s="647">
        <v>6.68</v>
      </c>
      <c r="E2583" s="643">
        <v>0.9</v>
      </c>
      <c r="F2583" s="645"/>
      <c r="G2583" s="645"/>
      <c r="H2583" s="645"/>
    </row>
    <row r="2584" spans="1:56">
      <c r="C2584" s="1512" t="s">
        <v>127</v>
      </c>
      <c r="D2584" s="647">
        <v>7.03</v>
      </c>
      <c r="E2584" s="643">
        <v>0.9</v>
      </c>
      <c r="F2584" s="645"/>
      <c r="G2584" s="644">
        <f>22123893/10000</f>
        <v>2212.3892999999998</v>
      </c>
      <c r="H2584" s="643">
        <f>149999994.54/100000000</f>
        <v>1.4999999453999999</v>
      </c>
    </row>
    <row r="2585" spans="1:56">
      <c r="C2585" s="1512"/>
      <c r="D2585" s="647">
        <v>6.85</v>
      </c>
      <c r="E2585" s="643">
        <v>1.5</v>
      </c>
      <c r="F2585" s="645"/>
      <c r="G2585" s="645"/>
      <c r="H2585" s="645"/>
    </row>
    <row r="2586" spans="1:56" ht="28">
      <c r="C2586" s="673" t="s">
        <v>3330</v>
      </c>
      <c r="D2586" s="647">
        <v>6.78</v>
      </c>
      <c r="E2586" s="643">
        <v>0.8</v>
      </c>
      <c r="F2586" s="645"/>
      <c r="G2586" s="644">
        <f>1032450/10000</f>
        <v>103.245</v>
      </c>
      <c r="H2586" s="643">
        <f>7000011/100000000</f>
        <v>7.0000110000000004E-2</v>
      </c>
    </row>
    <row r="2587" spans="1:56" ht="28">
      <c r="C2587" s="673" t="s">
        <v>3329</v>
      </c>
      <c r="D2587" s="647">
        <v>6.68</v>
      </c>
      <c r="E2587" s="643">
        <v>0.8</v>
      </c>
      <c r="F2587" s="645"/>
      <c r="G2587" s="645"/>
      <c r="H2587" s="645"/>
    </row>
    <row r="2588" spans="1:56">
      <c r="C2588" s="1512" t="s">
        <v>173</v>
      </c>
      <c r="D2588" s="647">
        <v>7.08</v>
      </c>
      <c r="E2588" s="643">
        <v>1.54</v>
      </c>
      <c r="F2588" s="645"/>
      <c r="G2588" s="644">
        <f>40412979/10000</f>
        <v>4041.2979</v>
      </c>
      <c r="H2588" s="643">
        <f>273999997.62/100000000</f>
        <v>2.7399999762</v>
      </c>
    </row>
    <row r="2589" spans="1:56">
      <c r="C2589" s="1512"/>
      <c r="D2589" s="647">
        <v>6.91</v>
      </c>
      <c r="E2589" s="643">
        <v>2.74</v>
      </c>
      <c r="F2589" s="645"/>
      <c r="G2589" s="645"/>
      <c r="H2589" s="645"/>
    </row>
    <row r="2590" spans="1:56">
      <c r="C2590" s="1512" t="s">
        <v>115</v>
      </c>
      <c r="D2590" s="647">
        <v>6.8</v>
      </c>
      <c r="E2590" s="643">
        <v>1.61</v>
      </c>
      <c r="F2590" s="645"/>
      <c r="G2590" s="644">
        <f>23746312/10000</f>
        <v>2374.6311999999998</v>
      </c>
      <c r="H2590" s="643">
        <f>160999995.36/100000000</f>
        <v>1.6099999536</v>
      </c>
    </row>
    <row r="2591" spans="1:56">
      <c r="C2591" s="1512"/>
      <c r="D2591" s="647">
        <v>6.69</v>
      </c>
      <c r="E2591" s="643">
        <v>1.87</v>
      </c>
      <c r="F2591" s="645"/>
      <c r="G2591" s="645"/>
      <c r="H2591" s="645"/>
    </row>
    <row r="2592" spans="1:56">
      <c r="C2592" s="1512"/>
      <c r="D2592" s="647">
        <v>6.67</v>
      </c>
      <c r="E2592" s="643">
        <v>1.92</v>
      </c>
      <c r="F2592" s="645"/>
      <c r="G2592" s="645"/>
      <c r="H2592" s="645"/>
    </row>
    <row r="2593" spans="1:56">
      <c r="C2593" s="646" t="s">
        <v>300</v>
      </c>
      <c r="D2593" s="647">
        <v>6.89</v>
      </c>
      <c r="E2593" s="643">
        <v>0.8</v>
      </c>
      <c r="F2593" s="645"/>
      <c r="G2593" s="644">
        <f>11799410/10000</f>
        <v>1179.941</v>
      </c>
      <c r="H2593" s="643">
        <f>79999999.8/100000000</f>
        <v>0.79999999799999999</v>
      </c>
    </row>
    <row r="2594" spans="1:56">
      <c r="C2594" s="673" t="s">
        <v>3328</v>
      </c>
      <c r="D2594" s="647">
        <v>6.67</v>
      </c>
      <c r="E2594" s="643">
        <v>1.1000000000000001</v>
      </c>
      <c r="F2594" s="645"/>
      <c r="G2594" s="645"/>
      <c r="H2594" s="645"/>
    </row>
    <row r="2596" spans="1:56" s="663" customFormat="1">
      <c r="A2596" s="663" t="s">
        <v>2861</v>
      </c>
      <c r="B2596" s="665" t="s">
        <v>2036</v>
      </c>
      <c r="C2596" s="667" t="s">
        <v>126</v>
      </c>
      <c r="D2596" s="667" t="s">
        <v>1583</v>
      </c>
      <c r="E2596" s="667" t="s">
        <v>4</v>
      </c>
      <c r="F2596" s="667" t="s">
        <v>2860</v>
      </c>
      <c r="G2596" s="667" t="s">
        <v>2859</v>
      </c>
      <c r="H2596" s="667" t="s">
        <v>2858</v>
      </c>
      <c r="I2596" s="667" t="s">
        <v>751</v>
      </c>
      <c r="J2596" s="665" t="s">
        <v>274</v>
      </c>
      <c r="K2596" s="665" t="s">
        <v>273</v>
      </c>
      <c r="L2596" s="665" t="s">
        <v>116</v>
      </c>
      <c r="M2596" s="665" t="s">
        <v>110</v>
      </c>
      <c r="N2596" s="665" t="s">
        <v>276</v>
      </c>
      <c r="O2596" s="667" t="s">
        <v>1311</v>
      </c>
      <c r="P2596" s="665" t="s">
        <v>275</v>
      </c>
      <c r="Q2596" s="665" t="s">
        <v>111</v>
      </c>
      <c r="R2596" s="665" t="s">
        <v>2857</v>
      </c>
      <c r="S2596" s="665" t="s">
        <v>747</v>
      </c>
      <c r="T2596" s="667" t="s">
        <v>12</v>
      </c>
      <c r="U2596" s="666" t="s">
        <v>948</v>
      </c>
      <c r="V2596" s="665" t="s">
        <v>129</v>
      </c>
      <c r="W2596" s="665" t="s">
        <v>220</v>
      </c>
      <c r="X2596" s="665" t="s">
        <v>749</v>
      </c>
      <c r="Y2596" s="665" t="s">
        <v>750</v>
      </c>
      <c r="Z2596" s="665" t="s">
        <v>748</v>
      </c>
      <c r="BB2596" s="664"/>
      <c r="BD2596" s="664"/>
    </row>
    <row r="2597" spans="1:56">
      <c r="A2597" s="642" t="s">
        <v>2078</v>
      </c>
      <c r="B2597" s="1436">
        <v>171</v>
      </c>
      <c r="C2597" s="1471" t="s">
        <v>2253</v>
      </c>
      <c r="D2597" s="722" t="s">
        <v>2252</v>
      </c>
      <c r="E2597" s="722" t="s">
        <v>2251</v>
      </c>
      <c r="F2597" s="721">
        <v>17.8</v>
      </c>
      <c r="G2597" s="656">
        <v>17.8</v>
      </c>
      <c r="H2597" s="656">
        <f>L2597*R2597</f>
        <v>60.498822018599995</v>
      </c>
      <c r="I2597" s="656">
        <f>F2597/H2597</f>
        <v>0.29422060473388223</v>
      </c>
      <c r="J2597" s="658" t="s">
        <v>2916</v>
      </c>
      <c r="K2597" s="645" t="s">
        <v>2240</v>
      </c>
      <c r="L2597" s="645">
        <v>7.77</v>
      </c>
      <c r="M2597" s="658">
        <v>7.35</v>
      </c>
      <c r="N2597" s="653">
        <f>M2597/L2597</f>
        <v>0.94594594594594594</v>
      </c>
      <c r="O2597" s="656">
        <v>7.48</v>
      </c>
      <c r="P2597" s="653">
        <f>O2597/L2597</f>
        <v>0.96267696267696279</v>
      </c>
      <c r="Q2597" s="645">
        <v>6</v>
      </c>
      <c r="R2597" s="653">
        <v>7.7862061799999998</v>
      </c>
      <c r="S2597" s="645" t="s">
        <v>2250</v>
      </c>
      <c r="T2597" s="654">
        <v>42979</v>
      </c>
      <c r="U2597" s="645">
        <v>7.26</v>
      </c>
      <c r="V2597" s="653">
        <f>((U2597*(1+X2597/10)+Y2597/10)/O2597)</f>
        <v>0.97058823529411753</v>
      </c>
      <c r="W2597" s="645" t="s">
        <v>223</v>
      </c>
      <c r="X2597" s="645">
        <v>0</v>
      </c>
      <c r="Y2597" s="645">
        <v>0</v>
      </c>
      <c r="Z2597" s="652" t="s">
        <v>2116</v>
      </c>
      <c r="BB2597" s="651"/>
      <c r="BD2597" s="650"/>
    </row>
    <row r="2598" spans="1:56">
      <c r="C2598" s="648" t="s">
        <v>112</v>
      </c>
      <c r="D2598" s="648" t="s">
        <v>113</v>
      </c>
      <c r="E2598" s="648" t="s">
        <v>943</v>
      </c>
      <c r="F2598" s="649" t="s">
        <v>411</v>
      </c>
      <c r="G2598" s="649" t="s">
        <v>942</v>
      </c>
      <c r="H2598" s="648" t="s">
        <v>231</v>
      </c>
    </row>
    <row r="2599" spans="1:56">
      <c r="C2599" s="646" t="s">
        <v>3327</v>
      </c>
      <c r="D2599" s="647">
        <v>7.35</v>
      </c>
      <c r="E2599" s="643">
        <f>36750/10000</f>
        <v>3.6749999999999998</v>
      </c>
      <c r="F2599" s="645"/>
      <c r="G2599" s="645"/>
      <c r="H2599" s="645"/>
    </row>
    <row r="2600" spans="1:56" ht="28">
      <c r="C2600" s="673" t="s">
        <v>3326</v>
      </c>
      <c r="D2600" s="647">
        <v>7.48</v>
      </c>
      <c r="E2600" s="643">
        <f>37400/10000</f>
        <v>3.74</v>
      </c>
      <c r="F2600" s="645"/>
      <c r="G2600" s="644">
        <f>50000000/10000</f>
        <v>5000</v>
      </c>
      <c r="H2600" s="643">
        <f>374000000/100000000</f>
        <v>3.74</v>
      </c>
    </row>
    <row r="2601" spans="1:56">
      <c r="C2601" s="646" t="s">
        <v>3325</v>
      </c>
      <c r="D2601" s="647">
        <v>7.49</v>
      </c>
      <c r="E2601" s="643">
        <f>37450/10000</f>
        <v>3.7450000000000001</v>
      </c>
      <c r="F2601" s="645"/>
      <c r="G2601" s="644">
        <f>50000000/10000</f>
        <v>5000</v>
      </c>
      <c r="H2601" s="643">
        <f>374000000/100000000</f>
        <v>3.74</v>
      </c>
    </row>
    <row r="2602" spans="1:56">
      <c r="C2602" s="646" t="s">
        <v>3324</v>
      </c>
      <c r="D2602" s="647">
        <v>7.48</v>
      </c>
      <c r="E2602" s="643">
        <v>2.2440000000000002</v>
      </c>
      <c r="F2602" s="645"/>
      <c r="G2602" s="644">
        <f>29903622/10000</f>
        <v>2990.3622</v>
      </c>
      <c r="H2602" s="643">
        <v>2.2367900000000001</v>
      </c>
    </row>
    <row r="2603" spans="1:56">
      <c r="C2603" s="646" t="s">
        <v>3323</v>
      </c>
      <c r="D2603" s="647">
        <v>7.52</v>
      </c>
      <c r="E2603" s="643">
        <v>2.2559999999999998</v>
      </c>
      <c r="F2603" s="645"/>
      <c r="G2603" s="644">
        <f>30000000/10000</f>
        <v>3000</v>
      </c>
      <c r="H2603" s="643">
        <f>224400000/100000000</f>
        <v>2.2440000000000002</v>
      </c>
    </row>
    <row r="2604" spans="1:56">
      <c r="C2604" s="1512" t="s">
        <v>3322</v>
      </c>
      <c r="D2604" s="647">
        <v>7.75</v>
      </c>
      <c r="E2604" s="643">
        <v>3.1</v>
      </c>
      <c r="F2604" s="645"/>
      <c r="G2604" s="644">
        <f>40000000/10000</f>
        <v>4000</v>
      </c>
      <c r="H2604" s="643">
        <f>299200000/100000000</f>
        <v>2.992</v>
      </c>
    </row>
    <row r="2605" spans="1:56">
      <c r="C2605" s="1512"/>
      <c r="D2605" s="647">
        <v>7.51</v>
      </c>
      <c r="E2605" s="643">
        <v>3.004</v>
      </c>
      <c r="F2605" s="645"/>
      <c r="G2605" s="645"/>
      <c r="H2605" s="645"/>
    </row>
    <row r="2606" spans="1:56">
      <c r="C2606" s="1512"/>
      <c r="D2606" s="647">
        <v>7.41</v>
      </c>
      <c r="E2606" s="643">
        <v>2.964</v>
      </c>
      <c r="F2606" s="645"/>
      <c r="G2606" s="645"/>
      <c r="H2606" s="645"/>
    </row>
    <row r="2607" spans="1:56">
      <c r="C2607" s="1512" t="s">
        <v>115</v>
      </c>
      <c r="D2607" s="647">
        <v>7.51</v>
      </c>
      <c r="E2607" s="643">
        <v>2.8538000000000001</v>
      </c>
      <c r="F2607" s="645"/>
      <c r="G2607" s="644">
        <f>38000000/10000</f>
        <v>3800</v>
      </c>
      <c r="H2607" s="643">
        <f>284240000/100000000</f>
        <v>2.8424</v>
      </c>
    </row>
    <row r="2608" spans="1:56">
      <c r="C2608" s="1512"/>
      <c r="D2608" s="647">
        <v>7.45</v>
      </c>
      <c r="E2608" s="643">
        <v>2.831</v>
      </c>
      <c r="F2608" s="645"/>
      <c r="G2608" s="645"/>
      <c r="H2608" s="645"/>
    </row>
    <row r="2609" spans="1:56">
      <c r="C2609" s="1512"/>
      <c r="D2609" s="647">
        <v>7.4</v>
      </c>
      <c r="E2609" s="643">
        <v>2.8119999999999998</v>
      </c>
      <c r="F2609" s="645"/>
      <c r="G2609" s="645"/>
      <c r="H2609" s="645"/>
    </row>
    <row r="2611" spans="1:56" s="663" customFormat="1">
      <c r="A2611" s="663" t="s">
        <v>2861</v>
      </c>
      <c r="B2611" s="665" t="s">
        <v>2036</v>
      </c>
      <c r="C2611" s="667" t="s">
        <v>126</v>
      </c>
      <c r="D2611" s="667" t="s">
        <v>1583</v>
      </c>
      <c r="E2611" s="667" t="s">
        <v>4</v>
      </c>
      <c r="F2611" s="667" t="s">
        <v>2860</v>
      </c>
      <c r="G2611" s="667" t="s">
        <v>2859</v>
      </c>
      <c r="H2611" s="667" t="s">
        <v>2858</v>
      </c>
      <c r="I2611" s="667" t="s">
        <v>751</v>
      </c>
      <c r="J2611" s="665" t="s">
        <v>274</v>
      </c>
      <c r="K2611" s="665" t="s">
        <v>273</v>
      </c>
      <c r="L2611" s="665" t="s">
        <v>116</v>
      </c>
      <c r="M2611" s="665" t="s">
        <v>110</v>
      </c>
      <c r="N2611" s="665" t="s">
        <v>276</v>
      </c>
      <c r="O2611" s="667" t="s">
        <v>1311</v>
      </c>
      <c r="P2611" s="665" t="s">
        <v>275</v>
      </c>
      <c r="Q2611" s="665" t="s">
        <v>111</v>
      </c>
      <c r="R2611" s="665" t="s">
        <v>2857</v>
      </c>
      <c r="S2611" s="665" t="s">
        <v>747</v>
      </c>
      <c r="T2611" s="667" t="s">
        <v>12</v>
      </c>
      <c r="U2611" s="666" t="s">
        <v>948</v>
      </c>
      <c r="V2611" s="665" t="s">
        <v>129</v>
      </c>
      <c r="W2611" s="665" t="s">
        <v>220</v>
      </c>
      <c r="X2611" s="665" t="s">
        <v>749</v>
      </c>
      <c r="Y2611" s="665" t="s">
        <v>750</v>
      </c>
      <c r="Z2611" s="665" t="s">
        <v>748</v>
      </c>
      <c r="BB2611" s="664"/>
      <c r="BD2611" s="664"/>
    </row>
    <row r="2612" spans="1:56">
      <c r="A2612" s="642" t="s">
        <v>2078</v>
      </c>
      <c r="B2612" s="1436">
        <v>172</v>
      </c>
      <c r="C2612" s="1437" t="s">
        <v>2249</v>
      </c>
      <c r="D2612" s="662" t="s">
        <v>2248</v>
      </c>
      <c r="E2612" s="662" t="s">
        <v>2247</v>
      </c>
      <c r="F2612" s="661">
        <v>19.420000000000002</v>
      </c>
      <c r="G2612" s="660">
        <v>19.420000000000002</v>
      </c>
      <c r="H2612" s="715">
        <f>L2612*R2612</f>
        <v>134.84766400000001</v>
      </c>
      <c r="I2612" s="656">
        <f>F2612/H2612</f>
        <v>0.1440143597889838</v>
      </c>
      <c r="J2612" s="658" t="s">
        <v>2915</v>
      </c>
      <c r="K2612" s="645" t="s">
        <v>2246</v>
      </c>
      <c r="L2612" s="645">
        <v>26.92</v>
      </c>
      <c r="M2612" s="658">
        <v>24.07</v>
      </c>
      <c r="N2612" s="653">
        <f>M2612/L2612</f>
        <v>0.89413075780089146</v>
      </c>
      <c r="O2612" s="656">
        <v>25.88</v>
      </c>
      <c r="P2612" s="653">
        <f>O2612/L2612</f>
        <v>0.96136701337295682</v>
      </c>
      <c r="Q2612" s="645">
        <v>5</v>
      </c>
      <c r="R2612" s="653">
        <v>5.0091999999999999</v>
      </c>
      <c r="S2612" s="645" t="s">
        <v>2245</v>
      </c>
      <c r="T2612" s="654">
        <v>42979</v>
      </c>
      <c r="U2612" s="645">
        <v>8.73</v>
      </c>
      <c r="V2612" s="653">
        <f>((U2612*(1+X2612/10)+Y2612/10)/O2612)</f>
        <v>1.3527820710973728</v>
      </c>
      <c r="W2612" s="645" t="s">
        <v>2244</v>
      </c>
      <c r="X2612" s="645">
        <v>30</v>
      </c>
      <c r="Y2612" s="645">
        <v>0.89999999999999991</v>
      </c>
      <c r="Z2612" s="652" t="s">
        <v>2122</v>
      </c>
      <c r="BB2612" s="651"/>
      <c r="BD2612" s="650"/>
    </row>
    <row r="2613" spans="1:56">
      <c r="C2613" s="648" t="s">
        <v>112</v>
      </c>
      <c r="D2613" s="648" t="s">
        <v>113</v>
      </c>
      <c r="E2613" s="648" t="s">
        <v>943</v>
      </c>
      <c r="F2613" s="649" t="s">
        <v>411</v>
      </c>
      <c r="G2613" s="649" t="s">
        <v>942</v>
      </c>
      <c r="H2613" s="648" t="s">
        <v>231</v>
      </c>
    </row>
    <row r="2614" spans="1:56">
      <c r="C2614" s="1512" t="s">
        <v>417</v>
      </c>
      <c r="D2614" s="647">
        <v>32.619999999999997</v>
      </c>
      <c r="E2614" s="643">
        <f>39000/10000</f>
        <v>3.9</v>
      </c>
      <c r="F2614" s="647"/>
      <c r="G2614" s="644">
        <f>15069551/10000</f>
        <v>1506.9550999999999</v>
      </c>
      <c r="H2614" s="653">
        <f>389999979.88/100000000</f>
        <v>3.8999997988000001</v>
      </c>
    </row>
    <row r="2615" spans="1:56">
      <c r="C2615" s="1512"/>
      <c r="D2615" s="647">
        <v>29.63</v>
      </c>
      <c r="E2615" s="643">
        <f>39000/10000</f>
        <v>3.9</v>
      </c>
      <c r="F2615" s="645"/>
      <c r="G2615" s="645"/>
      <c r="H2615" s="653"/>
    </row>
    <row r="2616" spans="1:56">
      <c r="C2616" s="1512"/>
      <c r="D2616" s="647">
        <v>26.91</v>
      </c>
      <c r="E2616" s="643">
        <f>39000/10000</f>
        <v>3.9</v>
      </c>
      <c r="F2616" s="645"/>
      <c r="G2616" s="645"/>
      <c r="H2616" s="653"/>
    </row>
    <row r="2617" spans="1:56">
      <c r="C2617" s="1512" t="s">
        <v>134</v>
      </c>
      <c r="D2617" s="647">
        <v>29.61</v>
      </c>
      <c r="E2617" s="643">
        <f>40000/10000</f>
        <v>4</v>
      </c>
      <c r="F2617" s="647"/>
      <c r="G2617" s="644">
        <f>15455950/10000</f>
        <v>1545.595</v>
      </c>
      <c r="H2617" s="653">
        <f>399999986/100000000</f>
        <v>3.99999986</v>
      </c>
    </row>
    <row r="2618" spans="1:56">
      <c r="C2618" s="1512"/>
      <c r="D2618" s="647">
        <v>26.01</v>
      </c>
      <c r="E2618" s="643">
        <f>40000/10000</f>
        <v>4</v>
      </c>
      <c r="F2618" s="645"/>
      <c r="G2618" s="645"/>
      <c r="H2618" s="653"/>
    </row>
    <row r="2619" spans="1:56">
      <c r="C2619" s="1512"/>
      <c r="D2619" s="647">
        <v>24.87</v>
      </c>
      <c r="E2619" s="643">
        <f>40000/10000</f>
        <v>4</v>
      </c>
      <c r="F2619" s="645"/>
      <c r="G2619" s="645"/>
      <c r="H2619" s="653"/>
    </row>
    <row r="2620" spans="1:56">
      <c r="C2620" s="1512" t="s">
        <v>309</v>
      </c>
      <c r="D2620" s="647">
        <v>26.74</v>
      </c>
      <c r="E2620" s="643">
        <f>50000/10000</f>
        <v>5</v>
      </c>
      <c r="F2620" s="647"/>
      <c r="G2620" s="644">
        <f>23183925/10000</f>
        <v>2318.3924999999999</v>
      </c>
      <c r="H2620" s="653">
        <f>599999979/100000000</f>
        <v>5.9999997900000004</v>
      </c>
    </row>
    <row r="2621" spans="1:56">
      <c r="C2621" s="1512"/>
      <c r="D2621" s="647">
        <v>25.94</v>
      </c>
      <c r="E2621" s="643">
        <f>60000/10000</f>
        <v>6</v>
      </c>
      <c r="F2621" s="645"/>
      <c r="G2621" s="645"/>
      <c r="H2621" s="653"/>
    </row>
    <row r="2622" spans="1:56">
      <c r="C2622" s="1512"/>
      <c r="D2622" s="647">
        <v>25.04</v>
      </c>
      <c r="E2622" s="643">
        <f>65000/10000</f>
        <v>6.5</v>
      </c>
      <c r="F2622" s="645"/>
      <c r="G2622" s="645"/>
      <c r="H2622" s="653"/>
    </row>
    <row r="2623" spans="1:56">
      <c r="C2623" s="1512" t="s">
        <v>2914</v>
      </c>
      <c r="D2623" s="647">
        <v>26.73</v>
      </c>
      <c r="E2623" s="643">
        <f>40000/10000</f>
        <v>4</v>
      </c>
      <c r="F2623" s="647"/>
      <c r="G2623" s="644">
        <f>15455950/10000</f>
        <v>1545.595</v>
      </c>
      <c r="H2623" s="653">
        <f>399999986/100000000</f>
        <v>3.99999986</v>
      </c>
    </row>
    <row r="2624" spans="1:56">
      <c r="C2624" s="1512"/>
      <c r="D2624" s="647">
        <v>25.94</v>
      </c>
      <c r="E2624" s="643">
        <f>40000/10000</f>
        <v>4</v>
      </c>
      <c r="F2624" s="645"/>
      <c r="G2624" s="645"/>
      <c r="H2624" s="653"/>
    </row>
    <row r="2625" spans="1:56">
      <c r="C2625" s="1512"/>
      <c r="D2625" s="647">
        <v>25.14</v>
      </c>
      <c r="E2625" s="643">
        <f>40000/10000</f>
        <v>4</v>
      </c>
      <c r="F2625" s="645"/>
      <c r="G2625" s="645"/>
      <c r="H2625" s="653"/>
    </row>
    <row r="2626" spans="1:56">
      <c r="C2626" s="646" t="s">
        <v>3321</v>
      </c>
      <c r="D2626" s="647">
        <v>26.73</v>
      </c>
      <c r="E2626" s="643">
        <f>39000/10000</f>
        <v>3.9</v>
      </c>
      <c r="F2626" s="645"/>
      <c r="G2626" s="645"/>
      <c r="H2626" s="653"/>
    </row>
    <row r="2627" spans="1:56">
      <c r="C2627" s="646" t="s">
        <v>2913</v>
      </c>
      <c r="D2627" s="647">
        <v>25.88</v>
      </c>
      <c r="E2627" s="643">
        <f>40000/10000</f>
        <v>4</v>
      </c>
      <c r="F2627" s="647"/>
      <c r="G2627" s="644">
        <f>5873263/10000</f>
        <v>587.32629999999995</v>
      </c>
      <c r="H2627" s="653">
        <f>152000046.44/100000000</f>
        <v>1.5200004644</v>
      </c>
    </row>
    <row r="2628" spans="1:56">
      <c r="C2628" s="646" t="s">
        <v>1070</v>
      </c>
      <c r="D2628" s="647">
        <v>25.42</v>
      </c>
      <c r="E2628" s="643">
        <f>39000/10000</f>
        <v>3.9</v>
      </c>
      <c r="F2628" s="645"/>
      <c r="G2628" s="645"/>
      <c r="H2628" s="645"/>
    </row>
    <row r="2629" spans="1:56">
      <c r="C2629" s="1512" t="s">
        <v>148</v>
      </c>
      <c r="D2629" s="647">
        <v>25.14</v>
      </c>
      <c r="E2629" s="643">
        <f>66000/10000</f>
        <v>6.6</v>
      </c>
      <c r="F2629" s="645"/>
      <c r="G2629" s="645"/>
      <c r="H2629" s="645"/>
    </row>
    <row r="2630" spans="1:56">
      <c r="C2630" s="1512"/>
      <c r="D2630" s="647">
        <v>24.87</v>
      </c>
      <c r="E2630" s="643">
        <f>66000/10000</f>
        <v>6.6</v>
      </c>
      <c r="F2630" s="645"/>
      <c r="G2630" s="645"/>
      <c r="H2630" s="645"/>
    </row>
    <row r="2631" spans="1:56">
      <c r="C2631" s="1512" t="s">
        <v>173</v>
      </c>
      <c r="D2631" s="647">
        <v>24.77</v>
      </c>
      <c r="E2631" s="643">
        <f>39000/10000</f>
        <v>3.9</v>
      </c>
      <c r="F2631" s="645"/>
      <c r="G2631" s="645"/>
      <c r="H2631" s="645"/>
    </row>
    <row r="2632" spans="1:56">
      <c r="C2632" s="1512"/>
      <c r="D2632" s="647">
        <v>24.22</v>
      </c>
      <c r="E2632" s="643">
        <f>49800/10000</f>
        <v>4.9800000000000004</v>
      </c>
      <c r="F2632" s="645"/>
      <c r="G2632" s="645"/>
      <c r="H2632" s="645"/>
    </row>
    <row r="2633" spans="1:56">
      <c r="C2633" s="1512"/>
      <c r="D2633" s="647">
        <v>24.07</v>
      </c>
      <c r="E2633" s="643">
        <f>49800/10000</f>
        <v>4.9800000000000004</v>
      </c>
      <c r="F2633" s="645"/>
      <c r="G2633" s="645"/>
      <c r="H2633" s="645"/>
    </row>
    <row r="2635" spans="1:56" s="663" customFormat="1">
      <c r="A2635" s="663" t="s">
        <v>2861</v>
      </c>
      <c r="B2635" s="665" t="s">
        <v>2036</v>
      </c>
      <c r="C2635" s="667" t="s">
        <v>126</v>
      </c>
      <c r="D2635" s="667" t="s">
        <v>1583</v>
      </c>
      <c r="E2635" s="667" t="s">
        <v>4</v>
      </c>
      <c r="F2635" s="667" t="s">
        <v>2860</v>
      </c>
      <c r="G2635" s="667" t="s">
        <v>2859</v>
      </c>
      <c r="H2635" s="667" t="s">
        <v>2858</v>
      </c>
      <c r="I2635" s="667" t="s">
        <v>751</v>
      </c>
      <c r="J2635" s="665" t="s">
        <v>274</v>
      </c>
      <c r="K2635" s="665" t="s">
        <v>273</v>
      </c>
      <c r="L2635" s="665" t="s">
        <v>116</v>
      </c>
      <c r="M2635" s="665" t="s">
        <v>110</v>
      </c>
      <c r="N2635" s="665" t="s">
        <v>276</v>
      </c>
      <c r="O2635" s="667" t="s">
        <v>1311</v>
      </c>
      <c r="P2635" s="665" t="s">
        <v>275</v>
      </c>
      <c r="Q2635" s="665" t="s">
        <v>111</v>
      </c>
      <c r="R2635" s="665" t="s">
        <v>2857</v>
      </c>
      <c r="S2635" s="665" t="s">
        <v>747</v>
      </c>
      <c r="T2635" s="667" t="s">
        <v>12</v>
      </c>
      <c r="U2635" s="666" t="s">
        <v>948</v>
      </c>
      <c r="V2635" s="665" t="s">
        <v>129</v>
      </c>
      <c r="W2635" s="665" t="s">
        <v>220</v>
      </c>
      <c r="X2635" s="665" t="s">
        <v>749</v>
      </c>
      <c r="Y2635" s="665" t="s">
        <v>750</v>
      </c>
      <c r="Z2635" s="665" t="s">
        <v>748</v>
      </c>
      <c r="BB2635" s="664"/>
      <c r="BD2635" s="664"/>
    </row>
    <row r="2636" spans="1:56">
      <c r="A2636" s="642" t="s">
        <v>2078</v>
      </c>
      <c r="B2636" s="1436">
        <v>173</v>
      </c>
      <c r="C2636" s="1437" t="s">
        <v>2243</v>
      </c>
      <c r="D2636" s="662" t="s">
        <v>2242</v>
      </c>
      <c r="E2636" s="662" t="s">
        <v>2241</v>
      </c>
      <c r="F2636" s="661">
        <v>6.35</v>
      </c>
      <c r="G2636" s="660">
        <v>6.35</v>
      </c>
      <c r="H2636" s="659">
        <f>L2636*R2636</f>
        <v>104.264145</v>
      </c>
      <c r="I2636" s="656">
        <f>F2636/H2636</f>
        <v>6.0903007452849683E-2</v>
      </c>
      <c r="J2636" s="658" t="s">
        <v>2912</v>
      </c>
      <c r="K2636" s="645" t="s">
        <v>2240</v>
      </c>
      <c r="L2636" s="645">
        <v>16.29</v>
      </c>
      <c r="M2636" s="658">
        <v>9.2100000000000009</v>
      </c>
      <c r="N2636" s="653">
        <f>M2636/L2636</f>
        <v>0.56537753222836107</v>
      </c>
      <c r="O2636" s="656">
        <v>13.56</v>
      </c>
      <c r="P2636" s="653">
        <f>O2636/L2636</f>
        <v>0.83241252302025792</v>
      </c>
      <c r="Q2636" s="645">
        <v>4</v>
      </c>
      <c r="R2636" s="653">
        <v>6.4005000000000001</v>
      </c>
      <c r="S2636" s="645" t="s">
        <v>2239</v>
      </c>
      <c r="T2636" s="654">
        <v>42979</v>
      </c>
      <c r="U2636" s="645">
        <v>9.42</v>
      </c>
      <c r="V2636" s="653">
        <f>((U2636*(1+X2636/10)+Y2636/10)/O2636)</f>
        <v>0.69837758112094395</v>
      </c>
      <c r="W2636" s="645" t="s">
        <v>2105</v>
      </c>
      <c r="X2636" s="645">
        <v>0</v>
      </c>
      <c r="Y2636" s="645">
        <v>0.5</v>
      </c>
      <c r="Z2636" s="652" t="s">
        <v>2122</v>
      </c>
      <c r="BB2636" s="651"/>
      <c r="BD2636" s="650"/>
    </row>
    <row r="2637" spans="1:56">
      <c r="C2637" s="648" t="s">
        <v>112</v>
      </c>
      <c r="D2637" s="648" t="s">
        <v>113</v>
      </c>
      <c r="E2637" s="648" t="s">
        <v>943</v>
      </c>
      <c r="F2637" s="649" t="s">
        <v>411</v>
      </c>
      <c r="G2637" s="649" t="s">
        <v>942</v>
      </c>
      <c r="H2637" s="648" t="s">
        <v>231</v>
      </c>
    </row>
    <row r="2638" spans="1:56">
      <c r="C2638" s="646" t="s">
        <v>955</v>
      </c>
      <c r="D2638" s="647">
        <v>9.51</v>
      </c>
      <c r="E2638" s="740">
        <v>0.8</v>
      </c>
      <c r="F2638" s="645"/>
      <c r="G2638" s="645"/>
      <c r="H2638" s="645"/>
    </row>
    <row r="2639" spans="1:56">
      <c r="C2639" s="673" t="s">
        <v>3320</v>
      </c>
      <c r="D2639" s="647">
        <v>13.61</v>
      </c>
      <c r="E2639" s="740">
        <v>0.8</v>
      </c>
      <c r="F2639" s="741"/>
      <c r="G2639" s="644">
        <f>5899705/10000</f>
        <v>589.97050000000002</v>
      </c>
      <c r="H2639" s="643">
        <f>79999999.8/100000000</f>
        <v>0.79999999799999999</v>
      </c>
    </row>
    <row r="2640" spans="1:56">
      <c r="C2640" s="1512" t="s">
        <v>127</v>
      </c>
      <c r="D2640" s="647">
        <v>13.55</v>
      </c>
      <c r="E2640" s="740">
        <v>1</v>
      </c>
      <c r="F2640" s="645"/>
      <c r="G2640" s="645"/>
      <c r="H2640" s="645"/>
    </row>
    <row r="2641" spans="3:8">
      <c r="C2641" s="1512"/>
      <c r="D2641" s="647">
        <v>12.25</v>
      </c>
      <c r="E2641" s="740">
        <v>2</v>
      </c>
      <c r="F2641" s="645"/>
      <c r="G2641" s="645"/>
      <c r="H2641" s="645"/>
    </row>
    <row r="2642" spans="3:8">
      <c r="C2642" s="1512"/>
      <c r="D2642" s="647">
        <v>11.15</v>
      </c>
      <c r="E2642" s="740">
        <v>3</v>
      </c>
      <c r="F2642" s="645"/>
      <c r="G2642" s="645"/>
      <c r="H2642" s="645"/>
    </row>
    <row r="2643" spans="3:8">
      <c r="C2643" s="1512" t="s">
        <v>173</v>
      </c>
      <c r="D2643" s="647">
        <v>13.51</v>
      </c>
      <c r="E2643" s="740">
        <v>0.8</v>
      </c>
      <c r="F2643" s="645"/>
      <c r="G2643" s="645"/>
      <c r="H2643" s="645"/>
    </row>
    <row r="2644" spans="3:8">
      <c r="C2644" s="1512"/>
      <c r="D2644" s="647">
        <v>12.62</v>
      </c>
      <c r="E2644" s="740">
        <v>1.74</v>
      </c>
      <c r="F2644" s="645"/>
      <c r="G2644" s="645"/>
      <c r="H2644" s="645"/>
    </row>
    <row r="2645" spans="3:8">
      <c r="C2645" s="1512" t="s">
        <v>131</v>
      </c>
      <c r="D2645" s="647">
        <v>11.76</v>
      </c>
      <c r="E2645" s="740">
        <v>2.16</v>
      </c>
      <c r="F2645" s="645"/>
      <c r="G2645" s="645"/>
      <c r="H2645" s="645"/>
    </row>
    <row r="2646" spans="3:8">
      <c r="C2646" s="1512"/>
      <c r="D2646" s="647">
        <v>9.23</v>
      </c>
      <c r="E2646" s="740">
        <v>4.7300000000000004</v>
      </c>
      <c r="F2646" s="645"/>
      <c r="G2646" s="645"/>
      <c r="H2646" s="645"/>
    </row>
    <row r="2647" spans="3:8">
      <c r="C2647" s="646" t="s">
        <v>139</v>
      </c>
      <c r="D2647" s="647">
        <v>13.36</v>
      </c>
      <c r="E2647" s="740">
        <v>0.8</v>
      </c>
      <c r="F2647" s="645"/>
      <c r="G2647" s="645"/>
      <c r="H2647" s="645"/>
    </row>
    <row r="2648" spans="3:8">
      <c r="C2648" s="1512" t="s">
        <v>115</v>
      </c>
      <c r="D2648" s="647">
        <v>14.5</v>
      </c>
      <c r="E2648" s="740">
        <v>1.44</v>
      </c>
      <c r="F2648" s="645"/>
      <c r="G2648" s="644">
        <f>27728613/10000</f>
        <v>2772.8613</v>
      </c>
      <c r="H2648" s="643">
        <f>375999992.28/100000000</f>
        <v>3.7599999227999996</v>
      </c>
    </row>
    <row r="2649" spans="3:8">
      <c r="C2649" s="1512"/>
      <c r="D2649" s="647">
        <v>13.85</v>
      </c>
      <c r="E2649" s="740">
        <v>3.76</v>
      </c>
      <c r="F2649" s="645"/>
      <c r="G2649" s="645"/>
      <c r="H2649" s="645"/>
    </row>
    <row r="2650" spans="3:8">
      <c r="C2650" s="1512"/>
      <c r="D2650" s="647">
        <v>13.05</v>
      </c>
      <c r="E2650" s="740">
        <v>5.92</v>
      </c>
      <c r="F2650" s="645"/>
      <c r="G2650" s="645"/>
      <c r="H2650" s="645"/>
    </row>
    <row r="2651" spans="3:8">
      <c r="C2651" s="646" t="s">
        <v>128</v>
      </c>
      <c r="D2651" s="647">
        <v>12.01</v>
      </c>
      <c r="E2651" s="740">
        <v>0.8</v>
      </c>
      <c r="F2651" s="645"/>
      <c r="G2651" s="645"/>
      <c r="H2651" s="645"/>
    </row>
    <row r="2652" spans="3:8">
      <c r="C2652" s="646" t="s">
        <v>320</v>
      </c>
      <c r="D2652" s="647">
        <v>13.56</v>
      </c>
      <c r="E2652" s="740">
        <v>1</v>
      </c>
      <c r="F2652" s="645"/>
      <c r="G2652" s="644">
        <f>7227139/10000</f>
        <v>722.71389999999997</v>
      </c>
      <c r="H2652" s="643">
        <f>98000004.84/100000000</f>
        <v>0.98000004839999999</v>
      </c>
    </row>
    <row r="2653" spans="3:8">
      <c r="C2653" s="646" t="s">
        <v>147</v>
      </c>
      <c r="D2653" s="647">
        <v>10.82</v>
      </c>
      <c r="E2653" s="740">
        <v>2.1549999999999998</v>
      </c>
      <c r="F2653" s="645"/>
      <c r="G2653" s="645"/>
      <c r="H2653" s="645"/>
    </row>
    <row r="2654" spans="3:8">
      <c r="C2654" s="1512" t="s">
        <v>300</v>
      </c>
      <c r="D2654" s="647">
        <v>14.06</v>
      </c>
      <c r="E2654" s="740">
        <v>0.81</v>
      </c>
      <c r="F2654" s="645"/>
      <c r="G2654" s="644">
        <f>5973451/10000</f>
        <v>597.3451</v>
      </c>
      <c r="H2654" s="643">
        <f>80999995.56/100000000</f>
        <v>0.80999995560000004</v>
      </c>
    </row>
    <row r="2655" spans="3:8">
      <c r="C2655" s="1512"/>
      <c r="D2655" s="647">
        <v>12.06</v>
      </c>
      <c r="E2655" s="740">
        <v>1.2</v>
      </c>
      <c r="F2655" s="645"/>
      <c r="G2655" s="645"/>
      <c r="H2655" s="645"/>
    </row>
    <row r="2656" spans="3:8">
      <c r="C2656" s="646" t="s">
        <v>953</v>
      </c>
      <c r="D2656" s="647">
        <v>13.13</v>
      </c>
      <c r="E2656" s="740">
        <v>1.1000000000000001</v>
      </c>
      <c r="F2656" s="645"/>
      <c r="G2656" s="645"/>
      <c r="H2656" s="645"/>
    </row>
    <row r="2658" spans="1:56" s="663" customFormat="1">
      <c r="A2658" s="663" t="s">
        <v>2861</v>
      </c>
      <c r="B2658" s="665" t="s">
        <v>2036</v>
      </c>
      <c r="C2658" s="667" t="s">
        <v>126</v>
      </c>
      <c r="D2658" s="667" t="s">
        <v>1583</v>
      </c>
      <c r="E2658" s="667" t="s">
        <v>4</v>
      </c>
      <c r="F2658" s="667" t="s">
        <v>2860</v>
      </c>
      <c r="G2658" s="667" t="s">
        <v>2859</v>
      </c>
      <c r="H2658" s="667" t="s">
        <v>2858</v>
      </c>
      <c r="I2658" s="667" t="s">
        <v>751</v>
      </c>
      <c r="J2658" s="665" t="s">
        <v>274</v>
      </c>
      <c r="K2658" s="665" t="s">
        <v>273</v>
      </c>
      <c r="L2658" s="665" t="s">
        <v>116</v>
      </c>
      <c r="M2658" s="665" t="s">
        <v>110</v>
      </c>
      <c r="N2658" s="665" t="s">
        <v>276</v>
      </c>
      <c r="O2658" s="667" t="s">
        <v>1311</v>
      </c>
      <c r="P2658" s="665" t="s">
        <v>275</v>
      </c>
      <c r="Q2658" s="665" t="s">
        <v>111</v>
      </c>
      <c r="R2658" s="665" t="s">
        <v>2857</v>
      </c>
      <c r="S2658" s="665" t="s">
        <v>747</v>
      </c>
      <c r="T2658" s="667" t="s">
        <v>12</v>
      </c>
      <c r="U2658" s="666" t="s">
        <v>948</v>
      </c>
      <c r="V2658" s="665" t="s">
        <v>129</v>
      </c>
      <c r="W2658" s="665" t="s">
        <v>220</v>
      </c>
      <c r="X2658" s="665" t="s">
        <v>749</v>
      </c>
      <c r="Y2658" s="665" t="s">
        <v>750</v>
      </c>
      <c r="Z2658" s="665" t="s">
        <v>748</v>
      </c>
      <c r="BB2658" s="664"/>
      <c r="BD2658" s="664"/>
    </row>
    <row r="2659" spans="1:56">
      <c r="A2659" s="642" t="s">
        <v>2078</v>
      </c>
      <c r="B2659" s="1436">
        <v>174</v>
      </c>
      <c r="C2659" s="1437" t="s">
        <v>2238</v>
      </c>
      <c r="D2659" s="662" t="s">
        <v>2237</v>
      </c>
      <c r="E2659" s="662" t="s">
        <v>2236</v>
      </c>
      <c r="F2659" s="661">
        <v>24.1</v>
      </c>
      <c r="G2659" s="660">
        <v>24.1</v>
      </c>
      <c r="H2659" s="659">
        <f>L2659*R2659</f>
        <v>73.788389534399997</v>
      </c>
      <c r="I2659" s="656">
        <f>F2659/H2659</f>
        <v>0.32660964891725452</v>
      </c>
      <c r="J2659" s="658" t="s">
        <v>2911</v>
      </c>
      <c r="K2659" s="645" t="s">
        <v>2207</v>
      </c>
      <c r="L2659" s="645">
        <v>12.72</v>
      </c>
      <c r="M2659" s="658">
        <v>9.8000000000000007</v>
      </c>
      <c r="N2659" s="653">
        <f>M2659/L2659</f>
        <v>0.77044025157232709</v>
      </c>
      <c r="O2659" s="656">
        <v>11.01</v>
      </c>
      <c r="P2659" s="653">
        <f>O2659/L2659</f>
        <v>0.86556603773584895</v>
      </c>
      <c r="Q2659" s="645">
        <v>6</v>
      </c>
      <c r="R2659" s="653">
        <v>5.80097402</v>
      </c>
      <c r="S2659" s="645" t="s">
        <v>2235</v>
      </c>
      <c r="T2659" s="654">
        <v>42979</v>
      </c>
      <c r="U2659" s="645">
        <v>11.91</v>
      </c>
      <c r="V2659" s="653">
        <f>((U2659*(1+X2659/10)+Y2659/10)/O2659)</f>
        <v>1.0987284287011807</v>
      </c>
      <c r="W2659" s="645" t="s">
        <v>2234</v>
      </c>
      <c r="X2659" s="645">
        <v>0</v>
      </c>
      <c r="Y2659" s="645">
        <v>1.87</v>
      </c>
      <c r="Z2659" s="652" t="s">
        <v>2233</v>
      </c>
      <c r="BB2659" s="651"/>
      <c r="BD2659" s="650"/>
    </row>
    <row r="2660" spans="1:56">
      <c r="C2660" s="648" t="s">
        <v>112</v>
      </c>
      <c r="D2660" s="648" t="s">
        <v>113</v>
      </c>
      <c r="E2660" s="648" t="s">
        <v>943</v>
      </c>
      <c r="F2660" s="649" t="s">
        <v>411</v>
      </c>
      <c r="G2660" s="649" t="s">
        <v>942</v>
      </c>
      <c r="H2660" s="648" t="s">
        <v>231</v>
      </c>
    </row>
    <row r="2661" spans="1:56">
      <c r="C2661" s="646" t="s">
        <v>974</v>
      </c>
      <c r="D2661" s="647">
        <v>12.33</v>
      </c>
      <c r="E2661" s="643">
        <f>241250000/100000000</f>
        <v>2.4125000000000001</v>
      </c>
      <c r="F2661" s="645"/>
      <c r="G2661" s="644">
        <v>2191.1898000000001</v>
      </c>
      <c r="H2661" s="643">
        <f>241249996.98/100000000</f>
        <v>2.4124999697999998</v>
      </c>
      <c r="J2661" s="687"/>
      <c r="K2661" s="687"/>
    </row>
    <row r="2662" spans="1:56">
      <c r="C2662" s="646" t="s">
        <v>966</v>
      </c>
      <c r="D2662" s="647">
        <v>11.13</v>
      </c>
      <c r="E2662" s="643">
        <f>241010000/100000000</f>
        <v>2.4100999999999999</v>
      </c>
      <c r="F2662" s="645"/>
      <c r="G2662" s="644">
        <v>2189.0099</v>
      </c>
      <c r="H2662" s="643">
        <f>241009989.99/100000000</f>
        <v>2.4100998999000001</v>
      </c>
      <c r="J2662" s="687"/>
      <c r="K2662" s="687"/>
    </row>
    <row r="2663" spans="1:56" ht="16" customHeight="1">
      <c r="C2663" s="1518" t="s">
        <v>152</v>
      </c>
      <c r="D2663" s="647">
        <v>12.35</v>
      </c>
      <c r="E2663" s="643">
        <f>350000000/100000000</f>
        <v>3.5</v>
      </c>
      <c r="F2663" s="645"/>
      <c r="G2663" s="644">
        <v>3469.5731000000001</v>
      </c>
      <c r="H2663" s="643">
        <f>381999998.31/100000000</f>
        <v>3.8199999831000002</v>
      </c>
      <c r="J2663" s="687"/>
      <c r="K2663" s="687"/>
    </row>
    <row r="2664" spans="1:56">
      <c r="C2664" s="1520"/>
      <c r="D2664" s="647">
        <v>11.75</v>
      </c>
      <c r="E2664" s="643">
        <f>393000000/100000000</f>
        <v>3.93</v>
      </c>
      <c r="F2664" s="645"/>
      <c r="G2664" s="645"/>
      <c r="H2664" s="645"/>
    </row>
    <row r="2665" spans="1:56">
      <c r="C2665" s="646" t="s">
        <v>147</v>
      </c>
      <c r="D2665" s="647">
        <v>10.07</v>
      </c>
      <c r="E2665" s="643">
        <f>279000000/100000000</f>
        <v>2.79</v>
      </c>
      <c r="F2665" s="645"/>
      <c r="G2665" s="645"/>
      <c r="H2665" s="645"/>
    </row>
    <row r="2666" spans="1:56" ht="16" customHeight="1">
      <c r="C2666" s="1518" t="s">
        <v>115</v>
      </c>
      <c r="D2666" s="647">
        <v>11</v>
      </c>
      <c r="E2666" s="643">
        <f>248100000/100000000</f>
        <v>2.4809999999999999</v>
      </c>
      <c r="F2666" s="645"/>
      <c r="G2666" s="645"/>
      <c r="H2666" s="645"/>
    </row>
    <row r="2667" spans="1:56">
      <c r="C2667" s="1519"/>
      <c r="D2667" s="647">
        <v>10</v>
      </c>
      <c r="E2667" s="643">
        <f>396400000/100000000</f>
        <v>3.964</v>
      </c>
      <c r="F2667" s="645"/>
      <c r="G2667" s="645"/>
      <c r="H2667" s="645"/>
    </row>
    <row r="2668" spans="1:56">
      <c r="C2668" s="1520"/>
      <c r="D2668" s="647">
        <v>10.5</v>
      </c>
      <c r="E2668" s="643">
        <f>318100000/100000000</f>
        <v>3.181</v>
      </c>
      <c r="F2668" s="645"/>
      <c r="G2668" s="645"/>
      <c r="H2668" s="645"/>
    </row>
    <row r="2669" spans="1:56">
      <c r="C2669" s="646" t="s">
        <v>3319</v>
      </c>
      <c r="D2669" s="647">
        <v>11.01</v>
      </c>
      <c r="E2669" s="643">
        <f>803330000/100000000</f>
        <v>8.0333000000000006</v>
      </c>
      <c r="F2669" s="645"/>
      <c r="G2669" s="644">
        <v>7296.3669</v>
      </c>
      <c r="H2669" s="643">
        <f>803329995.69/100000000</f>
        <v>8.0332999569000005</v>
      </c>
      <c r="J2669" s="687"/>
      <c r="K2669" s="687"/>
    </row>
    <row r="2670" spans="1:56">
      <c r="C2670" s="646" t="s">
        <v>3318</v>
      </c>
      <c r="D2670" s="647">
        <v>11.25</v>
      </c>
      <c r="E2670" s="643">
        <f>400000000/100000000</f>
        <v>4</v>
      </c>
      <c r="F2670" s="645"/>
      <c r="G2670" s="644">
        <v>3633.0608000000002</v>
      </c>
      <c r="H2670" s="643">
        <f>399999994.08/100000000</f>
        <v>3.9999999408</v>
      </c>
      <c r="J2670" s="687"/>
      <c r="K2670" s="687"/>
    </row>
    <row r="2671" spans="1:56">
      <c r="C2671" s="646" t="s">
        <v>953</v>
      </c>
      <c r="D2671" s="647">
        <v>11.01</v>
      </c>
      <c r="E2671" s="643">
        <f>700000000/100000000</f>
        <v>7</v>
      </c>
      <c r="F2671" s="645"/>
      <c r="G2671" s="644">
        <v>3109.9911000000002</v>
      </c>
      <c r="H2671" s="643">
        <f>342410020.11/100000000</f>
        <v>3.4241002011000004</v>
      </c>
      <c r="J2671" s="687"/>
      <c r="K2671" s="687"/>
    </row>
    <row r="2672" spans="1:56">
      <c r="C2672" s="646" t="s">
        <v>138</v>
      </c>
      <c r="D2672" s="647">
        <v>10.130000000000001</v>
      </c>
      <c r="E2672" s="643">
        <f>280000000/100000000</f>
        <v>2.8</v>
      </c>
      <c r="F2672" s="647"/>
      <c r="G2672" s="645"/>
      <c r="H2672" s="644"/>
    </row>
    <row r="2673" spans="1:56" ht="16" customHeight="1">
      <c r="C2673" s="646" t="s">
        <v>311</v>
      </c>
      <c r="D2673" s="647">
        <v>10.050000000000001</v>
      </c>
      <c r="E2673" s="643">
        <f>241000000/100000000</f>
        <v>2.41</v>
      </c>
      <c r="F2673" s="647"/>
      <c r="G2673" s="645"/>
      <c r="H2673" s="644"/>
    </row>
    <row r="2675" spans="1:56" s="663" customFormat="1">
      <c r="A2675" s="663" t="s">
        <v>2861</v>
      </c>
      <c r="B2675" s="665" t="s">
        <v>2036</v>
      </c>
      <c r="C2675" s="667" t="s">
        <v>126</v>
      </c>
      <c r="D2675" s="667" t="s">
        <v>1583</v>
      </c>
      <c r="E2675" s="667" t="s">
        <v>4</v>
      </c>
      <c r="F2675" s="667" t="s">
        <v>2860</v>
      </c>
      <c r="G2675" s="667" t="s">
        <v>2859</v>
      </c>
      <c r="H2675" s="667" t="s">
        <v>2858</v>
      </c>
      <c r="I2675" s="667" t="s">
        <v>751</v>
      </c>
      <c r="J2675" s="665" t="s">
        <v>274</v>
      </c>
      <c r="K2675" s="665" t="s">
        <v>273</v>
      </c>
      <c r="L2675" s="665" t="s">
        <v>116</v>
      </c>
      <c r="M2675" s="665" t="s">
        <v>110</v>
      </c>
      <c r="N2675" s="665" t="s">
        <v>276</v>
      </c>
      <c r="O2675" s="667" t="s">
        <v>1311</v>
      </c>
      <c r="P2675" s="665" t="s">
        <v>275</v>
      </c>
      <c r="Q2675" s="665" t="s">
        <v>111</v>
      </c>
      <c r="R2675" s="665" t="s">
        <v>2857</v>
      </c>
      <c r="S2675" s="665" t="s">
        <v>747</v>
      </c>
      <c r="T2675" s="667" t="s">
        <v>12</v>
      </c>
      <c r="U2675" s="666" t="s">
        <v>948</v>
      </c>
      <c r="V2675" s="665" t="s">
        <v>129</v>
      </c>
      <c r="W2675" s="665" t="s">
        <v>220</v>
      </c>
      <c r="X2675" s="665" t="s">
        <v>749</v>
      </c>
      <c r="Y2675" s="665" t="s">
        <v>750</v>
      </c>
      <c r="Z2675" s="665" t="s">
        <v>748</v>
      </c>
      <c r="BB2675" s="664"/>
      <c r="BD2675" s="664"/>
    </row>
    <row r="2676" spans="1:56">
      <c r="A2676" s="642" t="s">
        <v>2078</v>
      </c>
      <c r="B2676" s="1436">
        <v>175</v>
      </c>
      <c r="C2676" s="1471" t="s">
        <v>2232</v>
      </c>
      <c r="D2676" s="722" t="s">
        <v>2231</v>
      </c>
      <c r="E2676" s="722" t="s">
        <v>2230</v>
      </c>
      <c r="F2676" s="721">
        <v>20</v>
      </c>
      <c r="G2676" s="656">
        <v>20</v>
      </c>
      <c r="H2676" s="656">
        <f>L2676*R2676</f>
        <v>234.59800000000001</v>
      </c>
      <c r="I2676" s="656">
        <f>F2676/H2676</f>
        <v>8.5252218688991382E-2</v>
      </c>
      <c r="J2676" s="658" t="s">
        <v>2910</v>
      </c>
      <c r="K2676" s="645" t="s">
        <v>2174</v>
      </c>
      <c r="L2676" s="645">
        <v>12.89</v>
      </c>
      <c r="M2676" s="658">
        <v>11.2</v>
      </c>
      <c r="N2676" s="653">
        <f>M2676/L2676</f>
        <v>0.86889061287820002</v>
      </c>
      <c r="O2676" s="656">
        <v>11.82</v>
      </c>
      <c r="P2676" s="653">
        <f>O2676/L2676</f>
        <v>0.9169899146625291</v>
      </c>
      <c r="Q2676" s="645">
        <v>10</v>
      </c>
      <c r="R2676" s="645">
        <v>18.2</v>
      </c>
      <c r="S2676" s="645" t="s">
        <v>2229</v>
      </c>
      <c r="T2676" s="654">
        <v>42982</v>
      </c>
      <c r="U2676" s="645">
        <v>12.6</v>
      </c>
      <c r="V2676" s="653">
        <f>((U2676*(1+X2676/10)+Y2676/10)/O2676)</f>
        <v>1.0795262267343486</v>
      </c>
      <c r="W2676" s="645" t="s">
        <v>2228</v>
      </c>
      <c r="X2676" s="645">
        <v>0</v>
      </c>
      <c r="Y2676" s="645">
        <v>1.6</v>
      </c>
      <c r="Z2676" s="652" t="s">
        <v>2135</v>
      </c>
      <c r="BB2676" s="651"/>
      <c r="BD2676" s="650"/>
    </row>
    <row r="2677" spans="1:56">
      <c r="C2677" s="648" t="s">
        <v>112</v>
      </c>
      <c r="D2677" s="648" t="s">
        <v>113</v>
      </c>
      <c r="E2677" s="648" t="s">
        <v>943</v>
      </c>
      <c r="F2677" s="649" t="s">
        <v>411</v>
      </c>
      <c r="G2677" s="649" t="s">
        <v>942</v>
      </c>
      <c r="H2677" s="648" t="s">
        <v>231</v>
      </c>
    </row>
    <row r="2678" spans="1:56">
      <c r="C2678" s="646" t="s">
        <v>1042</v>
      </c>
      <c r="D2678" s="647">
        <v>12.68</v>
      </c>
      <c r="E2678" s="643">
        <f>200000000/100000000</f>
        <v>2</v>
      </c>
      <c r="F2678" s="645"/>
      <c r="G2678" s="644">
        <v>1692.0473</v>
      </c>
      <c r="H2678" s="643">
        <f>199999990.86/100000000</f>
        <v>1.9999999086000002</v>
      </c>
    </row>
    <row r="2679" spans="1:56">
      <c r="C2679" s="646" t="s">
        <v>2909</v>
      </c>
      <c r="D2679" s="647">
        <v>11.51</v>
      </c>
      <c r="E2679" s="643">
        <f>200000000/100000000</f>
        <v>2</v>
      </c>
      <c r="F2679" s="645"/>
      <c r="G2679" s="645"/>
      <c r="H2679" s="645"/>
    </row>
    <row r="2680" spans="1:56">
      <c r="C2680" s="646" t="s">
        <v>226</v>
      </c>
      <c r="D2680" s="647">
        <v>11.68</v>
      </c>
      <c r="E2680" s="643">
        <f>200000003.84/100000000</f>
        <v>2.0000000384000001</v>
      </c>
      <c r="F2680" s="645"/>
      <c r="G2680" s="645"/>
      <c r="H2680" s="645"/>
    </row>
    <row r="2681" spans="1:56">
      <c r="C2681" s="646" t="s">
        <v>1956</v>
      </c>
      <c r="D2681" s="647">
        <v>12.88</v>
      </c>
      <c r="E2681" s="643">
        <f>200000000/100000000</f>
        <v>2</v>
      </c>
      <c r="F2681" s="645"/>
      <c r="G2681" s="644">
        <v>1692.0473</v>
      </c>
      <c r="H2681" s="643">
        <f>199999990.86/100000000</f>
        <v>1.9999999086000002</v>
      </c>
    </row>
    <row r="2682" spans="1:56">
      <c r="C2682" s="1512" t="s">
        <v>2908</v>
      </c>
      <c r="D2682" s="647">
        <v>12.2</v>
      </c>
      <c r="E2682" s="643">
        <f>200000009/100000000</f>
        <v>2.0000000899999999</v>
      </c>
      <c r="F2682" s="645"/>
      <c r="G2682" s="644">
        <v>1692.0481</v>
      </c>
      <c r="H2682" s="643">
        <f>200000085.42/100000000</f>
        <v>2.0000008542000001</v>
      </c>
    </row>
    <row r="2683" spans="1:56">
      <c r="C2683" s="1512"/>
      <c r="D2683" s="647">
        <v>11.9</v>
      </c>
      <c r="E2683" s="643">
        <f>200000087/100000000</f>
        <v>2.00000087</v>
      </c>
      <c r="F2683" s="645"/>
      <c r="G2683" s="645"/>
      <c r="H2683" s="645"/>
    </row>
    <row r="2684" spans="1:56">
      <c r="C2684" s="1512"/>
      <c r="D2684" s="647">
        <v>11.5</v>
      </c>
      <c r="E2684" s="643">
        <f>200000065/100000000</f>
        <v>2.00000065</v>
      </c>
      <c r="F2684" s="645"/>
      <c r="G2684" s="645"/>
      <c r="H2684" s="645"/>
    </row>
    <row r="2685" spans="1:56">
      <c r="C2685" s="646" t="s">
        <v>13</v>
      </c>
      <c r="D2685" s="647">
        <v>11.8</v>
      </c>
      <c r="E2685" s="643">
        <f>200000000/100000000</f>
        <v>2</v>
      </c>
      <c r="F2685" s="645"/>
      <c r="G2685" s="645"/>
      <c r="H2685" s="645"/>
    </row>
    <row r="2686" spans="1:56">
      <c r="C2686" s="646" t="s">
        <v>2907</v>
      </c>
      <c r="D2686" s="647">
        <v>13.01</v>
      </c>
      <c r="E2686" s="643">
        <f>220000000/100000000</f>
        <v>2.2000000000000002</v>
      </c>
      <c r="F2686" s="645"/>
      <c r="G2686" s="644">
        <v>1861.2520999999999</v>
      </c>
      <c r="H2686" s="643">
        <f>219999998.22/100000000</f>
        <v>2.1999999822</v>
      </c>
    </row>
    <row r="2687" spans="1:56">
      <c r="C2687" s="646" t="s">
        <v>966</v>
      </c>
      <c r="D2687" s="647">
        <v>11.52</v>
      </c>
      <c r="E2687" s="643">
        <f>200000000/100000000</f>
        <v>2</v>
      </c>
      <c r="F2687" s="645"/>
      <c r="G2687" s="645"/>
      <c r="H2687" s="645"/>
    </row>
    <row r="2688" spans="1:56">
      <c r="C2688" s="1512" t="s">
        <v>131</v>
      </c>
      <c r="D2688" s="647">
        <v>12.75</v>
      </c>
      <c r="E2688" s="643">
        <f>200000000/100000000</f>
        <v>2</v>
      </c>
      <c r="F2688" s="645"/>
      <c r="G2688" s="644">
        <v>1692.0473</v>
      </c>
      <c r="H2688" s="643">
        <f>199999990.86/100000000</f>
        <v>1.9999999086000002</v>
      </c>
    </row>
    <row r="2689" spans="1:56">
      <c r="C2689" s="1512"/>
      <c r="D2689" s="647">
        <v>11.22</v>
      </c>
      <c r="E2689" s="643">
        <f>388000000/100000000</f>
        <v>3.88</v>
      </c>
      <c r="F2689" s="645"/>
      <c r="G2689" s="645"/>
      <c r="H2689" s="645"/>
    </row>
    <row r="2690" spans="1:56">
      <c r="C2690" s="1512" t="s">
        <v>115</v>
      </c>
      <c r="D2690" s="647">
        <v>12.9</v>
      </c>
      <c r="E2690" s="643">
        <f>207600000/100000000</f>
        <v>2.0760000000000001</v>
      </c>
      <c r="F2690" s="645"/>
      <c r="G2690" s="644">
        <v>2433.1641</v>
      </c>
      <c r="H2690" s="643">
        <f>287599996.62/100000000</f>
        <v>2.8759999662000002</v>
      </c>
    </row>
    <row r="2691" spans="1:56">
      <c r="C2691" s="1512"/>
      <c r="D2691" s="647">
        <v>12.09</v>
      </c>
      <c r="E2691" s="643">
        <f>287600000/100000000</f>
        <v>2.8759999999999999</v>
      </c>
      <c r="F2691" s="645"/>
      <c r="G2691" s="645"/>
      <c r="H2691" s="645"/>
    </row>
    <row r="2692" spans="1:56">
      <c r="C2692" s="1512"/>
      <c r="D2692" s="647">
        <v>11.7</v>
      </c>
      <c r="E2692" s="643">
        <f>506400000/100000000</f>
        <v>5.0640000000000001</v>
      </c>
      <c r="F2692" s="645"/>
      <c r="G2692" s="645"/>
      <c r="H2692" s="645"/>
    </row>
    <row r="2693" spans="1:56">
      <c r="C2693" s="646" t="s">
        <v>120</v>
      </c>
      <c r="D2693" s="647">
        <v>12.03</v>
      </c>
      <c r="E2693" s="643">
        <f>200000000/100000000</f>
        <v>2</v>
      </c>
      <c r="F2693" s="645"/>
      <c r="G2693" s="644">
        <v>1692.0473</v>
      </c>
      <c r="H2693" s="643">
        <f>199999990.86/100000000</f>
        <v>1.9999999086000002</v>
      </c>
    </row>
    <row r="2694" spans="1:56">
      <c r="C2694" s="1512" t="s">
        <v>150</v>
      </c>
      <c r="D2694" s="647">
        <v>11.82</v>
      </c>
      <c r="E2694" s="643">
        <f>201000000/100000000</f>
        <v>2.0099999999999998</v>
      </c>
      <c r="F2694" s="645"/>
      <c r="G2694" s="644">
        <v>20.304300000000001</v>
      </c>
      <c r="H2694" s="643">
        <f>2399968.26/100000000</f>
        <v>2.3999682599999999E-2</v>
      </c>
    </row>
    <row r="2695" spans="1:56">
      <c r="C2695" s="1512"/>
      <c r="D2695" s="647">
        <v>11.2</v>
      </c>
      <c r="E2695" s="643">
        <f>258500000/100000000</f>
        <v>2.585</v>
      </c>
      <c r="F2695" s="645"/>
      <c r="G2695" s="645"/>
      <c r="H2695" s="645"/>
    </row>
    <row r="2696" spans="1:56">
      <c r="C2696" s="646" t="s">
        <v>142</v>
      </c>
      <c r="D2696" s="647">
        <v>12.92</v>
      </c>
      <c r="E2696" s="643">
        <f>290000000/100000000</f>
        <v>2.9</v>
      </c>
      <c r="F2696" s="645"/>
      <c r="G2696" s="644">
        <v>2453.4686000000002</v>
      </c>
      <c r="H2696" s="643">
        <f>289999988.52/100000000</f>
        <v>2.8999998851999997</v>
      </c>
    </row>
    <row r="2697" spans="1:56">
      <c r="C2697" s="646" t="s">
        <v>384</v>
      </c>
      <c r="D2697" s="647">
        <v>11.5</v>
      </c>
      <c r="E2697" s="643">
        <f>200000000/100000000</f>
        <v>2</v>
      </c>
      <c r="F2697" s="645"/>
      <c r="G2697" s="645"/>
      <c r="H2697" s="645"/>
    </row>
    <row r="2698" spans="1:56">
      <c r="C2698" s="646" t="s">
        <v>146</v>
      </c>
      <c r="D2698" s="647">
        <v>11.7</v>
      </c>
      <c r="E2698" s="643">
        <f>200000000/100000000</f>
        <v>2</v>
      </c>
      <c r="F2698" s="645"/>
      <c r="G2698" s="645"/>
      <c r="H2698" s="645"/>
    </row>
    <row r="2699" spans="1:56">
      <c r="C2699" s="646" t="s">
        <v>300</v>
      </c>
      <c r="D2699" s="647">
        <v>11.74</v>
      </c>
      <c r="E2699" s="643">
        <f>201000000/100000000</f>
        <v>2.0099999999999998</v>
      </c>
      <c r="F2699" s="645"/>
      <c r="G2699" s="645"/>
      <c r="H2699" s="645"/>
    </row>
    <row r="2700" spans="1:56">
      <c r="C2700" s="1512" t="s">
        <v>285</v>
      </c>
      <c r="D2700" s="647">
        <v>13</v>
      </c>
      <c r="E2700" s="643">
        <f>200000000/100000000</f>
        <v>2</v>
      </c>
      <c r="F2700" s="645"/>
      <c r="G2700" s="644">
        <v>1692.0473</v>
      </c>
      <c r="H2700" s="643">
        <f>199999990.86/100000000</f>
        <v>1.9999999086000002</v>
      </c>
    </row>
    <row r="2701" spans="1:56">
      <c r="C2701" s="1512"/>
      <c r="D2701" s="647">
        <v>12.4</v>
      </c>
      <c r="E2701" s="643">
        <f>200000000/100000000</f>
        <v>2</v>
      </c>
      <c r="F2701" s="645"/>
      <c r="G2701" s="645"/>
      <c r="H2701" s="645"/>
    </row>
    <row r="2702" spans="1:56">
      <c r="C2702" s="1512"/>
      <c r="D2702" s="647">
        <v>11.8</v>
      </c>
      <c r="E2702" s="643">
        <f>200000000/100000000</f>
        <v>2</v>
      </c>
      <c r="F2702" s="645"/>
      <c r="G2702" s="645"/>
      <c r="H2702" s="645"/>
    </row>
    <row r="2704" spans="1:56" s="663" customFormat="1">
      <c r="A2704" s="663" t="s">
        <v>2861</v>
      </c>
      <c r="B2704" s="665" t="s">
        <v>2036</v>
      </c>
      <c r="C2704" s="667" t="s">
        <v>126</v>
      </c>
      <c r="D2704" s="667" t="s">
        <v>1583</v>
      </c>
      <c r="E2704" s="667" t="s">
        <v>4</v>
      </c>
      <c r="F2704" s="667" t="s">
        <v>2860</v>
      </c>
      <c r="G2704" s="667" t="s">
        <v>2859</v>
      </c>
      <c r="H2704" s="667" t="s">
        <v>2858</v>
      </c>
      <c r="I2704" s="667" t="s">
        <v>751</v>
      </c>
      <c r="J2704" s="665" t="s">
        <v>274</v>
      </c>
      <c r="K2704" s="665" t="s">
        <v>273</v>
      </c>
      <c r="L2704" s="665" t="s">
        <v>116</v>
      </c>
      <c r="M2704" s="665" t="s">
        <v>110</v>
      </c>
      <c r="N2704" s="665" t="s">
        <v>276</v>
      </c>
      <c r="O2704" s="667" t="s">
        <v>1311</v>
      </c>
      <c r="P2704" s="665" t="s">
        <v>275</v>
      </c>
      <c r="Q2704" s="665" t="s">
        <v>111</v>
      </c>
      <c r="R2704" s="665" t="s">
        <v>2857</v>
      </c>
      <c r="S2704" s="665" t="s">
        <v>747</v>
      </c>
      <c r="T2704" s="667" t="s">
        <v>12</v>
      </c>
      <c r="U2704" s="666" t="s">
        <v>948</v>
      </c>
      <c r="V2704" s="665" t="s">
        <v>129</v>
      </c>
      <c r="W2704" s="665" t="s">
        <v>220</v>
      </c>
      <c r="X2704" s="665" t="s">
        <v>749</v>
      </c>
      <c r="Y2704" s="665" t="s">
        <v>750</v>
      </c>
      <c r="Z2704" s="665" t="s">
        <v>748</v>
      </c>
      <c r="BB2704" s="664"/>
      <c r="BD2704" s="664"/>
    </row>
    <row r="2705" spans="1:56">
      <c r="A2705" s="642" t="s">
        <v>2078</v>
      </c>
      <c r="B2705" s="1436">
        <v>176</v>
      </c>
      <c r="C2705" s="1437" t="s">
        <v>2227</v>
      </c>
      <c r="D2705" s="662" t="s">
        <v>2226</v>
      </c>
      <c r="E2705" s="662" t="s">
        <v>2225</v>
      </c>
      <c r="F2705" s="661">
        <v>12.18</v>
      </c>
      <c r="G2705" s="660">
        <v>12.18</v>
      </c>
      <c r="H2705" s="659">
        <f>L2705*R2705</f>
        <v>46.819600000000001</v>
      </c>
      <c r="I2705" s="656">
        <f>F2705/H2705</f>
        <v>0.26014745961093216</v>
      </c>
      <c r="J2705" s="658" t="s">
        <v>2904</v>
      </c>
      <c r="K2705" s="645" t="s">
        <v>2174</v>
      </c>
      <c r="L2705" s="645">
        <v>17.47</v>
      </c>
      <c r="M2705" s="658">
        <v>13.66</v>
      </c>
      <c r="N2705" s="653">
        <f>M2705/L2705</f>
        <v>0.78191184888380083</v>
      </c>
      <c r="O2705" s="656">
        <v>15.01</v>
      </c>
      <c r="P2705" s="653">
        <f>O2705/L2705</f>
        <v>0.85918717801946198</v>
      </c>
      <c r="Q2705" s="645">
        <v>8</v>
      </c>
      <c r="R2705" s="645">
        <v>2.68</v>
      </c>
      <c r="S2705" s="645" t="s">
        <v>2224</v>
      </c>
      <c r="T2705" s="654">
        <v>42982</v>
      </c>
      <c r="U2705" s="645">
        <v>17.420000000000002</v>
      </c>
      <c r="V2705" s="653">
        <f>((U2705*(1+X2705/10)+Y2705/10)/O2705)</f>
        <v>1.1638907395069955</v>
      </c>
      <c r="W2705" s="645" t="s">
        <v>2105</v>
      </c>
      <c r="X2705" s="645">
        <v>0</v>
      </c>
      <c r="Y2705" s="645">
        <v>0.5</v>
      </c>
      <c r="Z2705" s="652" t="s">
        <v>2223</v>
      </c>
      <c r="BB2705" s="651"/>
      <c r="BD2705" s="650"/>
    </row>
    <row r="2706" spans="1:56">
      <c r="C2706" s="648" t="s">
        <v>112</v>
      </c>
      <c r="D2706" s="648" t="s">
        <v>113</v>
      </c>
      <c r="E2706" s="648" t="s">
        <v>943</v>
      </c>
      <c r="F2706" s="649" t="s">
        <v>411</v>
      </c>
      <c r="G2706" s="649" t="s">
        <v>942</v>
      </c>
      <c r="H2706" s="648" t="s">
        <v>231</v>
      </c>
    </row>
    <row r="2707" spans="1:56">
      <c r="C2707" s="1512" t="s">
        <v>2906</v>
      </c>
      <c r="D2707" s="647">
        <v>13.76</v>
      </c>
      <c r="E2707" s="643">
        <v>1.218</v>
      </c>
      <c r="F2707" s="645"/>
      <c r="G2707" s="645"/>
      <c r="H2707" s="645"/>
    </row>
    <row r="2708" spans="1:56">
      <c r="C2708" s="1512"/>
      <c r="D2708" s="647">
        <v>13.66</v>
      </c>
      <c r="E2708" s="643">
        <v>1.218</v>
      </c>
      <c r="F2708" s="645"/>
      <c r="G2708" s="645"/>
      <c r="H2708" s="645"/>
    </row>
    <row r="2709" spans="1:56">
      <c r="C2709" s="646" t="s">
        <v>155</v>
      </c>
      <c r="D2709" s="647">
        <v>13.77</v>
      </c>
      <c r="E2709" s="643">
        <v>1.26</v>
      </c>
      <c r="F2709" s="645"/>
      <c r="G2709" s="645"/>
      <c r="H2709" s="645"/>
    </row>
    <row r="2710" spans="1:56">
      <c r="C2710" s="646" t="s">
        <v>121</v>
      </c>
      <c r="D2710" s="647">
        <v>13.68</v>
      </c>
      <c r="E2710" s="643">
        <v>1.218</v>
      </c>
      <c r="F2710" s="645"/>
      <c r="G2710" s="645"/>
      <c r="H2710" s="645"/>
    </row>
    <row r="2711" spans="1:56" ht="28">
      <c r="C2711" s="646" t="s">
        <v>2905</v>
      </c>
      <c r="D2711" s="647">
        <v>14.28</v>
      </c>
      <c r="E2711" s="643">
        <v>1.3</v>
      </c>
      <c r="F2711" s="645"/>
      <c r="G2711" s="645"/>
      <c r="H2711" s="645"/>
    </row>
    <row r="2712" spans="1:56">
      <c r="C2712" s="646" t="s">
        <v>131</v>
      </c>
      <c r="D2712" s="647">
        <v>14.08</v>
      </c>
      <c r="E2712" s="643">
        <v>2.57</v>
      </c>
      <c r="F2712" s="645"/>
      <c r="G2712" s="645"/>
      <c r="H2712" s="645"/>
    </row>
    <row r="2713" spans="1:56">
      <c r="C2713" s="646" t="s">
        <v>351</v>
      </c>
      <c r="D2713" s="647">
        <v>13.68</v>
      </c>
      <c r="E2713" s="643">
        <v>1.218</v>
      </c>
      <c r="F2713" s="645"/>
      <c r="G2713" s="645"/>
      <c r="H2713" s="645"/>
    </row>
    <row r="2714" spans="1:56" ht="28">
      <c r="C2714" s="673" t="s">
        <v>3317</v>
      </c>
      <c r="D2714" s="647">
        <v>16.95</v>
      </c>
      <c r="E2714" s="643">
        <v>1.37</v>
      </c>
      <c r="F2714" s="645"/>
      <c r="G2714" s="644">
        <v>912.72479999999996</v>
      </c>
      <c r="H2714" s="643">
        <f>136999992.48/100000000</f>
        <v>1.3699999247999999</v>
      </c>
    </row>
    <row r="2715" spans="1:56" ht="28">
      <c r="C2715" s="673" t="s">
        <v>3316</v>
      </c>
      <c r="D2715" s="647">
        <v>15.86</v>
      </c>
      <c r="E2715" s="643">
        <v>1.218</v>
      </c>
      <c r="F2715" s="645"/>
      <c r="G2715" s="644">
        <v>811.45899999999995</v>
      </c>
      <c r="H2715" s="643">
        <f>121799995.9/100000000</f>
        <v>1.2179999590000001</v>
      </c>
    </row>
    <row r="2716" spans="1:56">
      <c r="C2716" s="1512" t="s">
        <v>3315</v>
      </c>
      <c r="D2716" s="647">
        <v>16.600000000000001</v>
      </c>
      <c r="E2716" s="643">
        <v>1.25</v>
      </c>
      <c r="F2716" s="645"/>
      <c r="G2716" s="644">
        <v>1618.9206999999999</v>
      </c>
      <c r="H2716" s="1535">
        <f>242999997.07/100000000</f>
        <v>2.4299999707</v>
      </c>
    </row>
    <row r="2717" spans="1:56">
      <c r="C2717" s="1512"/>
      <c r="D2717" s="647">
        <v>15.85</v>
      </c>
      <c r="E2717" s="643">
        <v>2.4300000000000002</v>
      </c>
      <c r="F2717" s="645"/>
      <c r="G2717" s="644"/>
      <c r="H2717" s="1535"/>
    </row>
    <row r="2718" spans="1:56">
      <c r="C2718" s="1512" t="s">
        <v>115</v>
      </c>
      <c r="D2718" s="647">
        <v>16.600000000000001</v>
      </c>
      <c r="E2718" s="643">
        <v>1.28</v>
      </c>
      <c r="F2718" s="645"/>
      <c r="G2718" s="644">
        <v>2111.9252999999999</v>
      </c>
      <c r="H2718" s="1535">
        <f>316999987.53/100000000</f>
        <v>3.1699998752999998</v>
      </c>
    </row>
    <row r="2719" spans="1:56">
      <c r="C2719" s="1512"/>
      <c r="D2719" s="647">
        <v>15.85</v>
      </c>
      <c r="E2719" s="643">
        <v>3.17</v>
      </c>
      <c r="F2719" s="645"/>
      <c r="G2719" s="644"/>
      <c r="H2719" s="1535"/>
    </row>
    <row r="2720" spans="1:56">
      <c r="C2720" s="1512"/>
      <c r="D2720" s="647">
        <v>15</v>
      </c>
      <c r="E2720" s="643">
        <v>6.78</v>
      </c>
      <c r="F2720" s="645"/>
      <c r="G2720" s="644"/>
      <c r="H2720" s="1535"/>
    </row>
    <row r="2721" spans="1:56">
      <c r="C2721" s="1512" t="s">
        <v>1241</v>
      </c>
      <c r="D2721" s="647">
        <v>16.07</v>
      </c>
      <c r="E2721" s="643">
        <v>1.218</v>
      </c>
      <c r="F2721" s="645"/>
      <c r="G2721" s="644">
        <v>811.45899999999995</v>
      </c>
      <c r="H2721" s="1535">
        <f>121799995.9/100000000</f>
        <v>1.2179999590000001</v>
      </c>
    </row>
    <row r="2722" spans="1:56">
      <c r="C2722" s="1512"/>
      <c r="D2722" s="647">
        <v>15.72</v>
      </c>
      <c r="E2722" s="643">
        <v>1.218</v>
      </c>
      <c r="F2722" s="645"/>
      <c r="G2722" s="644"/>
      <c r="H2722" s="1535"/>
    </row>
    <row r="2723" spans="1:56">
      <c r="C2723" s="1512"/>
      <c r="D2723" s="647">
        <v>15.37</v>
      </c>
      <c r="E2723" s="643">
        <v>1.218</v>
      </c>
      <c r="F2723" s="645"/>
      <c r="G2723" s="644"/>
      <c r="H2723" s="1535"/>
    </row>
    <row r="2724" spans="1:56" ht="28">
      <c r="C2724" s="673" t="s">
        <v>3314</v>
      </c>
      <c r="D2724" s="647">
        <v>15.15</v>
      </c>
      <c r="E2724" s="643">
        <v>1.5</v>
      </c>
      <c r="F2724" s="645"/>
      <c r="G2724" s="644">
        <v>999.33370000000002</v>
      </c>
      <c r="H2724" s="643">
        <f>149999988.37/100000000</f>
        <v>1.4999998837000001</v>
      </c>
    </row>
    <row r="2725" spans="1:56">
      <c r="C2725" s="646" t="s">
        <v>157</v>
      </c>
      <c r="D2725" s="647">
        <v>15.11</v>
      </c>
      <c r="E2725" s="643">
        <v>1.22</v>
      </c>
      <c r="F2725" s="645"/>
      <c r="G2725" s="644">
        <v>812.79139999999995</v>
      </c>
      <c r="H2725" s="643">
        <f>121999989.14/100000000</f>
        <v>1.2199998914000001</v>
      </c>
    </row>
    <row r="2726" spans="1:56" ht="28">
      <c r="C2726" s="673" t="s">
        <v>3313</v>
      </c>
      <c r="D2726" s="647">
        <v>15.01</v>
      </c>
      <c r="E2726" s="643">
        <v>1.22</v>
      </c>
      <c r="F2726" s="645"/>
      <c r="G2726" s="644">
        <v>35.976300000000002</v>
      </c>
      <c r="H2726" s="643">
        <f>5400042.63/100000000</f>
        <v>5.4000426300000001E-2</v>
      </c>
    </row>
    <row r="2728" spans="1:56" s="663" customFormat="1">
      <c r="A2728" s="663" t="s">
        <v>2861</v>
      </c>
      <c r="B2728" s="665" t="s">
        <v>2036</v>
      </c>
      <c r="C2728" s="667" t="s">
        <v>126</v>
      </c>
      <c r="D2728" s="667" t="s">
        <v>1583</v>
      </c>
      <c r="E2728" s="667" t="s">
        <v>4</v>
      </c>
      <c r="F2728" s="667" t="s">
        <v>2860</v>
      </c>
      <c r="G2728" s="667" t="s">
        <v>2859</v>
      </c>
      <c r="H2728" s="667" t="s">
        <v>2858</v>
      </c>
      <c r="I2728" s="667" t="s">
        <v>751</v>
      </c>
      <c r="J2728" s="665" t="s">
        <v>274</v>
      </c>
      <c r="K2728" s="665" t="s">
        <v>273</v>
      </c>
      <c r="L2728" s="665" t="s">
        <v>116</v>
      </c>
      <c r="M2728" s="665" t="s">
        <v>110</v>
      </c>
      <c r="N2728" s="665" t="s">
        <v>276</v>
      </c>
      <c r="O2728" s="667" t="s">
        <v>1311</v>
      </c>
      <c r="P2728" s="665" t="s">
        <v>275</v>
      </c>
      <c r="Q2728" s="665" t="s">
        <v>111</v>
      </c>
      <c r="R2728" s="665" t="s">
        <v>2857</v>
      </c>
      <c r="S2728" s="665" t="s">
        <v>747</v>
      </c>
      <c r="T2728" s="667" t="s">
        <v>12</v>
      </c>
      <c r="U2728" s="666" t="s">
        <v>948</v>
      </c>
      <c r="V2728" s="665" t="s">
        <v>129</v>
      </c>
      <c r="W2728" s="665" t="s">
        <v>220</v>
      </c>
      <c r="X2728" s="665" t="s">
        <v>749</v>
      </c>
      <c r="Y2728" s="665" t="s">
        <v>750</v>
      </c>
      <c r="Z2728" s="665" t="s">
        <v>748</v>
      </c>
      <c r="BB2728" s="664"/>
      <c r="BD2728" s="664"/>
    </row>
    <row r="2729" spans="1:56">
      <c r="A2729" s="642" t="s">
        <v>2078</v>
      </c>
      <c r="B2729" s="1436">
        <v>177</v>
      </c>
      <c r="C2729" s="1437" t="s">
        <v>2222</v>
      </c>
      <c r="D2729" s="662" t="s">
        <v>2221</v>
      </c>
      <c r="E2729" s="662" t="s">
        <v>2220</v>
      </c>
      <c r="F2729" s="661">
        <v>7.2</v>
      </c>
      <c r="G2729" s="660">
        <v>7.08</v>
      </c>
      <c r="H2729" s="659">
        <f>L2729*R2729</f>
        <v>41.407631595000005</v>
      </c>
      <c r="I2729" s="656">
        <f>F2729/H2729</f>
        <v>0.17388099059665621</v>
      </c>
      <c r="J2729" s="658" t="s">
        <v>2904</v>
      </c>
      <c r="K2729" s="645" t="s">
        <v>2219</v>
      </c>
      <c r="L2729" s="645">
        <v>12.75</v>
      </c>
      <c r="M2729" s="658">
        <v>11.29</v>
      </c>
      <c r="N2729" s="653">
        <f>M2729/L2729</f>
        <v>0.88549019607843127</v>
      </c>
      <c r="O2729" s="656">
        <v>11.8</v>
      </c>
      <c r="P2729" s="653">
        <f>O2729/L2729</f>
        <v>0.92549019607843142</v>
      </c>
      <c r="Q2729" s="645">
        <v>5</v>
      </c>
      <c r="R2729" s="653">
        <v>3.2476573800000001</v>
      </c>
      <c r="S2729" s="645" t="s">
        <v>2218</v>
      </c>
      <c r="T2729" s="654">
        <v>42982</v>
      </c>
      <c r="U2729" s="645">
        <v>8.8699999999999992</v>
      </c>
      <c r="V2729" s="653">
        <f>((U2729*(1+X2729/10)+Y2729/10)/O2729)</f>
        <v>0.75254237288135584</v>
      </c>
      <c r="W2729" s="645" t="s">
        <v>2217</v>
      </c>
      <c r="X2729" s="645">
        <v>0</v>
      </c>
      <c r="Y2729" s="645">
        <v>0.1</v>
      </c>
      <c r="Z2729" s="652" t="s">
        <v>2216</v>
      </c>
      <c r="BB2729" s="651"/>
      <c r="BD2729" s="650"/>
    </row>
    <row r="2730" spans="1:56">
      <c r="C2730" s="648" t="s">
        <v>112</v>
      </c>
      <c r="D2730" s="648" t="s">
        <v>113</v>
      </c>
      <c r="E2730" s="648" t="s">
        <v>943</v>
      </c>
      <c r="F2730" s="649" t="s">
        <v>411</v>
      </c>
      <c r="G2730" s="649" t="s">
        <v>942</v>
      </c>
      <c r="H2730" s="648" t="s">
        <v>231</v>
      </c>
    </row>
    <row r="2731" spans="1:56" ht="28">
      <c r="C2731" s="646" t="s">
        <v>3312</v>
      </c>
      <c r="D2731" s="647">
        <v>11.8</v>
      </c>
      <c r="E2731" s="643">
        <v>1.44000002</v>
      </c>
      <c r="F2731" s="645"/>
      <c r="G2731" s="644">
        <v>322.03410000000002</v>
      </c>
      <c r="H2731" s="643">
        <f>38000023.8/100000000</f>
        <v>0.38000023799999999</v>
      </c>
    </row>
    <row r="2732" spans="1:56">
      <c r="C2732" s="646" t="s">
        <v>128</v>
      </c>
      <c r="D2732" s="647">
        <v>11.29</v>
      </c>
      <c r="E2732" s="643">
        <v>1.44</v>
      </c>
      <c r="F2732" s="645"/>
      <c r="G2732" s="645"/>
      <c r="H2732" s="645"/>
    </row>
    <row r="2733" spans="1:56">
      <c r="C2733" s="646" t="s">
        <v>332</v>
      </c>
      <c r="D2733" s="647">
        <v>11.68</v>
      </c>
      <c r="E2733" s="643">
        <v>1.44</v>
      </c>
      <c r="F2733" s="645"/>
      <c r="G2733" s="645"/>
      <c r="H2733" s="645"/>
    </row>
    <row r="2734" spans="1:56">
      <c r="C2734" s="1512" t="s">
        <v>115</v>
      </c>
      <c r="D2734" s="647">
        <v>11.5</v>
      </c>
      <c r="E2734" s="643">
        <v>1.5</v>
      </c>
      <c r="F2734" s="645"/>
      <c r="G2734" s="645"/>
      <c r="H2734" s="645"/>
    </row>
    <row r="2735" spans="1:56">
      <c r="C2735" s="1512"/>
      <c r="D2735" s="647">
        <v>11.29</v>
      </c>
      <c r="E2735" s="643">
        <v>1.55</v>
      </c>
      <c r="F2735" s="645"/>
      <c r="G2735" s="645"/>
      <c r="H2735" s="645"/>
    </row>
    <row r="2736" spans="1:56">
      <c r="C2736" s="646" t="s">
        <v>1677</v>
      </c>
      <c r="D2736" s="647">
        <v>13.38</v>
      </c>
      <c r="E2736" s="643">
        <v>1.5</v>
      </c>
      <c r="F2736" s="645"/>
      <c r="G2736" s="644">
        <v>1271.1864</v>
      </c>
      <c r="H2736" s="643">
        <f>149999995.2/100000000</f>
        <v>1.4999999519999998</v>
      </c>
    </row>
    <row r="2737" spans="1:56">
      <c r="C2737" s="646" t="s">
        <v>300</v>
      </c>
      <c r="D2737" s="647">
        <v>11.47</v>
      </c>
      <c r="E2737" s="643">
        <v>1.45</v>
      </c>
      <c r="F2737" s="645"/>
      <c r="G2737" s="645"/>
      <c r="H2737" s="645"/>
    </row>
    <row r="2738" spans="1:56">
      <c r="C2738" s="646" t="s">
        <v>146</v>
      </c>
      <c r="D2738" s="647">
        <v>11.29</v>
      </c>
      <c r="E2738" s="643">
        <v>1.44</v>
      </c>
      <c r="F2738" s="645"/>
      <c r="G2738" s="645"/>
      <c r="H2738" s="645"/>
    </row>
    <row r="2739" spans="1:56">
      <c r="C2739" s="1512" t="s">
        <v>278</v>
      </c>
      <c r="D2739" s="647">
        <v>12.76</v>
      </c>
      <c r="E2739" s="643">
        <v>2.2000000000000002</v>
      </c>
      <c r="F2739" s="645"/>
      <c r="G2739" s="644">
        <v>1864.4067</v>
      </c>
      <c r="H2739" s="643">
        <f>219999990.6/100000000</f>
        <v>2.1999999059999999</v>
      </c>
    </row>
    <row r="2740" spans="1:56">
      <c r="C2740" s="1512"/>
      <c r="D2740" s="647">
        <v>12.6</v>
      </c>
      <c r="E2740" s="643">
        <v>2.2000000000000002</v>
      </c>
      <c r="F2740" s="645"/>
      <c r="G2740" s="645"/>
      <c r="H2740" s="645"/>
    </row>
    <row r="2741" spans="1:56">
      <c r="C2741" s="1512" t="s">
        <v>336</v>
      </c>
      <c r="D2741" s="647">
        <v>12.75</v>
      </c>
      <c r="E2741" s="643">
        <v>1.45</v>
      </c>
      <c r="F2741" s="645"/>
      <c r="G2741" s="644">
        <v>1228.8135</v>
      </c>
      <c r="H2741" s="643">
        <f>144999993/100000000</f>
        <v>1.4499999299999999</v>
      </c>
    </row>
    <row r="2742" spans="1:56">
      <c r="C2742" s="1512"/>
      <c r="D2742" s="647">
        <v>12.59</v>
      </c>
      <c r="E2742" s="643">
        <v>1.45</v>
      </c>
      <c r="F2742" s="645"/>
      <c r="G2742" s="645"/>
      <c r="H2742" s="645"/>
    </row>
    <row r="2743" spans="1:56">
      <c r="C2743" s="1512" t="s">
        <v>461</v>
      </c>
      <c r="D2743" s="647">
        <v>12.78</v>
      </c>
      <c r="E2743" s="643">
        <v>1.55</v>
      </c>
      <c r="F2743" s="645"/>
      <c r="G2743" s="644">
        <v>1313.5592999999999</v>
      </c>
      <c r="H2743" s="643">
        <f>154999997.4/100000000</f>
        <v>1.5499999740000001</v>
      </c>
    </row>
    <row r="2744" spans="1:56">
      <c r="C2744" s="1512"/>
      <c r="D2744" s="647">
        <v>12.62</v>
      </c>
      <c r="E2744" s="643">
        <v>1.55</v>
      </c>
      <c r="F2744" s="645"/>
      <c r="G2744" s="645"/>
      <c r="H2744" s="645"/>
    </row>
    <row r="2746" spans="1:56" s="663" customFormat="1">
      <c r="A2746" s="663" t="s">
        <v>2861</v>
      </c>
      <c r="B2746" s="665" t="s">
        <v>2036</v>
      </c>
      <c r="C2746" s="667" t="s">
        <v>126</v>
      </c>
      <c r="D2746" s="667" t="s">
        <v>1583</v>
      </c>
      <c r="E2746" s="667" t="s">
        <v>4</v>
      </c>
      <c r="F2746" s="667" t="s">
        <v>2860</v>
      </c>
      <c r="G2746" s="667" t="s">
        <v>2859</v>
      </c>
      <c r="H2746" s="667" t="s">
        <v>2858</v>
      </c>
      <c r="I2746" s="667" t="s">
        <v>751</v>
      </c>
      <c r="J2746" s="665" t="s">
        <v>274</v>
      </c>
      <c r="K2746" s="665" t="s">
        <v>273</v>
      </c>
      <c r="L2746" s="665" t="s">
        <v>116</v>
      </c>
      <c r="M2746" s="665" t="s">
        <v>110</v>
      </c>
      <c r="N2746" s="665" t="s">
        <v>276</v>
      </c>
      <c r="O2746" s="667" t="s">
        <v>1311</v>
      </c>
      <c r="P2746" s="665" t="s">
        <v>275</v>
      </c>
      <c r="Q2746" s="665" t="s">
        <v>111</v>
      </c>
      <c r="R2746" s="665" t="s">
        <v>2857</v>
      </c>
      <c r="S2746" s="665" t="s">
        <v>747</v>
      </c>
      <c r="T2746" s="667" t="s">
        <v>12</v>
      </c>
      <c r="U2746" s="666" t="s">
        <v>948</v>
      </c>
      <c r="V2746" s="665" t="s">
        <v>129</v>
      </c>
      <c r="W2746" s="665" t="s">
        <v>220</v>
      </c>
      <c r="X2746" s="665" t="s">
        <v>749</v>
      </c>
      <c r="Y2746" s="665" t="s">
        <v>750</v>
      </c>
      <c r="Z2746" s="665" t="s">
        <v>748</v>
      </c>
      <c r="BB2746" s="664"/>
      <c r="BD2746" s="664"/>
    </row>
    <row r="2747" spans="1:56">
      <c r="A2747" s="642" t="s">
        <v>2078</v>
      </c>
      <c r="B2747" s="1436">
        <v>178</v>
      </c>
      <c r="C2747" s="1437" t="s">
        <v>2215</v>
      </c>
      <c r="D2747" s="662" t="s">
        <v>2214</v>
      </c>
      <c r="E2747" s="662" t="s">
        <v>2213</v>
      </c>
      <c r="F2747" s="661">
        <v>5.3</v>
      </c>
      <c r="G2747" s="660">
        <v>5.3</v>
      </c>
      <c r="H2747" s="659">
        <f>L2747*R2747</f>
        <v>98.927999999999997</v>
      </c>
      <c r="I2747" s="656">
        <f>F2747/H2747</f>
        <v>5.3574316674753354E-2</v>
      </c>
      <c r="J2747" s="658" t="s">
        <v>2903</v>
      </c>
      <c r="K2747" s="645" t="s">
        <v>2089</v>
      </c>
      <c r="L2747" s="645">
        <v>13.74</v>
      </c>
      <c r="M2747" s="658">
        <v>12.43</v>
      </c>
      <c r="N2747" s="653">
        <f>M2747/L2747</f>
        <v>0.90465793304221254</v>
      </c>
      <c r="O2747" s="656">
        <v>13.83</v>
      </c>
      <c r="P2747" s="653">
        <f>O2747/L2747</f>
        <v>1.0065502183406114</v>
      </c>
      <c r="Q2747" s="645">
        <v>3</v>
      </c>
      <c r="R2747" s="645">
        <v>7.2</v>
      </c>
      <c r="S2747" s="645" t="s">
        <v>2212</v>
      </c>
      <c r="T2747" s="654">
        <v>42615</v>
      </c>
      <c r="U2747" s="645">
        <v>17.989999999999998</v>
      </c>
      <c r="V2747" s="653">
        <f>((U2747*(1+X2747/10)+Y2747/10)/O2747)</f>
        <v>1.3007953723788863</v>
      </c>
      <c r="W2747" s="645" t="s">
        <v>223</v>
      </c>
      <c r="X2747" s="645">
        <v>0</v>
      </c>
      <c r="Y2747" s="645">
        <v>0</v>
      </c>
      <c r="Z2747" s="652" t="s">
        <v>2211</v>
      </c>
      <c r="BB2747" s="651"/>
      <c r="BD2747" s="650"/>
    </row>
    <row r="2748" spans="1:56">
      <c r="C2748" s="648" t="s">
        <v>112</v>
      </c>
      <c r="D2748" s="648" t="s">
        <v>113</v>
      </c>
      <c r="E2748" s="648" t="s">
        <v>943</v>
      </c>
      <c r="F2748" s="649" t="s">
        <v>411</v>
      </c>
      <c r="G2748" s="649" t="s">
        <v>942</v>
      </c>
      <c r="H2748" s="648" t="s">
        <v>231</v>
      </c>
    </row>
    <row r="2749" spans="1:56" ht="32" customHeight="1">
      <c r="C2749" s="1514" t="s">
        <v>3311</v>
      </c>
      <c r="D2749" s="645">
        <v>14.5</v>
      </c>
      <c r="E2749" s="645">
        <v>1.4</v>
      </c>
      <c r="F2749" s="645"/>
      <c r="G2749" s="644">
        <f>19161243/10000</f>
        <v>1916.1242999999999</v>
      </c>
      <c r="H2749" s="643">
        <f>264999990.69/100000000</f>
        <v>2.6499999068999998</v>
      </c>
    </row>
    <row r="2750" spans="1:56">
      <c r="C2750" s="1514"/>
      <c r="D2750" s="645">
        <v>14.3</v>
      </c>
      <c r="E2750" s="645">
        <v>2.65</v>
      </c>
      <c r="F2750" s="645"/>
      <c r="G2750" s="644"/>
      <c r="H2750" s="643"/>
    </row>
    <row r="2751" spans="1:56">
      <c r="C2751" s="1514"/>
      <c r="D2751" s="645">
        <v>13.05</v>
      </c>
      <c r="E2751" s="645">
        <v>2.85</v>
      </c>
      <c r="F2751" s="645"/>
      <c r="G2751" s="644"/>
      <c r="H2751" s="643"/>
    </row>
    <row r="2752" spans="1:56">
      <c r="C2752" s="646" t="s">
        <v>3310</v>
      </c>
      <c r="D2752" s="645">
        <v>14</v>
      </c>
      <c r="E2752" s="645">
        <v>1.35</v>
      </c>
      <c r="F2752" s="645"/>
      <c r="G2752" s="644">
        <f>9761388/10000</f>
        <v>976.13879999999995</v>
      </c>
      <c r="H2752" s="643">
        <f>134999996.04/100000000</f>
        <v>1.3499999603999999</v>
      </c>
    </row>
    <row r="2753" spans="1:56">
      <c r="C2753" s="646" t="s">
        <v>3309</v>
      </c>
      <c r="D2753" s="645">
        <v>13.83</v>
      </c>
      <c r="E2753" s="645">
        <v>1.45</v>
      </c>
      <c r="F2753" s="645"/>
      <c r="G2753" s="644">
        <f>9399856/10000</f>
        <v>939.98559999999998</v>
      </c>
      <c r="H2753" s="643">
        <f>130000008.48/100000000</f>
        <v>1.3000000848</v>
      </c>
    </row>
    <row r="2754" spans="1:56">
      <c r="C2754" s="20" t="s">
        <v>3308</v>
      </c>
      <c r="D2754" s="645">
        <v>12.45</v>
      </c>
      <c r="E2754" s="645">
        <v>1.06</v>
      </c>
      <c r="F2754" s="645"/>
      <c r="G2754" s="644"/>
      <c r="H2754" s="643"/>
    </row>
    <row r="2755" spans="1:56">
      <c r="C2755" s="20" t="s">
        <v>3307</v>
      </c>
      <c r="D2755" s="645">
        <v>12.43</v>
      </c>
      <c r="E2755" s="645">
        <v>1.06</v>
      </c>
      <c r="F2755" s="645"/>
      <c r="G2755" s="644"/>
      <c r="H2755" s="643"/>
    </row>
    <row r="2756" spans="1:56">
      <c r="C2756" s="20" t="s">
        <v>1861</v>
      </c>
      <c r="D2756" s="645">
        <v>12.7</v>
      </c>
      <c r="E2756" s="645">
        <v>1.06</v>
      </c>
      <c r="F2756" s="645"/>
      <c r="G2756" s="644"/>
      <c r="H2756" s="643"/>
    </row>
    <row r="2757" spans="1:56">
      <c r="C2757" s="20"/>
      <c r="D2757" s="645">
        <v>12.45</v>
      </c>
      <c r="E2757" s="645">
        <v>1.1599999999999999</v>
      </c>
      <c r="F2757" s="645"/>
      <c r="G2757" s="644"/>
      <c r="H2757" s="643"/>
    </row>
    <row r="2758" spans="1:56">
      <c r="C2758" s="20" t="s">
        <v>3306</v>
      </c>
      <c r="D2758" s="645">
        <v>12.43</v>
      </c>
      <c r="E2758" s="645">
        <v>1.06</v>
      </c>
      <c r="F2758" s="645"/>
      <c r="G2758" s="644"/>
      <c r="H2758" s="643"/>
    </row>
    <row r="2760" spans="1:56" s="663" customFormat="1">
      <c r="A2760" s="663" t="s">
        <v>2861</v>
      </c>
      <c r="B2760" s="665" t="s">
        <v>2036</v>
      </c>
      <c r="C2760" s="667" t="s">
        <v>126</v>
      </c>
      <c r="D2760" s="667" t="s">
        <v>1583</v>
      </c>
      <c r="E2760" s="667" t="s">
        <v>4</v>
      </c>
      <c r="F2760" s="667" t="s">
        <v>2860</v>
      </c>
      <c r="G2760" s="667" t="s">
        <v>2859</v>
      </c>
      <c r="H2760" s="667" t="s">
        <v>2858</v>
      </c>
      <c r="I2760" s="667" t="s">
        <v>751</v>
      </c>
      <c r="J2760" s="665" t="s">
        <v>274</v>
      </c>
      <c r="K2760" s="665" t="s">
        <v>273</v>
      </c>
      <c r="L2760" s="665" t="s">
        <v>116</v>
      </c>
      <c r="M2760" s="665" t="s">
        <v>110</v>
      </c>
      <c r="N2760" s="665" t="s">
        <v>276</v>
      </c>
      <c r="O2760" s="667" t="s">
        <v>1311</v>
      </c>
      <c r="P2760" s="665" t="s">
        <v>275</v>
      </c>
      <c r="Q2760" s="665" t="s">
        <v>111</v>
      </c>
      <c r="R2760" s="665" t="s">
        <v>2857</v>
      </c>
      <c r="S2760" s="665" t="s">
        <v>747</v>
      </c>
      <c r="T2760" s="667" t="s">
        <v>12</v>
      </c>
      <c r="U2760" s="666" t="s">
        <v>948</v>
      </c>
      <c r="V2760" s="665" t="s">
        <v>129</v>
      </c>
      <c r="W2760" s="665" t="s">
        <v>220</v>
      </c>
      <c r="X2760" s="665" t="s">
        <v>749</v>
      </c>
      <c r="Y2760" s="665" t="s">
        <v>750</v>
      </c>
      <c r="Z2760" s="665" t="s">
        <v>748</v>
      </c>
      <c r="BB2760" s="664"/>
      <c r="BD2760" s="664"/>
    </row>
    <row r="2761" spans="1:56">
      <c r="A2761" s="642" t="s">
        <v>2078</v>
      </c>
      <c r="B2761" s="1436">
        <v>179</v>
      </c>
      <c r="C2761" s="1437" t="s">
        <v>2210</v>
      </c>
      <c r="D2761" s="662" t="s">
        <v>2209</v>
      </c>
      <c r="E2761" s="662" t="s">
        <v>2208</v>
      </c>
      <c r="F2761" s="661">
        <v>165.54</v>
      </c>
      <c r="G2761" s="660">
        <v>165.54</v>
      </c>
      <c r="H2761" s="659">
        <f>L2761*R2761</f>
        <v>415.41239903900004</v>
      </c>
      <c r="I2761" s="656">
        <f>F2761/H2761</f>
        <v>0.39849556821836379</v>
      </c>
      <c r="J2761" s="658" t="s">
        <v>2893</v>
      </c>
      <c r="K2761" s="645" t="s">
        <v>2207</v>
      </c>
      <c r="L2761" s="645">
        <v>3.41</v>
      </c>
      <c r="M2761" s="658">
        <v>3.58</v>
      </c>
      <c r="N2761" s="653">
        <f>M2761/L2761</f>
        <v>1.0498533724340176</v>
      </c>
      <c r="O2761" s="656">
        <v>3.58</v>
      </c>
      <c r="P2761" s="653">
        <f>O2761/L2761</f>
        <v>1.0498533724340176</v>
      </c>
      <c r="Q2761" s="645">
        <v>10</v>
      </c>
      <c r="R2761" s="653">
        <v>121.8218179</v>
      </c>
      <c r="S2761" s="645" t="s">
        <v>2206</v>
      </c>
      <c r="T2761" s="654">
        <v>42984</v>
      </c>
      <c r="U2761" s="645">
        <v>3.31</v>
      </c>
      <c r="V2761" s="653">
        <f>((U2761*(1+X2761/10)+Y2761/10)/O2761)</f>
        <v>0.93893854748603356</v>
      </c>
      <c r="W2761" s="645" t="s">
        <v>2205</v>
      </c>
      <c r="X2761" s="645">
        <v>0</v>
      </c>
      <c r="Y2761" s="645">
        <v>0.51400000000000001</v>
      </c>
      <c r="Z2761" s="652" t="s">
        <v>2204</v>
      </c>
      <c r="BB2761" s="651"/>
      <c r="BD2761" s="650"/>
    </row>
    <row r="2762" spans="1:56">
      <c r="C2762" s="648" t="s">
        <v>112</v>
      </c>
      <c r="D2762" s="648" t="s">
        <v>113</v>
      </c>
      <c r="E2762" s="648" t="s">
        <v>943</v>
      </c>
      <c r="F2762" s="649" t="s">
        <v>411</v>
      </c>
      <c r="G2762" s="649" t="s">
        <v>942</v>
      </c>
      <c r="H2762" s="648" t="s">
        <v>231</v>
      </c>
    </row>
    <row r="2763" spans="1:56">
      <c r="C2763" s="646" t="s">
        <v>576</v>
      </c>
      <c r="D2763" s="647">
        <v>3.59</v>
      </c>
      <c r="E2763" s="644">
        <v>13</v>
      </c>
      <c r="F2763" s="645"/>
      <c r="G2763" s="643">
        <v>3.6312849099999998</v>
      </c>
      <c r="H2763" s="653">
        <v>12.9999999778</v>
      </c>
    </row>
    <row r="2764" spans="1:56">
      <c r="C2764" s="646" t="s">
        <v>230</v>
      </c>
      <c r="D2764" s="647">
        <v>3.59</v>
      </c>
      <c r="E2764" s="644">
        <v>13</v>
      </c>
      <c r="F2764" s="645"/>
      <c r="G2764" s="643">
        <v>3.6312849099999998</v>
      </c>
      <c r="H2764" s="653">
        <v>12.9999999778</v>
      </c>
    </row>
    <row r="2765" spans="1:56">
      <c r="C2765" s="646" t="s">
        <v>3305</v>
      </c>
      <c r="D2765" s="647">
        <v>3.58</v>
      </c>
      <c r="E2765" s="644">
        <v>29.536999999999999</v>
      </c>
      <c r="F2765" s="645"/>
      <c r="G2765" s="643">
        <v>8.2505586500000003</v>
      </c>
      <c r="H2765" s="653">
        <v>29.536999967000003</v>
      </c>
    </row>
    <row r="2766" spans="1:56">
      <c r="C2766" s="646" t="s">
        <v>142</v>
      </c>
      <c r="D2766" s="647">
        <v>3.58</v>
      </c>
      <c r="E2766" s="644">
        <v>16.5</v>
      </c>
      <c r="F2766" s="645"/>
      <c r="G2766" s="643">
        <v>4.6089385399999996</v>
      </c>
      <c r="H2766" s="653">
        <v>16.499999973199998</v>
      </c>
    </row>
    <row r="2767" spans="1:56">
      <c r="C2767" s="646" t="s">
        <v>1041</v>
      </c>
      <c r="D2767" s="647">
        <v>3.58</v>
      </c>
      <c r="E2767" s="644">
        <v>16.5</v>
      </c>
      <c r="F2767" s="645"/>
      <c r="G2767" s="643">
        <v>4.6089385399999996</v>
      </c>
      <c r="H2767" s="653">
        <v>16.499999973199998</v>
      </c>
    </row>
    <row r="2768" spans="1:56">
      <c r="C2768" s="646" t="s">
        <v>144</v>
      </c>
      <c r="D2768" s="647">
        <v>3.58</v>
      </c>
      <c r="E2768" s="644">
        <v>16.5</v>
      </c>
      <c r="F2768" s="645"/>
      <c r="G2768" s="643">
        <v>4.6089385399999996</v>
      </c>
      <c r="H2768" s="653">
        <v>16.499999973199998</v>
      </c>
    </row>
    <row r="2769" spans="1:56">
      <c r="C2769" s="646" t="s">
        <v>316</v>
      </c>
      <c r="D2769" s="647">
        <v>3.58</v>
      </c>
      <c r="E2769" s="644">
        <v>16.5</v>
      </c>
      <c r="F2769" s="645"/>
      <c r="G2769" s="643">
        <v>4.6089385399999996</v>
      </c>
      <c r="H2769" s="653">
        <v>16.499999973199998</v>
      </c>
    </row>
    <row r="2770" spans="1:56">
      <c r="C2770" s="646" t="s">
        <v>121</v>
      </c>
      <c r="D2770" s="647">
        <v>3.58</v>
      </c>
      <c r="E2770" s="644">
        <v>15</v>
      </c>
      <c r="F2770" s="645"/>
      <c r="G2770" s="643">
        <v>4.1899441299999998</v>
      </c>
      <c r="H2770" s="653">
        <v>14.999999985399999</v>
      </c>
    </row>
    <row r="2771" spans="1:56">
      <c r="C2771" s="646" t="s">
        <v>1070</v>
      </c>
      <c r="D2771" s="647">
        <v>3.58</v>
      </c>
      <c r="E2771" s="644">
        <v>14.5</v>
      </c>
      <c r="F2771" s="645"/>
      <c r="G2771" s="643">
        <v>4.0502793199999996</v>
      </c>
      <c r="H2771" s="653">
        <v>14.499999965599999</v>
      </c>
    </row>
    <row r="2772" spans="1:56">
      <c r="C2772" s="646" t="s">
        <v>3304</v>
      </c>
      <c r="D2772" s="647">
        <v>3.58</v>
      </c>
      <c r="E2772" s="644">
        <v>14.5</v>
      </c>
      <c r="F2772" s="645"/>
      <c r="G2772" s="643">
        <v>4.0502793199999996</v>
      </c>
      <c r="H2772" s="653">
        <v>14.499999965599999</v>
      </c>
    </row>
    <row r="2774" spans="1:56" s="663" customFormat="1">
      <c r="A2774" s="663" t="s">
        <v>2861</v>
      </c>
      <c r="B2774" s="665" t="s">
        <v>2036</v>
      </c>
      <c r="C2774" s="667" t="s">
        <v>126</v>
      </c>
      <c r="D2774" s="667" t="s">
        <v>1583</v>
      </c>
      <c r="E2774" s="667" t="s">
        <v>4</v>
      </c>
      <c r="F2774" s="667" t="s">
        <v>2860</v>
      </c>
      <c r="G2774" s="667" t="s">
        <v>2859</v>
      </c>
      <c r="H2774" s="667" t="s">
        <v>2858</v>
      </c>
      <c r="I2774" s="667" t="s">
        <v>751</v>
      </c>
      <c r="J2774" s="665" t="s">
        <v>274</v>
      </c>
      <c r="K2774" s="665" t="s">
        <v>273</v>
      </c>
      <c r="L2774" s="665" t="s">
        <v>116</v>
      </c>
      <c r="M2774" s="665" t="s">
        <v>110</v>
      </c>
      <c r="N2774" s="665" t="s">
        <v>276</v>
      </c>
      <c r="O2774" s="667" t="s">
        <v>1311</v>
      </c>
      <c r="P2774" s="665" t="s">
        <v>275</v>
      </c>
      <c r="Q2774" s="665" t="s">
        <v>111</v>
      </c>
      <c r="R2774" s="665" t="s">
        <v>2857</v>
      </c>
      <c r="S2774" s="665" t="s">
        <v>747</v>
      </c>
      <c r="T2774" s="667" t="s">
        <v>12</v>
      </c>
      <c r="U2774" s="666" t="s">
        <v>948</v>
      </c>
      <c r="V2774" s="665" t="s">
        <v>129</v>
      </c>
      <c r="W2774" s="665" t="s">
        <v>220</v>
      </c>
      <c r="X2774" s="665" t="s">
        <v>749</v>
      </c>
      <c r="Y2774" s="665" t="s">
        <v>750</v>
      </c>
      <c r="Z2774" s="665" t="s">
        <v>748</v>
      </c>
      <c r="BB2774" s="664"/>
      <c r="BD2774" s="664"/>
    </row>
    <row r="2775" spans="1:56">
      <c r="A2775" s="642" t="s">
        <v>2078</v>
      </c>
      <c r="B2775" s="1436">
        <v>180</v>
      </c>
      <c r="C2775" s="1437" t="s">
        <v>2203</v>
      </c>
      <c r="D2775" s="662" t="s">
        <v>2202</v>
      </c>
      <c r="E2775" s="662" t="s">
        <v>2201</v>
      </c>
      <c r="F2775" s="661">
        <v>7.84</v>
      </c>
      <c r="G2775" s="660">
        <v>7.84</v>
      </c>
      <c r="H2775" s="659">
        <f>L2775*R2775</f>
        <v>72.787202600000001</v>
      </c>
      <c r="I2775" s="656">
        <f>F2775/H2775</f>
        <v>0.10771124208584436</v>
      </c>
      <c r="J2775" s="658" t="s">
        <v>2900</v>
      </c>
      <c r="K2775" s="645" t="s">
        <v>2174</v>
      </c>
      <c r="L2775" s="645">
        <v>24.41</v>
      </c>
      <c r="M2775" s="658">
        <v>19.420000000000002</v>
      </c>
      <c r="N2775" s="653">
        <f>M2775/L2775</f>
        <v>0.79557558377714055</v>
      </c>
      <c r="O2775" s="656">
        <v>22.4</v>
      </c>
      <c r="P2775" s="653">
        <f>O2775/L2775</f>
        <v>0.91765669807455952</v>
      </c>
      <c r="Q2775" s="645">
        <v>6</v>
      </c>
      <c r="R2775" s="653">
        <v>2.9818600000000002</v>
      </c>
      <c r="S2775" s="645" t="s">
        <v>2200</v>
      </c>
      <c r="T2775" s="654">
        <v>42984</v>
      </c>
      <c r="U2775" s="645">
        <v>11.54</v>
      </c>
      <c r="V2775" s="653">
        <f>((U2775*(1+X2775/10)+Y2775/10)/O2775)</f>
        <v>0.7734375</v>
      </c>
      <c r="W2775" s="645" t="s">
        <v>2199</v>
      </c>
      <c r="X2775" s="645">
        <v>5</v>
      </c>
      <c r="Y2775" s="645">
        <v>0.15</v>
      </c>
      <c r="Z2775" s="652" t="s">
        <v>2198</v>
      </c>
      <c r="BB2775" s="651"/>
      <c r="BD2775" s="650"/>
    </row>
    <row r="2776" spans="1:56">
      <c r="C2776" s="648" t="s">
        <v>112</v>
      </c>
      <c r="D2776" s="648" t="s">
        <v>113</v>
      </c>
      <c r="E2776" s="648" t="s">
        <v>943</v>
      </c>
      <c r="F2776" s="649" t="s">
        <v>411</v>
      </c>
      <c r="G2776" s="649" t="s">
        <v>942</v>
      </c>
      <c r="H2776" s="648" t="s">
        <v>231</v>
      </c>
    </row>
    <row r="2777" spans="1:56">
      <c r="C2777" s="646" t="s">
        <v>131</v>
      </c>
      <c r="D2777" s="647">
        <v>19.510000000000002</v>
      </c>
      <c r="E2777" s="643">
        <f>262000000/100000000</f>
        <v>2.62</v>
      </c>
      <c r="F2777" s="647"/>
      <c r="G2777" s="645"/>
      <c r="H2777" s="645"/>
    </row>
    <row r="2778" spans="1:56">
      <c r="C2778" s="646" t="s">
        <v>128</v>
      </c>
      <c r="D2778" s="647">
        <v>19.43</v>
      </c>
      <c r="E2778" s="643">
        <f>160000000/100000000</f>
        <v>1.6</v>
      </c>
      <c r="F2778" s="647"/>
      <c r="G2778" s="645"/>
      <c r="H2778" s="645"/>
    </row>
    <row r="2779" spans="1:56">
      <c r="C2779" s="646"/>
      <c r="D2779" s="647">
        <v>20.010000000000002</v>
      </c>
      <c r="E2779" s="643">
        <f>80000000/100000000</f>
        <v>0.8</v>
      </c>
      <c r="F2779" s="647"/>
      <c r="G2779" s="645"/>
      <c r="H2779" s="645"/>
    </row>
    <row r="2780" spans="1:56">
      <c r="C2780" s="646" t="s">
        <v>332</v>
      </c>
      <c r="D2780" s="647">
        <v>22.35</v>
      </c>
      <c r="E2780" s="643">
        <f t="shared" ref="E2780:E2785" si="3">160000000/100000000</f>
        <v>1.6</v>
      </c>
      <c r="F2780" s="647"/>
      <c r="G2780" s="644">
        <f>7142857/10000</f>
        <v>714.28570000000002</v>
      </c>
      <c r="H2780" s="643">
        <f>159999996.8/100000000</f>
        <v>1.5999999680000001</v>
      </c>
    </row>
    <row r="2781" spans="1:56">
      <c r="C2781" s="646"/>
      <c r="D2781" s="647">
        <v>23.75</v>
      </c>
      <c r="E2781" s="643">
        <f t="shared" si="3"/>
        <v>1.6</v>
      </c>
      <c r="F2781" s="647"/>
      <c r="G2781" s="645"/>
      <c r="H2781" s="645"/>
    </row>
    <row r="2782" spans="1:56">
      <c r="C2782" s="646"/>
      <c r="D2782" s="647">
        <v>25.5</v>
      </c>
      <c r="E2782" s="643">
        <f t="shared" si="3"/>
        <v>1.6</v>
      </c>
      <c r="F2782" s="647"/>
      <c r="G2782" s="645"/>
      <c r="H2782" s="645"/>
    </row>
    <row r="2783" spans="1:56">
      <c r="C2783" s="646" t="s">
        <v>336</v>
      </c>
      <c r="D2783" s="647">
        <v>22.34</v>
      </c>
      <c r="E2783" s="643">
        <f t="shared" si="3"/>
        <v>1.6</v>
      </c>
      <c r="F2783" s="647"/>
      <c r="G2783" s="644">
        <f>7142857/10000</f>
        <v>714.28570000000002</v>
      </c>
      <c r="H2783" s="643">
        <f>159999996.8/100000000</f>
        <v>1.5999999680000001</v>
      </c>
    </row>
    <row r="2784" spans="1:56">
      <c r="C2784" s="646"/>
      <c r="D2784" s="647">
        <v>23.76</v>
      </c>
      <c r="E2784" s="643">
        <f t="shared" si="3"/>
        <v>1.6</v>
      </c>
      <c r="F2784" s="647"/>
      <c r="G2784" s="645"/>
      <c r="H2784" s="645"/>
    </row>
    <row r="2785" spans="1:56">
      <c r="C2785" s="646"/>
      <c r="D2785" s="647">
        <v>25.19</v>
      </c>
      <c r="E2785" s="643">
        <f t="shared" si="3"/>
        <v>1.6</v>
      </c>
      <c r="F2785" s="647"/>
      <c r="G2785" s="645"/>
      <c r="H2785" s="645"/>
    </row>
    <row r="2786" spans="1:56">
      <c r="C2786" s="646" t="s">
        <v>300</v>
      </c>
      <c r="D2786" s="647">
        <v>21.66</v>
      </c>
      <c r="E2786" s="643">
        <f>80000000/100000000</f>
        <v>0.8</v>
      </c>
      <c r="F2786" s="647"/>
      <c r="G2786" s="645"/>
      <c r="H2786" s="645"/>
    </row>
    <row r="2787" spans="1:56">
      <c r="C2787" s="646" t="s">
        <v>1044</v>
      </c>
      <c r="D2787" s="647">
        <v>20.309999999999999</v>
      </c>
      <c r="E2787" s="643">
        <f>240000000/100000000</f>
        <v>2.4</v>
      </c>
      <c r="F2787" s="647"/>
      <c r="G2787" s="644">
        <f>10714285/10000</f>
        <v>1071.4285</v>
      </c>
      <c r="H2787" s="643">
        <f>239999984/100000000</f>
        <v>2.39999984</v>
      </c>
    </row>
    <row r="2788" spans="1:56">
      <c r="C2788" s="646"/>
      <c r="D2788" s="647">
        <v>22.01</v>
      </c>
      <c r="E2788" s="643">
        <f>240000000/100000000</f>
        <v>2.4</v>
      </c>
      <c r="F2788" s="647"/>
      <c r="G2788" s="645"/>
      <c r="H2788" s="645"/>
    </row>
    <row r="2789" spans="1:56">
      <c r="C2789" s="646"/>
      <c r="D2789" s="647">
        <v>25.01</v>
      </c>
      <c r="E2789" s="643">
        <f>240000000/100000000</f>
        <v>2.4</v>
      </c>
      <c r="F2789" s="647"/>
      <c r="G2789" s="645"/>
      <c r="H2789" s="645"/>
    </row>
    <row r="2790" spans="1:56">
      <c r="C2790" s="646" t="s">
        <v>121</v>
      </c>
      <c r="D2790" s="647">
        <v>25</v>
      </c>
      <c r="E2790" s="643">
        <f>85000000/100000000</f>
        <v>0.85</v>
      </c>
      <c r="F2790" s="647"/>
      <c r="G2790" s="644">
        <f>3794642/10000</f>
        <v>379.46420000000001</v>
      </c>
      <c r="H2790" s="643">
        <f>84999980.8/100000000</f>
        <v>0.84999980799999997</v>
      </c>
    </row>
    <row r="2791" spans="1:56">
      <c r="C2791" s="646" t="s">
        <v>115</v>
      </c>
      <c r="D2791" s="647">
        <v>20.100000000000001</v>
      </c>
      <c r="E2791" s="643">
        <f>300000000/100000000</f>
        <v>3</v>
      </c>
      <c r="F2791" s="647"/>
      <c r="G2791" s="644">
        <f>2616073/10000</f>
        <v>261.60730000000001</v>
      </c>
      <c r="H2791" s="643">
        <f>58600035.2/100000000</f>
        <v>0.586000352</v>
      </c>
    </row>
    <row r="2792" spans="1:56">
      <c r="C2792" s="646"/>
      <c r="D2792" s="647">
        <v>21</v>
      </c>
      <c r="E2792" s="643">
        <f>220000000/100000000</f>
        <v>2.2000000000000002</v>
      </c>
      <c r="F2792" s="647"/>
      <c r="G2792" s="645"/>
      <c r="H2792" s="645"/>
    </row>
    <row r="2793" spans="1:56">
      <c r="C2793" s="646"/>
      <c r="D2793" s="647">
        <v>22.4</v>
      </c>
      <c r="E2793" s="643">
        <f>142000000/100000000</f>
        <v>1.42</v>
      </c>
      <c r="F2793" s="647"/>
      <c r="G2793" s="645"/>
      <c r="H2793" s="645"/>
    </row>
    <row r="2794" spans="1:56">
      <c r="C2794" s="646" t="s">
        <v>138</v>
      </c>
      <c r="D2794" s="647">
        <v>20.13</v>
      </c>
      <c r="E2794" s="643">
        <f>160000000/100000000</f>
        <v>1.6</v>
      </c>
      <c r="F2794" s="647"/>
      <c r="G2794" s="645"/>
      <c r="H2794" s="645"/>
    </row>
    <row r="2795" spans="1:56">
      <c r="C2795" s="646" t="s">
        <v>3303</v>
      </c>
      <c r="D2795" s="645"/>
      <c r="E2795" s="645"/>
      <c r="F2795" s="645"/>
      <c r="G2795" s="644">
        <f>3571428/10000</f>
        <v>357.14280000000002</v>
      </c>
      <c r="H2795" s="643">
        <f>79999987.2/100000000</f>
        <v>0.799999872</v>
      </c>
    </row>
    <row r="2797" spans="1:56" s="663" customFormat="1">
      <c r="A2797" s="663" t="s">
        <v>2861</v>
      </c>
      <c r="B2797" s="665" t="s">
        <v>2036</v>
      </c>
      <c r="C2797" s="667" t="s">
        <v>126</v>
      </c>
      <c r="D2797" s="667" t="s">
        <v>1583</v>
      </c>
      <c r="E2797" s="667" t="s">
        <v>4</v>
      </c>
      <c r="F2797" s="667" t="s">
        <v>2860</v>
      </c>
      <c r="G2797" s="667" t="s">
        <v>2859</v>
      </c>
      <c r="H2797" s="667" t="s">
        <v>2858</v>
      </c>
      <c r="I2797" s="667" t="s">
        <v>751</v>
      </c>
      <c r="J2797" s="665" t="s">
        <v>274</v>
      </c>
      <c r="K2797" s="665" t="s">
        <v>273</v>
      </c>
      <c r="L2797" s="665" t="s">
        <v>116</v>
      </c>
      <c r="M2797" s="665" t="s">
        <v>110</v>
      </c>
      <c r="N2797" s="665" t="s">
        <v>276</v>
      </c>
      <c r="O2797" s="667" t="s">
        <v>1311</v>
      </c>
      <c r="P2797" s="665" t="s">
        <v>275</v>
      </c>
      <c r="Q2797" s="665" t="s">
        <v>111</v>
      </c>
      <c r="R2797" s="665" t="s">
        <v>2857</v>
      </c>
      <c r="S2797" s="665" t="s">
        <v>747</v>
      </c>
      <c r="T2797" s="667" t="s">
        <v>12</v>
      </c>
      <c r="U2797" s="666" t="s">
        <v>948</v>
      </c>
      <c r="V2797" s="665" t="s">
        <v>129</v>
      </c>
      <c r="W2797" s="665" t="s">
        <v>220</v>
      </c>
      <c r="X2797" s="665" t="s">
        <v>749</v>
      </c>
      <c r="Y2797" s="665" t="s">
        <v>750</v>
      </c>
      <c r="Z2797" s="665" t="s">
        <v>748</v>
      </c>
      <c r="BB2797" s="664"/>
      <c r="BD2797" s="664"/>
    </row>
    <row r="2798" spans="1:56">
      <c r="A2798" s="642" t="s">
        <v>2078</v>
      </c>
      <c r="B2798" s="1436">
        <v>181</v>
      </c>
      <c r="C2798" s="1437" t="s">
        <v>2197</v>
      </c>
      <c r="D2798" s="662" t="s">
        <v>2196</v>
      </c>
      <c r="E2798" s="662" t="s">
        <v>2195</v>
      </c>
      <c r="F2798" s="661">
        <v>8.5</v>
      </c>
      <c r="G2798" s="660">
        <v>8.5</v>
      </c>
      <c r="H2798" s="659">
        <f>L2798*R2798</f>
        <v>77.338200000000001</v>
      </c>
      <c r="I2798" s="656">
        <f>F2798/H2798</f>
        <v>0.10990687655001022</v>
      </c>
      <c r="J2798" s="658" t="s">
        <v>2886</v>
      </c>
      <c r="K2798" s="645" t="s">
        <v>2174</v>
      </c>
      <c r="L2798" s="645">
        <v>18.84</v>
      </c>
      <c r="M2798" s="658">
        <v>16.41</v>
      </c>
      <c r="N2798" s="653">
        <f>M2798/L2798</f>
        <v>0.87101910828025475</v>
      </c>
      <c r="O2798" s="656">
        <v>16.41</v>
      </c>
      <c r="P2798" s="653">
        <f>O2798/L2798</f>
        <v>0.87101910828025475</v>
      </c>
      <c r="Q2798" s="645">
        <v>8</v>
      </c>
      <c r="R2798" s="645">
        <v>4.1050000000000004</v>
      </c>
      <c r="S2798" s="645" t="s">
        <v>2194</v>
      </c>
      <c r="T2798" s="654">
        <v>42984</v>
      </c>
      <c r="U2798" s="645">
        <v>11.7</v>
      </c>
      <c r="V2798" s="653">
        <f>((U2798*(1+X2798/10)+Y2798/10)/O2798)</f>
        <v>0.71907373552711751</v>
      </c>
      <c r="W2798" s="645" t="s">
        <v>2193</v>
      </c>
      <c r="X2798" s="645">
        <v>0</v>
      </c>
      <c r="Y2798" s="645">
        <v>1</v>
      </c>
      <c r="Z2798" s="652" t="s">
        <v>2192</v>
      </c>
      <c r="BB2798" s="651"/>
      <c r="BD2798" s="650"/>
    </row>
    <row r="2799" spans="1:56">
      <c r="C2799" s="648" t="s">
        <v>112</v>
      </c>
      <c r="D2799" s="648" t="s">
        <v>113</v>
      </c>
      <c r="E2799" s="648" t="s">
        <v>943</v>
      </c>
      <c r="F2799" s="649" t="s">
        <v>411</v>
      </c>
      <c r="G2799" s="649" t="s">
        <v>942</v>
      </c>
      <c r="H2799" s="648" t="s">
        <v>231</v>
      </c>
    </row>
    <row r="2800" spans="1:56">
      <c r="C2800" s="646" t="s">
        <v>1065</v>
      </c>
      <c r="D2800" s="647">
        <v>17.87</v>
      </c>
      <c r="E2800" s="643">
        <f>98000000/100000000</f>
        <v>0.98</v>
      </c>
      <c r="F2800" s="645"/>
      <c r="G2800" s="644">
        <v>597.19680000000005</v>
      </c>
      <c r="H2800" s="643">
        <f>97999994.88/100000000</f>
        <v>0.97999994879999996</v>
      </c>
      <c r="J2800" s="687"/>
    </row>
    <row r="2801" spans="1:56">
      <c r="C2801" s="646" t="s">
        <v>131</v>
      </c>
      <c r="D2801" s="647">
        <v>17.510000000000002</v>
      </c>
      <c r="E2801" s="643">
        <f>94000000/100000000</f>
        <v>0.94</v>
      </c>
      <c r="F2801" s="645"/>
      <c r="G2801" s="644">
        <v>1182.2058999999999</v>
      </c>
      <c r="H2801" s="643">
        <f>193999988.19/100000000</f>
        <v>1.9399998818999999</v>
      </c>
      <c r="J2801" s="687"/>
    </row>
    <row r="2802" spans="1:56">
      <c r="C2802" s="646"/>
      <c r="D2802" s="647">
        <v>16.440000000000001</v>
      </c>
      <c r="E2802" s="643">
        <f>194000000/100000000</f>
        <v>1.94</v>
      </c>
      <c r="F2802" s="645"/>
      <c r="G2802" s="647"/>
      <c r="H2802" s="643"/>
    </row>
    <row r="2803" spans="1:56">
      <c r="C2803" s="646" t="s">
        <v>1509</v>
      </c>
      <c r="D2803" s="647">
        <v>16.95</v>
      </c>
      <c r="E2803" s="643">
        <f>85000000/100000000</f>
        <v>0.85</v>
      </c>
      <c r="F2803" s="645"/>
      <c r="G2803" s="644">
        <v>517.97680000000003</v>
      </c>
      <c r="H2803" s="643">
        <f>84999992.88/100000000</f>
        <v>0.84999992879999997</v>
      </c>
      <c r="J2803" s="687"/>
    </row>
    <row r="2804" spans="1:56">
      <c r="C2804" s="646" t="s">
        <v>3258</v>
      </c>
      <c r="D2804" s="647">
        <v>16.68</v>
      </c>
      <c r="E2804" s="643">
        <f>85000000/100000000</f>
        <v>0.85</v>
      </c>
      <c r="F2804" s="645"/>
      <c r="G2804" s="644">
        <v>517.97680000000003</v>
      </c>
      <c r="H2804" s="643">
        <f>84999992.88/100000000</f>
        <v>0.84999992879999997</v>
      </c>
      <c r="J2804" s="687"/>
    </row>
    <row r="2805" spans="1:56">
      <c r="C2805" s="646" t="s">
        <v>115</v>
      </c>
      <c r="D2805" s="647">
        <v>16.5</v>
      </c>
      <c r="E2805" s="643">
        <f>87500000/100000000</f>
        <v>0.875</v>
      </c>
      <c r="F2805" s="645"/>
      <c r="G2805" s="644">
        <v>539.30529999999999</v>
      </c>
      <c r="H2805" s="643">
        <f>88499999.73/100000000</f>
        <v>0.88499999730000001</v>
      </c>
      <c r="J2805" s="687"/>
    </row>
    <row r="2806" spans="1:56">
      <c r="C2806" s="646"/>
      <c r="D2806" s="647">
        <v>16.41</v>
      </c>
      <c r="E2806" s="643">
        <f>88500000/100000000</f>
        <v>0.88500000000000001</v>
      </c>
      <c r="F2806" s="645"/>
      <c r="G2806" s="647"/>
      <c r="H2806" s="643"/>
    </row>
    <row r="2807" spans="1:56">
      <c r="C2807" s="646" t="s">
        <v>128</v>
      </c>
      <c r="D2807" s="647">
        <v>16.420000000000002</v>
      </c>
      <c r="E2807" s="643">
        <f>130000000/100000000</f>
        <v>1.3</v>
      </c>
      <c r="F2807" s="645"/>
      <c r="G2807" s="644">
        <v>792.19979999999998</v>
      </c>
      <c r="H2807" s="643">
        <f>129999987.18/100000000</f>
        <v>1.2999998718000001</v>
      </c>
      <c r="J2807" s="687"/>
    </row>
    <row r="2808" spans="1:56">
      <c r="C2808" s="646" t="s">
        <v>147</v>
      </c>
      <c r="D2808" s="647">
        <v>16.41</v>
      </c>
      <c r="E2808" s="643">
        <f>85000000/100000000</f>
        <v>0.85</v>
      </c>
      <c r="F2808" s="645"/>
      <c r="G2808" s="644">
        <v>517.02250000000004</v>
      </c>
      <c r="H2808" s="643">
        <f>84843392.25/100000000</f>
        <v>0.84843392250000005</v>
      </c>
      <c r="J2808" s="687"/>
    </row>
    <row r="2809" spans="1:56">
      <c r="C2809" s="646" t="s">
        <v>3302</v>
      </c>
      <c r="D2809" s="645"/>
      <c r="E2809" s="645"/>
      <c r="F2809" s="645"/>
      <c r="G2809" s="644">
        <v>518.20929999999998</v>
      </c>
      <c r="H2809" s="643">
        <f>85038146.13/100000000</f>
        <v>0.85038146129999992</v>
      </c>
      <c r="J2809" s="687"/>
    </row>
    <row r="2811" spans="1:56" s="663" customFormat="1">
      <c r="A2811" s="663" t="s">
        <v>2861</v>
      </c>
      <c r="B2811" s="665" t="s">
        <v>2036</v>
      </c>
      <c r="C2811" s="667" t="s">
        <v>126</v>
      </c>
      <c r="D2811" s="667" t="s">
        <v>1583</v>
      </c>
      <c r="E2811" s="667" t="s">
        <v>4</v>
      </c>
      <c r="F2811" s="667" t="s">
        <v>2860</v>
      </c>
      <c r="G2811" s="667" t="s">
        <v>2859</v>
      </c>
      <c r="H2811" s="667" t="s">
        <v>2858</v>
      </c>
      <c r="I2811" s="667" t="s">
        <v>751</v>
      </c>
      <c r="J2811" s="665" t="s">
        <v>274</v>
      </c>
      <c r="K2811" s="665" t="s">
        <v>273</v>
      </c>
      <c r="L2811" s="665" t="s">
        <v>116</v>
      </c>
      <c r="M2811" s="668" t="s">
        <v>110</v>
      </c>
      <c r="N2811" s="665" t="s">
        <v>276</v>
      </c>
      <c r="O2811" s="667" t="s">
        <v>1311</v>
      </c>
      <c r="P2811" s="665" t="s">
        <v>275</v>
      </c>
      <c r="Q2811" s="665" t="s">
        <v>111</v>
      </c>
      <c r="R2811" s="665" t="s">
        <v>2857</v>
      </c>
      <c r="S2811" s="665" t="s">
        <v>747</v>
      </c>
      <c r="T2811" s="667" t="s">
        <v>12</v>
      </c>
      <c r="U2811" s="666" t="s">
        <v>948</v>
      </c>
      <c r="V2811" s="665" t="s">
        <v>129</v>
      </c>
      <c r="W2811" s="665" t="s">
        <v>220</v>
      </c>
      <c r="X2811" s="665" t="s">
        <v>749</v>
      </c>
      <c r="Y2811" s="665" t="s">
        <v>750</v>
      </c>
      <c r="Z2811" s="665" t="s">
        <v>748</v>
      </c>
      <c r="BB2811" s="664"/>
      <c r="BD2811" s="664"/>
    </row>
    <row r="2812" spans="1:56">
      <c r="A2812" s="642" t="s">
        <v>2078</v>
      </c>
      <c r="B2812" s="1436">
        <v>182</v>
      </c>
      <c r="C2812" s="1437" t="s">
        <v>2191</v>
      </c>
      <c r="D2812" s="662" t="s">
        <v>2190</v>
      </c>
      <c r="E2812" s="662" t="s">
        <v>2189</v>
      </c>
      <c r="F2812" s="661">
        <v>4.97</v>
      </c>
      <c r="G2812" s="660">
        <v>4.97</v>
      </c>
      <c r="H2812" s="659">
        <f>L2812*R2812</f>
        <v>51.292928599200003</v>
      </c>
      <c r="I2812" s="656">
        <f>F2812/H2812</f>
        <v>9.6894447943015577E-2</v>
      </c>
      <c r="J2812" s="658" t="s">
        <v>2873</v>
      </c>
      <c r="K2812" s="645" t="s">
        <v>2174</v>
      </c>
      <c r="L2812" s="645">
        <v>13.83</v>
      </c>
      <c r="M2812" s="674">
        <v>9.35</v>
      </c>
      <c r="N2812" s="653">
        <f>M2812/L2812</f>
        <v>0.67606652205350681</v>
      </c>
      <c r="O2812" s="656">
        <v>12.5</v>
      </c>
      <c r="P2812" s="653">
        <f>O2812/L2812</f>
        <v>0.90383224873463486</v>
      </c>
      <c r="Q2812" s="645">
        <v>8</v>
      </c>
      <c r="R2812" s="653">
        <v>3.70881624</v>
      </c>
      <c r="S2812" s="645" t="s">
        <v>2188</v>
      </c>
      <c r="T2812" s="654">
        <v>42989</v>
      </c>
      <c r="U2812" s="645">
        <v>13.98</v>
      </c>
      <c r="V2812" s="653">
        <f>((U2812*(1+X2812/10)+Y2812/10)/O2812)</f>
        <v>1.1184000000000001</v>
      </c>
      <c r="W2812" s="645" t="s">
        <v>223</v>
      </c>
      <c r="X2812" s="645">
        <v>0</v>
      </c>
      <c r="Y2812" s="645">
        <v>0</v>
      </c>
      <c r="Z2812" s="652" t="s">
        <v>2072</v>
      </c>
      <c r="BB2812" s="651"/>
      <c r="BD2812" s="650"/>
    </row>
    <row r="2813" spans="1:56">
      <c r="C2813" s="648" t="s">
        <v>112</v>
      </c>
      <c r="D2813" s="648" t="s">
        <v>113</v>
      </c>
      <c r="E2813" s="648" t="s">
        <v>943</v>
      </c>
      <c r="F2813" s="649" t="s">
        <v>411</v>
      </c>
      <c r="G2813" s="649" t="s">
        <v>942</v>
      </c>
      <c r="H2813" s="648" t="s">
        <v>231</v>
      </c>
    </row>
    <row r="2814" spans="1:56" ht="16" customHeight="1">
      <c r="C2814" s="1512" t="s">
        <v>3301</v>
      </c>
      <c r="D2814" s="645">
        <v>12.6</v>
      </c>
      <c r="E2814" s="645">
        <v>1.01</v>
      </c>
      <c r="F2814" s="645"/>
      <c r="G2814" s="643">
        <v>808</v>
      </c>
      <c r="H2814" s="643">
        <f>101000000/100000000</f>
        <v>1.01</v>
      </c>
    </row>
    <row r="2815" spans="1:56">
      <c r="C2815" s="1512"/>
      <c r="D2815" s="645">
        <v>11.27</v>
      </c>
      <c r="E2815" s="645">
        <v>1.01</v>
      </c>
      <c r="F2815" s="645"/>
      <c r="G2815" s="643"/>
      <c r="H2815" s="643"/>
    </row>
    <row r="2816" spans="1:56">
      <c r="C2816" s="1512"/>
      <c r="D2816" s="645">
        <v>14.11</v>
      </c>
      <c r="E2816" s="645">
        <v>1.01</v>
      </c>
      <c r="F2816" s="645"/>
      <c r="G2816" s="643"/>
      <c r="H2816" s="643"/>
    </row>
    <row r="2817" spans="1:8">
      <c r="C2817" s="646" t="s">
        <v>1344</v>
      </c>
      <c r="D2817" s="645">
        <v>13.6</v>
      </c>
      <c r="E2817" s="645">
        <v>0.92</v>
      </c>
      <c r="F2817" s="645"/>
      <c r="G2817" s="643">
        <v>736</v>
      </c>
      <c r="H2817" s="643">
        <f>92000000/100000000</f>
        <v>0.92</v>
      </c>
    </row>
    <row r="2818" spans="1:8">
      <c r="C2818" s="646"/>
      <c r="D2818" s="732">
        <v>11.01</v>
      </c>
      <c r="E2818" s="645">
        <v>0.92</v>
      </c>
      <c r="F2818" s="645"/>
      <c r="G2818" s="643"/>
      <c r="H2818" s="643"/>
    </row>
    <row r="2819" spans="1:8">
      <c r="C2819" s="646"/>
      <c r="D2819" s="732">
        <v>12.01</v>
      </c>
      <c r="E2819" s="645">
        <v>0.92</v>
      </c>
      <c r="F2819" s="645"/>
      <c r="G2819" s="643"/>
      <c r="H2819" s="643"/>
    </row>
    <row r="2820" spans="1:8">
      <c r="C2820" s="646" t="s">
        <v>130</v>
      </c>
      <c r="D2820" s="645">
        <v>14.17</v>
      </c>
      <c r="E2820" s="645">
        <v>0.874</v>
      </c>
      <c r="F2820" s="645"/>
      <c r="G2820" s="643">
        <v>699.2</v>
      </c>
      <c r="H2820" s="643">
        <f>87400000/100000000</f>
        <v>0.874</v>
      </c>
    </row>
    <row r="2821" spans="1:8">
      <c r="C2821" s="646" t="s">
        <v>725</v>
      </c>
      <c r="D2821" s="645">
        <v>12.86</v>
      </c>
      <c r="E2821" s="645">
        <v>0.502</v>
      </c>
      <c r="F2821" s="645"/>
      <c r="G2821" s="643">
        <v>401.6</v>
      </c>
      <c r="H2821" s="643">
        <f>50200000/100000000</f>
        <v>0.502</v>
      </c>
    </row>
    <row r="2822" spans="1:8">
      <c r="C2822" s="646" t="s">
        <v>3300</v>
      </c>
      <c r="D2822" s="645">
        <v>12.86</v>
      </c>
      <c r="E2822" s="645">
        <v>0.502</v>
      </c>
      <c r="F2822" s="645"/>
      <c r="G2822" s="643">
        <v>401.6</v>
      </c>
      <c r="H2822" s="643">
        <f>50200000/100000000</f>
        <v>0.502</v>
      </c>
    </row>
    <row r="2823" spans="1:8">
      <c r="C2823" s="646" t="s">
        <v>146</v>
      </c>
      <c r="D2823" s="645">
        <v>12.59</v>
      </c>
      <c r="E2823" s="645">
        <v>0.5</v>
      </c>
      <c r="F2823" s="645"/>
      <c r="G2823" s="643">
        <v>400</v>
      </c>
      <c r="H2823" s="643">
        <f>50000000/100000000</f>
        <v>0.5</v>
      </c>
    </row>
    <row r="2824" spans="1:8">
      <c r="C2824" s="646"/>
      <c r="D2824" s="645">
        <v>11.93</v>
      </c>
      <c r="E2824" s="645"/>
      <c r="F2824" s="645"/>
      <c r="G2824" s="643"/>
      <c r="H2824" s="643"/>
    </row>
    <row r="2825" spans="1:8">
      <c r="C2825" s="646" t="s">
        <v>148</v>
      </c>
      <c r="D2825" s="645">
        <v>12.59</v>
      </c>
      <c r="E2825" s="645">
        <v>0.5</v>
      </c>
      <c r="F2825" s="645"/>
      <c r="G2825" s="643">
        <v>400</v>
      </c>
      <c r="H2825" s="643">
        <f>50000000/100000000</f>
        <v>0.5</v>
      </c>
    </row>
    <row r="2826" spans="1:8" ht="16" customHeight="1">
      <c r="C2826" s="1512" t="s">
        <v>115</v>
      </c>
      <c r="D2826" s="645">
        <v>12.5</v>
      </c>
      <c r="E2826" s="645">
        <v>1.95</v>
      </c>
      <c r="F2826" s="645"/>
      <c r="G2826" s="643">
        <v>129.04</v>
      </c>
      <c r="H2826" s="643">
        <f>16130000/100000000</f>
        <v>0.1613</v>
      </c>
    </row>
    <row r="2827" spans="1:8">
      <c r="C2827" s="1512"/>
      <c r="D2827" s="645">
        <v>11.55</v>
      </c>
      <c r="E2827" s="645">
        <v>3.29</v>
      </c>
      <c r="F2827" s="645"/>
      <c r="G2827" s="643"/>
      <c r="H2827" s="643"/>
    </row>
    <row r="2828" spans="1:8">
      <c r="C2828" s="1512"/>
      <c r="D2828" s="645">
        <v>10.9</v>
      </c>
      <c r="E2828" s="645">
        <v>4.6500000000000004</v>
      </c>
      <c r="F2828" s="645"/>
      <c r="G2828" s="643"/>
      <c r="H2828" s="643"/>
    </row>
    <row r="2829" spans="1:8" s="119" customFormat="1" ht="16" customHeight="1">
      <c r="B2829" s="1534"/>
      <c r="C2829" s="1531" t="s">
        <v>955</v>
      </c>
      <c r="D2829" s="732">
        <v>10.61</v>
      </c>
      <c r="E2829" s="732">
        <v>0.7</v>
      </c>
      <c r="F2829" s="731"/>
      <c r="G2829" s="731"/>
      <c r="H2829" s="467"/>
    </row>
    <row r="2830" spans="1:8" s="119" customFormat="1" ht="16" customHeight="1">
      <c r="B2830" s="1534"/>
      <c r="C2830" s="1531"/>
      <c r="D2830" s="732">
        <v>11.27</v>
      </c>
      <c r="E2830" s="732">
        <v>0.5</v>
      </c>
      <c r="F2830" s="730"/>
      <c r="G2830" s="730"/>
      <c r="H2830" s="467"/>
    </row>
    <row r="2831" spans="1:8" s="119" customFormat="1" ht="16" customHeight="1">
      <c r="A2831" s="1534"/>
      <c r="B2831" s="1438"/>
      <c r="C2831" s="1531" t="s">
        <v>127</v>
      </c>
      <c r="D2831" s="732">
        <v>10.52</v>
      </c>
      <c r="E2831" s="732">
        <v>2.2000000000000002</v>
      </c>
      <c r="F2831" s="731"/>
      <c r="G2831" s="731"/>
      <c r="H2831" s="467"/>
    </row>
    <row r="2832" spans="1:8" s="119" customFormat="1" ht="16" customHeight="1">
      <c r="A2832" s="1534"/>
      <c r="B2832" s="1438"/>
      <c r="C2832" s="1531"/>
      <c r="D2832" s="732">
        <v>11.32</v>
      </c>
      <c r="E2832" s="732">
        <v>1.1000000000000001</v>
      </c>
      <c r="F2832" s="731"/>
      <c r="G2832" s="731"/>
      <c r="H2832" s="467"/>
    </row>
    <row r="2833" spans="1:8" s="119" customFormat="1" ht="16.25" customHeight="1">
      <c r="A2833" s="739"/>
      <c r="B2833" s="1438"/>
      <c r="C2833" s="731" t="s">
        <v>3299</v>
      </c>
      <c r="D2833" s="732">
        <v>9.35</v>
      </c>
      <c r="E2833" s="737">
        <v>0.5</v>
      </c>
      <c r="F2833" s="731"/>
      <c r="G2833" s="731"/>
      <c r="H2833" s="467"/>
    </row>
    <row r="2834" spans="1:8" s="119" customFormat="1" ht="16" customHeight="1">
      <c r="A2834" s="738"/>
      <c r="B2834" s="1438"/>
      <c r="C2834" s="734" t="s">
        <v>233</v>
      </c>
      <c r="D2834" s="732">
        <v>12.48</v>
      </c>
      <c r="E2834" s="737">
        <v>0.5</v>
      </c>
      <c r="F2834" s="731"/>
      <c r="G2834" s="731"/>
      <c r="H2834" s="467"/>
    </row>
    <row r="2835" spans="1:8" s="119" customFormat="1" ht="16" customHeight="1">
      <c r="A2835" s="738"/>
      <c r="B2835" s="1438"/>
      <c r="C2835" s="734" t="s">
        <v>351</v>
      </c>
      <c r="D2835" s="732">
        <v>10.5</v>
      </c>
      <c r="E2835" s="737">
        <v>0.5</v>
      </c>
      <c r="F2835" s="731"/>
      <c r="G2835" s="731"/>
      <c r="H2835" s="467"/>
    </row>
    <row r="2836" spans="1:8" s="119" customFormat="1" ht="31.75" customHeight="1">
      <c r="A2836" s="738"/>
      <c r="B2836" s="1438"/>
      <c r="C2836" s="734" t="s">
        <v>121</v>
      </c>
      <c r="D2836" s="732">
        <v>10.81</v>
      </c>
      <c r="E2836" s="737">
        <v>0.5</v>
      </c>
      <c r="F2836" s="731"/>
      <c r="G2836" s="731"/>
      <c r="H2836" s="467"/>
    </row>
    <row r="2837" spans="1:8" s="119" customFormat="1" ht="16" customHeight="1">
      <c r="A2837" s="738"/>
      <c r="B2837" s="1438"/>
      <c r="C2837" s="734" t="s">
        <v>128</v>
      </c>
      <c r="D2837" s="732">
        <v>12.03</v>
      </c>
      <c r="E2837" s="737">
        <v>0.5</v>
      </c>
      <c r="F2837" s="731"/>
      <c r="G2837" s="731"/>
      <c r="H2837" s="467"/>
    </row>
    <row r="2838" spans="1:8" s="119" customFormat="1" ht="16" customHeight="1">
      <c r="A2838" s="738"/>
      <c r="B2838" s="1438"/>
      <c r="C2838" s="734" t="s">
        <v>320</v>
      </c>
      <c r="D2838" s="732">
        <v>11.65</v>
      </c>
      <c r="E2838" s="737">
        <v>0.6</v>
      </c>
      <c r="F2838" s="731"/>
      <c r="G2838" s="731"/>
      <c r="H2838" s="467"/>
    </row>
    <row r="2839" spans="1:8" s="119" customFormat="1" ht="16.25" customHeight="1">
      <c r="A2839" s="1530"/>
      <c r="B2839" s="1438"/>
      <c r="C2839" s="1531" t="s">
        <v>3298</v>
      </c>
      <c r="D2839" s="732">
        <v>9.6</v>
      </c>
      <c r="E2839" s="737">
        <v>0.5</v>
      </c>
      <c r="F2839" s="731"/>
      <c r="G2839" s="731"/>
      <c r="H2839" s="467"/>
    </row>
    <row r="2840" spans="1:8" s="119" customFormat="1" ht="16" customHeight="1">
      <c r="A2840" s="1530"/>
      <c r="B2840" s="1438"/>
      <c r="C2840" s="1531"/>
      <c r="D2840" s="732">
        <v>9.8000000000000007</v>
      </c>
      <c r="E2840" s="737">
        <v>0.5</v>
      </c>
      <c r="F2840" s="731"/>
      <c r="G2840" s="731"/>
      <c r="H2840" s="467"/>
    </row>
    <row r="2841" spans="1:8" s="119" customFormat="1" ht="16" customHeight="1">
      <c r="A2841" s="1530"/>
      <c r="B2841" s="1438"/>
      <c r="C2841" s="1531"/>
      <c r="D2841" s="732">
        <v>9.9</v>
      </c>
      <c r="E2841" s="737">
        <v>0.5</v>
      </c>
      <c r="F2841" s="731"/>
      <c r="G2841" s="731"/>
      <c r="H2841" s="467"/>
    </row>
    <row r="2842" spans="1:8" s="119" customFormat="1" ht="16" customHeight="1">
      <c r="A2842" s="738"/>
      <c r="B2842" s="1438"/>
      <c r="C2842" s="1531" t="s">
        <v>3297</v>
      </c>
      <c r="D2842" s="732">
        <v>10.01</v>
      </c>
      <c r="E2842" s="737">
        <v>0.5</v>
      </c>
      <c r="F2842" s="731"/>
      <c r="G2842" s="731"/>
      <c r="H2842" s="467"/>
    </row>
    <row r="2843" spans="1:8" s="119" customFormat="1" ht="16" customHeight="1">
      <c r="A2843" s="1532"/>
      <c r="B2843" s="1438"/>
      <c r="C2843" s="1531"/>
      <c r="D2843" s="732">
        <v>11.01</v>
      </c>
      <c r="E2843" s="730">
        <v>0.5</v>
      </c>
      <c r="F2843" s="731"/>
      <c r="G2843" s="731"/>
      <c r="H2843" s="467"/>
    </row>
    <row r="2844" spans="1:8" s="119" customFormat="1" ht="16" customHeight="1">
      <c r="A2844" s="1532"/>
      <c r="B2844" s="1438"/>
      <c r="C2844" s="1531"/>
      <c r="D2844" s="732">
        <v>12.01</v>
      </c>
      <c r="E2844" s="730">
        <v>0.5</v>
      </c>
      <c r="F2844" s="731"/>
      <c r="G2844" s="731"/>
      <c r="H2844" s="467"/>
    </row>
    <row r="2845" spans="1:8" s="119" customFormat="1" ht="16.25" customHeight="1">
      <c r="A2845" s="1533"/>
      <c r="B2845" s="1438"/>
      <c r="C2845" s="1531" t="s">
        <v>3296</v>
      </c>
      <c r="D2845" s="732">
        <v>9.3800000000000008</v>
      </c>
      <c r="E2845" s="730">
        <v>1</v>
      </c>
      <c r="F2845" s="731"/>
      <c r="G2845" s="731"/>
      <c r="H2845" s="467"/>
    </row>
    <row r="2846" spans="1:8" s="119" customFormat="1" ht="16" customHeight="1">
      <c r="A2846" s="1533"/>
      <c r="B2846" s="1438"/>
      <c r="C2846" s="1531"/>
      <c r="D2846" s="732">
        <v>9.98</v>
      </c>
      <c r="E2846" s="730">
        <v>0.5</v>
      </c>
      <c r="F2846" s="731"/>
      <c r="G2846" s="731"/>
      <c r="H2846" s="467"/>
    </row>
    <row r="2847" spans="1:8" s="119" customFormat="1" ht="16" customHeight="1">
      <c r="A2847" s="735"/>
      <c r="B2847" s="1438"/>
      <c r="C2847" s="734" t="s">
        <v>147</v>
      </c>
      <c r="D2847" s="732">
        <v>9.4600000000000009</v>
      </c>
      <c r="E2847" s="730">
        <v>1.36</v>
      </c>
      <c r="F2847" s="731"/>
      <c r="G2847" s="731"/>
      <c r="H2847" s="467"/>
    </row>
    <row r="2848" spans="1:8" s="119" customFormat="1" ht="16" customHeight="1">
      <c r="A2848" s="1530"/>
      <c r="B2848" s="1438"/>
      <c r="C2848" s="1531" t="s">
        <v>3295</v>
      </c>
      <c r="D2848" s="732">
        <v>11.2</v>
      </c>
      <c r="E2848" s="730">
        <v>0.501</v>
      </c>
      <c r="F2848" s="731"/>
      <c r="G2848" s="731"/>
      <c r="H2848" s="467"/>
    </row>
    <row r="2849" spans="1:56" s="119" customFormat="1" ht="16.25" customHeight="1">
      <c r="A2849" s="1530"/>
      <c r="B2849" s="1438"/>
      <c r="C2849" s="1531"/>
      <c r="D2849" s="732">
        <v>11.5</v>
      </c>
      <c r="E2849" s="730">
        <v>0.501</v>
      </c>
      <c r="F2849" s="731"/>
      <c r="G2849" s="731"/>
      <c r="H2849" s="467"/>
    </row>
    <row r="2850" spans="1:56" s="119" customFormat="1" ht="20.25" customHeight="1">
      <c r="A2850" s="1530"/>
      <c r="B2850" s="1438"/>
      <c r="C2850" s="1531"/>
      <c r="D2850" s="732">
        <v>11.8</v>
      </c>
      <c r="E2850" s="730">
        <v>0.501</v>
      </c>
      <c r="F2850" s="731"/>
      <c r="G2850" s="731"/>
      <c r="H2850" s="467"/>
    </row>
    <row r="2851" spans="1:56" s="119" customFormat="1" ht="16" customHeight="1">
      <c r="A2851" s="1533"/>
      <c r="B2851" s="1438"/>
      <c r="C2851" s="1531" t="s">
        <v>300</v>
      </c>
      <c r="D2851" s="732">
        <v>11.94</v>
      </c>
      <c r="E2851" s="730">
        <v>0.84899999999999998</v>
      </c>
      <c r="F2851" s="731"/>
      <c r="G2851" s="731"/>
      <c r="H2851" s="467"/>
    </row>
    <row r="2852" spans="1:56" s="119" customFormat="1" ht="16" customHeight="1">
      <c r="A2852" s="1533"/>
      <c r="B2852" s="1438"/>
      <c r="C2852" s="1531"/>
      <c r="D2852" s="732">
        <v>12.2</v>
      </c>
      <c r="E2852" s="730">
        <v>0.5</v>
      </c>
      <c r="F2852" s="731"/>
      <c r="G2852" s="731"/>
      <c r="H2852" s="467"/>
    </row>
    <row r="2853" spans="1:56" s="119" customFormat="1" ht="16" customHeight="1">
      <c r="A2853" s="736"/>
      <c r="B2853" s="1438"/>
      <c r="C2853" s="731" t="s">
        <v>3294</v>
      </c>
      <c r="D2853" s="732">
        <v>11.51</v>
      </c>
      <c r="E2853" s="730">
        <v>1.1000000000000001</v>
      </c>
      <c r="F2853" s="731"/>
      <c r="G2853" s="731"/>
      <c r="H2853" s="467"/>
    </row>
    <row r="2854" spans="1:56" s="119" customFormat="1" ht="16" customHeight="1">
      <c r="A2854" s="735"/>
      <c r="B2854" s="1438"/>
      <c r="C2854" s="734" t="s">
        <v>3293</v>
      </c>
      <c r="D2854" s="732">
        <v>12.2</v>
      </c>
      <c r="E2854" s="730">
        <v>0.5</v>
      </c>
      <c r="F2854" s="731"/>
      <c r="G2854" s="731"/>
      <c r="H2854" s="467"/>
    </row>
    <row r="2855" spans="1:56" s="119" customFormat="1" ht="16.25" customHeight="1">
      <c r="B2855" s="1438"/>
      <c r="C2855" s="734" t="s">
        <v>3292</v>
      </c>
      <c r="D2855" s="732">
        <v>12</v>
      </c>
      <c r="E2855" s="730">
        <v>0.5</v>
      </c>
      <c r="F2855" s="731"/>
      <c r="G2855" s="731"/>
      <c r="H2855" s="467"/>
    </row>
    <row r="2856" spans="1:56" s="119" customFormat="1" ht="16" customHeight="1">
      <c r="B2856" s="1438"/>
      <c r="C2856" s="734" t="s">
        <v>1246</v>
      </c>
      <c r="D2856" s="732">
        <v>10.199999999999999</v>
      </c>
      <c r="E2856" s="730">
        <v>0.75</v>
      </c>
      <c r="F2856" s="731"/>
      <c r="G2856" s="731"/>
      <c r="H2856" s="467"/>
    </row>
    <row r="2857" spans="1:56" s="119" customFormat="1" ht="16" customHeight="1">
      <c r="B2857" s="1438"/>
      <c r="C2857" s="1529" t="s">
        <v>3291</v>
      </c>
      <c r="D2857" s="732">
        <v>11.93</v>
      </c>
      <c r="E2857" s="730">
        <v>0.75</v>
      </c>
      <c r="F2857" s="731"/>
      <c r="G2857" s="731"/>
      <c r="H2857" s="467"/>
    </row>
    <row r="2858" spans="1:56" s="119" customFormat="1" ht="20.25" customHeight="1">
      <c r="A2858" s="733"/>
      <c r="B2858" s="1438"/>
      <c r="C2858" s="1529"/>
      <c r="D2858" s="732">
        <v>12.59</v>
      </c>
      <c r="E2858" s="730">
        <v>0.5</v>
      </c>
      <c r="F2858" s="731"/>
      <c r="G2858" s="730"/>
      <c r="H2858" s="467"/>
    </row>
    <row r="2859" spans="1:56" s="119" customFormat="1" ht="16" customHeight="1">
      <c r="B2859" s="1438"/>
      <c r="C2859" s="729"/>
      <c r="D2859" s="729"/>
      <c r="E2859" s="729"/>
      <c r="F2859" s="729"/>
      <c r="G2859" s="729"/>
      <c r="H2859" s="729"/>
    </row>
    <row r="2860" spans="1:56" s="119" customFormat="1" ht="16" customHeight="1">
      <c r="A2860" s="728"/>
      <c r="B2860" s="1438"/>
    </row>
    <row r="2862" spans="1:56" s="663" customFormat="1">
      <c r="A2862" s="663" t="s">
        <v>2861</v>
      </c>
      <c r="B2862" s="665" t="s">
        <v>2036</v>
      </c>
      <c r="C2862" s="667" t="s">
        <v>126</v>
      </c>
      <c r="D2862" s="667" t="s">
        <v>1583</v>
      </c>
      <c r="E2862" s="667" t="s">
        <v>4</v>
      </c>
      <c r="F2862" s="667" t="s">
        <v>2860</v>
      </c>
      <c r="G2862" s="667" t="s">
        <v>2859</v>
      </c>
      <c r="H2862" s="667" t="s">
        <v>2858</v>
      </c>
      <c r="I2862" s="667" t="s">
        <v>751</v>
      </c>
      <c r="J2862" s="665" t="s">
        <v>274</v>
      </c>
      <c r="K2862" s="665" t="s">
        <v>273</v>
      </c>
      <c r="L2862" s="665" t="s">
        <v>116</v>
      </c>
      <c r="M2862" s="665" t="s">
        <v>110</v>
      </c>
      <c r="N2862" s="665" t="s">
        <v>276</v>
      </c>
      <c r="O2862" s="667" t="s">
        <v>1311</v>
      </c>
      <c r="P2862" s="665" t="s">
        <v>275</v>
      </c>
      <c r="Q2862" s="665" t="s">
        <v>111</v>
      </c>
      <c r="R2862" s="665" t="s">
        <v>2857</v>
      </c>
      <c r="S2862" s="665" t="s">
        <v>747</v>
      </c>
      <c r="T2862" s="667" t="s">
        <v>12</v>
      </c>
      <c r="U2862" s="666" t="s">
        <v>948</v>
      </c>
      <c r="V2862" s="665" t="s">
        <v>129</v>
      </c>
      <c r="W2862" s="665" t="s">
        <v>220</v>
      </c>
      <c r="X2862" s="665" t="s">
        <v>749</v>
      </c>
      <c r="Y2862" s="665" t="s">
        <v>750</v>
      </c>
      <c r="Z2862" s="665" t="s">
        <v>748</v>
      </c>
      <c r="BB2862" s="664"/>
      <c r="BD2862" s="664"/>
    </row>
    <row r="2863" spans="1:56">
      <c r="A2863" s="642" t="s">
        <v>2078</v>
      </c>
      <c r="B2863" s="1436">
        <v>183</v>
      </c>
      <c r="C2863" s="1437" t="s">
        <v>2187</v>
      </c>
      <c r="D2863" s="662" t="s">
        <v>2186</v>
      </c>
      <c r="E2863" s="662" t="s">
        <v>2185</v>
      </c>
      <c r="F2863" s="661">
        <v>15</v>
      </c>
      <c r="G2863" s="660">
        <v>15</v>
      </c>
      <c r="H2863" s="659">
        <f>L2863*R2863</f>
        <v>242.078747832</v>
      </c>
      <c r="I2863" s="656">
        <f>F2863/H2863</f>
        <v>6.19633079497331E-2</v>
      </c>
      <c r="J2863" s="658" t="s">
        <v>2902</v>
      </c>
      <c r="K2863" s="645" t="s">
        <v>2089</v>
      </c>
      <c r="L2863" s="645">
        <v>31.8</v>
      </c>
      <c r="M2863" s="658">
        <v>28.35</v>
      </c>
      <c r="N2863" s="653">
        <f>M2863/L2863</f>
        <v>0.89150943396226423</v>
      </c>
      <c r="O2863" s="656">
        <v>28.4</v>
      </c>
      <c r="P2863" s="653">
        <f>O2863/L2863</f>
        <v>0.89308176100628922</v>
      </c>
      <c r="Q2863" s="645">
        <v>5</v>
      </c>
      <c r="R2863" s="653">
        <v>7.6125392400000003</v>
      </c>
      <c r="S2863" s="645" t="s">
        <v>2184</v>
      </c>
      <c r="T2863" s="654">
        <v>42986</v>
      </c>
      <c r="U2863" s="645">
        <v>18.43</v>
      </c>
      <c r="V2863" s="653">
        <f>((U2863*(1+X2863/10)+Y2863/10)/O2863)</f>
        <v>1.3024647887323946</v>
      </c>
      <c r="W2863" s="645" t="s">
        <v>2183</v>
      </c>
      <c r="X2863" s="645">
        <v>10</v>
      </c>
      <c r="Y2863" s="645">
        <v>1.3</v>
      </c>
      <c r="Z2863" s="652" t="s">
        <v>2160</v>
      </c>
      <c r="BB2863" s="651"/>
      <c r="BD2863" s="650"/>
    </row>
    <row r="2864" spans="1:56" ht="15" customHeight="1">
      <c r="C2864" s="648" t="s">
        <v>112</v>
      </c>
      <c r="D2864" s="648" t="s">
        <v>113</v>
      </c>
      <c r="E2864" s="648" t="s">
        <v>943</v>
      </c>
      <c r="F2864" s="649" t="s">
        <v>411</v>
      </c>
      <c r="G2864" s="649" t="s">
        <v>942</v>
      </c>
      <c r="H2864" s="648" t="s">
        <v>231</v>
      </c>
    </row>
    <row r="2865" spans="1:56">
      <c r="C2865" s="646" t="s">
        <v>584</v>
      </c>
      <c r="D2865" s="647">
        <v>31.38</v>
      </c>
      <c r="E2865" s="643">
        <f>300000000/100000000</f>
        <v>3</v>
      </c>
      <c r="F2865" s="645"/>
      <c r="G2865" s="644">
        <f>10563380/10000</f>
        <v>1056.338</v>
      </c>
      <c r="H2865" s="643">
        <f>299999992/100000000</f>
        <v>2.99999992</v>
      </c>
    </row>
    <row r="2866" spans="1:56" ht="15" customHeight="1">
      <c r="C2866" s="646" t="s">
        <v>122</v>
      </c>
      <c r="D2866" s="647">
        <v>28.51</v>
      </c>
      <c r="E2866" s="643">
        <f>300000000/100000000</f>
        <v>3</v>
      </c>
      <c r="F2866" s="645"/>
      <c r="G2866" s="644">
        <f>10563380/10000</f>
        <v>1056.338</v>
      </c>
      <c r="H2866" s="643">
        <f>299999992/100000000</f>
        <v>2.99999992</v>
      </c>
    </row>
    <row r="2867" spans="1:56">
      <c r="C2867" s="646" t="s">
        <v>300</v>
      </c>
      <c r="D2867" s="647">
        <v>28.75</v>
      </c>
      <c r="E2867" s="643">
        <f>301000000/100000000</f>
        <v>3.01</v>
      </c>
      <c r="F2867" s="645"/>
      <c r="G2867" s="644">
        <f>10598591/10000</f>
        <v>1059.8590999999999</v>
      </c>
      <c r="H2867" s="643">
        <f>300999984.4/100000000</f>
        <v>3.0099998439999998</v>
      </c>
    </row>
    <row r="2868" spans="1:56">
      <c r="C2868" s="646" t="s">
        <v>115</v>
      </c>
      <c r="D2868" s="647">
        <v>28.4</v>
      </c>
      <c r="E2868" s="643">
        <f>300000000/100000000</f>
        <v>3</v>
      </c>
      <c r="F2868" s="645"/>
      <c r="G2868" s="644">
        <f>10528170/10000</f>
        <v>1052.817</v>
      </c>
      <c r="H2868" s="643">
        <f>299000028/100000000</f>
        <v>2.9900002799999998</v>
      </c>
    </row>
    <row r="2869" spans="1:56">
      <c r="C2869" s="646" t="s">
        <v>139</v>
      </c>
      <c r="D2869" s="647">
        <v>28.5</v>
      </c>
      <c r="E2869" s="643">
        <f>300000000/100000000</f>
        <v>3</v>
      </c>
      <c r="F2869" s="645"/>
      <c r="G2869" s="644">
        <f>10563380/10000</f>
        <v>1056.338</v>
      </c>
      <c r="H2869" s="643">
        <f>299999992/100000000</f>
        <v>2.99999992</v>
      </c>
    </row>
    <row r="2871" spans="1:56" s="663" customFormat="1">
      <c r="A2871" s="663" t="s">
        <v>2861</v>
      </c>
      <c r="B2871" s="665" t="s">
        <v>2036</v>
      </c>
      <c r="C2871" s="667" t="s">
        <v>126</v>
      </c>
      <c r="D2871" s="667" t="s">
        <v>1583</v>
      </c>
      <c r="E2871" s="667" t="s">
        <v>4</v>
      </c>
      <c r="F2871" s="667" t="s">
        <v>2860</v>
      </c>
      <c r="G2871" s="667" t="s">
        <v>2859</v>
      </c>
      <c r="H2871" s="667" t="s">
        <v>2858</v>
      </c>
      <c r="I2871" s="667" t="s">
        <v>751</v>
      </c>
      <c r="J2871" s="665" t="s">
        <v>274</v>
      </c>
      <c r="K2871" s="665" t="s">
        <v>273</v>
      </c>
      <c r="L2871" s="665" t="s">
        <v>116</v>
      </c>
      <c r="M2871" s="665" t="s">
        <v>110</v>
      </c>
      <c r="N2871" s="665" t="s">
        <v>276</v>
      </c>
      <c r="O2871" s="667" t="s">
        <v>1311</v>
      </c>
      <c r="P2871" s="665" t="s">
        <v>275</v>
      </c>
      <c r="Q2871" s="665" t="s">
        <v>111</v>
      </c>
      <c r="R2871" s="665" t="s">
        <v>2857</v>
      </c>
      <c r="S2871" s="665" t="s">
        <v>747</v>
      </c>
      <c r="T2871" s="667" t="s">
        <v>12</v>
      </c>
      <c r="U2871" s="666" t="s">
        <v>948</v>
      </c>
      <c r="V2871" s="665" t="s">
        <v>129</v>
      </c>
      <c r="W2871" s="665" t="s">
        <v>220</v>
      </c>
      <c r="X2871" s="665" t="s">
        <v>749</v>
      </c>
      <c r="Y2871" s="665" t="s">
        <v>750</v>
      </c>
      <c r="Z2871" s="668" t="s">
        <v>748</v>
      </c>
      <c r="AA2871" s="716"/>
      <c r="BB2871" s="664"/>
      <c r="BD2871" s="664"/>
    </row>
    <row r="2872" spans="1:56">
      <c r="A2872" s="642" t="s">
        <v>2078</v>
      </c>
      <c r="B2872" s="1436">
        <v>184</v>
      </c>
      <c r="C2872" s="1437" t="s">
        <v>2182</v>
      </c>
      <c r="D2872" s="662" t="s">
        <v>2181</v>
      </c>
      <c r="E2872" s="662" t="s">
        <v>2180</v>
      </c>
      <c r="F2872" s="661">
        <v>9.5</v>
      </c>
      <c r="G2872" s="660">
        <v>9.5</v>
      </c>
      <c r="H2872" s="715">
        <f>L2872*R2872</f>
        <v>78.829878399999998</v>
      </c>
      <c r="I2872" s="656">
        <f>F2872/H2872</f>
        <v>0.12051268114096191</v>
      </c>
      <c r="J2872" s="658" t="s">
        <v>2901</v>
      </c>
      <c r="K2872" s="645" t="s">
        <v>2089</v>
      </c>
      <c r="L2872" s="645">
        <v>32.42</v>
      </c>
      <c r="M2872" s="658">
        <v>27.66</v>
      </c>
      <c r="N2872" s="699">
        <f>M2872/L2872</f>
        <v>0.85317705120296106</v>
      </c>
      <c r="O2872" s="660">
        <v>29.03</v>
      </c>
      <c r="P2872" s="699">
        <f>O2872/L2872</f>
        <v>0.89543491671807529</v>
      </c>
      <c r="Q2872" s="642">
        <v>6</v>
      </c>
      <c r="R2872" s="699">
        <v>2.4315199999999999</v>
      </c>
      <c r="S2872" s="642" t="s">
        <v>2179</v>
      </c>
      <c r="T2872" s="651">
        <v>42986</v>
      </c>
      <c r="U2872" s="642">
        <v>13.47</v>
      </c>
      <c r="V2872" s="699">
        <f>((U2872*(1+X2872/10)+Y2872/10)/O2872)</f>
        <v>1.3988976920427145</v>
      </c>
      <c r="W2872" s="642" t="s">
        <v>2178</v>
      </c>
      <c r="X2872" s="642">
        <v>20</v>
      </c>
      <c r="Y2872" s="642">
        <v>2</v>
      </c>
      <c r="Z2872" s="650" t="s">
        <v>2144</v>
      </c>
      <c r="BB2872" s="651"/>
      <c r="BD2872" s="650"/>
    </row>
    <row r="2873" spans="1:56">
      <c r="C2873" s="648" t="s">
        <v>112</v>
      </c>
      <c r="D2873" s="648" t="s">
        <v>113</v>
      </c>
      <c r="E2873" s="648" t="s">
        <v>943</v>
      </c>
      <c r="F2873" s="649" t="s">
        <v>411</v>
      </c>
      <c r="G2873" s="649" t="s">
        <v>942</v>
      </c>
      <c r="H2873" s="648" t="s">
        <v>231</v>
      </c>
    </row>
    <row r="2874" spans="1:56" ht="15" customHeight="1">
      <c r="C2874" s="1512" t="s">
        <v>336</v>
      </c>
      <c r="D2874" s="647">
        <v>33.06</v>
      </c>
      <c r="E2874" s="643">
        <v>2.73</v>
      </c>
      <c r="F2874" s="645"/>
      <c r="G2874" s="709">
        <f>9404064/10000</f>
        <v>940.40639999999996</v>
      </c>
      <c r="H2874" s="643">
        <f>272999977.92/100000000</f>
        <v>2.7299997792000004</v>
      </c>
      <c r="I2874" s="687"/>
      <c r="K2874" s="687"/>
    </row>
    <row r="2875" spans="1:56">
      <c r="C2875" s="1512"/>
      <c r="D2875" s="647">
        <v>30.28</v>
      </c>
      <c r="E2875" s="643">
        <v>2.73</v>
      </c>
      <c r="F2875" s="645"/>
      <c r="G2875" s="708"/>
      <c r="H2875" s="645"/>
    </row>
    <row r="2876" spans="1:56">
      <c r="C2876" s="1512"/>
      <c r="D2876" s="647">
        <v>29.1</v>
      </c>
      <c r="E2876" s="643">
        <v>2.73</v>
      </c>
      <c r="F2876" s="645"/>
      <c r="G2876" s="708"/>
      <c r="H2876" s="645"/>
    </row>
    <row r="2877" spans="1:56">
      <c r="C2877" s="1512" t="s">
        <v>121</v>
      </c>
      <c r="D2877" s="647">
        <v>33.01</v>
      </c>
      <c r="E2877" s="643">
        <v>1.27</v>
      </c>
      <c r="F2877" s="645"/>
      <c r="G2877" s="709">
        <f>5408198/10000</f>
        <v>540.81979999999999</v>
      </c>
      <c r="H2877" s="643">
        <f>156999987.94/100000000</f>
        <v>1.5699998794000001</v>
      </c>
      <c r="I2877" s="687"/>
      <c r="K2877" s="687"/>
    </row>
    <row r="2878" spans="1:56">
      <c r="C2878" s="1512"/>
      <c r="D2878" s="647">
        <v>30.24</v>
      </c>
      <c r="E2878" s="643">
        <v>1.57</v>
      </c>
      <c r="F2878" s="645"/>
      <c r="G2878" s="708"/>
      <c r="H2878" s="645"/>
      <c r="K2878" s="687"/>
    </row>
    <row r="2879" spans="1:56">
      <c r="C2879" s="1512"/>
      <c r="D2879" s="647">
        <v>29.09</v>
      </c>
      <c r="E2879" s="643">
        <v>1.57</v>
      </c>
      <c r="F2879" s="645"/>
      <c r="G2879" s="708"/>
      <c r="H2879" s="645"/>
      <c r="K2879" s="687"/>
    </row>
    <row r="2880" spans="1:56">
      <c r="C2880" s="1512" t="s">
        <v>130</v>
      </c>
      <c r="D2880" s="647">
        <v>31.4</v>
      </c>
      <c r="E2880" s="643">
        <v>1.5</v>
      </c>
      <c r="F2880" s="645"/>
      <c r="G2880" s="709">
        <f>5167068/10000</f>
        <v>516.70680000000004</v>
      </c>
      <c r="H2880" s="643">
        <f>149999984.04/100000000</f>
        <v>1.4999998403999999</v>
      </c>
      <c r="I2880" s="687"/>
      <c r="K2880" s="687"/>
    </row>
    <row r="2881" spans="1:56">
      <c r="C2881" s="1512"/>
      <c r="D2881" s="647">
        <v>30.2</v>
      </c>
      <c r="E2881" s="643">
        <v>1.5</v>
      </c>
      <c r="F2881" s="645"/>
      <c r="G2881" s="708"/>
      <c r="H2881" s="645"/>
      <c r="K2881" s="687"/>
    </row>
    <row r="2882" spans="1:56">
      <c r="C2882" s="1512"/>
      <c r="D2882" s="647">
        <v>29.2</v>
      </c>
      <c r="E2882" s="643">
        <v>1.5</v>
      </c>
      <c r="F2882" s="645"/>
      <c r="G2882" s="708"/>
      <c r="H2882" s="645"/>
    </row>
    <row r="2883" spans="1:56" ht="15" customHeight="1">
      <c r="C2883" s="1512" t="s">
        <v>142</v>
      </c>
      <c r="D2883" s="647">
        <v>30.6</v>
      </c>
      <c r="E2883" s="643">
        <v>1.42</v>
      </c>
      <c r="F2883" s="645"/>
      <c r="G2883" s="709">
        <f>4891491/10000</f>
        <v>489.14909999999998</v>
      </c>
      <c r="H2883" s="643">
        <f>141999983.73/100000000</f>
        <v>1.4199998372999998</v>
      </c>
      <c r="I2883" s="687"/>
    </row>
    <row r="2884" spans="1:56">
      <c r="C2884" s="1512"/>
      <c r="D2884" s="647">
        <v>29.3</v>
      </c>
      <c r="E2884" s="643">
        <v>1.42</v>
      </c>
      <c r="F2884" s="645"/>
      <c r="G2884" s="708"/>
      <c r="H2884" s="645"/>
    </row>
    <row r="2885" spans="1:56">
      <c r="C2885" s="1512"/>
      <c r="D2885" s="647">
        <v>29.15</v>
      </c>
      <c r="E2885" s="643">
        <v>1.42</v>
      </c>
      <c r="F2885" s="645"/>
      <c r="G2885" s="708"/>
      <c r="H2885" s="645"/>
    </row>
    <row r="2886" spans="1:56">
      <c r="C2886" s="1512" t="s">
        <v>1072</v>
      </c>
      <c r="D2886" s="647">
        <v>30.5</v>
      </c>
      <c r="E2886" s="643">
        <v>1.64</v>
      </c>
      <c r="F2886" s="645"/>
      <c r="G2886" s="709">
        <f>5649328/10000</f>
        <v>564.93280000000004</v>
      </c>
      <c r="H2886" s="643">
        <f>163999991.84/100000000</f>
        <v>1.6399999184</v>
      </c>
      <c r="I2886" s="687"/>
    </row>
    <row r="2887" spans="1:56">
      <c r="C2887" s="1512"/>
      <c r="D2887" s="647">
        <v>30.2</v>
      </c>
      <c r="E2887" s="643">
        <v>1.64</v>
      </c>
      <c r="F2887" s="645"/>
      <c r="G2887" s="708"/>
      <c r="H2887" s="645"/>
    </row>
    <row r="2888" spans="1:56">
      <c r="C2888" s="1512"/>
      <c r="D2888" s="647">
        <v>29.1</v>
      </c>
      <c r="E2888" s="643">
        <v>1.64</v>
      </c>
      <c r="F2888" s="645"/>
      <c r="G2888" s="708"/>
      <c r="H2888" s="645"/>
    </row>
    <row r="2889" spans="1:56">
      <c r="C2889" s="1512" t="s">
        <v>115</v>
      </c>
      <c r="D2889" s="647">
        <v>29.03</v>
      </c>
      <c r="E2889" s="643">
        <v>1.65</v>
      </c>
      <c r="F2889" s="645"/>
      <c r="G2889" s="709">
        <f>2215986/10000</f>
        <v>221.5986</v>
      </c>
      <c r="H2889" s="643">
        <f>64330073.58/100000000</f>
        <v>0.64330073580000002</v>
      </c>
      <c r="I2889" s="687"/>
    </row>
    <row r="2890" spans="1:56">
      <c r="C2890" s="1512"/>
      <c r="D2890" s="647">
        <v>28.5</v>
      </c>
      <c r="E2890" s="643">
        <v>2.14</v>
      </c>
      <c r="F2890" s="645"/>
      <c r="G2890" s="645"/>
      <c r="H2890" s="645"/>
    </row>
    <row r="2891" spans="1:56" ht="15" customHeight="1">
      <c r="C2891" s="1512"/>
      <c r="D2891" s="647">
        <v>28.02</v>
      </c>
      <c r="E2891" s="643">
        <v>2.82</v>
      </c>
      <c r="F2891" s="645"/>
      <c r="G2891" s="645"/>
      <c r="H2891" s="645"/>
    </row>
    <row r="2892" spans="1:56">
      <c r="C2892" s="646" t="s">
        <v>128</v>
      </c>
      <c r="D2892" s="647">
        <v>28.01</v>
      </c>
      <c r="E2892" s="643">
        <v>0.96</v>
      </c>
      <c r="F2892" s="645"/>
      <c r="G2892" s="645"/>
      <c r="H2892" s="645"/>
    </row>
    <row r="2894" spans="1:56" s="663" customFormat="1">
      <c r="A2894" s="663" t="s">
        <v>2861</v>
      </c>
      <c r="B2894" s="665" t="s">
        <v>2036</v>
      </c>
      <c r="C2894" s="667" t="s">
        <v>126</v>
      </c>
      <c r="D2894" s="667" t="s">
        <v>1583</v>
      </c>
      <c r="E2894" s="667" t="s">
        <v>4</v>
      </c>
      <c r="F2894" s="667" t="s">
        <v>2860</v>
      </c>
      <c r="G2894" s="667" t="s">
        <v>2859</v>
      </c>
      <c r="H2894" s="667" t="s">
        <v>2858</v>
      </c>
      <c r="I2894" s="667" t="s">
        <v>751</v>
      </c>
      <c r="J2894" s="665" t="s">
        <v>274</v>
      </c>
      <c r="K2894" s="665" t="s">
        <v>273</v>
      </c>
      <c r="L2894" s="665" t="s">
        <v>116</v>
      </c>
      <c r="M2894" s="668" t="s">
        <v>110</v>
      </c>
      <c r="N2894" s="665" t="s">
        <v>276</v>
      </c>
      <c r="O2894" s="667" t="s">
        <v>1311</v>
      </c>
      <c r="P2894" s="665" t="s">
        <v>275</v>
      </c>
      <c r="Q2894" s="665" t="s">
        <v>111</v>
      </c>
      <c r="R2894" s="665" t="s">
        <v>2857</v>
      </c>
      <c r="S2894" s="665" t="s">
        <v>747</v>
      </c>
      <c r="T2894" s="667" t="s">
        <v>12</v>
      </c>
      <c r="U2894" s="666" t="s">
        <v>948</v>
      </c>
      <c r="V2894" s="665" t="s">
        <v>129</v>
      </c>
      <c r="W2894" s="665" t="s">
        <v>220</v>
      </c>
      <c r="X2894" s="665" t="s">
        <v>749</v>
      </c>
      <c r="Y2894" s="665" t="s">
        <v>750</v>
      </c>
      <c r="Z2894" s="665" t="s">
        <v>748</v>
      </c>
      <c r="BB2894" s="664"/>
      <c r="BD2894" s="664"/>
    </row>
    <row r="2895" spans="1:56">
      <c r="A2895" s="642" t="s">
        <v>2078</v>
      </c>
      <c r="B2895" s="1436">
        <v>185</v>
      </c>
      <c r="C2895" s="1437" t="s">
        <v>2177</v>
      </c>
      <c r="D2895" s="662" t="s">
        <v>2176</v>
      </c>
      <c r="E2895" s="662" t="s">
        <v>2175</v>
      </c>
      <c r="F2895" s="661">
        <v>29.8</v>
      </c>
      <c r="G2895" s="660">
        <v>29.8</v>
      </c>
      <c r="H2895" s="659">
        <f>L2895*R2895</f>
        <v>267.57039283</v>
      </c>
      <c r="I2895" s="656">
        <f>F2895/H2895</f>
        <v>0.11137256138399937</v>
      </c>
      <c r="J2895" s="658" t="s">
        <v>2885</v>
      </c>
      <c r="K2895" s="645" t="s">
        <v>2174</v>
      </c>
      <c r="L2895" s="645">
        <v>15.08</v>
      </c>
      <c r="M2895" s="674">
        <v>12.42</v>
      </c>
      <c r="N2895" s="653">
        <f>M2895/L2895</f>
        <v>0.82360742705570289</v>
      </c>
      <c r="O2895" s="656">
        <v>14.2</v>
      </c>
      <c r="P2895" s="653">
        <f>O2895/L2895</f>
        <v>0.94164456233421745</v>
      </c>
      <c r="Q2895" s="645">
        <v>8</v>
      </c>
      <c r="R2895" s="653">
        <v>17.74339475</v>
      </c>
      <c r="S2895" s="645" t="s">
        <v>2173</v>
      </c>
      <c r="T2895" s="654">
        <v>42986</v>
      </c>
      <c r="U2895" s="645">
        <v>22.78</v>
      </c>
      <c r="V2895" s="653">
        <f>((U2895*(1+X2895/10)+Y2895/10)/O2895)</f>
        <v>1.6112676056338031</v>
      </c>
      <c r="W2895" s="645" t="s">
        <v>2123</v>
      </c>
      <c r="X2895" s="645">
        <v>0</v>
      </c>
      <c r="Y2895" s="645">
        <v>1</v>
      </c>
      <c r="Z2895" s="652" t="s">
        <v>2172</v>
      </c>
      <c r="BB2895" s="651"/>
      <c r="BD2895" s="650"/>
    </row>
    <row r="2896" spans="1:56" ht="15" customHeight="1">
      <c r="C2896" s="648" t="s">
        <v>112</v>
      </c>
      <c r="D2896" s="648" t="s">
        <v>113</v>
      </c>
      <c r="E2896" s="648" t="s">
        <v>943</v>
      </c>
      <c r="F2896" s="649" t="s">
        <v>411</v>
      </c>
      <c r="G2896" s="649" t="s">
        <v>942</v>
      </c>
      <c r="H2896" s="648" t="s">
        <v>231</v>
      </c>
    </row>
    <row r="2897" spans="3:8" ht="28">
      <c r="C2897" s="673" t="s">
        <v>3290</v>
      </c>
      <c r="D2897" s="647">
        <v>14.2</v>
      </c>
      <c r="E2897" s="643">
        <v>6</v>
      </c>
      <c r="F2897" s="645"/>
      <c r="G2897" s="653">
        <v>3676.0565999999999</v>
      </c>
      <c r="H2897" s="653">
        <v>5.22</v>
      </c>
    </row>
    <row r="2898" spans="3:8">
      <c r="C2898" s="646" t="s">
        <v>584</v>
      </c>
      <c r="D2898" s="647">
        <v>15.3</v>
      </c>
      <c r="E2898" s="643">
        <v>3</v>
      </c>
      <c r="F2898" s="645"/>
      <c r="G2898" s="647">
        <v>2112.6759999999999</v>
      </c>
      <c r="H2898" s="647">
        <f>299999992/100000000</f>
        <v>2.99999992</v>
      </c>
    </row>
    <row r="2899" spans="3:8">
      <c r="C2899" s="646" t="s">
        <v>309</v>
      </c>
      <c r="D2899" s="647">
        <v>14.7</v>
      </c>
      <c r="E2899" s="643">
        <v>3</v>
      </c>
      <c r="F2899" s="645"/>
      <c r="G2899" s="647">
        <v>2112.6759999999999</v>
      </c>
      <c r="H2899" s="647">
        <f>299999992/100000000</f>
        <v>2.99999992</v>
      </c>
    </row>
    <row r="2900" spans="3:8">
      <c r="C2900" s="1512" t="s">
        <v>3289</v>
      </c>
      <c r="D2900" s="647">
        <v>14.1</v>
      </c>
      <c r="E2900" s="643">
        <v>4.2</v>
      </c>
      <c r="F2900" s="645"/>
      <c r="G2900" s="653"/>
      <c r="H2900" s="653"/>
    </row>
    <row r="2901" spans="3:8">
      <c r="C2901" s="1512"/>
      <c r="D2901" s="647">
        <v>13.5</v>
      </c>
      <c r="E2901" s="643">
        <v>4.8</v>
      </c>
      <c r="F2901" s="645"/>
      <c r="G2901" s="653"/>
      <c r="H2901" s="653"/>
    </row>
    <row r="2902" spans="3:8" ht="15" customHeight="1">
      <c r="C2902" s="1512"/>
      <c r="D2902" s="647">
        <v>12.9</v>
      </c>
      <c r="E2902" s="643">
        <v>6.1</v>
      </c>
      <c r="F2902" s="645"/>
      <c r="G2902" s="653"/>
      <c r="H2902" s="653"/>
    </row>
    <row r="2903" spans="3:8">
      <c r="C2903" s="1512" t="s">
        <v>173</v>
      </c>
      <c r="D2903" s="647">
        <v>13.6</v>
      </c>
      <c r="E2903" s="643">
        <v>3</v>
      </c>
      <c r="F2903" s="645"/>
      <c r="G2903" s="653"/>
      <c r="H2903" s="653"/>
    </row>
    <row r="2904" spans="3:8">
      <c r="C2904" s="1512"/>
      <c r="D2904" s="647">
        <v>13.2</v>
      </c>
      <c r="E2904" s="643">
        <v>3.5</v>
      </c>
      <c r="F2904" s="645"/>
      <c r="G2904" s="653"/>
      <c r="H2904" s="653"/>
    </row>
    <row r="2905" spans="3:8">
      <c r="C2905" s="646" t="s">
        <v>316</v>
      </c>
      <c r="D2905" s="647">
        <v>12.5</v>
      </c>
      <c r="E2905" s="643">
        <v>3</v>
      </c>
      <c r="F2905" s="645"/>
      <c r="G2905" s="653"/>
      <c r="H2905" s="653"/>
    </row>
    <row r="2906" spans="3:8">
      <c r="C2906" s="673"/>
      <c r="D2906" s="647">
        <v>14.6</v>
      </c>
      <c r="E2906" s="643">
        <v>3</v>
      </c>
      <c r="F2906" s="645"/>
      <c r="G2906" s="653"/>
      <c r="H2906" s="653"/>
    </row>
    <row r="2907" spans="3:8">
      <c r="C2907" s="646" t="s">
        <v>1044</v>
      </c>
      <c r="D2907" s="647">
        <v>13.9</v>
      </c>
      <c r="E2907" s="643">
        <v>3</v>
      </c>
      <c r="F2907" s="645"/>
      <c r="G2907" s="647">
        <v>2112.6759999999999</v>
      </c>
      <c r="H2907" s="647">
        <f>299999992/100000000</f>
        <v>2.99999992</v>
      </c>
    </row>
    <row r="2908" spans="3:8">
      <c r="C2908" s="673"/>
      <c r="D2908" s="647">
        <v>13.6</v>
      </c>
      <c r="E2908" s="643">
        <v>3</v>
      </c>
      <c r="F2908" s="645"/>
      <c r="G2908" s="653"/>
      <c r="H2908" s="653"/>
    </row>
    <row r="2909" spans="3:8">
      <c r="C2909" s="673"/>
      <c r="D2909" s="647">
        <v>13.5</v>
      </c>
      <c r="E2909" s="643">
        <v>3</v>
      </c>
      <c r="F2909" s="645"/>
      <c r="G2909" s="653"/>
      <c r="H2909" s="653"/>
    </row>
    <row r="2910" spans="3:8">
      <c r="C2910" s="646" t="s">
        <v>115</v>
      </c>
      <c r="D2910" s="647">
        <v>13.1</v>
      </c>
      <c r="E2910" s="643">
        <v>4.57</v>
      </c>
      <c r="F2910" s="645"/>
      <c r="G2910" s="653"/>
      <c r="H2910" s="653"/>
    </row>
    <row r="2911" spans="3:8">
      <c r="C2911" s="673"/>
      <c r="D2911" s="647">
        <v>12.5</v>
      </c>
      <c r="E2911" s="643">
        <v>5.71</v>
      </c>
      <c r="F2911" s="645"/>
      <c r="G2911" s="653"/>
      <c r="H2911" s="653"/>
    </row>
    <row r="2912" spans="3:8">
      <c r="C2912" s="646" t="s">
        <v>522</v>
      </c>
      <c r="D2912" s="647">
        <v>12.42</v>
      </c>
      <c r="E2912" s="643">
        <v>3</v>
      </c>
      <c r="F2912" s="645"/>
      <c r="G2912" s="653"/>
      <c r="H2912" s="653"/>
    </row>
    <row r="2913" spans="1:56">
      <c r="C2913" s="646" t="s">
        <v>371</v>
      </c>
      <c r="D2913" s="647">
        <v>14.6</v>
      </c>
      <c r="E2913" s="643">
        <v>3.01</v>
      </c>
      <c r="F2913" s="645"/>
      <c r="G2913" s="647">
        <v>2119.7183</v>
      </c>
      <c r="H2913" s="647">
        <f>300999998.6/100000000</f>
        <v>3.0099999860000004</v>
      </c>
    </row>
    <row r="2914" spans="1:56">
      <c r="C2914" s="673"/>
      <c r="D2914" s="647">
        <v>14.3</v>
      </c>
      <c r="E2914" s="643">
        <v>4.07</v>
      </c>
      <c r="F2914" s="645"/>
      <c r="G2914" s="653"/>
      <c r="H2914" s="653"/>
    </row>
    <row r="2915" spans="1:56">
      <c r="C2915" s="646" t="s">
        <v>225</v>
      </c>
      <c r="D2915" s="647">
        <v>13.3</v>
      </c>
      <c r="E2915" s="643">
        <v>7.95</v>
      </c>
      <c r="F2915" s="645"/>
      <c r="G2915" s="647">
        <v>2866.1970999999999</v>
      </c>
      <c r="H2915" s="647">
        <v>4.0699899999999998</v>
      </c>
    </row>
    <row r="2916" spans="1:56">
      <c r="C2916" s="673"/>
      <c r="D2916" s="647">
        <v>12.6</v>
      </c>
      <c r="E2916" s="643">
        <v>10</v>
      </c>
      <c r="F2916" s="645"/>
      <c r="G2916" s="653"/>
      <c r="H2916" s="653"/>
    </row>
    <row r="2917" spans="1:56">
      <c r="C2917" s="646" t="s">
        <v>277</v>
      </c>
      <c r="D2917" s="647">
        <v>13.6</v>
      </c>
      <c r="E2917" s="643">
        <v>6</v>
      </c>
      <c r="F2917" s="645"/>
      <c r="G2917" s="653"/>
      <c r="H2917" s="653"/>
    </row>
    <row r="2918" spans="1:56">
      <c r="C2918" s="673"/>
      <c r="D2918" s="647">
        <v>14.8</v>
      </c>
      <c r="E2918" s="643">
        <v>3</v>
      </c>
      <c r="F2918" s="645"/>
      <c r="G2918" s="653"/>
      <c r="H2918" s="653"/>
    </row>
    <row r="2919" spans="1:56">
      <c r="C2919" s="646" t="s">
        <v>1148</v>
      </c>
      <c r="D2919" s="647">
        <v>14.6</v>
      </c>
      <c r="E2919" s="643">
        <v>3</v>
      </c>
      <c r="F2919" s="645"/>
      <c r="G2919" s="647">
        <v>2112.6759999999999</v>
      </c>
      <c r="H2919" s="647">
        <f>299999992/100000000</f>
        <v>2.99999992</v>
      </c>
    </row>
    <row r="2920" spans="1:56">
      <c r="C2920" s="673"/>
      <c r="D2920" s="727">
        <v>14.5</v>
      </c>
      <c r="E2920" s="726">
        <v>3</v>
      </c>
      <c r="F2920" s="645"/>
      <c r="G2920" s="653"/>
      <c r="H2920" s="653"/>
    </row>
    <row r="2921" spans="1:56" ht="32" customHeight="1">
      <c r="C2921" s="1527" t="s">
        <v>3288</v>
      </c>
      <c r="D2921" s="647">
        <v>14.1</v>
      </c>
      <c r="E2921" s="643">
        <v>3</v>
      </c>
      <c r="F2921" s="645"/>
      <c r="G2921" s="653"/>
      <c r="H2921" s="653"/>
    </row>
    <row r="2922" spans="1:56">
      <c r="C2922" s="1528"/>
      <c r="D2922" s="647">
        <v>15.1</v>
      </c>
      <c r="E2922" s="643">
        <v>5.5</v>
      </c>
      <c r="F2922" s="645"/>
      <c r="G2922" s="653"/>
      <c r="H2922" s="653"/>
    </row>
    <row r="2923" spans="1:56" ht="16" customHeight="1">
      <c r="C2923" s="1518" t="s">
        <v>3287</v>
      </c>
      <c r="D2923" s="725">
        <v>14.9</v>
      </c>
      <c r="E2923" s="724">
        <v>5.5</v>
      </c>
      <c r="F2923" s="645"/>
      <c r="G2923" s="647">
        <v>3873.2393999999999</v>
      </c>
      <c r="H2923" s="647">
        <f>549999994.8/100000000</f>
        <v>5.4999999479999993</v>
      </c>
    </row>
    <row r="2924" spans="1:56">
      <c r="C2924" s="1520"/>
      <c r="D2924" s="647">
        <v>14.6</v>
      </c>
      <c r="E2924" s="643">
        <v>5.5</v>
      </c>
      <c r="F2924" s="645"/>
      <c r="G2924" s="645"/>
      <c r="H2924" s="645"/>
    </row>
    <row r="2926" spans="1:56" s="663" customFormat="1">
      <c r="A2926" s="663" t="s">
        <v>2861</v>
      </c>
      <c r="B2926" s="665" t="s">
        <v>2036</v>
      </c>
      <c r="C2926" s="667" t="s">
        <v>126</v>
      </c>
      <c r="D2926" s="667" t="s">
        <v>1583</v>
      </c>
      <c r="E2926" s="667" t="s">
        <v>4</v>
      </c>
      <c r="F2926" s="667" t="s">
        <v>2860</v>
      </c>
      <c r="G2926" s="667" t="s">
        <v>2859</v>
      </c>
      <c r="H2926" s="667" t="s">
        <v>2858</v>
      </c>
      <c r="I2926" s="667" t="s">
        <v>751</v>
      </c>
      <c r="J2926" s="665" t="s">
        <v>274</v>
      </c>
      <c r="K2926" s="665" t="s">
        <v>273</v>
      </c>
      <c r="L2926" s="665" t="s">
        <v>116</v>
      </c>
      <c r="M2926" s="668" t="s">
        <v>110</v>
      </c>
      <c r="N2926" s="665" t="s">
        <v>276</v>
      </c>
      <c r="O2926" s="667" t="s">
        <v>1311</v>
      </c>
      <c r="P2926" s="665" t="s">
        <v>275</v>
      </c>
      <c r="Q2926" s="665" t="s">
        <v>111</v>
      </c>
      <c r="R2926" s="665" t="s">
        <v>2857</v>
      </c>
      <c r="S2926" s="665" t="s">
        <v>747</v>
      </c>
      <c r="T2926" s="667" t="s">
        <v>12</v>
      </c>
      <c r="U2926" s="666" t="s">
        <v>948</v>
      </c>
      <c r="V2926" s="665" t="s">
        <v>129</v>
      </c>
      <c r="W2926" s="665" t="s">
        <v>220</v>
      </c>
      <c r="X2926" s="665" t="s">
        <v>749</v>
      </c>
      <c r="Y2926" s="665" t="s">
        <v>750</v>
      </c>
      <c r="Z2926" s="665" t="s">
        <v>748</v>
      </c>
      <c r="BB2926" s="664"/>
      <c r="BD2926" s="664"/>
    </row>
    <row r="2927" spans="1:56">
      <c r="A2927" s="642" t="s">
        <v>2078</v>
      </c>
      <c r="B2927" s="1436">
        <v>186</v>
      </c>
      <c r="C2927" s="1437" t="s">
        <v>2171</v>
      </c>
      <c r="D2927" s="662" t="s">
        <v>2170</v>
      </c>
      <c r="E2927" s="662" t="s">
        <v>2169</v>
      </c>
      <c r="F2927" s="661">
        <v>7.25</v>
      </c>
      <c r="G2927" s="660">
        <v>7.25</v>
      </c>
      <c r="H2927" s="659">
        <f>L2927*R2927</f>
        <v>309.10381911919995</v>
      </c>
      <c r="I2927" s="656">
        <f>F2927/H2927</f>
        <v>2.3454902694696814E-2</v>
      </c>
      <c r="J2927" s="658" t="s">
        <v>2899</v>
      </c>
      <c r="K2927" s="645" t="s">
        <v>2089</v>
      </c>
      <c r="L2927" s="645">
        <v>20.079999999999998</v>
      </c>
      <c r="M2927" s="674">
        <v>16.170000000000002</v>
      </c>
      <c r="N2927" s="653">
        <f>M2927/L2927</f>
        <v>0.80527888446215157</v>
      </c>
      <c r="O2927" s="656">
        <v>17.39</v>
      </c>
      <c r="P2927" s="653">
        <f>O2927/L2927</f>
        <v>0.8660358565737053</v>
      </c>
      <c r="Q2927" s="645">
        <v>8</v>
      </c>
      <c r="R2927" s="653">
        <v>15.393616489999999</v>
      </c>
      <c r="S2927" s="645" t="s">
        <v>2168</v>
      </c>
      <c r="T2927" s="654">
        <v>42989</v>
      </c>
      <c r="U2927" s="645">
        <v>3.06</v>
      </c>
      <c r="V2927" s="653">
        <f>((U2927*(1+X2927/10)+Y2927/10)/O2927)</f>
        <v>0.61799884991374365</v>
      </c>
      <c r="W2927" s="645" t="s">
        <v>2167</v>
      </c>
      <c r="X2927" s="645">
        <v>25</v>
      </c>
      <c r="Y2927" s="645">
        <v>0.37</v>
      </c>
      <c r="Z2927" s="652" t="s">
        <v>2166</v>
      </c>
      <c r="BB2927" s="651"/>
      <c r="BD2927" s="650"/>
    </row>
    <row r="2928" spans="1:56">
      <c r="C2928" s="648" t="s">
        <v>112</v>
      </c>
      <c r="D2928" s="648" t="s">
        <v>113</v>
      </c>
      <c r="E2928" s="648" t="s">
        <v>943</v>
      </c>
      <c r="F2928" s="649" t="s">
        <v>411</v>
      </c>
      <c r="G2928" s="649" t="s">
        <v>942</v>
      </c>
      <c r="H2928" s="648" t="s">
        <v>231</v>
      </c>
    </row>
    <row r="2929" spans="3:8">
      <c r="C2929" s="646" t="s">
        <v>3286</v>
      </c>
      <c r="D2929" s="647">
        <v>17.39</v>
      </c>
      <c r="E2929" s="643">
        <v>0.73038000000000003</v>
      </c>
      <c r="F2929" s="645"/>
      <c r="G2929" s="644">
        <v>65.270499999999998</v>
      </c>
      <c r="H2929" s="643">
        <f>11350539.95/100000000</f>
        <v>0.11350539949999999</v>
      </c>
    </row>
    <row r="2930" spans="3:8">
      <c r="C2930" s="646" t="s">
        <v>3285</v>
      </c>
      <c r="D2930" s="647">
        <v>17.5</v>
      </c>
      <c r="E2930" s="643">
        <v>0.85</v>
      </c>
      <c r="F2930" s="645"/>
      <c r="G2930" s="644">
        <v>488.78660000000002</v>
      </c>
      <c r="H2930" s="643">
        <f>84999989.74/100000000</f>
        <v>0.84999989739999993</v>
      </c>
    </row>
    <row r="2931" spans="3:8">
      <c r="C2931" s="646"/>
      <c r="D2931" s="647">
        <v>16.850000000000001</v>
      </c>
      <c r="E2931" s="643">
        <v>0.86</v>
      </c>
      <c r="F2931" s="645"/>
      <c r="G2931" s="645"/>
      <c r="H2931" s="645"/>
    </row>
    <row r="2932" spans="3:8">
      <c r="C2932" s="646"/>
      <c r="D2932" s="647">
        <v>16.2</v>
      </c>
      <c r="E2932" s="643">
        <v>0.97</v>
      </c>
      <c r="F2932" s="645"/>
      <c r="G2932" s="645"/>
      <c r="H2932" s="645"/>
    </row>
    <row r="2933" spans="3:8">
      <c r="C2933" s="646" t="s">
        <v>3284</v>
      </c>
      <c r="D2933" s="647">
        <v>18</v>
      </c>
      <c r="E2933" s="643">
        <v>0.72499999999999998</v>
      </c>
      <c r="F2933" s="645"/>
      <c r="G2933" s="644">
        <v>416.90620000000001</v>
      </c>
      <c r="H2933" s="643">
        <f>72499988.18/100000000</f>
        <v>0.72499988180000008</v>
      </c>
    </row>
    <row r="2934" spans="3:8">
      <c r="C2934" s="646" t="s">
        <v>3283</v>
      </c>
      <c r="D2934" s="647">
        <v>18.059999999999999</v>
      </c>
      <c r="E2934" s="643">
        <v>1.3057379999999998</v>
      </c>
      <c r="F2934" s="645"/>
      <c r="G2934" s="644">
        <v>750.85559999999998</v>
      </c>
      <c r="H2934" s="643">
        <f>130573788.84/100000000</f>
        <v>1.3057378883999999</v>
      </c>
    </row>
    <row r="2935" spans="3:8">
      <c r="C2935" s="646"/>
      <c r="D2935" s="647">
        <v>17.059999999999999</v>
      </c>
      <c r="E2935" s="643">
        <v>2.367928</v>
      </c>
      <c r="F2935" s="645"/>
      <c r="G2935" s="645"/>
      <c r="H2935" s="645"/>
    </row>
    <row r="2936" spans="3:8">
      <c r="C2936" s="646" t="s">
        <v>3282</v>
      </c>
      <c r="D2936" s="647">
        <v>18.5</v>
      </c>
      <c r="E2936" s="643">
        <v>0.72501499999999997</v>
      </c>
      <c r="F2936" s="645"/>
      <c r="G2936" s="644">
        <v>934.44920000000002</v>
      </c>
      <c r="H2936" s="643">
        <f>162500715.88/100000000</f>
        <v>1.6250071587999999</v>
      </c>
    </row>
    <row r="2937" spans="3:8">
      <c r="C2937" s="646"/>
      <c r="D2937" s="647">
        <v>18.02</v>
      </c>
      <c r="E2937" s="643">
        <v>1.6250069999999999</v>
      </c>
      <c r="F2937" s="645"/>
      <c r="G2937" s="645"/>
      <c r="H2937" s="645"/>
    </row>
    <row r="2938" spans="3:8">
      <c r="C2938" s="646"/>
      <c r="D2938" s="647">
        <v>16.22</v>
      </c>
      <c r="E2938" s="643">
        <v>2.999994</v>
      </c>
      <c r="F2938" s="645"/>
      <c r="G2938" s="645"/>
      <c r="H2938" s="645"/>
    </row>
    <row r="2939" spans="3:8">
      <c r="C2939" s="646" t="s">
        <v>3281</v>
      </c>
      <c r="D2939" s="647">
        <v>16.89</v>
      </c>
      <c r="E2939" s="643">
        <v>0.72626999999999997</v>
      </c>
      <c r="F2939" s="645"/>
      <c r="G2939" s="645"/>
      <c r="H2939" s="645"/>
    </row>
    <row r="2940" spans="3:8">
      <c r="C2940" s="646" t="s">
        <v>3280</v>
      </c>
      <c r="D2940" s="647">
        <v>17.670000000000002</v>
      </c>
      <c r="E2940" s="643">
        <v>0.72499999999999998</v>
      </c>
      <c r="F2940" s="645"/>
      <c r="G2940" s="644">
        <v>416.90620000000001</v>
      </c>
      <c r="H2940" s="643">
        <f>72499988.18/100000000</f>
        <v>0.72499988180000008</v>
      </c>
    </row>
    <row r="2941" spans="3:8">
      <c r="C2941" s="646"/>
      <c r="D2941" s="647">
        <v>17.059999999999999</v>
      </c>
      <c r="E2941" s="643">
        <v>0.82499999999999996</v>
      </c>
      <c r="F2941" s="645"/>
      <c r="G2941" s="645"/>
      <c r="H2941" s="645"/>
    </row>
    <row r="2942" spans="3:8">
      <c r="C2942" s="646"/>
      <c r="D2942" s="647">
        <v>16.46</v>
      </c>
      <c r="E2942" s="643">
        <v>0.92500000000000004</v>
      </c>
      <c r="F2942" s="645"/>
      <c r="G2942" s="645"/>
      <c r="H2942" s="645"/>
    </row>
    <row r="2943" spans="3:8">
      <c r="C2943" s="646" t="s">
        <v>3279</v>
      </c>
      <c r="D2943" s="647">
        <v>18.059999999999999</v>
      </c>
      <c r="E2943" s="643">
        <v>0.99871799999999999</v>
      </c>
      <c r="F2943" s="645"/>
      <c r="G2943" s="644">
        <v>678.26329999999996</v>
      </c>
      <c r="H2943" s="643">
        <f>117949987.87/100000000</f>
        <v>1.1794998786999999</v>
      </c>
    </row>
    <row r="2944" spans="3:8">
      <c r="C2944" s="646"/>
      <c r="D2944" s="647">
        <v>17.5</v>
      </c>
      <c r="E2944" s="643">
        <v>1.1795</v>
      </c>
      <c r="F2944" s="645"/>
      <c r="G2944" s="645"/>
      <c r="H2944" s="645"/>
    </row>
    <row r="2945" spans="1:56">
      <c r="C2945" s="646"/>
      <c r="D2945" s="647">
        <v>16.899999999999999</v>
      </c>
      <c r="E2945" s="643">
        <v>2.0330699999999999</v>
      </c>
      <c r="F2945" s="645"/>
      <c r="G2945" s="645"/>
      <c r="H2945" s="645"/>
    </row>
    <row r="2946" spans="1:56">
      <c r="C2946" s="646" t="s">
        <v>3278</v>
      </c>
      <c r="D2946" s="647">
        <v>17.5</v>
      </c>
      <c r="E2946" s="647">
        <v>0.72624999999999995</v>
      </c>
      <c r="F2946" s="645"/>
      <c r="G2946" s="644">
        <v>417.625</v>
      </c>
      <c r="H2946" s="643">
        <f>72624987.5/100000000</f>
        <v>0.72624987500000004</v>
      </c>
    </row>
    <row r="2947" spans="1:56">
      <c r="C2947" s="646" t="s">
        <v>3071</v>
      </c>
      <c r="D2947" s="647">
        <v>16.18</v>
      </c>
      <c r="E2947" s="643">
        <v>1.5891740000000001</v>
      </c>
      <c r="F2947" s="645"/>
      <c r="G2947" s="645"/>
      <c r="H2947" s="645"/>
    </row>
    <row r="2948" spans="1:56">
      <c r="C2948" s="646" t="s">
        <v>3277</v>
      </c>
      <c r="D2948" s="647">
        <v>16.510000000000002</v>
      </c>
      <c r="E2948" s="643">
        <v>1.1061700000000001</v>
      </c>
      <c r="F2948" s="645"/>
      <c r="G2948" s="645"/>
      <c r="H2948" s="645"/>
    </row>
    <row r="2950" spans="1:56" s="663" customFormat="1">
      <c r="A2950" s="663" t="s">
        <v>2861</v>
      </c>
      <c r="B2950" s="665" t="s">
        <v>2036</v>
      </c>
      <c r="C2950" s="667" t="s">
        <v>126</v>
      </c>
      <c r="D2950" s="667" t="s">
        <v>1583</v>
      </c>
      <c r="E2950" s="667" t="s">
        <v>4</v>
      </c>
      <c r="F2950" s="667" t="s">
        <v>2860</v>
      </c>
      <c r="G2950" s="667" t="s">
        <v>2859</v>
      </c>
      <c r="H2950" s="667" t="s">
        <v>2858</v>
      </c>
      <c r="I2950" s="667" t="s">
        <v>751</v>
      </c>
      <c r="J2950" s="665" t="s">
        <v>274</v>
      </c>
      <c r="K2950" s="665" t="s">
        <v>273</v>
      </c>
      <c r="L2950" s="665" t="s">
        <v>116</v>
      </c>
      <c r="M2950" s="668" t="s">
        <v>110</v>
      </c>
      <c r="N2950" s="665" t="s">
        <v>276</v>
      </c>
      <c r="O2950" s="667" t="s">
        <v>1311</v>
      </c>
      <c r="P2950" s="665" t="s">
        <v>275</v>
      </c>
      <c r="Q2950" s="665" t="s">
        <v>111</v>
      </c>
      <c r="R2950" s="665" t="s">
        <v>2857</v>
      </c>
      <c r="S2950" s="665" t="s">
        <v>747</v>
      </c>
      <c r="T2950" s="667" t="s">
        <v>12</v>
      </c>
      <c r="U2950" s="666" t="s">
        <v>948</v>
      </c>
      <c r="V2950" s="665" t="s">
        <v>129</v>
      </c>
      <c r="W2950" s="665" t="s">
        <v>220</v>
      </c>
      <c r="X2950" s="665" t="s">
        <v>749</v>
      </c>
      <c r="Y2950" s="665" t="s">
        <v>750</v>
      </c>
      <c r="Z2950" s="665" t="s">
        <v>748</v>
      </c>
      <c r="BB2950" s="664"/>
      <c r="BD2950" s="664"/>
    </row>
    <row r="2951" spans="1:56">
      <c r="A2951" s="642" t="s">
        <v>2078</v>
      </c>
      <c r="B2951" s="1436">
        <v>187</v>
      </c>
      <c r="C2951" s="1437" t="s">
        <v>2165</v>
      </c>
      <c r="D2951" s="662" t="s">
        <v>2164</v>
      </c>
      <c r="E2951" s="662" t="s">
        <v>2163</v>
      </c>
      <c r="F2951" s="661">
        <v>12</v>
      </c>
      <c r="G2951" s="660">
        <v>12</v>
      </c>
      <c r="H2951" s="659">
        <f>L2951*R2951</f>
        <v>75.984895999999992</v>
      </c>
      <c r="I2951" s="656">
        <f>F2951/H2951</f>
        <v>0.15792612258099295</v>
      </c>
      <c r="J2951" s="658" t="s">
        <v>2900</v>
      </c>
      <c r="K2951" s="645" t="s">
        <v>2089</v>
      </c>
      <c r="L2951" s="645">
        <v>14.27</v>
      </c>
      <c r="M2951" s="674">
        <v>10.97</v>
      </c>
      <c r="N2951" s="653">
        <f>M2951/L2951</f>
        <v>0.7687456201822005</v>
      </c>
      <c r="O2951" s="656">
        <v>12.69</v>
      </c>
      <c r="P2951" s="653">
        <f>O2951/L2951</f>
        <v>0.88927820602662933</v>
      </c>
      <c r="Q2951" s="645">
        <v>7</v>
      </c>
      <c r="R2951" s="653">
        <v>5.3247999999999998</v>
      </c>
      <c r="S2951" s="645" t="s">
        <v>2162</v>
      </c>
      <c r="T2951" s="654">
        <v>42989</v>
      </c>
      <c r="U2951" s="645">
        <v>10.38</v>
      </c>
      <c r="V2951" s="653">
        <f>((U2951*(1+X2951/10)+Y2951/10)/O2951)</f>
        <v>1.0712371946414501</v>
      </c>
      <c r="W2951" s="645" t="s">
        <v>2161</v>
      </c>
      <c r="X2951" s="645">
        <v>3</v>
      </c>
      <c r="Y2951" s="645">
        <v>1</v>
      </c>
      <c r="Z2951" s="652" t="s">
        <v>2160</v>
      </c>
      <c r="BB2951" s="651"/>
      <c r="BD2951" s="650"/>
    </row>
    <row r="2952" spans="1:56">
      <c r="C2952" s="648" t="s">
        <v>112</v>
      </c>
      <c r="D2952" s="648" t="s">
        <v>113</v>
      </c>
      <c r="E2952" s="648" t="s">
        <v>943</v>
      </c>
      <c r="F2952" s="649" t="s">
        <v>411</v>
      </c>
      <c r="G2952" s="649" t="s">
        <v>942</v>
      </c>
      <c r="H2952" s="648" t="s">
        <v>231</v>
      </c>
    </row>
    <row r="2953" spans="1:56">
      <c r="C2953" s="1512" t="s">
        <v>329</v>
      </c>
      <c r="D2953" s="647">
        <v>12.88</v>
      </c>
      <c r="E2953" s="643">
        <v>1.2</v>
      </c>
      <c r="F2953" s="645"/>
      <c r="G2953" s="644">
        <v>945.62639999999999</v>
      </c>
      <c r="H2953" s="643">
        <f>119999990.16/100000000</f>
        <v>1.1999999016</v>
      </c>
    </row>
    <row r="2954" spans="1:56">
      <c r="C2954" s="1512"/>
      <c r="D2954" s="647">
        <v>12.5</v>
      </c>
      <c r="E2954" s="643">
        <v>1.2</v>
      </c>
      <c r="F2954" s="645"/>
      <c r="G2954" s="645"/>
      <c r="H2954" s="645"/>
    </row>
    <row r="2955" spans="1:56">
      <c r="C2955" s="1512"/>
      <c r="D2955" s="647">
        <v>12</v>
      </c>
      <c r="E2955" s="643">
        <v>1.2</v>
      </c>
      <c r="F2955" s="645"/>
      <c r="G2955" s="645"/>
      <c r="H2955" s="645"/>
    </row>
    <row r="2956" spans="1:56">
      <c r="C2956" s="646" t="s">
        <v>955</v>
      </c>
      <c r="D2956" s="647">
        <v>11.1</v>
      </c>
      <c r="E2956" s="643">
        <v>1.2</v>
      </c>
      <c r="F2956" s="645"/>
      <c r="G2956" s="645"/>
      <c r="H2956" s="645"/>
    </row>
    <row r="2957" spans="1:56">
      <c r="C2957" s="646" t="s">
        <v>3276</v>
      </c>
      <c r="D2957" s="647">
        <v>11.7</v>
      </c>
      <c r="E2957" s="643">
        <v>1.2</v>
      </c>
      <c r="F2957" s="645"/>
      <c r="G2957" s="645"/>
      <c r="H2957" s="645"/>
    </row>
    <row r="2958" spans="1:56">
      <c r="C2958" s="1512" t="s">
        <v>128</v>
      </c>
      <c r="D2958" s="647">
        <v>11.7</v>
      </c>
      <c r="E2958" s="643">
        <v>1.2</v>
      </c>
      <c r="F2958" s="645"/>
      <c r="G2958" s="645"/>
      <c r="H2958" s="645"/>
    </row>
    <row r="2959" spans="1:56">
      <c r="C2959" s="1512"/>
      <c r="D2959" s="647">
        <v>11.05</v>
      </c>
      <c r="E2959" s="643">
        <v>1.8</v>
      </c>
      <c r="F2959" s="645"/>
      <c r="G2959" s="645"/>
      <c r="H2959" s="645"/>
    </row>
    <row r="2960" spans="1:56">
      <c r="C2960" s="1512"/>
      <c r="D2960" s="647">
        <v>10.97</v>
      </c>
      <c r="E2960" s="643">
        <v>2.4</v>
      </c>
      <c r="F2960" s="645"/>
      <c r="G2960" s="645"/>
      <c r="H2960" s="645"/>
    </row>
    <row r="2961" spans="3:8">
      <c r="C2961" s="646" t="s">
        <v>3275</v>
      </c>
      <c r="D2961" s="647">
        <v>13.72</v>
      </c>
      <c r="E2961" s="643">
        <v>1.5</v>
      </c>
      <c r="F2961" s="645"/>
      <c r="G2961" s="644">
        <v>1182.0329999999999</v>
      </c>
      <c r="H2961" s="643">
        <f>149999987.7/100000000</f>
        <v>1.4999998769999998</v>
      </c>
    </row>
    <row r="2962" spans="3:8">
      <c r="C2962" s="646" t="s">
        <v>351</v>
      </c>
      <c r="D2962" s="647">
        <v>10.99</v>
      </c>
      <c r="E2962" s="643">
        <v>1.2</v>
      </c>
      <c r="F2962" s="645"/>
      <c r="G2962" s="645"/>
      <c r="H2962" s="645"/>
    </row>
    <row r="2963" spans="3:8">
      <c r="C2963" s="646" t="s">
        <v>131</v>
      </c>
      <c r="D2963" s="647">
        <v>11.01</v>
      </c>
      <c r="E2963" s="643">
        <v>3.32</v>
      </c>
      <c r="F2963" s="645"/>
      <c r="G2963" s="645"/>
      <c r="H2963" s="645"/>
    </row>
    <row r="2964" spans="3:8">
      <c r="C2964" s="646" t="s">
        <v>629</v>
      </c>
      <c r="D2964" s="647">
        <v>14.5</v>
      </c>
      <c r="E2964" s="643">
        <v>1.2</v>
      </c>
      <c r="F2964" s="645"/>
      <c r="G2964" s="644">
        <v>945.62639999999999</v>
      </c>
      <c r="H2964" s="643">
        <f>119999990.16/100000000</f>
        <v>1.1999999016</v>
      </c>
    </row>
    <row r="2965" spans="3:8">
      <c r="C2965" s="646" t="s">
        <v>3274</v>
      </c>
      <c r="D2965" s="647">
        <v>11.18</v>
      </c>
      <c r="E2965" s="643">
        <v>1.2</v>
      </c>
      <c r="F2965" s="645"/>
      <c r="G2965" s="645"/>
      <c r="H2965" s="645"/>
    </row>
    <row r="2966" spans="3:8">
      <c r="C2966" s="646" t="s">
        <v>234</v>
      </c>
      <c r="D2966" s="647">
        <v>12.87</v>
      </c>
      <c r="E2966" s="643">
        <v>1.2</v>
      </c>
      <c r="F2966" s="645"/>
      <c r="G2966" s="644">
        <v>945.62639999999999</v>
      </c>
      <c r="H2966" s="643">
        <f>119999990.16/100000000</f>
        <v>1.1999999016</v>
      </c>
    </row>
    <row r="2967" spans="3:8">
      <c r="C2967" s="646" t="s">
        <v>146</v>
      </c>
      <c r="D2967" s="647">
        <v>11.7</v>
      </c>
      <c r="E2967" s="643">
        <v>1.2</v>
      </c>
      <c r="F2967" s="645"/>
      <c r="G2967" s="645"/>
      <c r="H2967" s="645"/>
    </row>
    <row r="2968" spans="3:8">
      <c r="C2968" s="646" t="s">
        <v>300</v>
      </c>
      <c r="D2968" s="647">
        <v>13.17</v>
      </c>
      <c r="E2968" s="643">
        <v>1.2</v>
      </c>
      <c r="F2968" s="645"/>
      <c r="G2968" s="644">
        <v>945.62639999999999</v>
      </c>
      <c r="H2968" s="643">
        <f>119999990.16/100000000</f>
        <v>1.1999999016</v>
      </c>
    </row>
    <row r="2969" spans="3:8">
      <c r="C2969" s="1512" t="s">
        <v>115</v>
      </c>
      <c r="D2969" s="647">
        <v>13.15</v>
      </c>
      <c r="E2969" s="643">
        <v>4.67</v>
      </c>
      <c r="F2969" s="645"/>
      <c r="G2969" s="644">
        <v>3680.0630000000001</v>
      </c>
      <c r="H2969" s="643">
        <f>466999994.7/100000000</f>
        <v>4.669999947</v>
      </c>
    </row>
    <row r="2970" spans="3:8">
      <c r="C2970" s="1512"/>
      <c r="D2970" s="647">
        <v>12.5</v>
      </c>
      <c r="E2970" s="643">
        <v>9.26</v>
      </c>
      <c r="F2970" s="645"/>
      <c r="G2970" s="645"/>
      <c r="H2970" s="645"/>
    </row>
    <row r="2971" spans="3:8">
      <c r="C2971" s="1512"/>
      <c r="D2971" s="647">
        <v>11.5</v>
      </c>
      <c r="E2971" s="643">
        <v>10.96</v>
      </c>
      <c r="F2971" s="645"/>
      <c r="G2971" s="645"/>
      <c r="H2971" s="645"/>
    </row>
    <row r="2972" spans="3:8">
      <c r="C2972" s="646" t="s">
        <v>311</v>
      </c>
      <c r="D2972" s="647">
        <v>11.1</v>
      </c>
      <c r="E2972" s="643">
        <v>1.2</v>
      </c>
      <c r="F2972" s="645"/>
      <c r="G2972" s="645"/>
      <c r="H2972" s="645"/>
    </row>
    <row r="2973" spans="3:8">
      <c r="C2973" s="646" t="s">
        <v>147</v>
      </c>
      <c r="D2973" s="647">
        <v>12.69</v>
      </c>
      <c r="E2973" s="643">
        <v>1.68</v>
      </c>
      <c r="F2973" s="645"/>
      <c r="G2973" s="644">
        <v>811.66309999999999</v>
      </c>
      <c r="H2973" s="643">
        <f>103000047.39/100000000</f>
        <v>1.0300004738999999</v>
      </c>
    </row>
    <row r="2974" spans="3:8">
      <c r="C2974" s="646" t="s">
        <v>138</v>
      </c>
      <c r="D2974" s="647">
        <v>12.51</v>
      </c>
      <c r="E2974" s="643">
        <v>1.3</v>
      </c>
      <c r="F2974" s="645"/>
      <c r="G2974" s="645"/>
      <c r="H2974" s="645"/>
    </row>
    <row r="2975" spans="3:8">
      <c r="C2975" s="646" t="s">
        <v>951</v>
      </c>
      <c r="D2975" s="647">
        <v>12.61</v>
      </c>
      <c r="E2975" s="643">
        <v>1.2</v>
      </c>
      <c r="F2975" s="645"/>
      <c r="G2975" s="645"/>
      <c r="H2975" s="645"/>
    </row>
    <row r="2977" spans="1:56" s="663" customFormat="1">
      <c r="A2977" s="663" t="s">
        <v>2861</v>
      </c>
      <c r="B2977" s="665" t="s">
        <v>2036</v>
      </c>
      <c r="C2977" s="667" t="s">
        <v>126</v>
      </c>
      <c r="D2977" s="667" t="s">
        <v>1583</v>
      </c>
      <c r="E2977" s="667" t="s">
        <v>4</v>
      </c>
      <c r="F2977" s="667" t="s">
        <v>2860</v>
      </c>
      <c r="G2977" s="667" t="s">
        <v>2859</v>
      </c>
      <c r="H2977" s="667" t="s">
        <v>2858</v>
      </c>
      <c r="I2977" s="667" t="s">
        <v>751</v>
      </c>
      <c r="J2977" s="665" t="s">
        <v>274</v>
      </c>
      <c r="K2977" s="665" t="s">
        <v>273</v>
      </c>
      <c r="L2977" s="665" t="s">
        <v>116</v>
      </c>
      <c r="M2977" s="665" t="s">
        <v>110</v>
      </c>
      <c r="N2977" s="665" t="s">
        <v>276</v>
      </c>
      <c r="O2977" s="667" t="s">
        <v>1311</v>
      </c>
      <c r="P2977" s="665" t="s">
        <v>275</v>
      </c>
      <c r="Q2977" s="665" t="s">
        <v>111</v>
      </c>
      <c r="R2977" s="665" t="s">
        <v>2857</v>
      </c>
      <c r="S2977" s="665" t="s">
        <v>747</v>
      </c>
      <c r="T2977" s="667" t="s">
        <v>12</v>
      </c>
      <c r="U2977" s="666" t="s">
        <v>948</v>
      </c>
      <c r="V2977" s="665" t="s">
        <v>129</v>
      </c>
      <c r="W2977" s="665" t="s">
        <v>220</v>
      </c>
      <c r="X2977" s="665" t="s">
        <v>749</v>
      </c>
      <c r="Y2977" s="665" t="s">
        <v>750</v>
      </c>
      <c r="Z2977" s="665" t="s">
        <v>748</v>
      </c>
      <c r="BB2977" s="664"/>
      <c r="BD2977" s="664"/>
    </row>
    <row r="2978" spans="1:56">
      <c r="A2978" s="642" t="s">
        <v>2078</v>
      </c>
      <c r="B2978" s="1436">
        <v>188</v>
      </c>
      <c r="C2978" s="1437" t="s">
        <v>2159</v>
      </c>
      <c r="D2978" s="662" t="s">
        <v>2158</v>
      </c>
      <c r="E2978" s="662" t="s">
        <v>2157</v>
      </c>
      <c r="F2978" s="661">
        <v>30</v>
      </c>
      <c r="G2978" s="660">
        <v>30</v>
      </c>
      <c r="H2978" s="659">
        <f>L2978*R2978</f>
        <v>147.78725707199999</v>
      </c>
      <c r="I2978" s="656">
        <f>F2978/H2978</f>
        <v>0.20299449759314769</v>
      </c>
      <c r="J2978" s="658" t="s">
        <v>2899</v>
      </c>
      <c r="K2978" s="645" t="s">
        <v>2089</v>
      </c>
      <c r="L2978" s="645">
        <v>13.55</v>
      </c>
      <c r="M2978" s="658">
        <v>11.07</v>
      </c>
      <c r="N2978" s="653">
        <f>M2978/L2978</f>
        <v>0.81697416974169734</v>
      </c>
      <c r="O2978" s="656">
        <v>12.23</v>
      </c>
      <c r="P2978" s="653">
        <f>O2978/L2978</f>
        <v>0.90258302583025829</v>
      </c>
      <c r="Q2978" s="645">
        <v>7</v>
      </c>
      <c r="R2978" s="653">
        <v>10.906808639999999</v>
      </c>
      <c r="S2978" s="645" t="s">
        <v>2156</v>
      </c>
      <c r="T2978" s="654">
        <v>42991</v>
      </c>
      <c r="U2978" s="645">
        <v>12.98</v>
      </c>
      <c r="V2978" s="653">
        <f>((U2978*(1+X2978/10)+Y2978/10)/O2978)</f>
        <v>1.0735895339329518</v>
      </c>
      <c r="W2978" s="645" t="s">
        <v>2117</v>
      </c>
      <c r="X2978" s="645">
        <v>0</v>
      </c>
      <c r="Y2978" s="645">
        <v>1.5</v>
      </c>
      <c r="Z2978" s="652" t="s">
        <v>2086</v>
      </c>
      <c r="BB2978" s="651"/>
      <c r="BD2978" s="650"/>
    </row>
    <row r="2979" spans="1:56">
      <c r="C2979" s="648" t="s">
        <v>112</v>
      </c>
      <c r="D2979" s="648" t="s">
        <v>113</v>
      </c>
      <c r="E2979" s="648" t="s">
        <v>943</v>
      </c>
      <c r="F2979" s="649" t="s">
        <v>411</v>
      </c>
      <c r="G2979" s="649" t="s">
        <v>942</v>
      </c>
      <c r="H2979" s="648" t="s">
        <v>231</v>
      </c>
    </row>
    <row r="2980" spans="1:56">
      <c r="C2980" s="646" t="s">
        <v>148</v>
      </c>
      <c r="D2980" s="647">
        <v>13.44</v>
      </c>
      <c r="E2980" s="643">
        <v>4.6500000000000004</v>
      </c>
      <c r="F2980" s="645"/>
      <c r="G2980" s="644">
        <v>3802.12</v>
      </c>
      <c r="H2980" s="643">
        <f>464999276/100000000</f>
        <v>4.6499927599999999</v>
      </c>
    </row>
    <row r="2981" spans="1:56">
      <c r="C2981" s="646" t="s">
        <v>960</v>
      </c>
      <c r="D2981" s="647">
        <v>13.39</v>
      </c>
      <c r="E2981" s="643">
        <v>1.6</v>
      </c>
      <c r="F2981" s="645"/>
      <c r="G2981" s="644">
        <v>1308.25</v>
      </c>
      <c r="H2981" s="643">
        <f>159998975/100000000</f>
        <v>1.59998975</v>
      </c>
    </row>
    <row r="2982" spans="1:56">
      <c r="C2982" s="646" t="s">
        <v>1052</v>
      </c>
      <c r="D2982" s="647">
        <v>13.39</v>
      </c>
      <c r="E2982" s="643">
        <v>1.5615000000000001</v>
      </c>
      <c r="F2982" s="645"/>
      <c r="G2982" s="644">
        <v>1276.77</v>
      </c>
      <c r="H2982" s="643">
        <f>156148971/100000000</f>
        <v>1.56148971</v>
      </c>
    </row>
    <row r="2983" spans="1:56">
      <c r="C2983" s="1512" t="s">
        <v>579</v>
      </c>
      <c r="D2983" s="647">
        <v>13.2</v>
      </c>
      <c r="E2983" s="643">
        <v>1.8</v>
      </c>
      <c r="F2983" s="645"/>
      <c r="G2983" s="644">
        <v>2534.75</v>
      </c>
      <c r="H2983" s="643">
        <f>309999925/100000000</f>
        <v>3.0999992500000002</v>
      </c>
    </row>
    <row r="2984" spans="1:56">
      <c r="C2984" s="1512"/>
      <c r="D2984" s="647">
        <v>12.7</v>
      </c>
      <c r="E2984" s="643">
        <v>3.1</v>
      </c>
      <c r="F2984" s="645"/>
      <c r="G2984" s="645"/>
      <c r="H2984" s="712"/>
    </row>
    <row r="2985" spans="1:56">
      <c r="C2985" s="1512" t="s">
        <v>278</v>
      </c>
      <c r="D2985" s="647">
        <v>12.72</v>
      </c>
      <c r="E2985" s="643">
        <v>1.79</v>
      </c>
      <c r="F2985" s="645"/>
      <c r="G2985" s="644">
        <v>1463.61</v>
      </c>
      <c r="H2985" s="643">
        <f>178999503/100000000</f>
        <v>1.78999503</v>
      </c>
    </row>
    <row r="2986" spans="1:56">
      <c r="C2986" s="1512"/>
      <c r="D2986" s="647">
        <v>12.15</v>
      </c>
      <c r="E2986" s="643">
        <v>1.89</v>
      </c>
      <c r="F2986" s="645"/>
      <c r="G2986" s="645"/>
      <c r="H2986" s="712"/>
    </row>
    <row r="2987" spans="1:56">
      <c r="C2987" s="1512"/>
      <c r="D2987" s="647">
        <v>11.88</v>
      </c>
      <c r="E2987" s="643">
        <v>1.99</v>
      </c>
      <c r="F2987" s="645"/>
      <c r="G2987" s="645"/>
      <c r="H2987" s="712"/>
    </row>
    <row r="2988" spans="1:56">
      <c r="C2988" s="646" t="s">
        <v>564</v>
      </c>
      <c r="D2988" s="647">
        <v>12.23</v>
      </c>
      <c r="E2988" s="643">
        <v>1.56</v>
      </c>
      <c r="F2988" s="645"/>
      <c r="G2988" s="644">
        <v>1061.75</v>
      </c>
      <c r="H2988" s="643">
        <f>129852025/100000000</f>
        <v>1.2985202499999999</v>
      </c>
    </row>
    <row r="2989" spans="1:56">
      <c r="C2989" s="646" t="s">
        <v>120</v>
      </c>
      <c r="D2989" s="647">
        <v>12.2</v>
      </c>
      <c r="E2989" s="643">
        <v>1.6000299999999998</v>
      </c>
      <c r="F2989" s="645"/>
      <c r="G2989" s="645"/>
      <c r="H2989" s="645"/>
    </row>
    <row r="2990" spans="1:56">
      <c r="C2990" s="1512" t="s">
        <v>115</v>
      </c>
      <c r="D2990" s="647">
        <v>12.05</v>
      </c>
      <c r="E2990" s="643">
        <v>2.064165</v>
      </c>
      <c r="F2990" s="645"/>
      <c r="G2990" s="645"/>
      <c r="H2990" s="645"/>
    </row>
    <row r="2991" spans="1:56">
      <c r="C2991" s="1512"/>
      <c r="D2991" s="647">
        <v>11.5</v>
      </c>
      <c r="E2991" s="643">
        <v>3.0912000000000002</v>
      </c>
      <c r="F2991" s="645"/>
      <c r="G2991" s="645"/>
      <c r="H2991" s="645"/>
    </row>
    <row r="2992" spans="1:56">
      <c r="C2992" s="1512"/>
      <c r="D2992" s="647">
        <v>11.18</v>
      </c>
      <c r="E2992" s="643">
        <v>3.9454220000000002</v>
      </c>
      <c r="F2992" s="645"/>
      <c r="G2992" s="645"/>
      <c r="H2992" s="645"/>
    </row>
    <row r="2993" spans="1:56">
      <c r="C2993" s="646" t="s">
        <v>526</v>
      </c>
      <c r="D2993" s="647">
        <v>12.01</v>
      </c>
      <c r="E2993" s="643">
        <v>1.5612999999999999</v>
      </c>
      <c r="F2993" s="645"/>
      <c r="G2993" s="645"/>
      <c r="H2993" s="645"/>
    </row>
    <row r="2994" spans="1:56">
      <c r="C2994" s="646" t="s">
        <v>1148</v>
      </c>
      <c r="D2994" s="647">
        <v>11.6</v>
      </c>
      <c r="E2994" s="643">
        <v>1.56</v>
      </c>
      <c r="F2994" s="645"/>
      <c r="G2994" s="645"/>
      <c r="H2994" s="645"/>
    </row>
    <row r="2995" spans="1:56">
      <c r="C2995" s="646" t="s">
        <v>953</v>
      </c>
      <c r="D2995" s="647">
        <v>11.51</v>
      </c>
      <c r="E2995" s="643">
        <v>2.302</v>
      </c>
      <c r="F2995" s="645"/>
      <c r="G2995" s="645"/>
      <c r="H2995" s="645"/>
    </row>
    <row r="2996" spans="1:56" ht="15" customHeight="1">
      <c r="C2996" s="646" t="s">
        <v>3273</v>
      </c>
      <c r="D2996" s="673" t="s">
        <v>3272</v>
      </c>
      <c r="E2996" s="645" t="s">
        <v>3272</v>
      </c>
      <c r="F2996" s="645"/>
      <c r="G2996" s="644">
        <v>13082.59</v>
      </c>
      <c r="H2996" s="644">
        <v>16.000007570000001</v>
      </c>
    </row>
    <row r="2998" spans="1:56" s="663" customFormat="1">
      <c r="A2998" s="663" t="s">
        <v>2861</v>
      </c>
      <c r="B2998" s="665" t="s">
        <v>2036</v>
      </c>
      <c r="C2998" s="667" t="s">
        <v>126</v>
      </c>
      <c r="D2998" s="667" t="s">
        <v>1583</v>
      </c>
      <c r="E2998" s="667" t="s">
        <v>4</v>
      </c>
      <c r="F2998" s="667" t="s">
        <v>2860</v>
      </c>
      <c r="G2998" s="667" t="s">
        <v>2859</v>
      </c>
      <c r="H2998" s="667" t="s">
        <v>2858</v>
      </c>
      <c r="I2998" s="667" t="s">
        <v>751</v>
      </c>
      <c r="J2998" s="665" t="s">
        <v>274</v>
      </c>
      <c r="K2998" s="665" t="s">
        <v>273</v>
      </c>
      <c r="L2998" s="665" t="s">
        <v>116</v>
      </c>
      <c r="M2998" s="665" t="s">
        <v>110</v>
      </c>
      <c r="N2998" s="665" t="s">
        <v>276</v>
      </c>
      <c r="O2998" s="667" t="s">
        <v>1311</v>
      </c>
      <c r="P2998" s="665" t="s">
        <v>275</v>
      </c>
      <c r="Q2998" s="665" t="s">
        <v>111</v>
      </c>
      <c r="R2998" s="665" t="s">
        <v>2857</v>
      </c>
      <c r="S2998" s="665" t="s">
        <v>747</v>
      </c>
      <c r="T2998" s="667" t="s">
        <v>12</v>
      </c>
      <c r="U2998" s="666" t="s">
        <v>948</v>
      </c>
      <c r="V2998" s="665" t="s">
        <v>129</v>
      </c>
      <c r="W2998" s="665" t="s">
        <v>220</v>
      </c>
      <c r="X2998" s="665" t="s">
        <v>749</v>
      </c>
      <c r="Y2998" s="665" t="s">
        <v>750</v>
      </c>
      <c r="Z2998" s="665" t="s">
        <v>748</v>
      </c>
      <c r="BB2998" s="664"/>
      <c r="BD2998" s="664"/>
    </row>
    <row r="2999" spans="1:56">
      <c r="A2999" s="642" t="s">
        <v>2078</v>
      </c>
      <c r="B2999" s="1436">
        <v>189</v>
      </c>
      <c r="C2999" s="1471" t="s">
        <v>2155</v>
      </c>
      <c r="D2999" s="722" t="s">
        <v>2154</v>
      </c>
      <c r="E2999" s="722" t="s">
        <v>2153</v>
      </c>
      <c r="F2999" s="721">
        <v>5.4</v>
      </c>
      <c r="G2999" s="660">
        <v>5.4</v>
      </c>
      <c r="H2999" s="656">
        <f>L2999*R2999</f>
        <v>95.580569851899995</v>
      </c>
      <c r="I2999" s="656">
        <f>F2999/H2999</f>
        <v>5.6496838304764055E-2</v>
      </c>
      <c r="J2999" s="658" t="s">
        <v>2898</v>
      </c>
      <c r="K2999" s="720" t="s">
        <v>2152</v>
      </c>
      <c r="L2999" s="645">
        <v>26.47</v>
      </c>
      <c r="M2999" s="645">
        <v>23.63</v>
      </c>
      <c r="N2999" s="653">
        <f>M2999/L2999</f>
        <v>0.89270872686059688</v>
      </c>
      <c r="O2999" s="656">
        <v>26.04</v>
      </c>
      <c r="P2999" s="653">
        <f>O2999/L2999</f>
        <v>0.98375519455987914</v>
      </c>
      <c r="Q2999" s="645">
        <v>4</v>
      </c>
      <c r="R2999" s="719">
        <v>3.6109017699999999</v>
      </c>
      <c r="S2999" s="645" t="s">
        <v>2151</v>
      </c>
      <c r="T2999" s="654">
        <v>42991</v>
      </c>
      <c r="U2999" s="645">
        <v>17.71</v>
      </c>
      <c r="V2999" s="653">
        <f>((U2999*(1+X2999/10)+Y2999/10)/O2999)</f>
        <v>0.68586789554531491</v>
      </c>
      <c r="W2999" s="645" t="s">
        <v>2117</v>
      </c>
      <c r="X2999" s="645">
        <v>0</v>
      </c>
      <c r="Y2999" s="645">
        <v>1.5</v>
      </c>
      <c r="Z2999" s="652" t="s">
        <v>2072</v>
      </c>
      <c r="BB2999" s="651"/>
      <c r="BD2999" s="650"/>
    </row>
    <row r="3000" spans="1:56">
      <c r="C3000" s="696" t="s">
        <v>112</v>
      </c>
      <c r="D3000" s="696" t="s">
        <v>113</v>
      </c>
      <c r="E3000" s="696" t="s">
        <v>943</v>
      </c>
      <c r="F3000" s="697" t="s">
        <v>411</v>
      </c>
      <c r="G3000" s="697" t="s">
        <v>942</v>
      </c>
      <c r="H3000" s="696" t="s">
        <v>231</v>
      </c>
    </row>
    <row r="3001" spans="1:56">
      <c r="C3001" s="1518" t="s">
        <v>3271</v>
      </c>
      <c r="D3001" s="647">
        <v>27.26</v>
      </c>
      <c r="E3001" s="643">
        <v>0.6</v>
      </c>
      <c r="F3001" s="645"/>
      <c r="G3001" s="1521">
        <v>288.01839999999999</v>
      </c>
      <c r="H3001" s="1524">
        <f>7499.999136/10000</f>
        <v>0.74999991360000007</v>
      </c>
    </row>
    <row r="3002" spans="1:56">
      <c r="C3002" s="1519"/>
      <c r="D3002" s="647">
        <v>26.56</v>
      </c>
      <c r="E3002" s="643">
        <v>0.75</v>
      </c>
      <c r="F3002" s="645"/>
      <c r="G3002" s="1522"/>
      <c r="H3002" s="1525"/>
    </row>
    <row r="3003" spans="1:56">
      <c r="C3003" s="1520"/>
      <c r="D3003" s="647">
        <v>25.3</v>
      </c>
      <c r="E3003" s="643">
        <v>1.05</v>
      </c>
      <c r="F3003" s="645"/>
      <c r="G3003" s="1523"/>
      <c r="H3003" s="1526"/>
      <c r="J3003" s="687"/>
    </row>
    <row r="3004" spans="1:56">
      <c r="C3004" s="1518" t="s">
        <v>3270</v>
      </c>
      <c r="D3004" s="647">
        <v>26.56</v>
      </c>
      <c r="E3004" s="643">
        <v>0.54</v>
      </c>
      <c r="F3004" s="645"/>
      <c r="G3004" s="1521">
        <v>207.3732</v>
      </c>
      <c r="H3004" s="1524">
        <f>5399.998128/10000</f>
        <v>0.53999981279999998</v>
      </c>
      <c r="J3004" s="718"/>
    </row>
    <row r="3005" spans="1:56">
      <c r="C3005" s="1520"/>
      <c r="D3005" s="647">
        <v>25.01</v>
      </c>
      <c r="E3005" s="643">
        <v>1</v>
      </c>
      <c r="F3005" s="645"/>
      <c r="G3005" s="1523"/>
      <c r="H3005" s="1526"/>
      <c r="J3005" s="687"/>
    </row>
    <row r="3006" spans="1:56">
      <c r="C3006" s="1518" t="s">
        <v>3269</v>
      </c>
      <c r="D3006" s="647">
        <v>26.06</v>
      </c>
      <c r="E3006" s="643">
        <v>3.5</v>
      </c>
      <c r="F3006" s="645"/>
      <c r="G3006" s="1521">
        <v>1344.086</v>
      </c>
      <c r="H3006" s="1524">
        <f>34999.99944/10000</f>
        <v>3.4999999439999998</v>
      </c>
      <c r="J3006" s="718"/>
    </row>
    <row r="3007" spans="1:56">
      <c r="C3007" s="1519"/>
      <c r="D3007" s="647">
        <v>25.06</v>
      </c>
      <c r="E3007" s="643">
        <v>3.8</v>
      </c>
      <c r="F3007" s="645"/>
      <c r="G3007" s="1522"/>
      <c r="H3007" s="1525"/>
      <c r="J3007" s="687"/>
    </row>
    <row r="3008" spans="1:56">
      <c r="C3008" s="1520"/>
      <c r="D3008" s="647">
        <v>24.56</v>
      </c>
      <c r="E3008" s="643">
        <v>4</v>
      </c>
      <c r="F3008" s="645"/>
      <c r="G3008" s="1523"/>
      <c r="H3008" s="1526"/>
      <c r="J3008" s="687"/>
    </row>
    <row r="3009" spans="1:56">
      <c r="C3009" s="1518" t="s">
        <v>3268</v>
      </c>
      <c r="D3009" s="647">
        <v>26.04</v>
      </c>
      <c r="E3009" s="643">
        <v>0.76</v>
      </c>
      <c r="F3009" s="645"/>
      <c r="G3009" s="1521">
        <v>234.2551</v>
      </c>
      <c r="H3009" s="1524">
        <f>6100.002804/10000</f>
        <v>0.61000028039999998</v>
      </c>
      <c r="J3009" s="718"/>
    </row>
    <row r="3010" spans="1:56">
      <c r="C3010" s="1519"/>
      <c r="D3010" s="647">
        <v>25.24</v>
      </c>
      <c r="E3010" s="643">
        <v>1.2</v>
      </c>
      <c r="F3010" s="645"/>
      <c r="G3010" s="1522"/>
      <c r="H3010" s="1525"/>
      <c r="I3010" s="687"/>
      <c r="J3010" s="687"/>
    </row>
    <row r="3011" spans="1:56">
      <c r="C3011" s="1520"/>
      <c r="D3011" s="647">
        <v>24.58</v>
      </c>
      <c r="E3011" s="643">
        <v>2.42</v>
      </c>
      <c r="F3011" s="645"/>
      <c r="G3011" s="1523"/>
      <c r="H3011" s="1526"/>
      <c r="I3011" s="687"/>
      <c r="J3011" s="687"/>
    </row>
    <row r="3013" spans="1:56" s="663" customFormat="1">
      <c r="A3013" s="663" t="s">
        <v>2861</v>
      </c>
      <c r="B3013" s="665" t="s">
        <v>2036</v>
      </c>
      <c r="C3013" s="667" t="s">
        <v>126</v>
      </c>
      <c r="D3013" s="667" t="s">
        <v>1583</v>
      </c>
      <c r="E3013" s="667" t="s">
        <v>4</v>
      </c>
      <c r="F3013" s="667" t="s">
        <v>2860</v>
      </c>
      <c r="G3013" s="667" t="s">
        <v>2859</v>
      </c>
      <c r="H3013" s="667" t="s">
        <v>2858</v>
      </c>
      <c r="I3013" s="667" t="s">
        <v>751</v>
      </c>
      <c r="J3013" s="665" t="s">
        <v>274</v>
      </c>
      <c r="K3013" s="665" t="s">
        <v>273</v>
      </c>
      <c r="L3013" s="665" t="s">
        <v>116</v>
      </c>
      <c r="M3013" s="665" t="s">
        <v>110</v>
      </c>
      <c r="N3013" s="665" t="s">
        <v>276</v>
      </c>
      <c r="O3013" s="667" t="s">
        <v>1311</v>
      </c>
      <c r="P3013" s="665" t="s">
        <v>275</v>
      </c>
      <c r="Q3013" s="665" t="s">
        <v>111</v>
      </c>
      <c r="R3013" s="665" t="s">
        <v>2857</v>
      </c>
      <c r="S3013" s="665" t="s">
        <v>747</v>
      </c>
      <c r="T3013" s="667" t="s">
        <v>12</v>
      </c>
      <c r="U3013" s="666" t="s">
        <v>948</v>
      </c>
      <c r="V3013" s="665" t="s">
        <v>129</v>
      </c>
      <c r="W3013" s="665" t="s">
        <v>220</v>
      </c>
      <c r="X3013" s="665" t="s">
        <v>749</v>
      </c>
      <c r="Y3013" s="665" t="s">
        <v>750</v>
      </c>
      <c r="Z3013" s="665" t="s">
        <v>748</v>
      </c>
      <c r="BB3013" s="664"/>
      <c r="BD3013" s="664"/>
    </row>
    <row r="3014" spans="1:56">
      <c r="A3014" s="642" t="s">
        <v>2078</v>
      </c>
      <c r="B3014" s="1436">
        <v>190</v>
      </c>
      <c r="C3014" s="1437" t="s">
        <v>2150</v>
      </c>
      <c r="D3014" s="662" t="s">
        <v>2149</v>
      </c>
      <c r="E3014" s="662" t="s">
        <v>2148</v>
      </c>
      <c r="F3014" s="661">
        <v>4</v>
      </c>
      <c r="G3014" s="660">
        <v>4</v>
      </c>
      <c r="H3014" s="659">
        <f>L3014*R3014</f>
        <v>54.060269804800001</v>
      </c>
      <c r="I3014" s="656">
        <f>F3014/H3014</f>
        <v>7.3991491615619742E-2</v>
      </c>
      <c r="J3014" s="658" t="s">
        <v>2897</v>
      </c>
      <c r="K3014" s="645" t="s">
        <v>2147</v>
      </c>
      <c r="L3014" s="645">
        <v>10.09</v>
      </c>
      <c r="M3014" s="658">
        <v>9.1300000000000008</v>
      </c>
      <c r="N3014" s="653">
        <f>M3014/L3014</f>
        <v>0.90485629335976225</v>
      </c>
      <c r="O3014" s="656">
        <v>9.2799999999999994</v>
      </c>
      <c r="P3014" s="653">
        <f>O3014/L3014</f>
        <v>0.91972249752229929</v>
      </c>
      <c r="Q3014" s="645">
        <v>5</v>
      </c>
      <c r="R3014" s="653">
        <v>5.3578067200000001</v>
      </c>
      <c r="S3014" s="645" t="s">
        <v>2146</v>
      </c>
      <c r="T3014" s="654">
        <v>42992</v>
      </c>
      <c r="U3014" s="645">
        <v>4.5599999999999996</v>
      </c>
      <c r="V3014" s="653">
        <f>((U3014*(1+X3014/10)+Y3014/10)/O3014)</f>
        <v>0.78943965517241377</v>
      </c>
      <c r="W3014" s="645" t="s">
        <v>2145</v>
      </c>
      <c r="X3014" s="645">
        <v>6</v>
      </c>
      <c r="Y3014" s="645">
        <v>0.3</v>
      </c>
      <c r="Z3014" s="652" t="s">
        <v>2144</v>
      </c>
      <c r="BB3014" s="651"/>
      <c r="BD3014" s="650"/>
    </row>
    <row r="3015" spans="1:56">
      <c r="C3015" s="648" t="s">
        <v>112</v>
      </c>
      <c r="D3015" s="648" t="s">
        <v>113</v>
      </c>
      <c r="E3015" s="648" t="s">
        <v>943</v>
      </c>
      <c r="F3015" s="649" t="s">
        <v>411</v>
      </c>
      <c r="G3015" s="649" t="s">
        <v>942</v>
      </c>
      <c r="H3015" s="648" t="s">
        <v>231</v>
      </c>
    </row>
    <row r="3016" spans="1:56">
      <c r="C3016" s="646" t="s">
        <v>229</v>
      </c>
      <c r="D3016" s="647">
        <v>9.66</v>
      </c>
      <c r="E3016" s="643">
        <v>0.8</v>
      </c>
      <c r="F3016" s="643"/>
      <c r="G3016" s="644">
        <f>8620689/10000</f>
        <v>862.06889999999999</v>
      </c>
      <c r="H3016" s="643">
        <f>79999993.92/100000000</f>
        <v>0.79999993920000001</v>
      </c>
      <c r="I3016" s="705"/>
      <c r="K3016" s="687"/>
      <c r="L3016" s="687"/>
    </row>
    <row r="3017" spans="1:56">
      <c r="C3017" s="646"/>
      <c r="D3017" s="647">
        <v>9.59</v>
      </c>
      <c r="E3017" s="643">
        <v>0.8</v>
      </c>
      <c r="F3017" s="643"/>
      <c r="G3017" s="673"/>
      <c r="H3017" s="673"/>
      <c r="I3017" s="717"/>
      <c r="K3017" s="717"/>
      <c r="L3017" s="717"/>
    </row>
    <row r="3018" spans="1:56">
      <c r="C3018" s="646"/>
      <c r="D3018" s="647">
        <v>9.1300000000000008</v>
      </c>
      <c r="E3018" s="643">
        <v>0.8</v>
      </c>
      <c r="F3018" s="643"/>
      <c r="G3018" s="645"/>
      <c r="H3018" s="645"/>
    </row>
    <row r="3019" spans="1:56">
      <c r="C3019" s="646" t="s">
        <v>3258</v>
      </c>
      <c r="D3019" s="647">
        <v>9.58</v>
      </c>
      <c r="E3019" s="643">
        <v>0.8</v>
      </c>
      <c r="F3019" s="643"/>
      <c r="G3019" s="644">
        <f>8620689/10000</f>
        <v>862.06889999999999</v>
      </c>
      <c r="H3019" s="643">
        <f>79999993.92/100000000</f>
        <v>0.79999993920000001</v>
      </c>
      <c r="I3019" s="705"/>
      <c r="K3019" s="687"/>
      <c r="L3019" s="687"/>
    </row>
    <row r="3020" spans="1:56">
      <c r="C3020" s="646" t="s">
        <v>115</v>
      </c>
      <c r="D3020" s="647">
        <v>9.5</v>
      </c>
      <c r="E3020" s="643">
        <v>0.86</v>
      </c>
      <c r="F3020" s="643"/>
      <c r="G3020" s="644">
        <f>9267241/10000</f>
        <v>926.72410000000002</v>
      </c>
      <c r="H3020" s="643">
        <f>85999996.48/100000000</f>
        <v>0.85999996480000007</v>
      </c>
      <c r="I3020" s="705"/>
      <c r="K3020" s="687"/>
      <c r="L3020" s="687"/>
    </row>
    <row r="3021" spans="1:56">
      <c r="C3021" s="646"/>
      <c r="D3021" s="647">
        <v>9.1999999999999993</v>
      </c>
      <c r="E3021" s="643">
        <v>1.33</v>
      </c>
      <c r="F3021" s="643"/>
      <c r="G3021" s="645"/>
      <c r="H3021" s="645"/>
      <c r="K3021" s="687"/>
      <c r="L3021" s="687"/>
    </row>
    <row r="3022" spans="1:56">
      <c r="C3022" s="646"/>
      <c r="D3022" s="647">
        <v>9.1300000000000008</v>
      </c>
      <c r="E3022" s="643">
        <v>1.33</v>
      </c>
      <c r="F3022" s="643"/>
      <c r="G3022" s="645"/>
      <c r="H3022" s="645"/>
      <c r="K3022" s="687"/>
      <c r="L3022" s="687"/>
    </row>
    <row r="3023" spans="1:56">
      <c r="C3023" s="646" t="s">
        <v>121</v>
      </c>
      <c r="D3023" s="647">
        <v>9.3800000000000008</v>
      </c>
      <c r="E3023" s="643">
        <v>0.8</v>
      </c>
      <c r="F3023" s="643"/>
      <c r="G3023" s="644">
        <f>8620689/10000</f>
        <v>862.06889999999999</v>
      </c>
      <c r="H3023" s="643">
        <f>79999993.92/100000000</f>
        <v>0.79999993920000001</v>
      </c>
      <c r="I3023" s="705"/>
    </row>
    <row r="3024" spans="1:56">
      <c r="C3024" s="646"/>
      <c r="D3024" s="647">
        <v>9.18</v>
      </c>
      <c r="E3024" s="643">
        <v>1.2</v>
      </c>
      <c r="F3024" s="643"/>
      <c r="G3024" s="645"/>
      <c r="H3024" s="645"/>
    </row>
    <row r="3025" spans="1:56">
      <c r="C3025" s="646" t="s">
        <v>146</v>
      </c>
      <c r="D3025" s="647">
        <v>9.2799999999999994</v>
      </c>
      <c r="E3025" s="643">
        <v>0.8</v>
      </c>
      <c r="F3025" s="643"/>
      <c r="G3025" s="644">
        <f>7974140/10000</f>
        <v>797.41399999999999</v>
      </c>
      <c r="H3025" s="643">
        <f>74000019.2/100000000</f>
        <v>0.740000192</v>
      </c>
      <c r="I3025" s="705"/>
    </row>
    <row r="3026" spans="1:56">
      <c r="C3026" s="646" t="s">
        <v>300</v>
      </c>
      <c r="D3026" s="647">
        <v>9.14</v>
      </c>
      <c r="E3026" s="643">
        <v>0.8</v>
      </c>
      <c r="F3026" s="643"/>
      <c r="G3026" s="645"/>
      <c r="H3026" s="645"/>
    </row>
    <row r="3027" spans="1:56">
      <c r="C3027" s="646" t="s">
        <v>131</v>
      </c>
      <c r="D3027" s="647">
        <v>9.1300000000000008</v>
      </c>
      <c r="E3027" s="643">
        <v>0.8</v>
      </c>
      <c r="F3027" s="643"/>
      <c r="G3027" s="645"/>
      <c r="H3027" s="645"/>
    </row>
    <row r="3029" spans="1:56" s="663" customFormat="1">
      <c r="A3029" s="663" t="s">
        <v>2861</v>
      </c>
      <c r="B3029" s="665" t="s">
        <v>2036</v>
      </c>
      <c r="C3029" s="667" t="s">
        <v>126</v>
      </c>
      <c r="D3029" s="667" t="s">
        <v>1583</v>
      </c>
      <c r="E3029" s="667" t="s">
        <v>4</v>
      </c>
      <c r="F3029" s="667" t="s">
        <v>2860</v>
      </c>
      <c r="G3029" s="667" t="s">
        <v>2859</v>
      </c>
      <c r="H3029" s="667" t="s">
        <v>2858</v>
      </c>
      <c r="I3029" s="667" t="s">
        <v>751</v>
      </c>
      <c r="J3029" s="665" t="s">
        <v>274</v>
      </c>
      <c r="K3029" s="665" t="s">
        <v>273</v>
      </c>
      <c r="L3029" s="665" t="s">
        <v>116</v>
      </c>
      <c r="M3029" s="668" t="s">
        <v>110</v>
      </c>
      <c r="N3029" s="665" t="s">
        <v>276</v>
      </c>
      <c r="O3029" s="667" t="s">
        <v>1311</v>
      </c>
      <c r="P3029" s="665" t="s">
        <v>275</v>
      </c>
      <c r="Q3029" s="665" t="s">
        <v>111</v>
      </c>
      <c r="R3029" s="665" t="s">
        <v>2857</v>
      </c>
      <c r="S3029" s="665" t="s">
        <v>747</v>
      </c>
      <c r="T3029" s="667" t="s">
        <v>12</v>
      </c>
      <c r="U3029" s="666" t="s">
        <v>948</v>
      </c>
      <c r="V3029" s="665" t="s">
        <v>129</v>
      </c>
      <c r="W3029" s="665" t="s">
        <v>220</v>
      </c>
      <c r="X3029" s="665" t="s">
        <v>749</v>
      </c>
      <c r="Y3029" s="665" t="s">
        <v>750</v>
      </c>
      <c r="Z3029" s="665" t="s">
        <v>748</v>
      </c>
      <c r="BB3029" s="664"/>
      <c r="BD3029" s="664"/>
    </row>
    <row r="3030" spans="1:56">
      <c r="A3030" s="642" t="s">
        <v>2078</v>
      </c>
      <c r="B3030" s="1436">
        <v>191</v>
      </c>
      <c r="C3030" s="1437" t="s">
        <v>2143</v>
      </c>
      <c r="D3030" s="662" t="s">
        <v>2142</v>
      </c>
      <c r="E3030" s="662" t="s">
        <v>2141</v>
      </c>
      <c r="F3030" s="661">
        <v>15.12</v>
      </c>
      <c r="G3030" s="660">
        <v>15.12</v>
      </c>
      <c r="H3030" s="659">
        <f>L3030*R3030</f>
        <v>81.283378196800001</v>
      </c>
      <c r="I3030" s="656">
        <f>F3030/H3030</f>
        <v>0.18601589076910746</v>
      </c>
      <c r="J3030" s="658" t="s">
        <v>2896</v>
      </c>
      <c r="K3030" s="645" t="s">
        <v>2089</v>
      </c>
      <c r="L3030" s="645">
        <v>19.09</v>
      </c>
      <c r="M3030" s="674">
        <v>15.05</v>
      </c>
      <c r="N3030" s="653">
        <f>M3030/L3030</f>
        <v>0.78837087480356216</v>
      </c>
      <c r="O3030" s="656">
        <v>16.100000000000001</v>
      </c>
      <c r="P3030" s="653">
        <f>O3030/L3030</f>
        <v>0.84337349397590367</v>
      </c>
      <c r="Q3030" s="645">
        <v>5</v>
      </c>
      <c r="R3030" s="653">
        <v>4.2579035200000002</v>
      </c>
      <c r="S3030" s="645" t="s">
        <v>2140</v>
      </c>
      <c r="T3030" s="654">
        <v>42992</v>
      </c>
      <c r="U3030" s="645">
        <v>13</v>
      </c>
      <c r="V3030" s="653">
        <f>((U3030*(1+X3030/10)+Y3030/10)/O3030)</f>
        <v>0.81055900621118004</v>
      </c>
      <c r="W3030" s="645" t="s">
        <v>2105</v>
      </c>
      <c r="X3030" s="645">
        <v>0</v>
      </c>
      <c r="Y3030" s="645">
        <v>0.5</v>
      </c>
      <c r="Z3030" s="652" t="s">
        <v>2104</v>
      </c>
      <c r="BB3030" s="651"/>
      <c r="BD3030" s="650"/>
    </row>
    <row r="3031" spans="1:56">
      <c r="C3031" s="648" t="s">
        <v>112</v>
      </c>
      <c r="D3031" s="648" t="s">
        <v>113</v>
      </c>
      <c r="E3031" s="648" t="s">
        <v>943</v>
      </c>
      <c r="F3031" s="649" t="s">
        <v>411</v>
      </c>
      <c r="G3031" s="649" t="s">
        <v>942</v>
      </c>
      <c r="H3031" s="648" t="s">
        <v>231</v>
      </c>
    </row>
    <row r="3032" spans="1:56">
      <c r="C3032" s="1512" t="s">
        <v>955</v>
      </c>
      <c r="D3032" s="1517">
        <v>15.31</v>
      </c>
      <c r="E3032" s="1517">
        <v>1.5116020000000001</v>
      </c>
      <c r="F3032" s="645"/>
      <c r="G3032" s="645"/>
      <c r="H3032" s="646" t="s">
        <v>294</v>
      </c>
    </row>
    <row r="3033" spans="1:56">
      <c r="C3033" s="1512"/>
      <c r="D3033" s="1517"/>
      <c r="E3033" s="1517"/>
      <c r="F3033" s="645"/>
      <c r="G3033" s="645"/>
      <c r="H3033" s="673"/>
    </row>
    <row r="3034" spans="1:56" ht="28">
      <c r="C3034" s="673" t="s">
        <v>3267</v>
      </c>
      <c r="D3034" s="647">
        <v>15.58</v>
      </c>
      <c r="E3034" s="647">
        <v>1.6</v>
      </c>
      <c r="F3034" s="645"/>
      <c r="G3034" s="645"/>
      <c r="H3034" s="646" t="s">
        <v>294</v>
      </c>
    </row>
    <row r="3035" spans="1:56" ht="28">
      <c r="C3035" s="673" t="s">
        <v>3266</v>
      </c>
      <c r="D3035" s="647">
        <v>15.07</v>
      </c>
      <c r="E3035" s="647">
        <v>2.83</v>
      </c>
      <c r="F3035" s="645"/>
      <c r="G3035" s="645"/>
      <c r="H3035" s="646" t="s">
        <v>294</v>
      </c>
    </row>
    <row r="3036" spans="1:56" ht="28">
      <c r="C3036" s="673" t="s">
        <v>3265</v>
      </c>
      <c r="D3036" s="647">
        <v>15.1</v>
      </c>
      <c r="E3036" s="647">
        <v>1.5116020000000001</v>
      </c>
      <c r="F3036" s="645"/>
      <c r="G3036" s="645"/>
      <c r="H3036" s="646" t="s">
        <v>294</v>
      </c>
    </row>
    <row r="3037" spans="1:56" ht="28">
      <c r="C3037" s="673" t="s">
        <v>3264</v>
      </c>
      <c r="D3037" s="647">
        <v>15.18</v>
      </c>
      <c r="E3037" s="647">
        <v>1.5116020000000001</v>
      </c>
      <c r="F3037" s="645"/>
      <c r="G3037" s="645"/>
      <c r="H3037" s="646" t="s">
        <v>294</v>
      </c>
    </row>
    <row r="3038" spans="1:56" ht="16" customHeight="1">
      <c r="C3038" s="1512" t="s">
        <v>2895</v>
      </c>
      <c r="D3038" s="647">
        <v>20.38</v>
      </c>
      <c r="E3038" s="647">
        <v>1.5156020000000001</v>
      </c>
      <c r="F3038" s="645"/>
      <c r="G3038" s="644">
        <v>942.60990000000004</v>
      </c>
      <c r="H3038" s="643">
        <f>151760193.9/100000000</f>
        <v>1.517601939</v>
      </c>
    </row>
    <row r="3039" spans="1:56">
      <c r="C3039" s="1512"/>
      <c r="D3039" s="647">
        <v>18.579999999999998</v>
      </c>
      <c r="E3039" s="647">
        <v>1.516602</v>
      </c>
      <c r="F3039" s="645"/>
      <c r="G3039" s="645"/>
      <c r="H3039" s="643"/>
    </row>
    <row r="3040" spans="1:56">
      <c r="C3040" s="1512"/>
      <c r="D3040" s="647">
        <v>17</v>
      </c>
      <c r="E3040" s="647">
        <v>1.5176020000000001</v>
      </c>
      <c r="F3040" s="645"/>
      <c r="G3040" s="645"/>
      <c r="H3040" s="643"/>
    </row>
    <row r="3041" spans="1:56" ht="16" customHeight="1">
      <c r="C3041" s="1518" t="s">
        <v>128</v>
      </c>
      <c r="D3041" s="647">
        <v>17.010000000000002</v>
      </c>
      <c r="E3041" s="647">
        <v>1.520602</v>
      </c>
      <c r="F3041" s="645"/>
      <c r="G3041" s="644">
        <v>1888.5726</v>
      </c>
      <c r="H3041" s="643">
        <f>304060188.6/100000000</f>
        <v>3.0406018860000001</v>
      </c>
    </row>
    <row r="3042" spans="1:56" ht="16" customHeight="1">
      <c r="C3042" s="1519"/>
      <c r="D3042" s="647">
        <v>16.510000000000002</v>
      </c>
      <c r="E3042" s="647">
        <v>3.0406020000000002</v>
      </c>
      <c r="F3042" s="645"/>
      <c r="G3042" s="645"/>
      <c r="H3042" s="643"/>
    </row>
    <row r="3043" spans="1:56" ht="16" customHeight="1">
      <c r="C3043" s="1520"/>
      <c r="D3043" s="647">
        <v>15.51</v>
      </c>
      <c r="E3043" s="647">
        <v>4.0006019999999998</v>
      </c>
      <c r="F3043" s="645"/>
      <c r="G3043" s="645"/>
      <c r="H3043" s="643"/>
    </row>
    <row r="3044" spans="1:56" ht="16" customHeight="1">
      <c r="C3044" s="1518" t="s">
        <v>115</v>
      </c>
      <c r="D3044" s="647">
        <v>17.5</v>
      </c>
      <c r="E3044" s="647">
        <v>3.6896019999999998</v>
      </c>
      <c r="F3044" s="645"/>
      <c r="G3044" s="644">
        <v>4624.6031999999996</v>
      </c>
      <c r="H3044" s="643">
        <f>744561115.2/100000000</f>
        <v>7.4456111520000006</v>
      </c>
    </row>
    <row r="3045" spans="1:56" ht="16" customHeight="1">
      <c r="C3045" s="1519"/>
      <c r="D3045" s="647">
        <v>16.100000000000001</v>
      </c>
      <c r="E3045" s="647">
        <v>8.5396020000000004</v>
      </c>
      <c r="F3045" s="645"/>
      <c r="G3045" s="645"/>
      <c r="H3045" s="643"/>
    </row>
    <row r="3046" spans="1:56" ht="16" customHeight="1">
      <c r="C3046" s="1520"/>
      <c r="D3046" s="647">
        <v>15.05</v>
      </c>
      <c r="E3046" s="647">
        <v>9.1296020000000002</v>
      </c>
      <c r="F3046" s="645"/>
      <c r="G3046" s="645"/>
      <c r="H3046" s="643"/>
    </row>
    <row r="3047" spans="1:56" ht="28">
      <c r="C3047" s="673" t="s">
        <v>3263</v>
      </c>
      <c r="D3047" s="647">
        <v>16.510000000000002</v>
      </c>
      <c r="E3047" s="647">
        <v>1.6006020000000001</v>
      </c>
      <c r="F3047" s="645"/>
      <c r="G3047" s="644">
        <v>994.16269999999997</v>
      </c>
      <c r="H3047" s="643">
        <f>160060194.7/100000000</f>
        <v>1.6006019469999999</v>
      </c>
    </row>
    <row r="3048" spans="1:56" ht="28">
      <c r="C3048" s="673" t="s">
        <v>3262</v>
      </c>
      <c r="D3048" s="647">
        <v>18.899999999999999</v>
      </c>
      <c r="E3048" s="647">
        <v>1.5116020000000001</v>
      </c>
      <c r="F3048" s="645"/>
      <c r="G3048" s="644">
        <v>938.88319999999999</v>
      </c>
      <c r="H3048" s="643">
        <f>151160195.2/100000000</f>
        <v>1.5116019519999999</v>
      </c>
    </row>
    <row r="3050" spans="1:56" s="663" customFormat="1">
      <c r="A3050" s="663" t="s">
        <v>2861</v>
      </c>
      <c r="B3050" s="665" t="s">
        <v>2036</v>
      </c>
      <c r="C3050" s="667" t="s">
        <v>126</v>
      </c>
      <c r="D3050" s="667" t="s">
        <v>1583</v>
      </c>
      <c r="E3050" s="667" t="s">
        <v>4</v>
      </c>
      <c r="F3050" s="667" t="s">
        <v>2860</v>
      </c>
      <c r="G3050" s="667" t="s">
        <v>2859</v>
      </c>
      <c r="H3050" s="667" t="s">
        <v>2858</v>
      </c>
      <c r="I3050" s="667" t="s">
        <v>751</v>
      </c>
      <c r="J3050" s="665" t="s">
        <v>274</v>
      </c>
      <c r="K3050" s="665" t="s">
        <v>273</v>
      </c>
      <c r="L3050" s="665" t="s">
        <v>116</v>
      </c>
      <c r="M3050" s="665" t="s">
        <v>110</v>
      </c>
      <c r="N3050" s="665" t="s">
        <v>276</v>
      </c>
      <c r="O3050" s="667" t="s">
        <v>1311</v>
      </c>
      <c r="P3050" s="665" t="s">
        <v>275</v>
      </c>
      <c r="Q3050" s="665" t="s">
        <v>111</v>
      </c>
      <c r="R3050" s="665" t="s">
        <v>2857</v>
      </c>
      <c r="S3050" s="665" t="s">
        <v>747</v>
      </c>
      <c r="T3050" s="667" t="s">
        <v>12</v>
      </c>
      <c r="U3050" s="666" t="s">
        <v>948</v>
      </c>
      <c r="V3050" s="665" t="s">
        <v>129</v>
      </c>
      <c r="W3050" s="665" t="s">
        <v>220</v>
      </c>
      <c r="X3050" s="665" t="s">
        <v>749</v>
      </c>
      <c r="Y3050" s="665" t="s">
        <v>750</v>
      </c>
      <c r="Z3050" s="668" t="s">
        <v>748</v>
      </c>
      <c r="AA3050" s="716"/>
      <c r="BB3050" s="664"/>
      <c r="BD3050" s="664"/>
    </row>
    <row r="3051" spans="1:56">
      <c r="A3051" s="642" t="s">
        <v>2078</v>
      </c>
      <c r="B3051" s="1436">
        <v>192</v>
      </c>
      <c r="C3051" s="1437" t="s">
        <v>2139</v>
      </c>
      <c r="D3051" s="662" t="s">
        <v>2138</v>
      </c>
      <c r="E3051" s="662" t="s">
        <v>2137</v>
      </c>
      <c r="F3051" s="661">
        <v>11.44</v>
      </c>
      <c r="G3051" s="660">
        <v>11.44</v>
      </c>
      <c r="H3051" s="715">
        <f>L3051*R3051</f>
        <v>93.084825480000006</v>
      </c>
      <c r="I3051" s="656">
        <f>F3051/H3051</f>
        <v>0.12289865658563191</v>
      </c>
      <c r="J3051" s="658" t="s">
        <v>2894</v>
      </c>
      <c r="K3051" s="645" t="s">
        <v>2089</v>
      </c>
      <c r="L3051" s="645">
        <v>16.05</v>
      </c>
      <c r="M3051" s="658">
        <v>13.74</v>
      </c>
      <c r="N3051" s="699">
        <f>M3051/L3051</f>
        <v>0.85607476635514013</v>
      </c>
      <c r="O3051" s="660">
        <v>16.34</v>
      </c>
      <c r="P3051" s="699">
        <f>O3051/L3051</f>
        <v>1.018068535825545</v>
      </c>
      <c r="Q3051" s="642">
        <v>4</v>
      </c>
      <c r="R3051" s="699">
        <v>5.7996775999999999</v>
      </c>
      <c r="S3051" s="642" t="s">
        <v>2136</v>
      </c>
      <c r="T3051" s="651">
        <v>42632</v>
      </c>
      <c r="U3051" s="642">
        <v>19.489999999999998</v>
      </c>
      <c r="V3051" s="699">
        <f>((U3051*(1+X3051/10)+Y3051/10)/O3051)</f>
        <v>1.1927784577723377</v>
      </c>
      <c r="W3051" s="642" t="s">
        <v>223</v>
      </c>
      <c r="X3051" s="642">
        <v>0</v>
      </c>
      <c r="Y3051" s="642">
        <v>0</v>
      </c>
      <c r="Z3051" s="650" t="s">
        <v>2135</v>
      </c>
      <c r="BB3051" s="651"/>
      <c r="BD3051" s="650"/>
    </row>
    <row r="3052" spans="1:56">
      <c r="C3052" s="648" t="s">
        <v>112</v>
      </c>
      <c r="D3052" s="648" t="s">
        <v>113</v>
      </c>
      <c r="E3052" s="648" t="s">
        <v>943</v>
      </c>
      <c r="F3052" s="649" t="s">
        <v>411</v>
      </c>
      <c r="G3052" s="649" t="s">
        <v>942</v>
      </c>
      <c r="H3052" s="648" t="s">
        <v>231</v>
      </c>
    </row>
    <row r="3053" spans="1:56" ht="28">
      <c r="C3053" s="673" t="s">
        <v>3261</v>
      </c>
      <c r="D3053" s="647">
        <v>14.5</v>
      </c>
      <c r="E3053" s="643">
        <f>230000000/100000000</f>
        <v>2.2999999999999998</v>
      </c>
      <c r="F3053" s="645"/>
      <c r="G3053" s="645"/>
      <c r="H3053" s="645"/>
    </row>
    <row r="3054" spans="1:56">
      <c r="C3054" s="1512" t="s">
        <v>316</v>
      </c>
      <c r="D3054" s="647">
        <v>14.49</v>
      </c>
      <c r="E3054" s="643">
        <f>231000000/100000000</f>
        <v>2.31</v>
      </c>
      <c r="F3054" s="645"/>
      <c r="G3054" s="645"/>
      <c r="H3054" s="645"/>
    </row>
    <row r="3055" spans="1:56">
      <c r="C3055" s="1512"/>
      <c r="D3055" s="647">
        <v>14</v>
      </c>
      <c r="E3055" s="643">
        <f>246000000/100000000</f>
        <v>2.46</v>
      </c>
      <c r="F3055" s="645"/>
      <c r="G3055" s="645"/>
      <c r="H3055" s="645"/>
    </row>
    <row r="3056" spans="1:56">
      <c r="C3056" s="646" t="s">
        <v>634</v>
      </c>
      <c r="D3056" s="647">
        <v>13.77</v>
      </c>
      <c r="E3056" s="643">
        <f>230000000/100000000</f>
        <v>2.2999999999999998</v>
      </c>
      <c r="F3056" s="645"/>
      <c r="G3056" s="645"/>
      <c r="H3056" s="645"/>
    </row>
    <row r="3057" spans="3:8">
      <c r="C3057" s="1512" t="s">
        <v>173</v>
      </c>
      <c r="D3057" s="647">
        <v>14.88</v>
      </c>
      <c r="E3057" s="643">
        <f>232000000/100000000</f>
        <v>2.3199999999999998</v>
      </c>
      <c r="F3057" s="645"/>
      <c r="G3057" s="645"/>
      <c r="H3057" s="645"/>
    </row>
    <row r="3058" spans="3:8">
      <c r="C3058" s="1512"/>
      <c r="D3058" s="647">
        <v>14.44</v>
      </c>
      <c r="E3058" s="643">
        <f>282000000/100000000</f>
        <v>2.82</v>
      </c>
      <c r="F3058" s="645"/>
      <c r="G3058" s="645"/>
      <c r="H3058" s="645"/>
    </row>
    <row r="3059" spans="3:8">
      <c r="C3059" s="1512" t="s">
        <v>371</v>
      </c>
      <c r="D3059" s="647">
        <v>16.45</v>
      </c>
      <c r="E3059" s="643">
        <f>230000000/100000000</f>
        <v>2.2999999999999998</v>
      </c>
      <c r="F3059" s="645"/>
      <c r="G3059" s="644">
        <f>18941424/10000</f>
        <v>1894.1424</v>
      </c>
      <c r="H3059" s="643">
        <f>309502868.16/100000000</f>
        <v>3.0950286816000001</v>
      </c>
    </row>
    <row r="3060" spans="3:8">
      <c r="C3060" s="1512"/>
      <c r="D3060" s="647">
        <v>16.34</v>
      </c>
      <c r="E3060" s="643">
        <f>582000000/100000000</f>
        <v>5.82</v>
      </c>
      <c r="F3060" s="645"/>
      <c r="G3060" s="645"/>
      <c r="H3060" s="645"/>
    </row>
    <row r="3061" spans="3:8">
      <c r="C3061" s="1512" t="s">
        <v>115</v>
      </c>
      <c r="D3061" s="647">
        <v>16.48</v>
      </c>
      <c r="E3061" s="643">
        <f>274000000/100000000</f>
        <v>2.74</v>
      </c>
      <c r="F3061" s="645"/>
      <c r="G3061" s="644">
        <f>16768665/10000</f>
        <v>1676.8665000000001</v>
      </c>
      <c r="H3061" s="643">
        <f>273999986.1/100000000</f>
        <v>2.7399998610000003</v>
      </c>
    </row>
    <row r="3062" spans="3:8">
      <c r="C3062" s="1512"/>
      <c r="D3062" s="647">
        <v>14.08</v>
      </c>
      <c r="E3062" s="643">
        <f>402000000/100000000</f>
        <v>4.0199999999999996</v>
      </c>
      <c r="F3062" s="645"/>
      <c r="G3062" s="645"/>
      <c r="H3062" s="645"/>
    </row>
    <row r="3063" spans="3:8">
      <c r="C3063" s="1512"/>
      <c r="D3063" s="647">
        <v>13.74</v>
      </c>
      <c r="E3063" s="643">
        <f>431000000/100000000</f>
        <v>4.3099999999999996</v>
      </c>
      <c r="F3063" s="645"/>
      <c r="G3063" s="645"/>
      <c r="H3063" s="645"/>
    </row>
    <row r="3064" spans="3:8">
      <c r="C3064" s="646" t="s">
        <v>121</v>
      </c>
      <c r="D3064" s="647">
        <v>15.46</v>
      </c>
      <c r="E3064" s="643">
        <f>240000000/100000000</f>
        <v>2.4</v>
      </c>
      <c r="F3064" s="645"/>
      <c r="G3064" s="645"/>
      <c r="H3064" s="645"/>
    </row>
    <row r="3065" spans="3:8">
      <c r="C3065" s="1512" t="s">
        <v>300</v>
      </c>
      <c r="D3065" s="647">
        <v>14.83</v>
      </c>
      <c r="E3065" s="643">
        <f>230000000/100000000</f>
        <v>2.2999999999999998</v>
      </c>
      <c r="F3065" s="645"/>
      <c r="G3065" s="645"/>
      <c r="H3065" s="645"/>
    </row>
    <row r="3066" spans="3:8">
      <c r="C3066" s="1512"/>
      <c r="D3066" s="647">
        <v>14.51</v>
      </c>
      <c r="E3066" s="643">
        <f>270000000/100000000</f>
        <v>2.7</v>
      </c>
      <c r="F3066" s="645"/>
      <c r="G3066" s="645"/>
      <c r="H3066" s="645"/>
    </row>
    <row r="3067" spans="3:8">
      <c r="C3067" s="1512" t="s">
        <v>336</v>
      </c>
      <c r="D3067" s="647">
        <v>16.5</v>
      </c>
      <c r="E3067" s="643">
        <f>230000000/100000000</f>
        <v>2.2999999999999998</v>
      </c>
      <c r="F3067" s="645"/>
      <c r="G3067" s="644">
        <f>14075887/10000</f>
        <v>1407.5887</v>
      </c>
      <c r="H3067" s="643">
        <f>229999993.58/100000000</f>
        <v>2.2999999358000003</v>
      </c>
    </row>
    <row r="3068" spans="3:8">
      <c r="C3068" s="1512"/>
      <c r="D3068" s="647">
        <v>15.32</v>
      </c>
      <c r="E3068" s="643">
        <f>269000000/100000000</f>
        <v>2.69</v>
      </c>
      <c r="F3068" s="645"/>
      <c r="G3068" s="645"/>
      <c r="H3068" s="645"/>
    </row>
    <row r="3069" spans="3:8">
      <c r="C3069" s="1512"/>
      <c r="D3069" s="647">
        <v>14.44</v>
      </c>
      <c r="E3069" s="643">
        <f>369000000/100000000</f>
        <v>3.69</v>
      </c>
      <c r="F3069" s="645"/>
      <c r="G3069" s="645"/>
      <c r="H3069" s="645"/>
    </row>
    <row r="3070" spans="3:8">
      <c r="C3070" s="646" t="s">
        <v>332</v>
      </c>
      <c r="D3070" s="647">
        <v>16.61</v>
      </c>
      <c r="E3070" s="643">
        <f>330000000/100000000</f>
        <v>3.3</v>
      </c>
      <c r="F3070" s="645"/>
      <c r="G3070" s="644">
        <f>20195838/10000</f>
        <v>2019.5838000000001</v>
      </c>
      <c r="H3070" s="643">
        <f>329999992.92/100000000</f>
        <v>3.2999999292000002</v>
      </c>
    </row>
    <row r="3071" spans="3:8">
      <c r="C3071" s="646" t="s">
        <v>122</v>
      </c>
      <c r="D3071" s="647">
        <v>13.77</v>
      </c>
      <c r="E3071" s="643">
        <f>230000000/100000000</f>
        <v>2.2999999999999998</v>
      </c>
      <c r="F3071" s="645"/>
      <c r="G3071" s="645"/>
      <c r="H3071" s="645"/>
    </row>
    <row r="3073" spans="1:56" s="663" customFormat="1">
      <c r="A3073" s="663" t="s">
        <v>2861</v>
      </c>
      <c r="B3073" s="665" t="s">
        <v>2036</v>
      </c>
      <c r="C3073" s="667" t="s">
        <v>126</v>
      </c>
      <c r="D3073" s="667" t="s">
        <v>1583</v>
      </c>
      <c r="E3073" s="667" t="s">
        <v>4</v>
      </c>
      <c r="F3073" s="667" t="s">
        <v>2860</v>
      </c>
      <c r="G3073" s="667" t="s">
        <v>2859</v>
      </c>
      <c r="H3073" s="667" t="s">
        <v>2858</v>
      </c>
      <c r="I3073" s="667" t="s">
        <v>751</v>
      </c>
      <c r="J3073" s="665" t="s">
        <v>274</v>
      </c>
      <c r="K3073" s="665" t="s">
        <v>273</v>
      </c>
      <c r="L3073" s="665" t="s">
        <v>116</v>
      </c>
      <c r="M3073" s="665" t="s">
        <v>110</v>
      </c>
      <c r="N3073" s="665" t="s">
        <v>276</v>
      </c>
      <c r="O3073" s="667" t="s">
        <v>1311</v>
      </c>
      <c r="P3073" s="665" t="s">
        <v>275</v>
      </c>
      <c r="Q3073" s="665" t="s">
        <v>111</v>
      </c>
      <c r="R3073" s="665" t="s">
        <v>2857</v>
      </c>
      <c r="S3073" s="665" t="s">
        <v>747</v>
      </c>
      <c r="T3073" s="667" t="s">
        <v>12</v>
      </c>
      <c r="U3073" s="666" t="s">
        <v>948</v>
      </c>
      <c r="V3073" s="665" t="s">
        <v>129</v>
      </c>
      <c r="W3073" s="665" t="s">
        <v>220</v>
      </c>
      <c r="X3073" s="665" t="s">
        <v>749</v>
      </c>
      <c r="Y3073" s="665" t="s">
        <v>750</v>
      </c>
      <c r="Z3073" s="665" t="s">
        <v>748</v>
      </c>
      <c r="BB3073" s="664"/>
      <c r="BD3073" s="664"/>
    </row>
    <row r="3074" spans="1:56">
      <c r="A3074" s="642" t="s">
        <v>2078</v>
      </c>
      <c r="B3074" s="1436">
        <v>193</v>
      </c>
      <c r="C3074" s="1437" t="s">
        <v>2134</v>
      </c>
      <c r="D3074" s="662" t="s">
        <v>2133</v>
      </c>
      <c r="E3074" s="662" t="s">
        <v>2132</v>
      </c>
      <c r="F3074" s="661">
        <v>14.58</v>
      </c>
      <c r="G3074" s="660">
        <v>14.58</v>
      </c>
      <c r="H3074" s="659">
        <f>L3074*R3074</f>
        <v>199.50585726899999</v>
      </c>
      <c r="I3074" s="656">
        <f>F3074/H3074</f>
        <v>7.3080561140324463E-2</v>
      </c>
      <c r="J3074" s="658" t="s">
        <v>2893</v>
      </c>
      <c r="K3074" s="645" t="s">
        <v>2131</v>
      </c>
      <c r="L3074" s="645">
        <v>50.3</v>
      </c>
      <c r="M3074" s="658">
        <v>37.86</v>
      </c>
      <c r="N3074" s="653">
        <f>M3074/L3074</f>
        <v>0.75268389662027835</v>
      </c>
      <c r="O3074" s="656">
        <v>50.1</v>
      </c>
      <c r="P3074" s="653">
        <f>O3074/L3074</f>
        <v>0.99602385685884698</v>
      </c>
      <c r="Q3074" s="645">
        <v>5</v>
      </c>
      <c r="R3074" s="653">
        <v>3.9663192299999999</v>
      </c>
      <c r="S3074" s="645" t="s">
        <v>2130</v>
      </c>
      <c r="T3074" s="654">
        <v>42998</v>
      </c>
      <c r="U3074" s="645">
        <v>48.93</v>
      </c>
      <c r="V3074" s="653">
        <f>((U3074*(1+X3074/10)+Y3074/10)/O3074)</f>
        <v>1.2796207584830341</v>
      </c>
      <c r="W3074" s="645" t="s">
        <v>2129</v>
      </c>
      <c r="X3074" s="645">
        <v>3</v>
      </c>
      <c r="Y3074" s="645">
        <v>5</v>
      </c>
      <c r="Z3074" s="652" t="s">
        <v>2086</v>
      </c>
      <c r="BB3074" s="651"/>
      <c r="BD3074" s="650"/>
    </row>
    <row r="3075" spans="1:56">
      <c r="C3075" s="648" t="s">
        <v>112</v>
      </c>
      <c r="D3075" s="648" t="s">
        <v>113</v>
      </c>
      <c r="E3075" s="648" t="s">
        <v>943</v>
      </c>
      <c r="F3075" s="649" t="s">
        <v>411</v>
      </c>
      <c r="G3075" s="649" t="s">
        <v>942</v>
      </c>
      <c r="H3075" s="648" t="s">
        <v>231</v>
      </c>
    </row>
    <row r="3076" spans="1:56">
      <c r="C3076" s="646" t="s">
        <v>3260</v>
      </c>
      <c r="D3076" s="647">
        <v>50.2</v>
      </c>
      <c r="E3076" s="643">
        <v>7.4798</v>
      </c>
      <c r="F3076" s="653"/>
      <c r="G3076" s="644">
        <v>1490</v>
      </c>
      <c r="H3076" s="643">
        <f>746490000/100000000</f>
        <v>7.4649000000000001</v>
      </c>
    </row>
    <row r="3077" spans="1:56">
      <c r="C3077" s="673"/>
      <c r="D3077" s="647">
        <v>50.3</v>
      </c>
      <c r="E3077" s="643">
        <v>1.9617</v>
      </c>
      <c r="F3077" s="653"/>
      <c r="G3077" s="645"/>
      <c r="H3077" s="712"/>
    </row>
    <row r="3078" spans="1:56">
      <c r="C3078" s="646" t="s">
        <v>1785</v>
      </c>
      <c r="D3078" s="647">
        <v>47.8</v>
      </c>
      <c r="E3078" s="643">
        <v>1.9598</v>
      </c>
      <c r="F3078" s="653"/>
      <c r="G3078" s="644">
        <v>390</v>
      </c>
      <c r="H3078" s="643">
        <f>195390000/100000000</f>
        <v>1.9539</v>
      </c>
    </row>
    <row r="3079" spans="1:56">
      <c r="C3079" s="673"/>
      <c r="D3079" s="647">
        <v>45.3</v>
      </c>
      <c r="E3079" s="643">
        <v>1.9932000000000001</v>
      </c>
      <c r="F3079" s="653"/>
      <c r="G3079" s="645"/>
      <c r="H3079" s="712"/>
    </row>
    <row r="3080" spans="1:56">
      <c r="C3080" s="673"/>
      <c r="D3080" s="647">
        <v>50.2</v>
      </c>
      <c r="E3080" s="643">
        <v>2.6103999999999998</v>
      </c>
      <c r="F3080" s="653"/>
      <c r="G3080" s="645"/>
      <c r="H3080" s="712"/>
    </row>
    <row r="3081" spans="1:56">
      <c r="C3081" s="646" t="s">
        <v>3259</v>
      </c>
      <c r="D3081" s="647">
        <v>48.7</v>
      </c>
      <c r="E3081" s="643">
        <v>5.6005000000000003</v>
      </c>
      <c r="F3081" s="653"/>
      <c r="G3081" s="644">
        <v>520</v>
      </c>
      <c r="H3081" s="643">
        <f>260520000/100000000</f>
        <v>2.6052</v>
      </c>
    </row>
    <row r="3082" spans="1:56">
      <c r="C3082" s="673"/>
      <c r="D3082" s="647">
        <v>45.2</v>
      </c>
      <c r="E3082" s="643">
        <v>6.6444000000000001</v>
      </c>
      <c r="F3082" s="653"/>
      <c r="G3082" s="645"/>
      <c r="H3082" s="712"/>
    </row>
    <row r="3083" spans="1:56">
      <c r="C3083" s="646" t="s">
        <v>1127</v>
      </c>
      <c r="D3083" s="647">
        <v>50.3</v>
      </c>
      <c r="E3083" s="643">
        <v>2.0623</v>
      </c>
      <c r="F3083" s="653"/>
      <c r="G3083" s="644">
        <v>410</v>
      </c>
      <c r="H3083" s="643">
        <f>205410000/100000000</f>
        <v>2.0541</v>
      </c>
    </row>
    <row r="3084" spans="1:56">
      <c r="C3084" s="1516" t="s">
        <v>3158</v>
      </c>
      <c r="D3084" s="647">
        <v>50.1</v>
      </c>
      <c r="E3084" s="643">
        <v>1.9539</v>
      </c>
      <c r="F3084" s="653"/>
      <c r="G3084" s="644">
        <v>99.820300000000003</v>
      </c>
      <c r="H3084" s="643">
        <f>50009970.3/100000000</f>
        <v>0.50009970299999995</v>
      </c>
    </row>
    <row r="3085" spans="1:56">
      <c r="C3085" s="1516"/>
      <c r="D3085" s="647">
        <v>48</v>
      </c>
      <c r="E3085" s="643">
        <v>1.92</v>
      </c>
      <c r="F3085" s="653"/>
      <c r="G3085" s="644"/>
      <c r="H3085" s="643"/>
    </row>
    <row r="3086" spans="1:56">
      <c r="C3086" s="646" t="s">
        <v>3258</v>
      </c>
      <c r="D3086" s="647">
        <v>40</v>
      </c>
      <c r="E3086" s="643">
        <v>1.56</v>
      </c>
      <c r="F3086" s="653"/>
      <c r="G3086" s="645"/>
      <c r="H3086" s="645"/>
    </row>
    <row r="3087" spans="1:56">
      <c r="C3087" s="673"/>
      <c r="D3087" s="647">
        <v>47.7</v>
      </c>
      <c r="E3087" s="643">
        <v>1.8603000000000001</v>
      </c>
      <c r="F3087" s="653"/>
      <c r="G3087" s="645"/>
      <c r="H3087" s="645"/>
    </row>
    <row r="3088" spans="1:56">
      <c r="C3088" s="646" t="s">
        <v>3257</v>
      </c>
      <c r="D3088" s="647">
        <v>45.5</v>
      </c>
      <c r="E3088" s="643">
        <v>2.4569999999999999</v>
      </c>
      <c r="F3088" s="653"/>
      <c r="G3088" s="645"/>
      <c r="H3088" s="645"/>
    </row>
    <row r="3089" spans="3:8">
      <c r="C3089" s="673"/>
      <c r="D3089" s="647">
        <v>42.3</v>
      </c>
      <c r="E3089" s="643">
        <v>2.9186999999999994</v>
      </c>
      <c r="F3089" s="653"/>
      <c r="G3089" s="645"/>
      <c r="H3089" s="645"/>
    </row>
    <row r="3090" spans="3:8">
      <c r="C3090" s="646" t="s">
        <v>2965</v>
      </c>
      <c r="D3090" s="647">
        <v>46.5</v>
      </c>
      <c r="E3090" s="714">
        <v>1.8134999999999999</v>
      </c>
      <c r="F3090" s="653"/>
      <c r="G3090" s="645"/>
      <c r="H3090" s="645"/>
    </row>
    <row r="3091" spans="3:8">
      <c r="C3091" s="646" t="s">
        <v>328</v>
      </c>
      <c r="D3091" s="647">
        <v>49.3</v>
      </c>
      <c r="E3091" s="714">
        <v>1.9227000000000001</v>
      </c>
      <c r="F3091" s="653"/>
      <c r="G3091" s="645"/>
      <c r="H3091" s="645"/>
    </row>
    <row r="3092" spans="3:8">
      <c r="C3092" s="646" t="s">
        <v>3256</v>
      </c>
      <c r="D3092" s="647">
        <v>39.799999999999997</v>
      </c>
      <c r="E3092" s="643">
        <v>1.7512000000000001</v>
      </c>
      <c r="F3092" s="653"/>
      <c r="G3092" s="645"/>
      <c r="H3092" s="645"/>
    </row>
    <row r="3093" spans="3:8">
      <c r="C3093" s="646" t="s">
        <v>3255</v>
      </c>
      <c r="D3093" s="647">
        <v>46.6</v>
      </c>
      <c r="E3093" s="643">
        <v>1.8173999999999999</v>
      </c>
      <c r="F3093" s="653"/>
      <c r="G3093" s="645"/>
      <c r="H3093" s="645"/>
    </row>
    <row r="3094" spans="3:8">
      <c r="C3094" s="646" t="s">
        <v>3254</v>
      </c>
      <c r="D3094" s="647">
        <v>46.1</v>
      </c>
      <c r="E3094" s="643">
        <v>1.7979000000000001</v>
      </c>
      <c r="F3094" s="653"/>
      <c r="G3094" s="645"/>
      <c r="H3094" s="645"/>
    </row>
    <row r="3095" spans="3:8">
      <c r="C3095" s="646" t="s">
        <v>3253</v>
      </c>
      <c r="D3095" s="647">
        <v>46</v>
      </c>
      <c r="E3095" s="643">
        <v>1.794</v>
      </c>
      <c r="F3095" s="653"/>
      <c r="G3095" s="645"/>
      <c r="H3095" s="645"/>
    </row>
    <row r="3096" spans="3:8">
      <c r="C3096" s="646" t="s">
        <v>3252</v>
      </c>
      <c r="D3096" s="647">
        <v>43.2</v>
      </c>
      <c r="E3096" s="643">
        <v>1.6848000000000001</v>
      </c>
      <c r="F3096" s="653"/>
      <c r="G3096" s="645"/>
      <c r="H3096" s="645"/>
    </row>
    <row r="3097" spans="3:8">
      <c r="C3097" s="1516" t="s">
        <v>2892</v>
      </c>
      <c r="D3097" s="647">
        <v>46.3</v>
      </c>
      <c r="E3097" s="643">
        <v>1.9446000000000001</v>
      </c>
      <c r="F3097" s="653"/>
      <c r="G3097" s="645"/>
      <c r="H3097" s="645"/>
    </row>
    <row r="3098" spans="3:8">
      <c r="C3098" s="1516"/>
      <c r="D3098" s="647">
        <v>45.3</v>
      </c>
      <c r="E3098" s="643">
        <v>1.9479</v>
      </c>
      <c r="F3098" s="653"/>
      <c r="G3098" s="645"/>
      <c r="H3098" s="645"/>
    </row>
    <row r="3099" spans="3:8">
      <c r="C3099" s="646" t="s">
        <v>3251</v>
      </c>
      <c r="D3099" s="647">
        <v>44</v>
      </c>
      <c r="E3099" s="643">
        <v>5.984</v>
      </c>
      <c r="F3099" s="653"/>
      <c r="G3099" s="645"/>
      <c r="H3099" s="645"/>
    </row>
    <row r="3100" spans="3:8">
      <c r="C3100" s="646" t="s">
        <v>3250</v>
      </c>
      <c r="D3100" s="647">
        <v>45.8</v>
      </c>
      <c r="E3100" s="643">
        <v>1.7862</v>
      </c>
      <c r="F3100" s="653"/>
      <c r="G3100" s="645"/>
      <c r="H3100" s="645"/>
    </row>
    <row r="3101" spans="3:8">
      <c r="C3101" s="673"/>
      <c r="D3101" s="647">
        <v>45.8</v>
      </c>
      <c r="E3101" s="643">
        <v>1.7862</v>
      </c>
      <c r="F3101" s="653"/>
      <c r="G3101" s="645"/>
      <c r="H3101" s="645"/>
    </row>
    <row r="3102" spans="3:8">
      <c r="C3102" s="646" t="s">
        <v>3249</v>
      </c>
      <c r="D3102" s="647">
        <v>45.8</v>
      </c>
      <c r="E3102" s="714">
        <v>1.7862</v>
      </c>
      <c r="F3102" s="653"/>
      <c r="G3102" s="645"/>
      <c r="H3102" s="645"/>
    </row>
    <row r="3103" spans="3:8">
      <c r="C3103" s="673"/>
      <c r="D3103" s="647">
        <v>45.8</v>
      </c>
      <c r="E3103" s="714">
        <v>1.7862</v>
      </c>
      <c r="F3103" s="653"/>
      <c r="G3103" s="645"/>
      <c r="H3103" s="645"/>
    </row>
    <row r="3104" spans="3:8">
      <c r="C3104" s="646" t="s">
        <v>3248</v>
      </c>
      <c r="D3104" s="647">
        <v>47.2</v>
      </c>
      <c r="E3104" s="643">
        <v>2.1711999999999998</v>
      </c>
      <c r="F3104" s="653"/>
      <c r="G3104" s="645"/>
      <c r="H3104" s="645"/>
    </row>
    <row r="3105" spans="3:8">
      <c r="C3105" s="646" t="s">
        <v>629</v>
      </c>
      <c r="D3105" s="647">
        <v>40</v>
      </c>
      <c r="E3105" s="643">
        <v>1.56</v>
      </c>
      <c r="F3105" s="653"/>
      <c r="G3105" s="645"/>
      <c r="H3105" s="645"/>
    </row>
    <row r="3106" spans="3:8">
      <c r="C3106" s="646" t="s">
        <v>127</v>
      </c>
      <c r="D3106" s="647">
        <v>43.1</v>
      </c>
      <c r="E3106" s="643">
        <v>1.6809000000000001</v>
      </c>
      <c r="F3106" s="653"/>
      <c r="G3106" s="645"/>
      <c r="H3106" s="645"/>
    </row>
    <row r="3107" spans="3:8">
      <c r="C3107" s="673"/>
      <c r="D3107" s="647">
        <v>49</v>
      </c>
      <c r="E3107" s="643">
        <v>1.911</v>
      </c>
      <c r="F3107" s="653"/>
      <c r="G3107" s="645"/>
      <c r="H3107" s="645"/>
    </row>
    <row r="3108" spans="3:8">
      <c r="C3108" s="673"/>
      <c r="D3108" s="647">
        <v>47.7</v>
      </c>
      <c r="E3108" s="643">
        <v>1.9557</v>
      </c>
      <c r="F3108" s="653"/>
      <c r="G3108" s="645"/>
      <c r="H3108" s="645"/>
    </row>
    <row r="3109" spans="3:8">
      <c r="C3109" s="673" t="s">
        <v>3247</v>
      </c>
      <c r="D3109" s="647">
        <v>47.8</v>
      </c>
      <c r="E3109" s="643">
        <v>1.8642000000000001</v>
      </c>
      <c r="F3109" s="653"/>
      <c r="G3109" s="645"/>
      <c r="H3109" s="645"/>
    </row>
    <row r="3110" spans="3:8">
      <c r="C3110" s="673" t="s">
        <v>3246</v>
      </c>
      <c r="D3110" s="647">
        <v>45.1</v>
      </c>
      <c r="E3110" s="643">
        <v>4.6904000000000003</v>
      </c>
      <c r="F3110" s="653"/>
      <c r="G3110" s="645"/>
      <c r="H3110" s="645"/>
    </row>
    <row r="3111" spans="3:8" ht="32" customHeight="1">
      <c r="C3111" s="1512" t="s">
        <v>358</v>
      </c>
      <c r="D3111" s="647">
        <v>47.3</v>
      </c>
      <c r="E3111" s="643">
        <v>1.8447</v>
      </c>
      <c r="F3111" s="653"/>
      <c r="G3111" s="645"/>
      <c r="H3111" s="645"/>
    </row>
    <row r="3112" spans="3:8">
      <c r="C3112" s="1514"/>
      <c r="D3112" s="647">
        <v>46.9</v>
      </c>
      <c r="E3112" s="643">
        <v>1.8290999999999999</v>
      </c>
      <c r="F3112" s="653"/>
      <c r="G3112" s="645"/>
      <c r="H3112" s="645"/>
    </row>
    <row r="3113" spans="3:8">
      <c r="C3113" s="1514"/>
      <c r="D3113" s="647">
        <v>45.7</v>
      </c>
      <c r="E3113" s="643">
        <v>1.7823</v>
      </c>
      <c r="F3113" s="653"/>
      <c r="G3113" s="645"/>
      <c r="H3113" s="645"/>
    </row>
    <row r="3114" spans="3:8">
      <c r="C3114" s="1512" t="s">
        <v>3245</v>
      </c>
      <c r="D3114" s="647">
        <v>40.700000000000003</v>
      </c>
      <c r="E3114" s="643">
        <v>2.1570999999999998</v>
      </c>
      <c r="F3114" s="653"/>
      <c r="G3114" s="645"/>
      <c r="H3114" s="645"/>
    </row>
    <row r="3115" spans="3:8">
      <c r="C3115" s="1514"/>
      <c r="D3115" s="647">
        <v>37.9</v>
      </c>
      <c r="E3115" s="643">
        <v>3.1836000000000002</v>
      </c>
      <c r="F3115" s="653"/>
      <c r="G3115" s="645"/>
      <c r="H3115" s="645"/>
    </row>
    <row r="3116" spans="3:8">
      <c r="C3116" s="1514"/>
      <c r="D3116" s="647">
        <v>40.700000000000003</v>
      </c>
      <c r="E3116" s="643">
        <v>2.1570999999999998</v>
      </c>
      <c r="F3116" s="653"/>
      <c r="G3116" s="645"/>
      <c r="H3116" s="645"/>
    </row>
    <row r="3117" spans="3:8">
      <c r="C3117" s="646" t="s">
        <v>225</v>
      </c>
      <c r="D3117" s="647">
        <v>48</v>
      </c>
      <c r="E3117" s="643">
        <v>1.8720000000000001</v>
      </c>
      <c r="F3117" s="653"/>
      <c r="G3117" s="645"/>
      <c r="H3117" s="645"/>
    </row>
    <row r="3118" spans="3:8">
      <c r="C3118" s="646" t="s">
        <v>1165</v>
      </c>
      <c r="D3118" s="647">
        <v>47.8</v>
      </c>
      <c r="E3118" s="643">
        <v>1.8642000000000001</v>
      </c>
      <c r="F3118" s="653"/>
      <c r="G3118" s="645"/>
      <c r="H3118" s="645"/>
    </row>
    <row r="3119" spans="3:8">
      <c r="C3119" s="646" t="s">
        <v>3244</v>
      </c>
      <c r="D3119" s="647">
        <v>45.2</v>
      </c>
      <c r="E3119" s="643">
        <v>1.7627999999999999</v>
      </c>
      <c r="F3119" s="653"/>
      <c r="G3119" s="645"/>
      <c r="H3119" s="645"/>
    </row>
    <row r="3120" spans="3:8">
      <c r="C3120" s="646" t="s">
        <v>3243</v>
      </c>
      <c r="D3120" s="647">
        <v>46.5</v>
      </c>
      <c r="E3120" s="643">
        <v>1.8134999999999999</v>
      </c>
      <c r="F3120" s="653"/>
      <c r="G3120" s="645"/>
      <c r="H3120" s="645"/>
    </row>
    <row r="3121" spans="3:8">
      <c r="C3121" s="646" t="s">
        <v>1033</v>
      </c>
      <c r="D3121" s="647">
        <v>48.7</v>
      </c>
      <c r="E3121" s="643">
        <v>1.8993</v>
      </c>
      <c r="F3121" s="653"/>
      <c r="G3121" s="645"/>
      <c r="H3121" s="645"/>
    </row>
    <row r="3122" spans="3:8">
      <c r="C3122" s="646" t="s">
        <v>384</v>
      </c>
      <c r="D3122" s="647">
        <v>45.3</v>
      </c>
      <c r="E3122" s="643">
        <v>1.7666999999999999</v>
      </c>
      <c r="F3122" s="653"/>
      <c r="G3122" s="645"/>
      <c r="H3122" s="645"/>
    </row>
    <row r="3123" spans="3:8">
      <c r="C3123" s="646" t="s">
        <v>233</v>
      </c>
      <c r="D3123" s="647">
        <v>47.8</v>
      </c>
      <c r="E3123" s="643">
        <v>1.8642000000000001</v>
      </c>
      <c r="F3123" s="653"/>
      <c r="G3123" s="645"/>
      <c r="H3123" s="645"/>
    </row>
    <row r="3124" spans="3:8">
      <c r="C3124" s="646" t="s">
        <v>351</v>
      </c>
      <c r="D3124" s="647">
        <v>37.9</v>
      </c>
      <c r="E3124" s="643">
        <v>1.4781</v>
      </c>
      <c r="F3124" s="653"/>
      <c r="G3124" s="645"/>
      <c r="H3124" s="645"/>
    </row>
    <row r="3125" spans="3:8">
      <c r="C3125" s="673" t="s">
        <v>3242</v>
      </c>
      <c r="D3125" s="647">
        <v>45.2</v>
      </c>
      <c r="E3125" s="643">
        <v>1.8984000000000001</v>
      </c>
      <c r="F3125" s="653"/>
      <c r="G3125" s="645"/>
      <c r="H3125" s="645"/>
    </row>
    <row r="3126" spans="3:8">
      <c r="C3126" s="673"/>
      <c r="D3126" s="647"/>
      <c r="E3126" s="643"/>
      <c r="F3126" s="653"/>
      <c r="G3126" s="645"/>
      <c r="H3126" s="645"/>
    </row>
    <row r="3127" spans="3:8">
      <c r="C3127" s="645" t="s">
        <v>666</v>
      </c>
      <c r="D3127" s="653">
        <v>47.8</v>
      </c>
      <c r="E3127" s="653">
        <v>1.9598</v>
      </c>
      <c r="F3127" s="653"/>
      <c r="G3127" s="645"/>
      <c r="H3127" s="645"/>
    </row>
    <row r="3128" spans="3:8">
      <c r="C3128" s="645"/>
      <c r="D3128" s="713">
        <v>45.2</v>
      </c>
      <c r="E3128" s="653">
        <v>2.1244000000000001</v>
      </c>
      <c r="F3128" s="653"/>
      <c r="G3128" s="645"/>
      <c r="H3128" s="645"/>
    </row>
    <row r="3129" spans="3:8">
      <c r="C3129" s="645"/>
      <c r="D3129" s="713">
        <v>42.9</v>
      </c>
      <c r="E3129" s="653">
        <v>2.2736999999999998</v>
      </c>
      <c r="F3129" s="653"/>
      <c r="G3129" s="645"/>
      <c r="H3129" s="645"/>
    </row>
    <row r="3130" spans="3:8">
      <c r="C3130" s="645" t="s">
        <v>1031</v>
      </c>
      <c r="D3130" s="653">
        <v>48.1</v>
      </c>
      <c r="E3130" s="653">
        <v>1.8758999999999999</v>
      </c>
      <c r="F3130" s="653"/>
      <c r="G3130" s="645"/>
      <c r="H3130" s="645"/>
    </row>
    <row r="3131" spans="3:8">
      <c r="C3131" s="645"/>
      <c r="D3131" s="653">
        <v>40</v>
      </c>
      <c r="E3131" s="653">
        <v>1.6</v>
      </c>
      <c r="F3131" s="653"/>
      <c r="G3131" s="645"/>
      <c r="H3131" s="645"/>
    </row>
    <row r="3132" spans="3:8">
      <c r="C3132" s="645"/>
      <c r="D3132" s="653">
        <v>38</v>
      </c>
      <c r="E3132" s="653">
        <v>1.9</v>
      </c>
      <c r="F3132" s="653"/>
      <c r="G3132" s="645"/>
      <c r="H3132" s="645"/>
    </row>
    <row r="3133" spans="3:8">
      <c r="C3133" s="645" t="s">
        <v>3241</v>
      </c>
      <c r="D3133" s="653">
        <v>40</v>
      </c>
      <c r="E3133" s="653">
        <v>1.56</v>
      </c>
      <c r="F3133" s="653"/>
      <c r="G3133" s="645"/>
      <c r="H3133" s="645"/>
    </row>
    <row r="3134" spans="3:8">
      <c r="C3134" s="645"/>
      <c r="D3134" s="653">
        <v>38.9</v>
      </c>
      <c r="E3134" s="653">
        <v>1.5170999999999999</v>
      </c>
      <c r="F3134" s="653"/>
      <c r="G3134" s="645"/>
      <c r="H3134" s="645"/>
    </row>
    <row r="3135" spans="3:8">
      <c r="C3135" s="645"/>
      <c r="D3135" s="653">
        <v>37.86</v>
      </c>
      <c r="E3135" s="653">
        <v>1.47654</v>
      </c>
      <c r="F3135" s="653"/>
      <c r="G3135" s="645"/>
      <c r="H3135" s="645"/>
    </row>
    <row r="3136" spans="3:8">
      <c r="C3136" s="645" t="s">
        <v>1029</v>
      </c>
      <c r="D3136" s="653">
        <v>45</v>
      </c>
      <c r="E3136" s="653">
        <v>1.7549999999999999</v>
      </c>
      <c r="F3136" s="653"/>
      <c r="G3136" s="645"/>
      <c r="H3136" s="645"/>
    </row>
    <row r="3137" spans="3:8">
      <c r="C3137" s="645"/>
      <c r="D3137" s="653">
        <v>44.2</v>
      </c>
      <c r="E3137" s="653">
        <v>2.0773999999999999</v>
      </c>
      <c r="F3137" s="653"/>
      <c r="G3137" s="645"/>
      <c r="H3137" s="645"/>
    </row>
    <row r="3138" spans="3:8">
      <c r="C3138" s="645"/>
      <c r="D3138" s="653">
        <v>42</v>
      </c>
      <c r="E3138" s="653">
        <v>2.0579999999999998</v>
      </c>
      <c r="F3138" s="653"/>
      <c r="G3138" s="645"/>
      <c r="H3138" s="645"/>
    </row>
    <row r="3139" spans="3:8">
      <c r="C3139" s="645" t="s">
        <v>173</v>
      </c>
      <c r="D3139" s="653">
        <v>45</v>
      </c>
      <c r="E3139" s="653">
        <v>1.7549999999999999</v>
      </c>
      <c r="F3139" s="653"/>
      <c r="G3139" s="645"/>
      <c r="H3139" s="645"/>
    </row>
    <row r="3140" spans="3:8">
      <c r="C3140" s="645"/>
      <c r="D3140" s="653">
        <v>44.2</v>
      </c>
      <c r="E3140" s="653">
        <v>2.0773999999999999</v>
      </c>
      <c r="F3140" s="653"/>
      <c r="G3140" s="645"/>
      <c r="H3140" s="645"/>
    </row>
    <row r="3141" spans="3:8">
      <c r="C3141" s="645"/>
      <c r="D3141" s="653">
        <v>42</v>
      </c>
      <c r="E3141" s="653">
        <v>2.0579999999999998</v>
      </c>
      <c r="F3141" s="653"/>
      <c r="G3141" s="645"/>
      <c r="H3141" s="645"/>
    </row>
    <row r="3142" spans="3:8">
      <c r="C3142" s="645" t="s">
        <v>2891</v>
      </c>
      <c r="D3142" s="653">
        <v>44.1</v>
      </c>
      <c r="E3142" s="653">
        <v>1.7199</v>
      </c>
      <c r="F3142" s="653"/>
      <c r="G3142" s="645"/>
      <c r="H3142" s="645"/>
    </row>
    <row r="3143" spans="3:8">
      <c r="C3143" s="645" t="s">
        <v>2890</v>
      </c>
      <c r="D3143" s="653">
        <v>45.4</v>
      </c>
      <c r="E3143" s="653">
        <v>1.7706</v>
      </c>
      <c r="F3143" s="653"/>
      <c r="G3143" s="645"/>
      <c r="H3143" s="645"/>
    </row>
    <row r="3144" spans="3:8">
      <c r="C3144" s="645"/>
      <c r="D3144" s="653">
        <v>42.7</v>
      </c>
      <c r="E3144" s="653">
        <v>2.0922999999999998</v>
      </c>
      <c r="F3144" s="653"/>
      <c r="G3144" s="645"/>
      <c r="H3144" s="645"/>
    </row>
    <row r="3145" spans="3:8">
      <c r="C3145" s="645"/>
      <c r="D3145" s="653">
        <v>40.299999999999997</v>
      </c>
      <c r="E3145" s="653">
        <v>2.2164999999999999</v>
      </c>
      <c r="F3145" s="653"/>
      <c r="G3145" s="645"/>
      <c r="H3145" s="645"/>
    </row>
    <row r="3146" spans="3:8">
      <c r="C3146" s="645" t="s">
        <v>1472</v>
      </c>
      <c r="D3146" s="653">
        <v>45.2</v>
      </c>
      <c r="E3146" s="653">
        <v>3.1188000000000007</v>
      </c>
      <c r="F3146" s="653"/>
      <c r="G3146" s="645"/>
      <c r="H3146" s="645"/>
    </row>
    <row r="3147" spans="3:8">
      <c r="C3147" s="645" t="s">
        <v>2889</v>
      </c>
      <c r="D3147" s="645">
        <v>45.3</v>
      </c>
      <c r="E3147" s="712">
        <v>1.8120000000000001</v>
      </c>
      <c r="F3147" s="653"/>
      <c r="G3147" s="645"/>
      <c r="H3147" s="645"/>
    </row>
    <row r="3148" spans="3:8">
      <c r="C3148" s="645" t="s">
        <v>1471</v>
      </c>
      <c r="D3148" s="645">
        <v>44.3</v>
      </c>
      <c r="E3148" s="712">
        <v>1.7277</v>
      </c>
      <c r="F3148" s="653"/>
      <c r="G3148" s="645"/>
      <c r="H3148" s="645"/>
    </row>
    <row r="3149" spans="3:8">
      <c r="C3149" s="645" t="s">
        <v>3240</v>
      </c>
      <c r="D3149" s="645">
        <v>43.6</v>
      </c>
      <c r="E3149" s="712">
        <v>1.7003999999999999</v>
      </c>
      <c r="F3149" s="653"/>
      <c r="G3149" s="645"/>
      <c r="H3149" s="645"/>
    </row>
    <row r="3150" spans="3:8">
      <c r="C3150" s="645" t="s">
        <v>3239</v>
      </c>
      <c r="D3150" s="645">
        <v>45.2</v>
      </c>
      <c r="E3150" s="712">
        <v>1.8984000000000001</v>
      </c>
      <c r="F3150" s="653"/>
      <c r="G3150" s="645"/>
      <c r="H3150" s="645"/>
    </row>
    <row r="3151" spans="3:8">
      <c r="C3151" s="645"/>
      <c r="D3151" s="645">
        <v>44.2</v>
      </c>
      <c r="E3151" s="712">
        <v>2.0331999999999999</v>
      </c>
      <c r="F3151" s="653"/>
      <c r="G3151" s="645"/>
      <c r="H3151" s="645"/>
    </row>
    <row r="3152" spans="3:8">
      <c r="C3152" s="645" t="s">
        <v>2888</v>
      </c>
      <c r="D3152" s="645">
        <v>45.4</v>
      </c>
      <c r="E3152" s="712">
        <v>1.8160000000000001</v>
      </c>
      <c r="F3152" s="653"/>
      <c r="G3152" s="645"/>
      <c r="H3152" s="645"/>
    </row>
    <row r="3153" spans="1:56">
      <c r="C3153" s="645" t="s">
        <v>2887</v>
      </c>
      <c r="D3153" s="645">
        <v>42.9</v>
      </c>
      <c r="E3153" s="712">
        <v>2.8742999999999999</v>
      </c>
      <c r="F3153" s="653"/>
      <c r="G3153" s="645"/>
      <c r="H3153" s="645"/>
    </row>
    <row r="3155" spans="1:56" s="663" customFormat="1">
      <c r="A3155" s="663" t="s">
        <v>2861</v>
      </c>
      <c r="B3155" s="665" t="s">
        <v>2036</v>
      </c>
      <c r="C3155" s="667" t="s">
        <v>126</v>
      </c>
      <c r="D3155" s="667" t="s">
        <v>1583</v>
      </c>
      <c r="E3155" s="667" t="s">
        <v>4</v>
      </c>
      <c r="F3155" s="667" t="s">
        <v>2860</v>
      </c>
      <c r="G3155" s="667" t="s">
        <v>2859</v>
      </c>
      <c r="H3155" s="667" t="s">
        <v>2858</v>
      </c>
      <c r="I3155" s="667" t="s">
        <v>751</v>
      </c>
      <c r="J3155" s="665" t="s">
        <v>274</v>
      </c>
      <c r="K3155" s="665" t="s">
        <v>273</v>
      </c>
      <c r="L3155" s="665" t="s">
        <v>116</v>
      </c>
      <c r="M3155" s="665" t="s">
        <v>110</v>
      </c>
      <c r="N3155" s="665" t="s">
        <v>276</v>
      </c>
      <c r="O3155" s="667" t="s">
        <v>1311</v>
      </c>
      <c r="P3155" s="665" t="s">
        <v>275</v>
      </c>
      <c r="Q3155" s="665" t="s">
        <v>111</v>
      </c>
      <c r="R3155" s="665" t="s">
        <v>2857</v>
      </c>
      <c r="S3155" s="665" t="s">
        <v>747</v>
      </c>
      <c r="T3155" s="667" t="s">
        <v>12</v>
      </c>
      <c r="U3155" s="666" t="s">
        <v>948</v>
      </c>
      <c r="V3155" s="665" t="s">
        <v>129</v>
      </c>
      <c r="W3155" s="665" t="s">
        <v>220</v>
      </c>
      <c r="X3155" s="665" t="s">
        <v>749</v>
      </c>
      <c r="Y3155" s="665" t="s">
        <v>750</v>
      </c>
      <c r="Z3155" s="665" t="s">
        <v>748</v>
      </c>
      <c r="BB3155" s="664"/>
      <c r="BD3155" s="664"/>
    </row>
    <row r="3156" spans="1:56">
      <c r="A3156" s="642" t="s">
        <v>2078</v>
      </c>
      <c r="B3156" s="1436">
        <v>194</v>
      </c>
      <c r="C3156" s="1437" t="s">
        <v>2128</v>
      </c>
      <c r="D3156" s="662" t="s">
        <v>2127</v>
      </c>
      <c r="E3156" s="662" t="s">
        <v>2126</v>
      </c>
      <c r="F3156" s="661">
        <v>10</v>
      </c>
      <c r="G3156" s="660">
        <v>10</v>
      </c>
      <c r="H3156" s="659">
        <f>L3156*R3156</f>
        <v>134.31631894600002</v>
      </c>
      <c r="I3156" s="656">
        <f>F3156/H3156</f>
        <v>7.4451117172295037E-2</v>
      </c>
      <c r="J3156" s="658" t="s">
        <v>2886</v>
      </c>
      <c r="K3156" s="645" t="s">
        <v>2125</v>
      </c>
      <c r="L3156" s="645">
        <v>25.67</v>
      </c>
      <c r="M3156" s="658">
        <v>16.22</v>
      </c>
      <c r="N3156" s="653">
        <f>M3156/L3156</f>
        <v>0.63186599142968436</v>
      </c>
      <c r="O3156" s="656">
        <v>24.8</v>
      </c>
      <c r="P3156" s="653">
        <f>O3156/L3156</f>
        <v>0.96610829762368522</v>
      </c>
      <c r="Q3156" s="645">
        <v>7</v>
      </c>
      <c r="R3156" s="653">
        <v>5.2324238000000003</v>
      </c>
      <c r="S3156" s="645" t="s">
        <v>2124</v>
      </c>
      <c r="T3156" s="654">
        <v>42998</v>
      </c>
      <c r="U3156" s="645">
        <v>15.21</v>
      </c>
      <c r="V3156" s="653">
        <f>((U3156*(1+X3156/10)+Y3156/10)/O3156)</f>
        <v>0.61733870967741933</v>
      </c>
      <c r="W3156" s="645" t="s">
        <v>2123</v>
      </c>
      <c r="X3156" s="645">
        <v>0</v>
      </c>
      <c r="Y3156" s="645">
        <v>1</v>
      </c>
      <c r="Z3156" s="652" t="s">
        <v>2122</v>
      </c>
      <c r="BB3156" s="651"/>
      <c r="BD3156" s="650"/>
    </row>
    <row r="3157" spans="1:56">
      <c r="C3157" s="648" t="s">
        <v>112</v>
      </c>
      <c r="D3157" s="648" t="s">
        <v>113</v>
      </c>
      <c r="E3157" s="648" t="s">
        <v>943</v>
      </c>
      <c r="F3157" s="649" t="s">
        <v>411</v>
      </c>
      <c r="G3157" s="649" t="s">
        <v>942</v>
      </c>
      <c r="H3157" s="648" t="s">
        <v>231</v>
      </c>
    </row>
    <row r="3158" spans="1:56">
      <c r="C3158" s="1512" t="s">
        <v>1124</v>
      </c>
      <c r="D3158" s="647">
        <v>22</v>
      </c>
      <c r="E3158" s="709">
        <v>1</v>
      </c>
      <c r="F3158" s="645"/>
      <c r="G3158" s="645"/>
      <c r="H3158" s="645"/>
    </row>
    <row r="3159" spans="1:56">
      <c r="C3159" s="1512"/>
      <c r="D3159" s="647">
        <v>21</v>
      </c>
      <c r="E3159" s="709">
        <v>2</v>
      </c>
      <c r="F3159" s="645"/>
      <c r="G3159" s="645"/>
      <c r="H3159" s="645"/>
    </row>
    <row r="3160" spans="1:56">
      <c r="C3160" s="1512"/>
      <c r="D3160" s="647">
        <v>20</v>
      </c>
      <c r="E3160" s="709">
        <v>3</v>
      </c>
      <c r="F3160" s="645"/>
      <c r="G3160" s="645"/>
      <c r="H3160" s="645"/>
    </row>
    <row r="3161" spans="1:56">
      <c r="C3161" s="1512" t="s">
        <v>466</v>
      </c>
      <c r="D3161" s="647">
        <v>23.58</v>
      </c>
      <c r="E3161" s="709">
        <v>1.1000000000000001</v>
      </c>
      <c r="F3161" s="645"/>
      <c r="G3161" s="645"/>
      <c r="H3161" s="645"/>
    </row>
    <row r="3162" spans="1:56">
      <c r="C3162" s="1512"/>
      <c r="D3162" s="647">
        <v>22.78</v>
      </c>
      <c r="E3162" s="709">
        <v>1.1499999999999999</v>
      </c>
      <c r="F3162" s="645"/>
      <c r="G3162" s="645"/>
      <c r="H3162" s="645"/>
    </row>
    <row r="3163" spans="1:56">
      <c r="C3163" s="1512"/>
      <c r="D3163" s="647">
        <v>20.98</v>
      </c>
      <c r="E3163" s="709">
        <v>1.2</v>
      </c>
      <c r="F3163" s="645"/>
      <c r="G3163" s="645"/>
      <c r="H3163" s="645"/>
    </row>
    <row r="3164" spans="1:56">
      <c r="C3164" s="1512" t="s">
        <v>594</v>
      </c>
      <c r="D3164" s="647">
        <v>21.58</v>
      </c>
      <c r="E3164" s="709">
        <v>1</v>
      </c>
      <c r="F3164" s="645"/>
      <c r="G3164" s="645"/>
      <c r="H3164" s="645"/>
    </row>
    <row r="3165" spans="1:56">
      <c r="C3165" s="1512"/>
      <c r="D3165" s="647">
        <v>20.68</v>
      </c>
      <c r="E3165" s="709">
        <v>1.1000000000000001</v>
      </c>
      <c r="F3165" s="645"/>
      <c r="G3165" s="645"/>
      <c r="H3165" s="645"/>
    </row>
    <row r="3166" spans="1:56">
      <c r="C3166" s="1512"/>
      <c r="D3166" s="647">
        <v>20.079999999999998</v>
      </c>
      <c r="E3166" s="709">
        <v>1.2</v>
      </c>
      <c r="F3166" s="645"/>
      <c r="G3166" s="645"/>
      <c r="H3166" s="645"/>
    </row>
    <row r="3167" spans="1:56">
      <c r="C3167" s="646" t="s">
        <v>124</v>
      </c>
      <c r="D3167" s="647">
        <v>20</v>
      </c>
      <c r="E3167" s="709">
        <v>1</v>
      </c>
      <c r="F3167" s="645"/>
      <c r="G3167" s="645"/>
      <c r="H3167" s="645"/>
    </row>
    <row r="3168" spans="1:56" ht="28">
      <c r="C3168" s="673" t="s">
        <v>3238</v>
      </c>
      <c r="D3168" s="647">
        <v>23.4</v>
      </c>
      <c r="E3168" s="709">
        <v>1</v>
      </c>
      <c r="F3168" s="645"/>
      <c r="G3168" s="645"/>
      <c r="H3168" s="645"/>
    </row>
    <row r="3169" spans="3:8" ht="28">
      <c r="C3169" s="673" t="s">
        <v>3237</v>
      </c>
      <c r="D3169" s="647">
        <v>18</v>
      </c>
      <c r="E3169" s="709">
        <v>1</v>
      </c>
      <c r="F3169" s="645"/>
      <c r="G3169" s="645"/>
      <c r="H3169" s="645"/>
    </row>
    <row r="3170" spans="3:8">
      <c r="C3170" s="1512" t="s">
        <v>1031</v>
      </c>
      <c r="D3170" s="647">
        <v>23.6</v>
      </c>
      <c r="E3170" s="709">
        <v>1</v>
      </c>
      <c r="F3170" s="645"/>
      <c r="G3170" s="645"/>
      <c r="H3170" s="645"/>
    </row>
    <row r="3171" spans="3:8">
      <c r="C3171" s="1512"/>
      <c r="D3171" s="647">
        <v>22.6</v>
      </c>
      <c r="E3171" s="709">
        <v>1.2</v>
      </c>
      <c r="F3171" s="645"/>
      <c r="G3171" s="645"/>
      <c r="H3171" s="645"/>
    </row>
    <row r="3172" spans="3:8">
      <c r="C3172" s="1512"/>
      <c r="D3172" s="647">
        <v>20.6</v>
      </c>
      <c r="E3172" s="709">
        <v>1.5</v>
      </c>
      <c r="F3172" s="645"/>
      <c r="G3172" s="645"/>
      <c r="H3172" s="645"/>
    </row>
    <row r="3173" spans="3:8" ht="28">
      <c r="C3173" s="673" t="s">
        <v>3236</v>
      </c>
      <c r="D3173" s="647">
        <v>22.88</v>
      </c>
      <c r="E3173" s="709">
        <v>2</v>
      </c>
      <c r="F3173" s="645"/>
      <c r="G3173" s="645"/>
      <c r="H3173" s="645"/>
    </row>
    <row r="3174" spans="3:8" ht="28">
      <c r="C3174" s="673" t="s">
        <v>3235</v>
      </c>
      <c r="D3174" s="647">
        <v>20.88</v>
      </c>
      <c r="E3174" s="709">
        <v>1</v>
      </c>
      <c r="F3174" s="645"/>
      <c r="G3174" s="645"/>
      <c r="H3174" s="645"/>
    </row>
    <row r="3175" spans="3:8">
      <c r="C3175" s="646" t="s">
        <v>125</v>
      </c>
      <c r="D3175" s="647">
        <v>24.78</v>
      </c>
      <c r="E3175" s="709">
        <v>1</v>
      </c>
      <c r="F3175" s="645"/>
      <c r="G3175" s="645"/>
      <c r="H3175" s="645"/>
    </row>
    <row r="3176" spans="3:8">
      <c r="C3176" s="1512" t="s">
        <v>544</v>
      </c>
      <c r="D3176" s="647">
        <v>23.52</v>
      </c>
      <c r="E3176" s="709">
        <v>1</v>
      </c>
      <c r="F3176" s="645"/>
      <c r="G3176" s="645"/>
      <c r="H3176" s="645"/>
    </row>
    <row r="3177" spans="3:8">
      <c r="C3177" s="1512"/>
      <c r="D3177" s="647">
        <v>20.52</v>
      </c>
      <c r="E3177" s="709">
        <v>1.01</v>
      </c>
      <c r="F3177" s="645"/>
      <c r="G3177" s="645"/>
      <c r="H3177" s="645"/>
    </row>
    <row r="3178" spans="3:8">
      <c r="C3178" s="1512"/>
      <c r="D3178" s="647">
        <v>16.25</v>
      </c>
      <c r="E3178" s="709">
        <v>1.02</v>
      </c>
      <c r="F3178" s="645"/>
      <c r="G3178" s="645"/>
      <c r="H3178" s="645"/>
    </row>
    <row r="3179" spans="3:8">
      <c r="C3179" s="1514" t="s">
        <v>3234</v>
      </c>
      <c r="D3179" s="647">
        <v>22.22</v>
      </c>
      <c r="E3179" s="709">
        <v>1.5</v>
      </c>
      <c r="F3179" s="645"/>
      <c r="G3179" s="645"/>
      <c r="H3179" s="645"/>
    </row>
    <row r="3180" spans="3:8">
      <c r="C3180" s="1514"/>
      <c r="D3180" s="647">
        <v>20.88</v>
      </c>
      <c r="E3180" s="709">
        <v>1.5</v>
      </c>
      <c r="F3180" s="645"/>
      <c r="G3180" s="645"/>
      <c r="H3180" s="645"/>
    </row>
    <row r="3181" spans="3:8" ht="28">
      <c r="C3181" s="673" t="s">
        <v>3233</v>
      </c>
      <c r="D3181" s="647">
        <v>24.46</v>
      </c>
      <c r="E3181" s="709">
        <v>2</v>
      </c>
      <c r="F3181" s="645"/>
      <c r="G3181" s="645"/>
      <c r="H3181" s="645"/>
    </row>
    <row r="3182" spans="3:8">
      <c r="C3182" s="646" t="s">
        <v>1127</v>
      </c>
      <c r="D3182" s="647">
        <v>22.11</v>
      </c>
      <c r="E3182" s="709">
        <v>1</v>
      </c>
      <c r="F3182" s="645"/>
      <c r="G3182" s="645"/>
      <c r="H3182" s="645"/>
    </row>
    <row r="3183" spans="3:8" ht="28">
      <c r="C3183" s="673" t="s">
        <v>3232</v>
      </c>
      <c r="D3183" s="647">
        <v>20.010000000000002</v>
      </c>
      <c r="E3183" s="709">
        <v>1</v>
      </c>
      <c r="F3183" s="645"/>
      <c r="G3183" s="645"/>
      <c r="H3183" s="645"/>
    </row>
    <row r="3184" spans="3:8">
      <c r="C3184" s="1512" t="s">
        <v>3231</v>
      </c>
      <c r="D3184" s="711">
        <v>24.81</v>
      </c>
      <c r="E3184" s="710">
        <v>1.41</v>
      </c>
      <c r="F3184" s="645"/>
      <c r="G3184" s="644">
        <f>5685483/10000</f>
        <v>568.54830000000004</v>
      </c>
      <c r="H3184" s="643">
        <f>140999978.4/100000000</f>
        <v>1.409999784</v>
      </c>
    </row>
    <row r="3185" spans="3:8">
      <c r="C3185" s="1512"/>
      <c r="D3185" s="647">
        <v>23.47</v>
      </c>
      <c r="E3185" s="709">
        <v>1.44</v>
      </c>
      <c r="F3185" s="645"/>
      <c r="G3185" s="645"/>
      <c r="H3185" s="645"/>
    </row>
    <row r="3186" spans="3:8">
      <c r="C3186" s="1512"/>
      <c r="D3186" s="647">
        <v>20.89</v>
      </c>
      <c r="E3186" s="709">
        <v>1.59</v>
      </c>
      <c r="F3186" s="645"/>
      <c r="G3186" s="645"/>
      <c r="H3186" s="645"/>
    </row>
    <row r="3187" spans="3:8">
      <c r="C3187" s="1512" t="s">
        <v>131</v>
      </c>
      <c r="D3187" s="647">
        <v>18.02</v>
      </c>
      <c r="E3187" s="709">
        <v>2.56</v>
      </c>
      <c r="F3187" s="645"/>
      <c r="G3187" s="645"/>
      <c r="H3187" s="645"/>
    </row>
    <row r="3188" spans="3:8">
      <c r="C3188" s="1512"/>
      <c r="D3188" s="647">
        <v>16.260000000000002</v>
      </c>
      <c r="E3188" s="709">
        <v>3.57</v>
      </c>
      <c r="F3188" s="645"/>
      <c r="G3188" s="645"/>
      <c r="H3188" s="645"/>
    </row>
    <row r="3189" spans="3:8" ht="28">
      <c r="C3189" s="673" t="s">
        <v>3230</v>
      </c>
      <c r="D3189" s="647">
        <v>21.85</v>
      </c>
      <c r="E3189" s="709">
        <v>1.5</v>
      </c>
      <c r="F3189" s="645"/>
      <c r="G3189" s="645"/>
      <c r="H3189" s="645"/>
    </row>
    <row r="3190" spans="3:8">
      <c r="C3190" s="1512" t="s">
        <v>127</v>
      </c>
      <c r="D3190" s="647">
        <v>22.53</v>
      </c>
      <c r="E3190" s="709">
        <v>1</v>
      </c>
      <c r="F3190" s="645"/>
      <c r="G3190" s="645"/>
      <c r="H3190" s="645"/>
    </row>
    <row r="3191" spans="3:8">
      <c r="C3191" s="1512"/>
      <c r="D3191" s="647">
        <v>21.23</v>
      </c>
      <c r="E3191" s="709">
        <v>2.5</v>
      </c>
      <c r="F3191" s="645"/>
      <c r="G3191" s="645"/>
      <c r="H3191" s="645"/>
    </row>
    <row r="3192" spans="3:8">
      <c r="C3192" s="673"/>
      <c r="D3192" s="647">
        <v>20.23</v>
      </c>
      <c r="E3192" s="709">
        <v>3.5</v>
      </c>
      <c r="F3192" s="645"/>
      <c r="G3192" s="645"/>
      <c r="H3192" s="645"/>
    </row>
    <row r="3193" spans="3:8">
      <c r="C3193" s="1512" t="s">
        <v>115</v>
      </c>
      <c r="D3193" s="647">
        <v>24.73</v>
      </c>
      <c r="E3193" s="709">
        <v>1</v>
      </c>
      <c r="F3193" s="645"/>
      <c r="G3193" s="645"/>
      <c r="H3193" s="645"/>
    </row>
    <row r="3194" spans="3:8">
      <c r="C3194" s="1512"/>
      <c r="D3194" s="647">
        <v>23.22</v>
      </c>
      <c r="E3194" s="709">
        <v>4.0449999999999999</v>
      </c>
      <c r="F3194" s="645"/>
      <c r="G3194" s="645"/>
      <c r="H3194" s="645"/>
    </row>
    <row r="3195" spans="3:8">
      <c r="C3195" s="1512"/>
      <c r="D3195" s="647">
        <v>22.18</v>
      </c>
      <c r="E3195" s="709">
        <v>5</v>
      </c>
      <c r="F3195" s="645"/>
      <c r="G3195" s="645"/>
      <c r="H3195" s="645"/>
    </row>
    <row r="3196" spans="3:8">
      <c r="C3196" s="1512" t="s">
        <v>3229</v>
      </c>
      <c r="D3196" s="647">
        <v>25.58</v>
      </c>
      <c r="E3196" s="709">
        <v>1.32</v>
      </c>
      <c r="F3196" s="645"/>
      <c r="G3196" s="644">
        <f>6008065/10000</f>
        <v>600.80650000000003</v>
      </c>
      <c r="H3196" s="643">
        <f>149000012/100000000</f>
        <v>1.4900001199999999</v>
      </c>
    </row>
    <row r="3197" spans="3:8">
      <c r="C3197" s="1512"/>
      <c r="D3197" s="711">
        <v>24.8</v>
      </c>
      <c r="E3197" s="710">
        <v>1.65</v>
      </c>
      <c r="F3197" s="645"/>
      <c r="G3197" s="645"/>
      <c r="H3197" s="645"/>
    </row>
    <row r="3198" spans="3:8">
      <c r="C3198" s="1512"/>
      <c r="D3198" s="647">
        <v>22.98</v>
      </c>
      <c r="E3198" s="709">
        <v>2.2000000000000002</v>
      </c>
      <c r="F3198" s="645"/>
      <c r="G3198" s="645"/>
      <c r="H3198" s="645"/>
    </row>
    <row r="3199" spans="3:8" ht="28">
      <c r="C3199" s="673" t="s">
        <v>3228</v>
      </c>
      <c r="D3199" s="647">
        <v>24.68</v>
      </c>
      <c r="E3199" s="709">
        <v>1.03</v>
      </c>
      <c r="F3199" s="645"/>
      <c r="G3199" s="645"/>
      <c r="H3199" s="645"/>
    </row>
    <row r="3200" spans="3:8">
      <c r="C3200" s="1512" t="s">
        <v>351</v>
      </c>
      <c r="D3200" s="647">
        <v>20.68</v>
      </c>
      <c r="E3200" s="709">
        <v>1</v>
      </c>
      <c r="F3200" s="645"/>
      <c r="G3200" s="645"/>
      <c r="H3200" s="645"/>
    </row>
    <row r="3201" spans="3:8">
      <c r="C3201" s="1512"/>
      <c r="D3201" s="647">
        <v>19.38</v>
      </c>
      <c r="E3201" s="709">
        <v>1.2</v>
      </c>
      <c r="F3201" s="645"/>
      <c r="G3201" s="645"/>
      <c r="H3201" s="645"/>
    </row>
    <row r="3202" spans="3:8">
      <c r="C3202" s="1512"/>
      <c r="D3202" s="647">
        <v>18.38</v>
      </c>
      <c r="E3202" s="709">
        <v>1.4</v>
      </c>
      <c r="F3202" s="645"/>
      <c r="G3202" s="645"/>
      <c r="H3202" s="645"/>
    </row>
    <row r="3203" spans="3:8" ht="28">
      <c r="C3203" s="673" t="s">
        <v>3227</v>
      </c>
      <c r="D3203" s="711">
        <v>25.67</v>
      </c>
      <c r="E3203" s="710">
        <v>1</v>
      </c>
      <c r="F3203" s="645"/>
      <c r="G3203" s="644">
        <f>4032258/10000</f>
        <v>403.22579999999999</v>
      </c>
      <c r="H3203" s="643">
        <f>99999998.4/100000000</f>
        <v>0.99999998400000001</v>
      </c>
    </row>
    <row r="3204" spans="3:8" ht="28">
      <c r="C3204" s="673" t="s">
        <v>3226</v>
      </c>
      <c r="D3204" s="711">
        <v>26.1</v>
      </c>
      <c r="E3204" s="710">
        <v>1</v>
      </c>
      <c r="F3204" s="645"/>
      <c r="G3204" s="644">
        <f>4032258/10000</f>
        <v>403.22579999999999</v>
      </c>
      <c r="H3204" s="643">
        <f>99999998.4/100000000</f>
        <v>0.99999998400000001</v>
      </c>
    </row>
    <row r="3205" spans="3:8">
      <c r="C3205" s="1512" t="s">
        <v>3225</v>
      </c>
      <c r="D3205" s="711">
        <v>26.1</v>
      </c>
      <c r="E3205" s="710">
        <v>1</v>
      </c>
      <c r="F3205" s="645"/>
      <c r="G3205" s="644">
        <f>4032258/10000</f>
        <v>403.22579999999999</v>
      </c>
      <c r="H3205" s="643">
        <f>99999998.4/100000000</f>
        <v>0.99999998400000001</v>
      </c>
    </row>
    <row r="3206" spans="3:8">
      <c r="C3206" s="1512"/>
      <c r="D3206" s="647">
        <v>24.8</v>
      </c>
      <c r="E3206" s="709">
        <v>1.325</v>
      </c>
      <c r="F3206" s="645"/>
      <c r="G3206" s="645"/>
      <c r="H3206" s="645"/>
    </row>
    <row r="3207" spans="3:8">
      <c r="C3207" s="1512"/>
      <c r="D3207" s="647">
        <v>23.5</v>
      </c>
      <c r="E3207" s="709">
        <v>1.6</v>
      </c>
      <c r="F3207" s="645"/>
      <c r="G3207" s="645"/>
      <c r="H3207" s="645"/>
    </row>
    <row r="3208" spans="3:8">
      <c r="C3208" s="1512" t="s">
        <v>146</v>
      </c>
      <c r="D3208" s="647">
        <v>23.2</v>
      </c>
      <c r="E3208" s="709">
        <v>1.1499999999999999</v>
      </c>
      <c r="F3208" s="645"/>
      <c r="G3208" s="645"/>
      <c r="H3208" s="645"/>
    </row>
    <row r="3209" spans="3:8">
      <c r="C3209" s="1512"/>
      <c r="D3209" s="647">
        <v>22.45</v>
      </c>
      <c r="E3209" s="709">
        <v>1.35</v>
      </c>
      <c r="F3209" s="645"/>
      <c r="G3209" s="645"/>
      <c r="H3209" s="645"/>
    </row>
    <row r="3210" spans="3:8">
      <c r="C3210" s="1512" t="s">
        <v>147</v>
      </c>
      <c r="D3210" s="647">
        <v>20.12</v>
      </c>
      <c r="E3210" s="709">
        <v>2.2400000000000002</v>
      </c>
      <c r="F3210" s="645"/>
      <c r="G3210" s="645"/>
      <c r="H3210" s="645"/>
    </row>
    <row r="3211" spans="3:8">
      <c r="C3211" s="1512"/>
      <c r="D3211" s="647">
        <v>18.3</v>
      </c>
      <c r="E3211" s="709">
        <v>2.2949999999999999</v>
      </c>
      <c r="F3211" s="645"/>
      <c r="G3211" s="645"/>
      <c r="H3211" s="645"/>
    </row>
    <row r="3212" spans="3:8">
      <c r="C3212" s="1512" t="s">
        <v>3224</v>
      </c>
      <c r="D3212" s="647">
        <v>25.55</v>
      </c>
      <c r="E3212" s="709">
        <v>1.1000000000000001</v>
      </c>
      <c r="F3212" s="645"/>
      <c r="G3212" s="644">
        <v>1250</v>
      </c>
      <c r="H3212" s="643">
        <f>310000000/100000000</f>
        <v>3.1</v>
      </c>
    </row>
    <row r="3213" spans="3:8">
      <c r="C3213" s="1512"/>
      <c r="D3213" s="711">
        <v>25.5</v>
      </c>
      <c r="E3213" s="710">
        <v>3.1</v>
      </c>
      <c r="F3213" s="645"/>
      <c r="G3213" s="645"/>
      <c r="H3213" s="645"/>
    </row>
    <row r="3214" spans="3:8">
      <c r="C3214" s="1512" t="s">
        <v>148</v>
      </c>
      <c r="D3214" s="647">
        <v>24.53</v>
      </c>
      <c r="E3214" s="709">
        <v>1.18</v>
      </c>
      <c r="F3214" s="645"/>
      <c r="G3214" s="645"/>
      <c r="H3214" s="645"/>
    </row>
    <row r="3215" spans="3:8">
      <c r="C3215" s="1512"/>
      <c r="D3215" s="647">
        <v>23.02</v>
      </c>
      <c r="E3215" s="709">
        <v>1.6</v>
      </c>
      <c r="F3215" s="645"/>
      <c r="G3215" s="645"/>
      <c r="H3215" s="645"/>
    </row>
    <row r="3216" spans="3:8" ht="28">
      <c r="C3216" s="673" t="s">
        <v>3223</v>
      </c>
      <c r="D3216" s="647">
        <v>22.5</v>
      </c>
      <c r="E3216" s="709">
        <v>1.05</v>
      </c>
      <c r="F3216" s="645"/>
      <c r="G3216" s="645"/>
      <c r="H3216" s="645"/>
    </row>
    <row r="3217" spans="1:56">
      <c r="C3217" s="1512" t="s">
        <v>122</v>
      </c>
      <c r="D3217" s="647">
        <v>21.13</v>
      </c>
      <c r="E3217" s="709">
        <v>1.1000000000000001</v>
      </c>
      <c r="F3217" s="645"/>
      <c r="G3217" s="645"/>
      <c r="H3217" s="645"/>
    </row>
    <row r="3218" spans="1:56">
      <c r="C3218" s="1512"/>
      <c r="D3218" s="647">
        <v>18.28</v>
      </c>
      <c r="E3218" s="709">
        <v>2.1</v>
      </c>
      <c r="F3218" s="645"/>
      <c r="G3218" s="645"/>
      <c r="H3218" s="645"/>
    </row>
    <row r="3219" spans="1:56">
      <c r="C3219" s="646" t="s">
        <v>3222</v>
      </c>
      <c r="D3219" s="645"/>
      <c r="E3219" s="708"/>
      <c r="F3219" s="645"/>
      <c r="G3219" s="644">
        <v>403.22579999999999</v>
      </c>
      <c r="H3219" s="643">
        <f>99999998.4/100000000</f>
        <v>0.99999998400000001</v>
      </c>
    </row>
    <row r="3221" spans="1:56">
      <c r="C3221" s="707"/>
      <c r="E3221" s="706"/>
      <c r="G3221" s="705"/>
      <c r="H3221" s="687"/>
    </row>
    <row r="3222" spans="1:56" s="663" customFormat="1">
      <c r="A3222" s="665" t="s">
        <v>2861</v>
      </c>
      <c r="B3222" s="665" t="s">
        <v>2036</v>
      </c>
      <c r="C3222" s="667" t="s">
        <v>126</v>
      </c>
      <c r="D3222" s="667" t="s">
        <v>1583</v>
      </c>
      <c r="E3222" s="667" t="s">
        <v>4</v>
      </c>
      <c r="F3222" s="667" t="s">
        <v>2860</v>
      </c>
      <c r="G3222" s="667" t="s">
        <v>2859</v>
      </c>
      <c r="H3222" s="667" t="s">
        <v>2858</v>
      </c>
      <c r="I3222" s="667" t="s">
        <v>751</v>
      </c>
      <c r="J3222" s="665" t="s">
        <v>274</v>
      </c>
      <c r="K3222" s="665" t="s">
        <v>273</v>
      </c>
      <c r="L3222" s="665" t="s">
        <v>116</v>
      </c>
      <c r="M3222" s="665" t="s">
        <v>110</v>
      </c>
      <c r="N3222" s="665" t="s">
        <v>276</v>
      </c>
      <c r="O3222" s="667" t="s">
        <v>1311</v>
      </c>
      <c r="P3222" s="665" t="s">
        <v>275</v>
      </c>
      <c r="Q3222" s="665" t="s">
        <v>111</v>
      </c>
      <c r="R3222" s="665" t="s">
        <v>2857</v>
      </c>
      <c r="S3222" s="665" t="s">
        <v>747</v>
      </c>
      <c r="T3222" s="667" t="s">
        <v>12</v>
      </c>
      <c r="U3222" s="666" t="s">
        <v>948</v>
      </c>
      <c r="V3222" s="665" t="s">
        <v>129</v>
      </c>
      <c r="W3222" s="665" t="s">
        <v>220</v>
      </c>
      <c r="X3222" s="665" t="s">
        <v>749</v>
      </c>
      <c r="Y3222" s="665" t="s">
        <v>750</v>
      </c>
      <c r="Z3222" s="665" t="s">
        <v>748</v>
      </c>
      <c r="BB3222" s="664"/>
      <c r="BD3222" s="664"/>
    </row>
    <row r="3223" spans="1:56" ht="23" customHeight="1">
      <c r="A3223" s="645" t="s">
        <v>2078</v>
      </c>
      <c r="B3223" s="1435">
        <v>195</v>
      </c>
      <c r="C3223" s="1477" t="s">
        <v>2121</v>
      </c>
      <c r="D3223" s="652" t="s">
        <v>2120</v>
      </c>
      <c r="E3223" s="652" t="s">
        <v>2119</v>
      </c>
      <c r="F3223" s="656">
        <v>32</v>
      </c>
      <c r="G3223" s="704">
        <v>31.9998300048</v>
      </c>
      <c r="H3223" s="704">
        <f>L3223*R3223</f>
        <v>185.61888497750002</v>
      </c>
      <c r="I3223" s="656">
        <f>F3223/H3223</f>
        <v>0.17239625161997343</v>
      </c>
      <c r="J3223" s="700">
        <v>42613</v>
      </c>
      <c r="K3223" s="703" t="s">
        <v>2240</v>
      </c>
      <c r="L3223" s="20">
        <v>10.25</v>
      </c>
      <c r="M3223" s="20">
        <v>10.64</v>
      </c>
      <c r="N3223" s="21">
        <f>M3223/L3223</f>
        <v>1.0380487804878049</v>
      </c>
      <c r="O3223" s="465">
        <v>10.64</v>
      </c>
      <c r="P3223" s="21">
        <f>O3223/L3223</f>
        <v>1.0380487804878049</v>
      </c>
      <c r="Q3223" s="645">
        <v>4</v>
      </c>
      <c r="R3223" s="653">
        <v>18.109159510000001</v>
      </c>
      <c r="S3223" s="645" t="s">
        <v>2118</v>
      </c>
      <c r="T3223" s="654">
        <v>42998</v>
      </c>
      <c r="U3223" s="645">
        <v>12.16</v>
      </c>
      <c r="V3223" s="653">
        <f>((U3223*(1+X3223/10)+Y3223/10)/O3223)</f>
        <v>1.1569548872180451</v>
      </c>
      <c r="W3223" s="645" t="s">
        <v>2117</v>
      </c>
      <c r="X3223" s="645">
        <v>0</v>
      </c>
      <c r="Y3223" s="645">
        <v>1.5</v>
      </c>
      <c r="Z3223" s="652" t="s">
        <v>2116</v>
      </c>
      <c r="BB3223" s="651"/>
      <c r="BD3223" s="650"/>
    </row>
    <row r="3224" spans="1:56" ht="23" customHeight="1">
      <c r="C3224" s="702"/>
      <c r="D3224" s="650"/>
      <c r="E3224" s="650"/>
      <c r="F3224" s="660"/>
      <c r="G3224" s="701"/>
      <c r="H3224" s="701"/>
      <c r="I3224" s="660"/>
      <c r="J3224" s="700">
        <v>42621</v>
      </c>
      <c r="K3224" s="20" t="s">
        <v>2089</v>
      </c>
      <c r="L3224" s="20">
        <v>10.73</v>
      </c>
      <c r="M3224" s="20"/>
      <c r="N3224" s="21">
        <f>M3223/L3224</f>
        <v>0.99161230195712957</v>
      </c>
      <c r="O3224" s="465"/>
      <c r="P3224" s="21">
        <f>O3223/L3224</f>
        <v>0.99161230195712957</v>
      </c>
      <c r="R3224" s="699"/>
      <c r="T3224" s="651"/>
      <c r="V3224" s="699"/>
      <c r="Z3224" s="650"/>
      <c r="BB3224" s="651"/>
      <c r="BD3224" s="650"/>
    </row>
    <row r="3225" spans="1:56">
      <c r="C3225" s="696" t="s">
        <v>112</v>
      </c>
      <c r="D3225" s="696" t="s">
        <v>113</v>
      </c>
      <c r="E3225" s="696" t="s">
        <v>943</v>
      </c>
      <c r="F3225" s="697" t="s">
        <v>411</v>
      </c>
      <c r="G3225" s="697" t="s">
        <v>942</v>
      </c>
      <c r="H3225" s="696" t="s">
        <v>231</v>
      </c>
    </row>
    <row r="3226" spans="1:56">
      <c r="C3226" s="696"/>
      <c r="D3226" s="1515" t="s">
        <v>3221</v>
      </c>
      <c r="E3226" s="1515"/>
      <c r="F3226" s="698">
        <v>42621</v>
      </c>
      <c r="G3226" s="697"/>
      <c r="H3226" s="696"/>
    </row>
    <row r="3227" spans="1:56">
      <c r="C3227" s="693" t="s">
        <v>3220</v>
      </c>
      <c r="D3227" s="692">
        <v>10.64</v>
      </c>
      <c r="E3227" s="695">
        <v>12.8</v>
      </c>
      <c r="G3227" s="690">
        <v>12030.0751</v>
      </c>
      <c r="H3227" s="689">
        <v>12.799999906400002</v>
      </c>
      <c r="I3227" s="688"/>
      <c r="J3227" s="687"/>
    </row>
    <row r="3228" spans="1:56">
      <c r="C3228" s="693" t="s">
        <v>3219</v>
      </c>
      <c r="D3228" s="692">
        <v>10.64</v>
      </c>
      <c r="E3228" s="694">
        <v>9.6</v>
      </c>
      <c r="G3228" s="690">
        <v>9022.5563000000002</v>
      </c>
      <c r="H3228" s="689">
        <v>9.5999999032000005</v>
      </c>
      <c r="I3228" s="688"/>
      <c r="J3228" s="687"/>
    </row>
    <row r="3229" spans="1:56">
      <c r="C3229" s="693" t="s">
        <v>2908</v>
      </c>
      <c r="D3229" s="692">
        <v>10.64</v>
      </c>
      <c r="E3229" s="694">
        <v>2.5</v>
      </c>
      <c r="G3229" s="690">
        <v>2349.6239999999998</v>
      </c>
      <c r="H3229" s="689">
        <v>2.499999936</v>
      </c>
      <c r="I3229" s="688"/>
      <c r="J3229" s="687"/>
    </row>
    <row r="3230" spans="1:56">
      <c r="C3230" s="693" t="s">
        <v>3218</v>
      </c>
      <c r="D3230" s="692">
        <v>10.64</v>
      </c>
      <c r="E3230" s="691">
        <v>7.0998302592</v>
      </c>
      <c r="G3230" s="690">
        <v>6672.7727999999997</v>
      </c>
      <c r="H3230" s="689">
        <v>7.0998302592</v>
      </c>
      <c r="I3230" s="688"/>
      <c r="J3230" s="687"/>
    </row>
    <row r="3232" spans="1:56" s="663" customFormat="1">
      <c r="A3232" s="663" t="s">
        <v>2861</v>
      </c>
      <c r="B3232" s="665" t="s">
        <v>2036</v>
      </c>
      <c r="C3232" s="667" t="s">
        <v>126</v>
      </c>
      <c r="D3232" s="667" t="s">
        <v>1583</v>
      </c>
      <c r="E3232" s="667" t="s">
        <v>4</v>
      </c>
      <c r="F3232" s="667" t="s">
        <v>2860</v>
      </c>
      <c r="G3232" s="667" t="s">
        <v>2859</v>
      </c>
      <c r="H3232" s="667" t="s">
        <v>2858</v>
      </c>
      <c r="I3232" s="667" t="s">
        <v>751</v>
      </c>
      <c r="J3232" s="665" t="s">
        <v>274</v>
      </c>
      <c r="K3232" s="665" t="s">
        <v>273</v>
      </c>
      <c r="L3232" s="668" t="s">
        <v>116</v>
      </c>
      <c r="M3232" s="665" t="s">
        <v>110</v>
      </c>
      <c r="N3232" s="665" t="s">
        <v>276</v>
      </c>
      <c r="O3232" s="667" t="s">
        <v>1311</v>
      </c>
      <c r="P3232" s="665" t="s">
        <v>275</v>
      </c>
      <c r="Q3232" s="665" t="s">
        <v>111</v>
      </c>
      <c r="R3232" s="665" t="s">
        <v>2857</v>
      </c>
      <c r="S3232" s="665" t="s">
        <v>747</v>
      </c>
      <c r="T3232" s="667" t="s">
        <v>12</v>
      </c>
      <c r="U3232" s="666" t="s">
        <v>948</v>
      </c>
      <c r="V3232" s="665" t="s">
        <v>129</v>
      </c>
      <c r="W3232" s="665" t="s">
        <v>220</v>
      </c>
      <c r="X3232" s="665" t="s">
        <v>749</v>
      </c>
      <c r="Y3232" s="665" t="s">
        <v>750</v>
      </c>
      <c r="Z3232" s="665" t="s">
        <v>748</v>
      </c>
      <c r="BB3232" s="664"/>
      <c r="BD3232" s="664"/>
    </row>
    <row r="3233" spans="1:56">
      <c r="A3233" s="642" t="s">
        <v>2078</v>
      </c>
      <c r="B3233" s="682">
        <v>196</v>
      </c>
      <c r="C3233" s="1478" t="s">
        <v>2115</v>
      </c>
      <c r="D3233" s="686" t="s">
        <v>2114</v>
      </c>
      <c r="E3233" s="686" t="s">
        <v>2113</v>
      </c>
      <c r="F3233" s="685">
        <v>11.3</v>
      </c>
      <c r="G3233" s="660">
        <v>10.27</v>
      </c>
      <c r="H3233" s="684">
        <f>L3233*R3233</f>
        <v>167.364207577</v>
      </c>
      <c r="I3233" s="683">
        <f>F3233/H3233</f>
        <v>6.7517423011734204E-2</v>
      </c>
      <c r="J3233" s="682" t="s">
        <v>2885</v>
      </c>
      <c r="K3233" s="681" t="s">
        <v>2089</v>
      </c>
      <c r="L3233" s="680">
        <v>10.99</v>
      </c>
      <c r="M3233" s="658">
        <v>10.28</v>
      </c>
      <c r="N3233" s="653">
        <f>M3233/L3233</f>
        <v>0.93539581437670605</v>
      </c>
      <c r="O3233" s="656">
        <v>10.28</v>
      </c>
      <c r="P3233" s="653">
        <f>O3233/L3233</f>
        <v>0.93539581437670605</v>
      </c>
      <c r="Q3233" s="645">
        <v>7</v>
      </c>
      <c r="R3233" s="653">
        <v>15.228772299999999</v>
      </c>
      <c r="S3233" s="645" t="s">
        <v>2112</v>
      </c>
      <c r="T3233" s="654">
        <v>42998</v>
      </c>
      <c r="U3233" s="645">
        <v>6.82</v>
      </c>
      <c r="V3233" s="653">
        <f>((U3233*(1+X3233/10)+Y3233/10)/O3233)</f>
        <v>0.66634241245136194</v>
      </c>
      <c r="W3233" s="645" t="s">
        <v>2111</v>
      </c>
      <c r="X3233" s="645">
        <v>0</v>
      </c>
      <c r="Y3233" s="645">
        <v>0.3</v>
      </c>
      <c r="Z3233" s="652" t="s">
        <v>2086</v>
      </c>
      <c r="BB3233" s="651"/>
      <c r="BD3233" s="650"/>
    </row>
    <row r="3234" spans="1:56">
      <c r="C3234" s="648" t="s">
        <v>112</v>
      </c>
      <c r="D3234" s="648" t="s">
        <v>113</v>
      </c>
      <c r="E3234" s="648" t="s">
        <v>943</v>
      </c>
      <c r="F3234" s="649" t="s">
        <v>411</v>
      </c>
      <c r="G3234" s="649" t="s">
        <v>942</v>
      </c>
      <c r="H3234" s="648" t="s">
        <v>231</v>
      </c>
    </row>
    <row r="3235" spans="1:56">
      <c r="C3235" s="1512" t="s">
        <v>150</v>
      </c>
      <c r="D3235" s="647">
        <v>10.52</v>
      </c>
      <c r="E3235" s="643">
        <f>155000000/100000000</f>
        <v>1.55</v>
      </c>
      <c r="F3235" s="645"/>
      <c r="G3235" s="644">
        <v>2237.3539999999998</v>
      </c>
      <c r="H3235" s="643">
        <f>229999991.2/100000000</f>
        <v>2.2999999120000001</v>
      </c>
    </row>
    <row r="3236" spans="1:56">
      <c r="C3236" s="1512"/>
      <c r="D3236" s="647">
        <v>10.31</v>
      </c>
      <c r="E3236" s="643">
        <f>202000000/100000000</f>
        <v>2.02</v>
      </c>
      <c r="F3236" s="645"/>
      <c r="G3236" s="645"/>
      <c r="H3236" s="645"/>
    </row>
    <row r="3237" spans="1:56">
      <c r="C3237" s="1512"/>
      <c r="D3237" s="647">
        <v>10.28</v>
      </c>
      <c r="E3237" s="643">
        <f>230000000/100000000</f>
        <v>2.2999999999999998</v>
      </c>
      <c r="F3237" s="645"/>
      <c r="G3237" s="645"/>
      <c r="H3237" s="645"/>
    </row>
    <row r="3238" spans="1:56">
      <c r="C3238" s="646" t="s">
        <v>1065</v>
      </c>
      <c r="D3238" s="647">
        <v>10.5</v>
      </c>
      <c r="E3238" s="643">
        <f>113000000/100000000</f>
        <v>1.1299999999999999</v>
      </c>
      <c r="F3238" s="645"/>
      <c r="G3238" s="644">
        <v>1099.2217000000001</v>
      </c>
      <c r="H3238" s="643">
        <f>112999990.76/100000000</f>
        <v>1.1299999076</v>
      </c>
    </row>
    <row r="3239" spans="1:56">
      <c r="C3239" s="646" t="s">
        <v>371</v>
      </c>
      <c r="D3239" s="647">
        <v>10.44</v>
      </c>
      <c r="E3239" s="643">
        <f>113000000/100000000</f>
        <v>1.1299999999999999</v>
      </c>
      <c r="F3239" s="645"/>
      <c r="G3239" s="644">
        <v>1099.2217000000001</v>
      </c>
      <c r="H3239" s="643">
        <f>112999990.76/100000000</f>
        <v>1.1299999076</v>
      </c>
    </row>
    <row r="3240" spans="1:56">
      <c r="C3240" s="646" t="s">
        <v>295</v>
      </c>
      <c r="D3240" s="647">
        <v>10.36</v>
      </c>
      <c r="E3240" s="643">
        <f>113369480/100000000</f>
        <v>1.1336948</v>
      </c>
      <c r="F3240" s="645"/>
      <c r="G3240" s="644">
        <v>1102.8159000000001</v>
      </c>
      <c r="H3240" s="643">
        <f>113369474.52/100000000</f>
        <v>1.1336947451999999</v>
      </c>
    </row>
    <row r="3241" spans="1:56">
      <c r="C3241" s="646" t="s">
        <v>300</v>
      </c>
      <c r="D3241" s="647">
        <v>10.31</v>
      </c>
      <c r="E3241" s="643">
        <f>113500000/100000000</f>
        <v>1.135</v>
      </c>
      <c r="F3241" s="645"/>
      <c r="G3241" s="644">
        <v>1104.0856000000001</v>
      </c>
      <c r="H3241" s="643">
        <f>113499999.68/100000000</f>
        <v>1.1349999968</v>
      </c>
    </row>
    <row r="3242" spans="1:56">
      <c r="C3242" s="646" t="s">
        <v>3217</v>
      </c>
      <c r="D3242" s="647">
        <v>10.28</v>
      </c>
      <c r="E3242" s="643">
        <f>226000000/100000000</f>
        <v>2.2599999999999998</v>
      </c>
      <c r="F3242" s="645"/>
      <c r="G3242" s="644">
        <v>2198.4434999999999</v>
      </c>
      <c r="H3242" s="643">
        <f>225999991.8/100000000</f>
        <v>2.2599999180000001</v>
      </c>
    </row>
    <row r="3243" spans="1:56">
      <c r="C3243" s="646" t="s">
        <v>115</v>
      </c>
      <c r="D3243" s="647">
        <v>10.28</v>
      </c>
      <c r="E3243" s="643">
        <f>118000000/100000000</f>
        <v>1.18</v>
      </c>
      <c r="F3243" s="645"/>
      <c r="G3243" s="644">
        <v>1147.8598999999999</v>
      </c>
      <c r="H3243" s="643">
        <f>117999997.72/100000000</f>
        <v>1.1799999772</v>
      </c>
    </row>
    <row r="3245" spans="1:56" s="663" customFormat="1">
      <c r="A3245" s="663" t="s">
        <v>2861</v>
      </c>
      <c r="B3245" s="665" t="s">
        <v>2036</v>
      </c>
      <c r="C3245" s="667" t="s">
        <v>126</v>
      </c>
      <c r="D3245" s="667" t="s">
        <v>1583</v>
      </c>
      <c r="E3245" s="667" t="s">
        <v>4</v>
      </c>
      <c r="F3245" s="667" t="s">
        <v>2860</v>
      </c>
      <c r="G3245" s="667" t="s">
        <v>2859</v>
      </c>
      <c r="H3245" s="667" t="s">
        <v>2858</v>
      </c>
      <c r="I3245" s="667" t="s">
        <v>751</v>
      </c>
      <c r="J3245" s="665" t="s">
        <v>274</v>
      </c>
      <c r="K3245" s="665" t="s">
        <v>273</v>
      </c>
      <c r="L3245" s="665" t="s">
        <v>116</v>
      </c>
      <c r="M3245" s="668" t="s">
        <v>110</v>
      </c>
      <c r="N3245" s="665" t="s">
        <v>276</v>
      </c>
      <c r="O3245" s="667" t="s">
        <v>1311</v>
      </c>
      <c r="P3245" s="665" t="s">
        <v>275</v>
      </c>
      <c r="Q3245" s="665" t="s">
        <v>111</v>
      </c>
      <c r="R3245" s="665" t="s">
        <v>2857</v>
      </c>
      <c r="S3245" s="665" t="s">
        <v>747</v>
      </c>
      <c r="T3245" s="667" t="s">
        <v>12</v>
      </c>
      <c r="U3245" s="666" t="s">
        <v>948</v>
      </c>
      <c r="V3245" s="665" t="s">
        <v>129</v>
      </c>
      <c r="W3245" s="665" t="s">
        <v>220</v>
      </c>
      <c r="X3245" s="665" t="s">
        <v>749</v>
      </c>
      <c r="Y3245" s="665" t="s">
        <v>750</v>
      </c>
      <c r="Z3245" s="665" t="s">
        <v>748</v>
      </c>
      <c r="BB3245" s="664"/>
      <c r="BD3245" s="664"/>
    </row>
    <row r="3246" spans="1:56">
      <c r="A3246" s="642" t="s">
        <v>2078</v>
      </c>
      <c r="B3246" s="1436">
        <v>197</v>
      </c>
      <c r="C3246" s="1437" t="s">
        <v>2110</v>
      </c>
      <c r="D3246" s="662" t="s">
        <v>2109</v>
      </c>
      <c r="E3246" s="662" t="s">
        <v>2108</v>
      </c>
      <c r="F3246" s="661">
        <v>25</v>
      </c>
      <c r="G3246" s="660">
        <v>25</v>
      </c>
      <c r="H3246" s="659">
        <f>L3246*R3246</f>
        <v>103.40765998160001</v>
      </c>
      <c r="I3246" s="656">
        <f>F3246/H3246</f>
        <v>0.24176158714401247</v>
      </c>
      <c r="J3246" s="658" t="s">
        <v>2884</v>
      </c>
      <c r="K3246" s="645" t="s">
        <v>2107</v>
      </c>
      <c r="L3246" s="645">
        <v>13.91</v>
      </c>
      <c r="M3246" s="674">
        <v>11.17</v>
      </c>
      <c r="N3246" s="653">
        <f>M3246/L3246</f>
        <v>0.80301941049604597</v>
      </c>
      <c r="O3246" s="656">
        <v>12.35</v>
      </c>
      <c r="P3246" s="653">
        <f>O3246/L3246</f>
        <v>0.88785046728971961</v>
      </c>
      <c r="Q3246" s="645">
        <v>9</v>
      </c>
      <c r="R3246" s="653">
        <v>7.43405176</v>
      </c>
      <c r="S3246" s="645" t="s">
        <v>2106</v>
      </c>
      <c r="T3246" s="654">
        <v>42998</v>
      </c>
      <c r="U3246" s="645">
        <v>12.34</v>
      </c>
      <c r="V3246" s="653">
        <f>((U3246*(1+X3246/10)+Y3246/10)/O3246)</f>
        <v>1.0032388663967613</v>
      </c>
      <c r="W3246" s="645" t="s">
        <v>2105</v>
      </c>
      <c r="X3246" s="645">
        <v>0</v>
      </c>
      <c r="Y3246" s="645">
        <v>0.5</v>
      </c>
      <c r="Z3246" s="652" t="s">
        <v>2104</v>
      </c>
      <c r="BB3246" s="651"/>
      <c r="BD3246" s="650"/>
    </row>
    <row r="3247" spans="1:56">
      <c r="C3247" s="648" t="s">
        <v>112</v>
      </c>
      <c r="D3247" s="648" t="s">
        <v>113</v>
      </c>
      <c r="E3247" s="648" t="s">
        <v>943</v>
      </c>
      <c r="F3247" s="649" t="s">
        <v>411</v>
      </c>
      <c r="G3247" s="649" t="s">
        <v>942</v>
      </c>
      <c r="H3247" s="648" t="s">
        <v>231</v>
      </c>
    </row>
    <row r="3248" spans="1:56">
      <c r="C3248" s="646" t="s">
        <v>233</v>
      </c>
      <c r="D3248" s="647">
        <v>12.58</v>
      </c>
      <c r="E3248" s="643">
        <v>1.9</v>
      </c>
      <c r="F3248" s="645"/>
      <c r="G3248" s="644">
        <v>1538.4614999999999</v>
      </c>
      <c r="H3248" s="643">
        <f>189999995.25/100000000</f>
        <v>1.8999999525</v>
      </c>
    </row>
    <row r="3249" spans="3:8">
      <c r="C3249" s="1512" t="s">
        <v>115</v>
      </c>
      <c r="D3249" s="647">
        <v>12.35</v>
      </c>
      <c r="E3249" s="643">
        <v>2.3559999999999999</v>
      </c>
      <c r="F3249" s="645"/>
      <c r="G3249" s="644">
        <v>561.53869999999995</v>
      </c>
      <c r="H3249" s="643">
        <f>69350029.45/100000000</f>
        <v>0.69350029450000006</v>
      </c>
    </row>
    <row r="3250" spans="3:8">
      <c r="C3250" s="1512"/>
      <c r="D3250" s="647">
        <v>11.85</v>
      </c>
      <c r="E3250" s="643">
        <v>3.3149999999999999</v>
      </c>
      <c r="F3250" s="645"/>
      <c r="G3250" s="645"/>
      <c r="H3250" s="645"/>
    </row>
    <row r="3251" spans="3:8">
      <c r="C3251" s="1512"/>
      <c r="D3251" s="647">
        <v>11.5</v>
      </c>
      <c r="E3251" s="643">
        <v>3.8</v>
      </c>
      <c r="F3251" s="645"/>
      <c r="G3251" s="645"/>
      <c r="H3251" s="645"/>
    </row>
    <row r="3252" spans="3:8">
      <c r="C3252" s="1512" t="s">
        <v>2883</v>
      </c>
      <c r="D3252" s="647">
        <v>12.58</v>
      </c>
      <c r="E3252" s="643">
        <v>2</v>
      </c>
      <c r="F3252" s="645"/>
      <c r="G3252" s="644">
        <v>1619.4331</v>
      </c>
      <c r="H3252" s="643">
        <f>199999987.85/100000000</f>
        <v>1.9999998784999999</v>
      </c>
    </row>
    <row r="3253" spans="3:8">
      <c r="C3253" s="1512"/>
      <c r="D3253" s="647">
        <v>12.18</v>
      </c>
      <c r="E3253" s="643">
        <v>2</v>
      </c>
      <c r="F3253" s="645"/>
      <c r="G3253" s="645"/>
      <c r="H3253" s="645"/>
    </row>
    <row r="3254" spans="3:8">
      <c r="C3254" s="1512"/>
      <c r="D3254" s="647">
        <v>11.88</v>
      </c>
      <c r="E3254" s="643">
        <v>2</v>
      </c>
      <c r="F3254" s="645"/>
      <c r="G3254" s="645"/>
      <c r="H3254" s="645"/>
    </row>
    <row r="3255" spans="3:8" ht="28">
      <c r="C3255" s="646" t="s">
        <v>2882</v>
      </c>
      <c r="D3255" s="647">
        <v>11.9</v>
      </c>
      <c r="E3255" s="643">
        <v>1.9</v>
      </c>
      <c r="F3255" s="645"/>
      <c r="G3255" s="645"/>
      <c r="H3255" s="645"/>
    </row>
    <row r="3256" spans="3:8">
      <c r="C3256" s="1512" t="s">
        <v>152</v>
      </c>
      <c r="D3256" s="647">
        <v>13.03</v>
      </c>
      <c r="E3256" s="643">
        <v>1.95</v>
      </c>
      <c r="F3256" s="645"/>
      <c r="G3256" s="644">
        <v>1970.8502000000001</v>
      </c>
      <c r="H3256" s="643">
        <f>243399999.7/100000000</f>
        <v>2.4339999969999999</v>
      </c>
    </row>
    <row r="3257" spans="3:8">
      <c r="C3257" s="1512"/>
      <c r="D3257" s="647">
        <v>12.46</v>
      </c>
      <c r="E3257" s="643">
        <v>2.4340000000000002</v>
      </c>
      <c r="F3257" s="645"/>
      <c r="G3257" s="645"/>
      <c r="H3257" s="645"/>
    </row>
    <row r="3258" spans="3:8" ht="28">
      <c r="C3258" s="646" t="s">
        <v>2881</v>
      </c>
      <c r="D3258" s="647">
        <v>11.17</v>
      </c>
      <c r="E3258" s="643">
        <v>1.9</v>
      </c>
      <c r="F3258" s="645"/>
      <c r="G3258" s="645"/>
      <c r="H3258" s="645"/>
    </row>
    <row r="3259" spans="3:8" ht="28">
      <c r="C3259" s="646" t="s">
        <v>2880</v>
      </c>
      <c r="D3259" s="647">
        <v>11.37</v>
      </c>
      <c r="E3259" s="643">
        <v>2.91</v>
      </c>
      <c r="F3259" s="645"/>
      <c r="G3259" s="645"/>
      <c r="H3259" s="645"/>
    </row>
    <row r="3260" spans="3:8" ht="28">
      <c r="C3260" s="646" t="s">
        <v>2879</v>
      </c>
      <c r="D3260" s="647">
        <v>11.78</v>
      </c>
      <c r="E3260" s="643">
        <v>1.9</v>
      </c>
      <c r="F3260" s="645"/>
      <c r="G3260" s="645"/>
      <c r="H3260" s="645"/>
    </row>
    <row r="3261" spans="3:8">
      <c r="C3261" s="646" t="s">
        <v>2878</v>
      </c>
      <c r="D3261" s="647">
        <v>12.6</v>
      </c>
      <c r="E3261" s="643">
        <v>2</v>
      </c>
      <c r="F3261" s="645"/>
      <c r="G3261" s="644">
        <v>1619.4331</v>
      </c>
      <c r="H3261" s="643">
        <f>199999987.85/100000000</f>
        <v>1.9999998784999999</v>
      </c>
    </row>
    <row r="3262" spans="3:8">
      <c r="C3262" s="1512" t="s">
        <v>150</v>
      </c>
      <c r="D3262" s="647">
        <v>12.68</v>
      </c>
      <c r="E3262" s="643">
        <v>2.29</v>
      </c>
      <c r="F3262" s="645"/>
      <c r="G3262" s="644">
        <v>1854.251</v>
      </c>
      <c r="H3262" s="643">
        <f>228999998.5/100000000</f>
        <v>2.2899999850000001</v>
      </c>
    </row>
    <row r="3263" spans="3:8">
      <c r="C3263" s="1512"/>
      <c r="D3263" s="647">
        <v>11.92</v>
      </c>
      <c r="E3263" s="643">
        <v>2.85</v>
      </c>
      <c r="F3263" s="645"/>
      <c r="G3263" s="645"/>
      <c r="H3263" s="645"/>
    </row>
    <row r="3264" spans="3:8">
      <c r="C3264" s="1512"/>
      <c r="D3264" s="647">
        <v>11.37</v>
      </c>
      <c r="E3264" s="643">
        <v>2.9649999999999999</v>
      </c>
      <c r="F3264" s="645"/>
      <c r="G3264" s="645"/>
      <c r="H3264" s="645"/>
    </row>
    <row r="3265" spans="1:56" ht="28">
      <c r="C3265" s="646" t="s">
        <v>2877</v>
      </c>
      <c r="D3265" s="647">
        <v>11.19</v>
      </c>
      <c r="E3265" s="643">
        <v>1.9</v>
      </c>
      <c r="F3265" s="645"/>
      <c r="G3265" s="645"/>
      <c r="H3265" s="645"/>
    </row>
    <row r="3266" spans="1:56" ht="28">
      <c r="C3266" s="646" t="s">
        <v>2876</v>
      </c>
      <c r="D3266" s="647">
        <v>12.55</v>
      </c>
      <c r="E3266" s="643">
        <v>1.93</v>
      </c>
      <c r="F3266" s="645"/>
      <c r="G3266" s="644">
        <v>1562.7529999999999</v>
      </c>
      <c r="H3266" s="643">
        <f>192999995.5/100000000</f>
        <v>1.929999955</v>
      </c>
    </row>
    <row r="3267" spans="1:56" ht="28">
      <c r="C3267" s="646" t="s">
        <v>2875</v>
      </c>
      <c r="D3267" s="647">
        <v>11.35</v>
      </c>
      <c r="E3267" s="643">
        <v>1.9</v>
      </c>
      <c r="F3267" s="645"/>
      <c r="G3267" s="645"/>
      <c r="H3267" s="645"/>
    </row>
    <row r="3268" spans="1:56">
      <c r="C3268" s="1512" t="s">
        <v>119</v>
      </c>
      <c r="D3268" s="647">
        <v>12.88</v>
      </c>
      <c r="E3268" s="643">
        <v>1.9</v>
      </c>
      <c r="F3268" s="645"/>
      <c r="G3268" s="644">
        <v>3076.9229999999998</v>
      </c>
      <c r="H3268" s="643">
        <f>379999990.5/100000000</f>
        <v>3.799999905</v>
      </c>
    </row>
    <row r="3269" spans="1:56">
      <c r="C3269" s="1512"/>
      <c r="D3269" s="647">
        <v>12.54</v>
      </c>
      <c r="E3269" s="643">
        <v>3.8</v>
      </c>
      <c r="F3269" s="645"/>
      <c r="G3269" s="645"/>
      <c r="H3269" s="645"/>
    </row>
    <row r="3270" spans="1:56" ht="28">
      <c r="C3270" s="646" t="s">
        <v>2874</v>
      </c>
      <c r="D3270" s="647">
        <v>11.17</v>
      </c>
      <c r="E3270" s="643">
        <v>1.9</v>
      </c>
      <c r="F3270" s="645"/>
      <c r="G3270" s="645"/>
      <c r="H3270" s="645"/>
    </row>
    <row r="3271" spans="1:56">
      <c r="C3271" s="646" t="s">
        <v>3216</v>
      </c>
      <c r="D3271" s="645"/>
      <c r="E3271" s="645"/>
      <c r="F3271" s="645"/>
      <c r="G3271" s="644">
        <v>6439.2713000000003</v>
      </c>
      <c r="H3271" s="643">
        <f>795250005.55/100000000</f>
        <v>7.9525000554999998</v>
      </c>
    </row>
    <row r="3273" spans="1:56" s="663" customFormat="1">
      <c r="A3273" s="663" t="s">
        <v>2861</v>
      </c>
      <c r="B3273" s="665" t="s">
        <v>2036</v>
      </c>
      <c r="C3273" s="667" t="s">
        <v>126</v>
      </c>
      <c r="D3273" s="667" t="s">
        <v>1583</v>
      </c>
      <c r="E3273" s="667" t="s">
        <v>4</v>
      </c>
      <c r="F3273" s="667" t="s">
        <v>2860</v>
      </c>
      <c r="G3273" s="667" t="s">
        <v>2859</v>
      </c>
      <c r="H3273" s="667" t="s">
        <v>2858</v>
      </c>
      <c r="I3273" s="667" t="s">
        <v>751</v>
      </c>
      <c r="J3273" s="665" t="s">
        <v>274</v>
      </c>
      <c r="K3273" s="665" t="s">
        <v>273</v>
      </c>
      <c r="L3273" s="665" t="s">
        <v>116</v>
      </c>
      <c r="M3273" s="668" t="s">
        <v>110</v>
      </c>
      <c r="N3273" s="665" t="s">
        <v>276</v>
      </c>
      <c r="O3273" s="667" t="s">
        <v>1311</v>
      </c>
      <c r="P3273" s="665" t="s">
        <v>275</v>
      </c>
      <c r="Q3273" s="665" t="s">
        <v>111</v>
      </c>
      <c r="R3273" s="665" t="s">
        <v>2857</v>
      </c>
      <c r="S3273" s="665" t="s">
        <v>747</v>
      </c>
      <c r="T3273" s="667" t="s">
        <v>12</v>
      </c>
      <c r="U3273" s="666" t="s">
        <v>948</v>
      </c>
      <c r="V3273" s="665" t="s">
        <v>129</v>
      </c>
      <c r="W3273" s="665" t="s">
        <v>220</v>
      </c>
      <c r="X3273" s="665" t="s">
        <v>749</v>
      </c>
      <c r="Y3273" s="665" t="s">
        <v>750</v>
      </c>
      <c r="Z3273" s="665" t="s">
        <v>748</v>
      </c>
      <c r="BB3273" s="664"/>
      <c r="BD3273" s="664"/>
    </row>
    <row r="3274" spans="1:56">
      <c r="A3274" s="642" t="s">
        <v>2078</v>
      </c>
      <c r="B3274" s="1436">
        <v>198</v>
      </c>
      <c r="C3274" s="1437" t="s">
        <v>2103</v>
      </c>
      <c r="D3274" s="662" t="s">
        <v>2102</v>
      </c>
      <c r="E3274" s="662" t="s">
        <v>2101</v>
      </c>
      <c r="F3274" s="661">
        <v>12.5</v>
      </c>
      <c r="G3274" s="660">
        <v>12.5</v>
      </c>
      <c r="H3274" s="659">
        <f>L3274*R3274</f>
        <v>172.880051748</v>
      </c>
      <c r="I3274" s="656">
        <f>F3274/H3274</f>
        <v>7.2304467019831328E-2</v>
      </c>
      <c r="J3274" s="658" t="s">
        <v>2868</v>
      </c>
      <c r="K3274" s="645" t="s">
        <v>2089</v>
      </c>
      <c r="L3274" s="645">
        <v>30.18</v>
      </c>
      <c r="M3274" s="674">
        <v>24.03</v>
      </c>
      <c r="N3274" s="653">
        <f>M3274/L3274</f>
        <v>0.79622266401590458</v>
      </c>
      <c r="O3274" s="656">
        <v>31</v>
      </c>
      <c r="P3274" s="653">
        <f>O3274/L3274</f>
        <v>1.0271703114645461</v>
      </c>
      <c r="Q3274" s="645">
        <v>7</v>
      </c>
      <c r="R3274" s="653">
        <v>5.7282985999999996</v>
      </c>
      <c r="S3274" s="645" t="s">
        <v>2100</v>
      </c>
      <c r="T3274" s="654">
        <v>42998</v>
      </c>
      <c r="U3274" s="645">
        <v>33.92</v>
      </c>
      <c r="V3274" s="653">
        <f>((U3274*(1+X3274/10)+Y3274/10)/O3274)</f>
        <v>1.1103225806451613</v>
      </c>
      <c r="W3274" s="645" t="s">
        <v>2099</v>
      </c>
      <c r="X3274" s="645">
        <v>0</v>
      </c>
      <c r="Y3274" s="645">
        <v>5</v>
      </c>
      <c r="Z3274" s="652" t="s">
        <v>2086</v>
      </c>
      <c r="BB3274" s="651"/>
      <c r="BD3274" s="650"/>
    </row>
    <row r="3275" spans="1:56">
      <c r="C3275" s="648" t="s">
        <v>112</v>
      </c>
      <c r="D3275" s="648" t="s">
        <v>113</v>
      </c>
      <c r="E3275" s="648" t="s">
        <v>943</v>
      </c>
      <c r="F3275" s="649" t="s">
        <v>411</v>
      </c>
      <c r="G3275" s="649" t="s">
        <v>942</v>
      </c>
      <c r="H3275" s="648" t="s">
        <v>231</v>
      </c>
    </row>
    <row r="3276" spans="1:56">
      <c r="C3276" s="646" t="s">
        <v>3215</v>
      </c>
      <c r="D3276" s="647">
        <v>33.99</v>
      </c>
      <c r="E3276" s="643">
        <v>2.5</v>
      </c>
      <c r="F3276" s="645"/>
      <c r="G3276" s="644">
        <v>806.45159999999998</v>
      </c>
      <c r="H3276" s="643">
        <f>249999996/100000000</f>
        <v>2.4999999599999998</v>
      </c>
    </row>
    <row r="3277" spans="1:56">
      <c r="C3277" s="1512" t="s">
        <v>3214</v>
      </c>
      <c r="D3277" s="647">
        <v>33.880000000000003</v>
      </c>
      <c r="E3277" s="643">
        <v>1.25</v>
      </c>
      <c r="F3277" s="645"/>
      <c r="G3277" s="644">
        <v>806.45159999999998</v>
      </c>
      <c r="H3277" s="643">
        <f>249999996/100000000</f>
        <v>2.4999999599999998</v>
      </c>
    </row>
    <row r="3278" spans="1:56">
      <c r="C3278" s="1512"/>
      <c r="D3278" s="647">
        <v>32.5</v>
      </c>
      <c r="E3278" s="643">
        <v>2.5</v>
      </c>
      <c r="F3278" s="645"/>
      <c r="G3278" s="645"/>
      <c r="H3278" s="645"/>
    </row>
    <row r="3279" spans="1:56">
      <c r="C3279" s="646" t="s">
        <v>136</v>
      </c>
      <c r="D3279" s="647">
        <v>32.9</v>
      </c>
      <c r="E3279" s="643">
        <v>2.5</v>
      </c>
      <c r="F3279" s="645"/>
      <c r="G3279" s="644">
        <v>806.45159999999998</v>
      </c>
      <c r="H3279" s="643">
        <f>249999996/100000000</f>
        <v>2.4999999599999998</v>
      </c>
    </row>
    <row r="3280" spans="1:56">
      <c r="C3280" s="1512" t="s">
        <v>371</v>
      </c>
      <c r="D3280" s="647">
        <v>31.66</v>
      </c>
      <c r="E3280" s="643">
        <v>1.25</v>
      </c>
      <c r="F3280" s="645"/>
      <c r="G3280" s="644">
        <v>403.22579999999999</v>
      </c>
      <c r="H3280" s="643">
        <f>124999998/100000000</f>
        <v>1.2499999799999999</v>
      </c>
    </row>
    <row r="3281" spans="3:8">
      <c r="C3281" s="1512"/>
      <c r="D3281" s="647">
        <v>30.21</v>
      </c>
      <c r="E3281" s="643">
        <v>1.25</v>
      </c>
      <c r="F3281" s="645"/>
      <c r="G3281" s="645"/>
      <c r="H3281" s="645"/>
    </row>
    <row r="3282" spans="3:8">
      <c r="C3282" s="1512"/>
      <c r="D3282" s="647">
        <v>29.88</v>
      </c>
      <c r="E3282" s="643">
        <v>1.25</v>
      </c>
      <c r="F3282" s="645"/>
      <c r="G3282" s="645"/>
      <c r="H3282" s="645"/>
    </row>
    <row r="3283" spans="3:8">
      <c r="C3283" s="646" t="s">
        <v>706</v>
      </c>
      <c r="D3283" s="647">
        <v>31.22</v>
      </c>
      <c r="E3283" s="643">
        <v>1.5</v>
      </c>
      <c r="F3283" s="645"/>
      <c r="G3283" s="644">
        <v>483.87090000000001</v>
      </c>
      <c r="H3283" s="643">
        <f>149999979/100000000</f>
        <v>1.4999997899999999</v>
      </c>
    </row>
    <row r="3284" spans="3:8">
      <c r="C3284" s="646" t="s">
        <v>121</v>
      </c>
      <c r="D3284" s="647">
        <v>31.21</v>
      </c>
      <c r="E3284" s="643">
        <v>1.25</v>
      </c>
      <c r="F3284" s="645"/>
      <c r="G3284" s="644">
        <v>403.22579999999999</v>
      </c>
      <c r="H3284" s="643">
        <f>124999998/100000000</f>
        <v>1.2499999799999999</v>
      </c>
    </row>
    <row r="3285" spans="3:8">
      <c r="C3285" s="1512" t="s">
        <v>1785</v>
      </c>
      <c r="D3285" s="647">
        <v>31</v>
      </c>
      <c r="E3285" s="643">
        <v>2</v>
      </c>
      <c r="F3285" s="645"/>
      <c r="G3285" s="644">
        <v>322.58069999999998</v>
      </c>
      <c r="H3285" s="643">
        <f>100000017/100000000</f>
        <v>1.0000001700000001</v>
      </c>
    </row>
    <row r="3286" spans="3:8">
      <c r="C3286" s="1512"/>
      <c r="D3286" s="647">
        <v>30.2</v>
      </c>
      <c r="E3286" s="643">
        <v>2</v>
      </c>
      <c r="F3286" s="645"/>
      <c r="G3286" s="645"/>
      <c r="H3286" s="645"/>
    </row>
    <row r="3287" spans="3:8">
      <c r="C3287" s="1512"/>
      <c r="D3287" s="647">
        <v>29.45</v>
      </c>
      <c r="E3287" s="643">
        <v>2</v>
      </c>
      <c r="F3287" s="645"/>
      <c r="G3287" s="645"/>
      <c r="H3287" s="645"/>
    </row>
    <row r="3288" spans="3:8">
      <c r="C3288" s="646" t="s">
        <v>1651</v>
      </c>
      <c r="D3288" s="647">
        <v>28.2</v>
      </c>
      <c r="E3288" s="643">
        <v>2.5</v>
      </c>
      <c r="F3288" s="645"/>
      <c r="G3288" s="645"/>
      <c r="H3288" s="645"/>
    </row>
    <row r="3289" spans="3:8">
      <c r="C3289" s="1512" t="s">
        <v>1137</v>
      </c>
      <c r="D3289" s="647">
        <v>30.22</v>
      </c>
      <c r="E3289" s="643">
        <v>1.25</v>
      </c>
      <c r="F3289" s="645"/>
      <c r="G3289" s="645"/>
      <c r="H3289" s="645"/>
    </row>
    <row r="3290" spans="3:8">
      <c r="C3290" s="1512"/>
      <c r="D3290" s="647">
        <v>30.18</v>
      </c>
      <c r="E3290" s="643">
        <v>1.25</v>
      </c>
      <c r="F3290" s="645"/>
      <c r="G3290" s="645"/>
      <c r="H3290" s="645"/>
    </row>
    <row r="3291" spans="3:8">
      <c r="C3291" s="1512"/>
      <c r="D3291" s="647">
        <v>30.05</v>
      </c>
      <c r="E3291" s="643">
        <v>1.25</v>
      </c>
      <c r="F3291" s="645"/>
      <c r="G3291" s="645"/>
      <c r="H3291" s="645"/>
    </row>
    <row r="3292" spans="3:8">
      <c r="C3292" s="646" t="s">
        <v>124</v>
      </c>
      <c r="D3292" s="647">
        <v>24.13</v>
      </c>
      <c r="E3292" s="643">
        <v>1.25</v>
      </c>
      <c r="F3292" s="645"/>
      <c r="G3292" s="645"/>
      <c r="H3292" s="645"/>
    </row>
    <row r="3293" spans="3:8">
      <c r="C3293" s="1512" t="s">
        <v>952</v>
      </c>
      <c r="D3293" s="647">
        <v>30.52</v>
      </c>
      <c r="E3293" s="643">
        <v>1.25</v>
      </c>
      <c r="F3293" s="645"/>
      <c r="G3293" s="645"/>
      <c r="H3293" s="645"/>
    </row>
    <row r="3294" spans="3:8">
      <c r="C3294" s="1512"/>
      <c r="D3294" s="647">
        <v>29.37</v>
      </c>
      <c r="E3294" s="643">
        <v>1.25</v>
      </c>
      <c r="F3294" s="645"/>
      <c r="G3294" s="645"/>
      <c r="H3294" s="645"/>
    </row>
    <row r="3295" spans="3:8">
      <c r="C3295" s="1512"/>
      <c r="D3295" s="647">
        <v>28.61</v>
      </c>
      <c r="E3295" s="643">
        <v>1.25</v>
      </c>
      <c r="F3295" s="645"/>
      <c r="G3295" s="645"/>
      <c r="H3295" s="645"/>
    </row>
    <row r="3296" spans="3:8">
      <c r="C3296" s="646" t="s">
        <v>584</v>
      </c>
      <c r="D3296" s="647">
        <v>27</v>
      </c>
      <c r="E3296" s="643">
        <v>1.25</v>
      </c>
      <c r="F3296" s="645"/>
      <c r="G3296" s="645"/>
      <c r="H3296" s="645"/>
    </row>
    <row r="3297" spans="3:8">
      <c r="C3297" s="646" t="s">
        <v>127</v>
      </c>
      <c r="D3297" s="647">
        <v>27.55</v>
      </c>
      <c r="E3297" s="643">
        <v>1.3</v>
      </c>
      <c r="F3297" s="645"/>
      <c r="G3297" s="645"/>
      <c r="H3297" s="645"/>
    </row>
    <row r="3298" spans="3:8">
      <c r="C3298" s="1512" t="s">
        <v>3213</v>
      </c>
      <c r="D3298" s="647">
        <v>29.35</v>
      </c>
      <c r="E3298" s="643">
        <v>1.25</v>
      </c>
      <c r="F3298" s="645"/>
      <c r="G3298" s="645"/>
      <c r="H3298" s="645"/>
    </row>
    <row r="3299" spans="3:8">
      <c r="C3299" s="1512"/>
      <c r="D3299" s="647">
        <v>28.96</v>
      </c>
      <c r="E3299" s="643">
        <v>1.25</v>
      </c>
      <c r="F3299" s="645"/>
      <c r="G3299" s="645"/>
      <c r="H3299" s="645"/>
    </row>
    <row r="3300" spans="3:8">
      <c r="C3300" s="1512"/>
      <c r="D3300" s="647">
        <v>27.63</v>
      </c>
      <c r="E3300" s="643">
        <v>1.25</v>
      </c>
      <c r="F3300" s="645"/>
      <c r="G3300" s="645"/>
      <c r="H3300" s="645"/>
    </row>
    <row r="3301" spans="3:8">
      <c r="C3301" s="1512" t="s">
        <v>3212</v>
      </c>
      <c r="D3301" s="647">
        <v>29.1</v>
      </c>
      <c r="E3301" s="643">
        <v>1.4</v>
      </c>
      <c r="F3301" s="645"/>
      <c r="G3301" s="645"/>
      <c r="H3301" s="645"/>
    </row>
    <row r="3302" spans="3:8">
      <c r="C3302" s="1512"/>
      <c r="D3302" s="647">
        <v>28.3</v>
      </c>
      <c r="E3302" s="643">
        <v>1.4</v>
      </c>
      <c r="F3302" s="645"/>
      <c r="G3302" s="645"/>
      <c r="H3302" s="645"/>
    </row>
    <row r="3303" spans="3:8">
      <c r="C3303" s="1512"/>
      <c r="D3303" s="647">
        <v>26.73</v>
      </c>
      <c r="E3303" s="643">
        <v>1.4</v>
      </c>
      <c r="F3303" s="645"/>
      <c r="G3303" s="645"/>
      <c r="H3303" s="645"/>
    </row>
    <row r="3304" spans="3:8">
      <c r="C3304" s="646" t="s">
        <v>228</v>
      </c>
      <c r="D3304" s="647">
        <v>27.5</v>
      </c>
      <c r="E3304" s="643">
        <v>2.5</v>
      </c>
      <c r="F3304" s="645"/>
      <c r="G3304" s="645"/>
      <c r="H3304" s="645"/>
    </row>
    <row r="3305" spans="3:8">
      <c r="C3305" s="646" t="s">
        <v>629</v>
      </c>
      <c r="D3305" s="647">
        <v>29.22</v>
      </c>
      <c r="E3305" s="643">
        <v>1.25</v>
      </c>
      <c r="F3305" s="645"/>
      <c r="G3305" s="645"/>
      <c r="H3305" s="645"/>
    </row>
    <row r="3306" spans="3:8">
      <c r="C3306" s="646" t="s">
        <v>3211</v>
      </c>
      <c r="D3306" s="647">
        <v>27</v>
      </c>
      <c r="E3306" s="643">
        <v>1.25</v>
      </c>
      <c r="F3306" s="645"/>
      <c r="G3306" s="645"/>
      <c r="H3306" s="645"/>
    </row>
    <row r="3307" spans="3:8">
      <c r="C3307" s="1512" t="s">
        <v>3210</v>
      </c>
      <c r="D3307" s="647">
        <v>28.28</v>
      </c>
      <c r="E3307" s="643">
        <v>1.25</v>
      </c>
      <c r="F3307" s="645"/>
      <c r="G3307" s="645"/>
      <c r="H3307" s="645"/>
    </row>
    <row r="3308" spans="3:8">
      <c r="C3308" s="1512"/>
      <c r="D3308" s="647">
        <v>26</v>
      </c>
      <c r="E3308" s="643">
        <v>1.35</v>
      </c>
      <c r="F3308" s="645"/>
      <c r="G3308" s="645"/>
      <c r="H3308" s="645"/>
    </row>
    <row r="3309" spans="3:8">
      <c r="C3309" s="1512"/>
      <c r="D3309" s="647">
        <v>24.5</v>
      </c>
      <c r="E3309" s="643">
        <v>1.45</v>
      </c>
      <c r="F3309" s="645"/>
      <c r="G3309" s="645"/>
      <c r="H3309" s="645"/>
    </row>
    <row r="3310" spans="3:8">
      <c r="C3310" s="646" t="s">
        <v>351</v>
      </c>
      <c r="D3310" s="647">
        <v>24.86</v>
      </c>
      <c r="E3310" s="643">
        <v>1.25</v>
      </c>
      <c r="F3310" s="645"/>
      <c r="G3310" s="645"/>
      <c r="H3310" s="645"/>
    </row>
    <row r="3311" spans="3:8">
      <c r="C3311" s="1512" t="s">
        <v>666</v>
      </c>
      <c r="D3311" s="647">
        <v>27.5</v>
      </c>
      <c r="E3311" s="643">
        <v>1.4</v>
      </c>
      <c r="F3311" s="645"/>
      <c r="G3311" s="645"/>
      <c r="H3311" s="645"/>
    </row>
    <row r="3312" spans="3:8">
      <c r="C3312" s="1512"/>
      <c r="D3312" s="647">
        <v>25.77</v>
      </c>
      <c r="E3312" s="643">
        <v>1.4</v>
      </c>
      <c r="F3312" s="645"/>
      <c r="G3312" s="645"/>
      <c r="H3312" s="645"/>
    </row>
    <row r="3313" spans="3:8">
      <c r="C3313" s="1512"/>
      <c r="D3313" s="647">
        <v>24.05</v>
      </c>
      <c r="E3313" s="643">
        <v>1.4</v>
      </c>
      <c r="F3313" s="645"/>
      <c r="G3313" s="645"/>
      <c r="H3313" s="645"/>
    </row>
    <row r="3314" spans="3:8">
      <c r="C3314" s="646" t="s">
        <v>125</v>
      </c>
      <c r="D3314" s="647">
        <v>30.11</v>
      </c>
      <c r="E3314" s="643">
        <v>2.5</v>
      </c>
      <c r="F3314" s="645"/>
      <c r="G3314" s="645"/>
      <c r="H3314" s="645"/>
    </row>
    <row r="3315" spans="3:8">
      <c r="C3315" s="646" t="s">
        <v>1079</v>
      </c>
      <c r="D3315" s="647">
        <v>29</v>
      </c>
      <c r="E3315" s="643">
        <v>1.25</v>
      </c>
      <c r="F3315" s="645"/>
      <c r="G3315" s="645"/>
      <c r="H3315" s="645"/>
    </row>
    <row r="3316" spans="3:8">
      <c r="C3316" s="1512" t="s">
        <v>142</v>
      </c>
      <c r="D3316" s="647">
        <v>29.61</v>
      </c>
      <c r="E3316" s="643">
        <v>1.25</v>
      </c>
      <c r="F3316" s="645"/>
      <c r="G3316" s="645"/>
      <c r="H3316" s="645"/>
    </row>
    <row r="3317" spans="3:8">
      <c r="C3317" s="1512"/>
      <c r="D3317" s="647">
        <v>29.02</v>
      </c>
      <c r="E3317" s="643">
        <v>1.38</v>
      </c>
      <c r="F3317" s="645"/>
      <c r="G3317" s="645"/>
      <c r="H3317" s="645"/>
    </row>
    <row r="3318" spans="3:8">
      <c r="C3318" s="1512"/>
      <c r="D3318" s="647">
        <v>25.97</v>
      </c>
      <c r="E3318" s="643">
        <v>1.51</v>
      </c>
      <c r="F3318" s="645"/>
      <c r="G3318" s="645"/>
      <c r="H3318" s="645"/>
    </row>
    <row r="3319" spans="3:8">
      <c r="C3319" s="646" t="s">
        <v>277</v>
      </c>
      <c r="D3319" s="647">
        <v>30.21</v>
      </c>
      <c r="E3319" s="643">
        <v>2.5</v>
      </c>
      <c r="F3319" s="645"/>
      <c r="G3319" s="645"/>
      <c r="H3319" s="645"/>
    </row>
    <row r="3320" spans="3:8">
      <c r="C3320" s="646" t="s">
        <v>297</v>
      </c>
      <c r="D3320" s="647">
        <v>30.3</v>
      </c>
      <c r="E3320" s="643">
        <v>1.28</v>
      </c>
      <c r="F3320" s="645"/>
      <c r="G3320" s="645"/>
      <c r="H3320" s="645"/>
    </row>
    <row r="3321" spans="3:8">
      <c r="C3321" s="1512" t="s">
        <v>173</v>
      </c>
      <c r="D3321" s="647">
        <v>27.19</v>
      </c>
      <c r="E3321" s="643">
        <v>1.91</v>
      </c>
      <c r="F3321" s="645"/>
      <c r="G3321" s="645"/>
      <c r="H3321" s="645"/>
    </row>
    <row r="3322" spans="3:8">
      <c r="C3322" s="1512"/>
      <c r="D3322" s="647">
        <v>25.68</v>
      </c>
      <c r="E3322" s="643">
        <v>2.21</v>
      </c>
      <c r="F3322" s="645"/>
      <c r="G3322" s="645"/>
      <c r="H3322" s="645"/>
    </row>
    <row r="3323" spans="3:8">
      <c r="C3323" s="1512"/>
      <c r="D3323" s="647">
        <v>24.17</v>
      </c>
      <c r="E3323" s="643">
        <v>2.41</v>
      </c>
      <c r="F3323" s="645"/>
      <c r="G3323" s="645"/>
      <c r="H3323" s="645"/>
    </row>
    <row r="3324" spans="3:8">
      <c r="C3324" s="1512" t="s">
        <v>316</v>
      </c>
      <c r="D3324" s="647">
        <v>29.31</v>
      </c>
      <c r="E3324" s="643">
        <v>1.9</v>
      </c>
      <c r="F3324" s="645"/>
      <c r="G3324" s="645"/>
      <c r="H3324" s="645"/>
    </row>
    <row r="3325" spans="3:8">
      <c r="C3325" s="1512"/>
      <c r="D3325" s="647">
        <v>28.17</v>
      </c>
      <c r="E3325" s="643">
        <v>2.5</v>
      </c>
      <c r="F3325" s="645"/>
      <c r="G3325" s="645"/>
      <c r="H3325" s="645"/>
    </row>
    <row r="3326" spans="3:8">
      <c r="C3326" s="1512" t="s">
        <v>3209</v>
      </c>
      <c r="D3326" s="647">
        <v>29.31</v>
      </c>
      <c r="E3326" s="643">
        <v>1.25</v>
      </c>
      <c r="F3326" s="645"/>
      <c r="G3326" s="645"/>
      <c r="H3326" s="645"/>
    </row>
    <row r="3327" spans="3:8">
      <c r="C3327" s="1512"/>
      <c r="D3327" s="647">
        <v>29</v>
      </c>
      <c r="E3327" s="643">
        <v>1.25</v>
      </c>
      <c r="F3327" s="645"/>
      <c r="G3327" s="645"/>
      <c r="H3327" s="645"/>
    </row>
    <row r="3328" spans="3:8">
      <c r="C3328" s="1512"/>
      <c r="D3328" s="647">
        <v>28.7</v>
      </c>
      <c r="E3328" s="643">
        <v>1.25</v>
      </c>
      <c r="F3328" s="645"/>
      <c r="G3328" s="645"/>
      <c r="H3328" s="645"/>
    </row>
    <row r="3329" spans="3:8">
      <c r="C3329" s="1512" t="s">
        <v>279</v>
      </c>
      <c r="D3329" s="647">
        <v>29.16</v>
      </c>
      <c r="E3329" s="643">
        <v>1.33</v>
      </c>
      <c r="F3329" s="645"/>
      <c r="G3329" s="645"/>
      <c r="H3329" s="645"/>
    </row>
    <row r="3330" spans="3:8">
      <c r="C3330" s="1512"/>
      <c r="D3330" s="647">
        <v>27.34</v>
      </c>
      <c r="E3330" s="643">
        <v>1.58</v>
      </c>
      <c r="F3330" s="645"/>
      <c r="G3330" s="645"/>
      <c r="H3330" s="645"/>
    </row>
    <row r="3331" spans="3:8">
      <c r="C3331" s="1512"/>
      <c r="D3331" s="647">
        <v>24.11</v>
      </c>
      <c r="E3331" s="643">
        <v>1.69</v>
      </c>
      <c r="F3331" s="645"/>
      <c r="G3331" s="645"/>
      <c r="H3331" s="645"/>
    </row>
    <row r="3332" spans="3:8">
      <c r="C3332" s="646" t="s">
        <v>384</v>
      </c>
      <c r="D3332" s="647">
        <v>27</v>
      </c>
      <c r="E3332" s="643">
        <v>1.25</v>
      </c>
      <c r="F3332" s="645"/>
      <c r="G3332" s="645"/>
      <c r="H3332" s="645"/>
    </row>
    <row r="3333" spans="3:8">
      <c r="C3333" s="1512" t="s">
        <v>3208</v>
      </c>
      <c r="D3333" s="647">
        <v>30</v>
      </c>
      <c r="E3333" s="643">
        <v>1.25</v>
      </c>
      <c r="F3333" s="645"/>
      <c r="G3333" s="645"/>
      <c r="H3333" s="645"/>
    </row>
    <row r="3334" spans="3:8">
      <c r="C3334" s="1512"/>
      <c r="D3334" s="647">
        <v>29.4</v>
      </c>
      <c r="E3334" s="643">
        <v>1.25</v>
      </c>
      <c r="F3334" s="645"/>
      <c r="G3334" s="645"/>
      <c r="H3334" s="645"/>
    </row>
    <row r="3335" spans="3:8">
      <c r="C3335" s="1512"/>
      <c r="D3335" s="647">
        <v>28.5</v>
      </c>
      <c r="E3335" s="643">
        <v>1.25</v>
      </c>
      <c r="F3335" s="645"/>
      <c r="G3335" s="645"/>
      <c r="H3335" s="645"/>
    </row>
    <row r="3336" spans="3:8" ht="28">
      <c r="C3336" s="673" t="s">
        <v>3207</v>
      </c>
      <c r="D3336" s="647">
        <v>26.05</v>
      </c>
      <c r="E3336" s="643">
        <v>1.25</v>
      </c>
      <c r="F3336" s="645"/>
      <c r="G3336" s="645"/>
      <c r="H3336" s="645"/>
    </row>
    <row r="3337" spans="3:8">
      <c r="C3337" s="1512" t="s">
        <v>115</v>
      </c>
      <c r="D3337" s="647">
        <v>30.21</v>
      </c>
      <c r="E3337" s="643">
        <v>1.97</v>
      </c>
      <c r="F3337" s="645"/>
      <c r="G3337" s="645"/>
      <c r="H3337" s="645"/>
    </row>
    <row r="3338" spans="3:8">
      <c r="C3338" s="1512"/>
      <c r="D3338" s="647">
        <v>29.61</v>
      </c>
      <c r="E3338" s="643">
        <v>2.5</v>
      </c>
      <c r="F3338" s="645"/>
      <c r="G3338" s="645"/>
      <c r="H3338" s="645"/>
    </row>
    <row r="3339" spans="3:8">
      <c r="C3339" s="1512" t="s">
        <v>146</v>
      </c>
      <c r="D3339" s="647">
        <v>28.16</v>
      </c>
      <c r="E3339" s="643">
        <v>1.25</v>
      </c>
      <c r="F3339" s="645"/>
      <c r="G3339" s="645"/>
      <c r="H3339" s="645"/>
    </row>
    <row r="3340" spans="3:8">
      <c r="C3340" s="1512"/>
      <c r="D3340" s="647">
        <v>27.18</v>
      </c>
      <c r="E3340" s="643">
        <v>1.81</v>
      </c>
      <c r="F3340" s="645"/>
      <c r="G3340" s="645"/>
      <c r="H3340" s="645"/>
    </row>
    <row r="3341" spans="3:8">
      <c r="C3341" s="646" t="s">
        <v>3206</v>
      </c>
      <c r="D3341" s="647">
        <v>29</v>
      </c>
      <c r="E3341" s="643">
        <v>1.27</v>
      </c>
      <c r="F3341" s="645"/>
      <c r="G3341" s="645"/>
      <c r="H3341" s="645"/>
    </row>
    <row r="3342" spans="3:8">
      <c r="C3342" s="1512" t="s">
        <v>336</v>
      </c>
      <c r="D3342" s="647">
        <v>30.21</v>
      </c>
      <c r="E3342" s="643">
        <v>1.35</v>
      </c>
      <c r="F3342" s="645"/>
      <c r="G3342" s="645"/>
      <c r="H3342" s="645"/>
    </row>
    <row r="3343" spans="3:8">
      <c r="C3343" s="1512"/>
      <c r="D3343" s="647">
        <v>27.21</v>
      </c>
      <c r="E3343" s="643">
        <v>1.87</v>
      </c>
      <c r="F3343" s="645"/>
      <c r="G3343" s="645"/>
      <c r="H3343" s="645"/>
    </row>
    <row r="3344" spans="3:8">
      <c r="C3344" s="1512"/>
      <c r="D3344" s="647">
        <v>26.56</v>
      </c>
      <c r="E3344" s="643">
        <v>2.5</v>
      </c>
      <c r="F3344" s="645"/>
      <c r="G3344" s="645"/>
      <c r="H3344" s="645"/>
    </row>
    <row r="3345" spans="3:8">
      <c r="C3345" s="1512" t="s">
        <v>147</v>
      </c>
      <c r="D3345" s="647">
        <v>28.81</v>
      </c>
      <c r="E3345" s="643">
        <v>1.25</v>
      </c>
      <c r="F3345" s="645"/>
      <c r="G3345" s="645"/>
      <c r="H3345" s="645"/>
    </row>
    <row r="3346" spans="3:8">
      <c r="C3346" s="1512"/>
      <c r="D3346" s="647">
        <v>26.58</v>
      </c>
      <c r="E3346" s="643">
        <v>2.5</v>
      </c>
      <c r="F3346" s="645"/>
      <c r="G3346" s="645"/>
      <c r="H3346" s="645"/>
    </row>
    <row r="3347" spans="3:8">
      <c r="C3347" s="646" t="s">
        <v>951</v>
      </c>
      <c r="D3347" s="647">
        <v>24.18</v>
      </c>
      <c r="E3347" s="643">
        <v>1.25</v>
      </c>
      <c r="F3347" s="645"/>
      <c r="G3347" s="645"/>
      <c r="H3347" s="645"/>
    </row>
    <row r="3348" spans="3:8">
      <c r="C3348" s="1512" t="s">
        <v>3205</v>
      </c>
      <c r="D3348" s="647">
        <v>27.25</v>
      </c>
      <c r="E3348" s="643">
        <v>1.25</v>
      </c>
      <c r="F3348" s="645"/>
      <c r="G3348" s="645"/>
      <c r="H3348" s="645"/>
    </row>
    <row r="3349" spans="3:8">
      <c r="C3349" s="1512"/>
      <c r="D3349" s="647">
        <v>26.4</v>
      </c>
      <c r="E3349" s="643">
        <v>1.25</v>
      </c>
      <c r="F3349" s="645"/>
      <c r="G3349" s="645"/>
      <c r="H3349" s="645"/>
    </row>
    <row r="3350" spans="3:8">
      <c r="C3350" s="1512"/>
      <c r="D3350" s="647">
        <v>25.5</v>
      </c>
      <c r="E3350" s="643">
        <v>1.25</v>
      </c>
      <c r="F3350" s="645"/>
      <c r="G3350" s="645"/>
      <c r="H3350" s="645"/>
    </row>
    <row r="3351" spans="3:8">
      <c r="C3351" s="1512" t="s">
        <v>152</v>
      </c>
      <c r="D3351" s="647">
        <v>28.73</v>
      </c>
      <c r="E3351" s="643">
        <v>1.4</v>
      </c>
      <c r="F3351" s="645"/>
      <c r="G3351" s="645"/>
      <c r="H3351" s="645"/>
    </row>
    <row r="3352" spans="3:8">
      <c r="C3352" s="1512"/>
      <c r="D3352" s="647">
        <v>27.34</v>
      </c>
      <c r="E3352" s="643">
        <v>1.6</v>
      </c>
      <c r="F3352" s="645"/>
      <c r="G3352" s="645"/>
      <c r="H3352" s="645"/>
    </row>
    <row r="3353" spans="3:8">
      <c r="C3353" s="1512"/>
      <c r="D3353" s="647">
        <v>26.88</v>
      </c>
      <c r="E3353" s="643">
        <v>1.98</v>
      </c>
      <c r="F3353" s="645"/>
      <c r="G3353" s="645"/>
      <c r="H3353" s="645"/>
    </row>
    <row r="3354" spans="3:8">
      <c r="C3354" s="646" t="s">
        <v>2965</v>
      </c>
      <c r="D3354" s="647">
        <v>30</v>
      </c>
      <c r="E3354" s="643">
        <v>1.25</v>
      </c>
      <c r="F3354" s="645"/>
      <c r="G3354" s="645"/>
      <c r="H3354" s="645"/>
    </row>
    <row r="3355" spans="3:8">
      <c r="C3355" s="646" t="s">
        <v>953</v>
      </c>
      <c r="D3355" s="647">
        <v>25.03</v>
      </c>
      <c r="E3355" s="643">
        <v>1.3</v>
      </c>
      <c r="F3355" s="645"/>
      <c r="G3355" s="645"/>
      <c r="H3355" s="645"/>
    </row>
    <row r="3356" spans="3:8">
      <c r="C3356" s="646" t="s">
        <v>3204</v>
      </c>
      <c r="D3356" s="647">
        <v>30.31</v>
      </c>
      <c r="E3356" s="643">
        <v>1.25</v>
      </c>
      <c r="F3356" s="645"/>
      <c r="G3356" s="645"/>
      <c r="H3356" s="645"/>
    </row>
    <row r="3357" spans="3:8">
      <c r="C3357" s="1512" t="s">
        <v>3203</v>
      </c>
      <c r="D3357" s="647">
        <v>30.1</v>
      </c>
      <c r="E3357" s="643">
        <v>1.25</v>
      </c>
      <c r="F3357" s="645"/>
      <c r="G3357" s="645"/>
      <c r="H3357" s="645"/>
    </row>
    <row r="3358" spans="3:8">
      <c r="C3358" s="1512"/>
      <c r="D3358" s="647">
        <v>29.8</v>
      </c>
      <c r="E3358" s="643">
        <v>2.5</v>
      </c>
      <c r="F3358" s="645"/>
      <c r="G3358" s="645"/>
      <c r="H3358" s="645"/>
    </row>
    <row r="3359" spans="3:8">
      <c r="C3359" s="646" t="s">
        <v>552</v>
      </c>
      <c r="D3359" s="647">
        <v>30.09</v>
      </c>
      <c r="E3359" s="643">
        <v>1.25</v>
      </c>
      <c r="F3359" s="645"/>
      <c r="G3359" s="645"/>
      <c r="H3359" s="645"/>
    </row>
    <row r="3360" spans="3:8">
      <c r="C3360" s="1512" t="s">
        <v>148</v>
      </c>
      <c r="D3360" s="647">
        <v>30.21</v>
      </c>
      <c r="E3360" s="643">
        <v>1.33</v>
      </c>
      <c r="F3360" s="645"/>
      <c r="G3360" s="645"/>
      <c r="H3360" s="645"/>
    </row>
    <row r="3361" spans="1:56">
      <c r="C3361" s="1512"/>
      <c r="D3361" s="647">
        <v>28.69</v>
      </c>
      <c r="E3361" s="643">
        <v>1.81</v>
      </c>
      <c r="F3361" s="645"/>
      <c r="G3361" s="645"/>
      <c r="H3361" s="645"/>
    </row>
    <row r="3362" spans="1:56">
      <c r="C3362" s="1512" t="s">
        <v>3202</v>
      </c>
      <c r="D3362" s="647">
        <v>30.01</v>
      </c>
      <c r="E3362" s="643">
        <v>1.25</v>
      </c>
      <c r="F3362" s="645"/>
      <c r="G3362" s="645"/>
      <c r="H3362" s="645"/>
    </row>
    <row r="3363" spans="1:56">
      <c r="C3363" s="1512"/>
      <c r="D3363" s="647">
        <v>29.91</v>
      </c>
      <c r="E3363" s="643">
        <v>1.25</v>
      </c>
      <c r="F3363" s="645"/>
      <c r="G3363" s="645"/>
      <c r="H3363" s="645"/>
    </row>
    <row r="3364" spans="1:56">
      <c r="C3364" s="1512"/>
      <c r="D3364" s="647">
        <v>29.05</v>
      </c>
      <c r="E3364" s="643">
        <v>1.25</v>
      </c>
      <c r="F3364" s="645"/>
      <c r="G3364" s="645"/>
      <c r="H3364" s="645"/>
    </row>
    <row r="3365" spans="1:56">
      <c r="C3365" s="646" t="s">
        <v>285</v>
      </c>
      <c r="D3365" s="647">
        <v>29.7</v>
      </c>
      <c r="E3365" s="643">
        <v>1.25</v>
      </c>
      <c r="F3365" s="645"/>
      <c r="G3365" s="645"/>
      <c r="H3365" s="645"/>
    </row>
    <row r="3367" spans="1:56" s="663" customFormat="1">
      <c r="A3367" s="663" t="s">
        <v>2861</v>
      </c>
      <c r="B3367" s="665" t="s">
        <v>2036</v>
      </c>
      <c r="C3367" s="667" t="s">
        <v>126</v>
      </c>
      <c r="D3367" s="667" t="s">
        <v>1583</v>
      </c>
      <c r="E3367" s="667" t="s">
        <v>4</v>
      </c>
      <c r="F3367" s="667" t="s">
        <v>2860</v>
      </c>
      <c r="G3367" s="667" t="s">
        <v>2859</v>
      </c>
      <c r="H3367" s="667" t="s">
        <v>2858</v>
      </c>
      <c r="I3367" s="667" t="s">
        <v>751</v>
      </c>
      <c r="J3367" s="665" t="s">
        <v>274</v>
      </c>
      <c r="K3367" s="665" t="s">
        <v>273</v>
      </c>
      <c r="L3367" s="665" t="s">
        <v>116</v>
      </c>
      <c r="M3367" s="665" t="s">
        <v>110</v>
      </c>
      <c r="N3367" s="665" t="s">
        <v>276</v>
      </c>
      <c r="O3367" s="667" t="s">
        <v>1311</v>
      </c>
      <c r="P3367" s="665" t="s">
        <v>275</v>
      </c>
      <c r="Q3367" s="665" t="s">
        <v>111</v>
      </c>
      <c r="R3367" s="665" t="s">
        <v>2857</v>
      </c>
      <c r="S3367" s="665" t="s">
        <v>747</v>
      </c>
      <c r="T3367" s="667" t="s">
        <v>12</v>
      </c>
      <c r="U3367" s="666" t="s">
        <v>948</v>
      </c>
      <c r="V3367" s="665" t="s">
        <v>129</v>
      </c>
      <c r="W3367" s="665" t="s">
        <v>220</v>
      </c>
      <c r="X3367" s="665" t="s">
        <v>749</v>
      </c>
      <c r="Y3367" s="665" t="s">
        <v>750</v>
      </c>
      <c r="Z3367" s="665" t="s">
        <v>748</v>
      </c>
      <c r="BB3367" s="664"/>
      <c r="BD3367" s="664"/>
    </row>
    <row r="3368" spans="1:56">
      <c r="A3368" s="642" t="s">
        <v>2078</v>
      </c>
      <c r="B3368" s="1436">
        <v>199</v>
      </c>
      <c r="C3368" s="1437" t="s">
        <v>2098</v>
      </c>
      <c r="D3368" s="662" t="s">
        <v>2097</v>
      </c>
      <c r="E3368" s="662" t="s">
        <v>2096</v>
      </c>
      <c r="F3368" s="661">
        <v>20.78</v>
      </c>
      <c r="G3368" s="660">
        <v>20.78</v>
      </c>
      <c r="H3368" s="659">
        <f>L3368*R3368</f>
        <v>216.64882820099999</v>
      </c>
      <c r="I3368" s="656">
        <f>F3368/H3368</f>
        <v>9.5915589170512239E-2</v>
      </c>
      <c r="J3368" s="658" t="s">
        <v>2873</v>
      </c>
      <c r="K3368" s="645" t="s">
        <v>2089</v>
      </c>
      <c r="L3368" s="645">
        <v>16.809999999999999</v>
      </c>
      <c r="M3368" s="658">
        <v>10.44</v>
      </c>
      <c r="N3368" s="653">
        <f>M3368/L3368</f>
        <v>0.62105889351576449</v>
      </c>
      <c r="O3368" s="656">
        <v>14.81</v>
      </c>
      <c r="P3368" s="653">
        <f>O3368/L3368</f>
        <v>0.88102320047590732</v>
      </c>
      <c r="Q3368" s="645">
        <v>10</v>
      </c>
      <c r="R3368" s="653">
        <v>12.8880921</v>
      </c>
      <c r="S3368" s="645" t="s">
        <v>2095</v>
      </c>
      <c r="T3368" s="654">
        <v>42999</v>
      </c>
      <c r="U3368" s="645">
        <v>20.8</v>
      </c>
      <c r="V3368" s="653">
        <f>((U3368*(1+X3368/10)+Y3368/10)/O3368)</f>
        <v>1.4082376772451046</v>
      </c>
      <c r="W3368" s="645" t="s">
        <v>2094</v>
      </c>
      <c r="X3368" s="645">
        <v>0</v>
      </c>
      <c r="Y3368" s="645">
        <v>0.56000000000000005</v>
      </c>
      <c r="Z3368" s="652" t="s">
        <v>2093</v>
      </c>
      <c r="BB3368" s="651"/>
      <c r="BD3368" s="650"/>
    </row>
    <row r="3369" spans="1:56">
      <c r="C3369" s="648" t="s">
        <v>112</v>
      </c>
      <c r="D3369" s="648" t="s">
        <v>113</v>
      </c>
      <c r="E3369" s="648" t="s">
        <v>943</v>
      </c>
      <c r="F3369" s="649" t="s">
        <v>411</v>
      </c>
      <c r="G3369" s="649" t="s">
        <v>942</v>
      </c>
      <c r="H3369" s="648" t="s">
        <v>231</v>
      </c>
    </row>
    <row r="3370" spans="1:56">
      <c r="C3370" s="646" t="s">
        <v>1127</v>
      </c>
      <c r="D3370" s="647">
        <v>14.4</v>
      </c>
      <c r="E3370" s="643">
        <v>2.19</v>
      </c>
      <c r="F3370" s="645"/>
      <c r="G3370" s="645"/>
      <c r="H3370" s="645"/>
    </row>
    <row r="3371" spans="1:56">
      <c r="C3371" s="646" t="s">
        <v>966</v>
      </c>
      <c r="D3371" s="647">
        <v>12.59</v>
      </c>
      <c r="E3371" s="643">
        <v>2.1</v>
      </c>
      <c r="F3371" s="645"/>
      <c r="G3371" s="645"/>
      <c r="H3371" s="645"/>
    </row>
    <row r="3372" spans="1:56">
      <c r="C3372" s="1512" t="s">
        <v>122</v>
      </c>
      <c r="D3372" s="647">
        <v>14.62</v>
      </c>
      <c r="E3372" s="643">
        <v>2.1</v>
      </c>
      <c r="F3372" s="645"/>
      <c r="G3372" s="645"/>
      <c r="H3372" s="645"/>
    </row>
    <row r="3373" spans="1:56">
      <c r="C3373" s="1512"/>
      <c r="D3373" s="647">
        <v>12.54</v>
      </c>
      <c r="E3373" s="643">
        <v>2.5</v>
      </c>
      <c r="F3373" s="645"/>
      <c r="G3373" s="645"/>
      <c r="H3373" s="645"/>
    </row>
    <row r="3374" spans="1:56">
      <c r="C3374" s="1512"/>
      <c r="D3374" s="647">
        <v>10.45</v>
      </c>
      <c r="E3374" s="643">
        <v>2.8</v>
      </c>
      <c r="F3374" s="645"/>
      <c r="G3374" s="645"/>
      <c r="H3374" s="645"/>
    </row>
    <row r="3375" spans="1:56">
      <c r="C3375" s="646" t="s">
        <v>953</v>
      </c>
      <c r="D3375" s="647">
        <v>12.83</v>
      </c>
      <c r="E3375" s="643">
        <v>2.1</v>
      </c>
      <c r="F3375" s="645"/>
      <c r="G3375" s="645"/>
      <c r="H3375" s="645"/>
    </row>
    <row r="3376" spans="1:56">
      <c r="C3376" s="646" t="s">
        <v>320</v>
      </c>
      <c r="D3376" s="647">
        <v>14.35</v>
      </c>
      <c r="E3376" s="643">
        <v>3</v>
      </c>
      <c r="F3376" s="645"/>
      <c r="G3376" s="645"/>
      <c r="H3376" s="645"/>
    </row>
    <row r="3377" spans="3:8">
      <c r="C3377" s="1512" t="s">
        <v>131</v>
      </c>
      <c r="D3377" s="647">
        <v>12.67</v>
      </c>
      <c r="E3377" s="643">
        <v>2.44</v>
      </c>
      <c r="F3377" s="645"/>
      <c r="G3377" s="645"/>
      <c r="H3377" s="645"/>
    </row>
    <row r="3378" spans="3:8">
      <c r="C3378" s="1512"/>
      <c r="D3378" s="647">
        <v>10.46</v>
      </c>
      <c r="E3378" s="643">
        <v>3.62</v>
      </c>
      <c r="F3378" s="645"/>
      <c r="G3378" s="645"/>
      <c r="H3378" s="645"/>
    </row>
    <row r="3379" spans="3:8">
      <c r="C3379" s="1512" t="s">
        <v>173</v>
      </c>
      <c r="D3379" s="647">
        <v>14.88</v>
      </c>
      <c r="E3379" s="643">
        <v>2.1</v>
      </c>
      <c r="F3379" s="645"/>
      <c r="G3379" s="644">
        <v>1417.9608000000001</v>
      </c>
      <c r="H3379" s="643">
        <f>209999994.48/100000000</f>
        <v>2.0999999448</v>
      </c>
    </row>
    <row r="3380" spans="3:8">
      <c r="C3380" s="1512"/>
      <c r="D3380" s="647">
        <v>14.37</v>
      </c>
      <c r="E3380" s="643">
        <v>2.56</v>
      </c>
      <c r="F3380" s="645"/>
      <c r="G3380" s="645"/>
      <c r="H3380" s="645"/>
    </row>
    <row r="3381" spans="3:8">
      <c r="C3381" s="1512"/>
      <c r="D3381" s="647">
        <v>13.52</v>
      </c>
      <c r="E3381" s="643">
        <v>2.93</v>
      </c>
      <c r="F3381" s="645"/>
      <c r="G3381" s="645"/>
      <c r="H3381" s="645"/>
    </row>
    <row r="3382" spans="3:8">
      <c r="C3382" s="646" t="s">
        <v>351</v>
      </c>
      <c r="D3382" s="647">
        <v>10.88</v>
      </c>
      <c r="E3382" s="643">
        <v>2.1</v>
      </c>
      <c r="F3382" s="645"/>
      <c r="G3382" s="645"/>
      <c r="H3382" s="645"/>
    </row>
    <row r="3383" spans="3:8">
      <c r="C3383" s="646" t="s">
        <v>121</v>
      </c>
      <c r="D3383" s="647">
        <v>13.01</v>
      </c>
      <c r="E3383" s="643">
        <v>3.3</v>
      </c>
      <c r="F3383" s="645"/>
      <c r="G3383" s="645"/>
      <c r="H3383" s="645"/>
    </row>
    <row r="3384" spans="3:8">
      <c r="C3384" s="646" t="s">
        <v>316</v>
      </c>
      <c r="D3384" s="647">
        <v>10.98</v>
      </c>
      <c r="E3384" s="643">
        <v>2.1</v>
      </c>
      <c r="F3384" s="645"/>
      <c r="G3384" s="645"/>
      <c r="H3384" s="645"/>
    </row>
    <row r="3385" spans="3:8">
      <c r="C3385" s="646" t="s">
        <v>128</v>
      </c>
      <c r="D3385" s="647">
        <v>11</v>
      </c>
      <c r="E3385" s="643">
        <v>2.1</v>
      </c>
      <c r="F3385" s="645"/>
      <c r="G3385" s="645"/>
      <c r="H3385" s="645"/>
    </row>
    <row r="3386" spans="3:8">
      <c r="C3386" s="646" t="s">
        <v>522</v>
      </c>
      <c r="D3386" s="647">
        <v>16.2</v>
      </c>
      <c r="E3386" s="643">
        <v>2.1</v>
      </c>
      <c r="F3386" s="645"/>
      <c r="G3386" s="644">
        <v>1417.9608000000001</v>
      </c>
      <c r="H3386" s="643">
        <f>209999994.48/100000000</f>
        <v>2.0999999448</v>
      </c>
    </row>
    <row r="3387" spans="3:8" ht="28">
      <c r="C3387" s="646" t="s">
        <v>2872</v>
      </c>
      <c r="D3387" s="647">
        <v>16.809999999999999</v>
      </c>
      <c r="E3387" s="643">
        <v>2.1</v>
      </c>
      <c r="F3387" s="645"/>
      <c r="G3387" s="644">
        <v>1417.9608000000001</v>
      </c>
      <c r="H3387" s="643">
        <f>209999994.48/100000000</f>
        <v>2.0999999448</v>
      </c>
    </row>
    <row r="3388" spans="3:8">
      <c r="C3388" s="646" t="s">
        <v>146</v>
      </c>
      <c r="D3388" s="647">
        <v>13.85</v>
      </c>
      <c r="E3388" s="643">
        <v>2.1</v>
      </c>
      <c r="F3388" s="645"/>
      <c r="G3388" s="645"/>
      <c r="H3388" s="645"/>
    </row>
    <row r="3389" spans="3:8">
      <c r="C3389" s="1512" t="s">
        <v>147</v>
      </c>
      <c r="D3389" s="647">
        <v>12.31</v>
      </c>
      <c r="E3389" s="643">
        <v>2.99</v>
      </c>
      <c r="F3389" s="645"/>
      <c r="G3389" s="645"/>
      <c r="H3389" s="645"/>
    </row>
    <row r="3390" spans="3:8">
      <c r="C3390" s="1512"/>
      <c r="D3390" s="647">
        <v>10.66</v>
      </c>
      <c r="E3390" s="643">
        <v>3.2</v>
      </c>
      <c r="F3390" s="645"/>
      <c r="G3390" s="645"/>
      <c r="H3390" s="645"/>
    </row>
    <row r="3391" spans="3:8">
      <c r="C3391" s="1512" t="s">
        <v>336</v>
      </c>
      <c r="D3391" s="647">
        <v>14.81</v>
      </c>
      <c r="E3391" s="643">
        <v>2.1</v>
      </c>
      <c r="F3391" s="645"/>
      <c r="G3391" s="644">
        <v>262.39190000000002</v>
      </c>
      <c r="H3391" s="643">
        <f>38860240.39/100000000</f>
        <v>0.3886024039</v>
      </c>
    </row>
    <row r="3392" spans="3:8">
      <c r="C3392" s="1512"/>
      <c r="D3392" s="647">
        <v>14.37</v>
      </c>
      <c r="E3392" s="643">
        <v>2.64</v>
      </c>
      <c r="F3392" s="645"/>
      <c r="G3392" s="645"/>
      <c r="H3392" s="645"/>
    </row>
    <row r="3393" spans="1:56">
      <c r="C3393" s="1512"/>
      <c r="D3393" s="647">
        <v>13.18</v>
      </c>
      <c r="E3393" s="643">
        <v>2.78</v>
      </c>
      <c r="F3393" s="645"/>
      <c r="G3393" s="645"/>
      <c r="H3393" s="645"/>
    </row>
    <row r="3394" spans="1:56">
      <c r="C3394" s="646" t="s">
        <v>295</v>
      </c>
      <c r="D3394" s="647">
        <v>15</v>
      </c>
      <c r="E3394" s="643">
        <v>2.1</v>
      </c>
      <c r="F3394" s="645"/>
      <c r="G3394" s="644">
        <v>1417.9608000000001</v>
      </c>
      <c r="H3394" s="643">
        <f>209999994.48/100000000</f>
        <v>2.0999999448</v>
      </c>
    </row>
    <row r="3395" spans="1:56">
      <c r="C3395" s="646" t="s">
        <v>560</v>
      </c>
      <c r="D3395" s="647">
        <v>15.22</v>
      </c>
      <c r="E3395" s="643">
        <v>2.1</v>
      </c>
      <c r="F3395" s="645"/>
      <c r="G3395" s="644">
        <v>1417.9608000000001</v>
      </c>
      <c r="H3395" s="643">
        <f>209999994.48/100000000</f>
        <v>2.0999999448</v>
      </c>
    </row>
    <row r="3396" spans="1:56">
      <c r="C3396" s="679"/>
      <c r="D3396" s="647">
        <v>12.4</v>
      </c>
      <c r="E3396" s="643">
        <v>2.11</v>
      </c>
      <c r="F3396" s="645"/>
      <c r="G3396" s="645"/>
      <c r="H3396" s="645"/>
    </row>
    <row r="3397" spans="1:56">
      <c r="C3397" s="1512" t="s">
        <v>115</v>
      </c>
      <c r="D3397" s="647">
        <v>15.46</v>
      </c>
      <c r="E3397" s="643">
        <v>2.29</v>
      </c>
      <c r="F3397" s="645"/>
      <c r="G3397" s="644">
        <v>1546.2525000000001</v>
      </c>
      <c r="H3397" s="643">
        <f>228999995.25/100000000</f>
        <v>2.2899999525000001</v>
      </c>
    </row>
    <row r="3398" spans="1:56">
      <c r="C3398" s="1512"/>
      <c r="D3398" s="647">
        <v>14.36</v>
      </c>
      <c r="E3398" s="643">
        <v>5.35</v>
      </c>
      <c r="F3398" s="645"/>
      <c r="G3398" s="645"/>
      <c r="H3398" s="645"/>
    </row>
    <row r="3399" spans="1:56">
      <c r="C3399" s="1512"/>
      <c r="D3399" s="647">
        <v>13.5</v>
      </c>
      <c r="E3399" s="643">
        <v>6</v>
      </c>
      <c r="F3399" s="645"/>
      <c r="G3399" s="645"/>
      <c r="H3399" s="645"/>
    </row>
    <row r="3400" spans="1:56">
      <c r="C3400" s="646" t="s">
        <v>1344</v>
      </c>
      <c r="D3400" s="647">
        <v>16.059999999999999</v>
      </c>
      <c r="E3400" s="643">
        <v>2.1</v>
      </c>
      <c r="F3400" s="645"/>
      <c r="G3400" s="644">
        <v>1417.9608000000001</v>
      </c>
      <c r="H3400" s="643">
        <f>209999994.48/100000000</f>
        <v>2.0999999448</v>
      </c>
    </row>
    <row r="3401" spans="1:56">
      <c r="C3401" s="646" t="s">
        <v>278</v>
      </c>
      <c r="D3401" s="647">
        <v>12.97</v>
      </c>
      <c r="E3401" s="643">
        <v>2.1</v>
      </c>
      <c r="F3401" s="645"/>
      <c r="G3401" s="645"/>
      <c r="H3401" s="645"/>
    </row>
    <row r="3402" spans="1:56">
      <c r="C3402" s="646" t="s">
        <v>2871</v>
      </c>
      <c r="D3402" s="647">
        <v>16.23</v>
      </c>
      <c r="E3402" s="643">
        <v>3.4</v>
      </c>
      <c r="F3402" s="645"/>
      <c r="G3402" s="644">
        <v>2295.7460999999998</v>
      </c>
      <c r="H3402" s="643">
        <f>339999997.41/100000000</f>
        <v>3.3999999741000004</v>
      </c>
    </row>
    <row r="3403" spans="1:56">
      <c r="C3403" s="646" t="s">
        <v>2870</v>
      </c>
      <c r="D3403" s="647">
        <v>16.43</v>
      </c>
      <c r="E3403" s="643">
        <v>2.1</v>
      </c>
      <c r="F3403" s="645"/>
      <c r="G3403" s="644">
        <v>1417.9608000000001</v>
      </c>
      <c r="H3403" s="643">
        <f>209999994.48/100000000</f>
        <v>2.0999999448</v>
      </c>
    </row>
    <row r="3405" spans="1:56" s="663" customFormat="1">
      <c r="A3405" s="663" t="s">
        <v>2861</v>
      </c>
      <c r="B3405" s="665" t="s">
        <v>2036</v>
      </c>
      <c r="C3405" s="667" t="s">
        <v>126</v>
      </c>
      <c r="D3405" s="667" t="s">
        <v>1583</v>
      </c>
      <c r="E3405" s="678" t="s">
        <v>4</v>
      </c>
      <c r="F3405" s="667" t="s">
        <v>2860</v>
      </c>
      <c r="G3405" s="667" t="s">
        <v>2859</v>
      </c>
      <c r="H3405" s="667" t="s">
        <v>2858</v>
      </c>
      <c r="I3405" s="677" t="s">
        <v>751</v>
      </c>
      <c r="J3405" s="665" t="s">
        <v>274</v>
      </c>
      <c r="K3405" s="665" t="s">
        <v>273</v>
      </c>
      <c r="L3405" s="665" t="s">
        <v>116</v>
      </c>
      <c r="M3405" s="665" t="s">
        <v>110</v>
      </c>
      <c r="N3405" s="665" t="s">
        <v>276</v>
      </c>
      <c r="O3405" s="667" t="s">
        <v>1311</v>
      </c>
      <c r="P3405" s="665" t="s">
        <v>275</v>
      </c>
      <c r="Q3405" s="665" t="s">
        <v>111</v>
      </c>
      <c r="R3405" s="665" t="s">
        <v>2857</v>
      </c>
      <c r="S3405" s="665" t="s">
        <v>747</v>
      </c>
      <c r="T3405" s="667" t="s">
        <v>12</v>
      </c>
      <c r="U3405" s="666" t="s">
        <v>948</v>
      </c>
      <c r="V3405" s="665" t="s">
        <v>129</v>
      </c>
      <c r="W3405" s="665" t="s">
        <v>220</v>
      </c>
      <c r="X3405" s="665" t="s">
        <v>749</v>
      </c>
      <c r="Y3405" s="665" t="s">
        <v>750</v>
      </c>
      <c r="Z3405" s="665" t="s">
        <v>748</v>
      </c>
      <c r="BB3405" s="664"/>
      <c r="BD3405" s="664"/>
    </row>
    <row r="3406" spans="1:56">
      <c r="A3406" s="642" t="s">
        <v>2078</v>
      </c>
      <c r="B3406" s="1436">
        <v>200</v>
      </c>
      <c r="C3406" s="1437" t="s">
        <v>2092</v>
      </c>
      <c r="D3406" s="662" t="s">
        <v>2091</v>
      </c>
      <c r="E3406" s="676" t="s">
        <v>2090</v>
      </c>
      <c r="F3406" s="661">
        <v>10</v>
      </c>
      <c r="G3406" s="659">
        <v>10</v>
      </c>
      <c r="H3406" s="659">
        <f>L3406*R3406</f>
        <v>96.897561800000005</v>
      </c>
      <c r="I3406" s="675">
        <f>F3406/H3406</f>
        <v>0.10320177117191405</v>
      </c>
      <c r="J3406" s="658" t="s">
        <v>2869</v>
      </c>
      <c r="K3406" s="645" t="s">
        <v>2089</v>
      </c>
      <c r="L3406" s="645">
        <v>13.13</v>
      </c>
      <c r="M3406" s="658">
        <v>11.23</v>
      </c>
      <c r="N3406" s="653">
        <f>M3406/L3406</f>
        <v>0.85529322162985533</v>
      </c>
      <c r="O3406" s="656">
        <v>13</v>
      </c>
      <c r="P3406" s="653">
        <f>O3406/L3406</f>
        <v>0.99009900990099009</v>
      </c>
      <c r="Q3406" s="645">
        <v>8</v>
      </c>
      <c r="R3406" s="653">
        <v>7.3798599999999999</v>
      </c>
      <c r="S3406" s="645" t="s">
        <v>2088</v>
      </c>
      <c r="T3406" s="654">
        <v>42999</v>
      </c>
      <c r="U3406" s="645">
        <v>11.83</v>
      </c>
      <c r="V3406" s="653">
        <f>((U3406*(1+X3406/10)+Y3406/10)/O3406)</f>
        <v>0.92384615384615387</v>
      </c>
      <c r="W3406" s="645" t="s">
        <v>2087</v>
      </c>
      <c r="X3406" s="645">
        <v>0</v>
      </c>
      <c r="Y3406" s="645">
        <v>1.7999999999999998</v>
      </c>
      <c r="Z3406" s="652" t="s">
        <v>2086</v>
      </c>
      <c r="BB3406" s="651"/>
      <c r="BD3406" s="650"/>
    </row>
    <row r="3407" spans="1:56">
      <c r="C3407" s="648" t="s">
        <v>112</v>
      </c>
      <c r="D3407" s="648" t="s">
        <v>113</v>
      </c>
      <c r="E3407" s="648" t="s">
        <v>943</v>
      </c>
      <c r="F3407" s="649" t="s">
        <v>411</v>
      </c>
      <c r="G3407" s="649" t="s">
        <v>942</v>
      </c>
      <c r="H3407" s="648" t="s">
        <v>231</v>
      </c>
    </row>
    <row r="3408" spans="1:56">
      <c r="C3408" s="1512" t="s">
        <v>3201</v>
      </c>
      <c r="D3408" s="647">
        <v>12.8</v>
      </c>
      <c r="E3408" s="643">
        <v>1</v>
      </c>
      <c r="F3408" s="645"/>
      <c r="G3408" s="645"/>
      <c r="H3408" s="645"/>
    </row>
    <row r="3409" spans="3:8">
      <c r="C3409" s="1512"/>
      <c r="D3409" s="647">
        <v>12.65</v>
      </c>
      <c r="E3409" s="643">
        <v>1</v>
      </c>
      <c r="F3409" s="645"/>
      <c r="G3409" s="645"/>
      <c r="H3409" s="645"/>
    </row>
    <row r="3410" spans="3:8">
      <c r="C3410" s="1512"/>
      <c r="D3410" s="647">
        <v>12.52</v>
      </c>
      <c r="E3410" s="643">
        <v>1</v>
      </c>
      <c r="F3410" s="645"/>
      <c r="G3410" s="645"/>
      <c r="H3410" s="645"/>
    </row>
    <row r="3411" spans="3:8">
      <c r="C3411" s="646" t="s">
        <v>666</v>
      </c>
      <c r="D3411" s="647">
        <v>12.41</v>
      </c>
      <c r="E3411" s="643">
        <v>1.5</v>
      </c>
      <c r="F3411" s="645"/>
      <c r="G3411" s="645"/>
      <c r="H3411" s="645"/>
    </row>
    <row r="3412" spans="3:8">
      <c r="C3412" s="1514"/>
      <c r="D3412" s="647">
        <v>11.83</v>
      </c>
      <c r="E3412" s="643">
        <v>1.5</v>
      </c>
      <c r="F3412" s="645"/>
      <c r="G3412" s="645"/>
      <c r="H3412" s="645"/>
    </row>
    <row r="3413" spans="3:8">
      <c r="C3413" s="1514"/>
      <c r="D3413" s="647">
        <v>11.25</v>
      </c>
      <c r="E3413" s="643">
        <v>1.5</v>
      </c>
      <c r="F3413" s="645"/>
      <c r="G3413" s="645"/>
      <c r="H3413" s="645"/>
    </row>
    <row r="3414" spans="3:8">
      <c r="C3414" s="646" t="s">
        <v>1921</v>
      </c>
      <c r="D3414" s="647">
        <v>11.5</v>
      </c>
      <c r="E3414" s="643">
        <v>1</v>
      </c>
      <c r="F3414" s="645"/>
      <c r="G3414" s="645"/>
      <c r="H3414" s="645"/>
    </row>
    <row r="3415" spans="3:8">
      <c r="C3415" s="646" t="s">
        <v>3200</v>
      </c>
      <c r="D3415" s="647">
        <v>12.55</v>
      </c>
      <c r="E3415" s="643">
        <v>1</v>
      </c>
      <c r="F3415" s="645"/>
      <c r="G3415" s="645"/>
      <c r="H3415" s="645"/>
    </row>
    <row r="3416" spans="3:8">
      <c r="C3416" s="646" t="s">
        <v>233</v>
      </c>
      <c r="D3416" s="647">
        <v>12.55</v>
      </c>
      <c r="E3416" s="643">
        <v>1</v>
      </c>
      <c r="F3416" s="645"/>
      <c r="G3416" s="645"/>
      <c r="H3416" s="645"/>
    </row>
    <row r="3417" spans="3:8">
      <c r="C3417" s="646" t="s">
        <v>3199</v>
      </c>
      <c r="D3417" s="647">
        <v>14.01</v>
      </c>
      <c r="E3417" s="643">
        <v>2</v>
      </c>
      <c r="F3417" s="645"/>
      <c r="G3417" s="644">
        <f>15384615/10000</f>
        <v>1538.4614999999999</v>
      </c>
      <c r="H3417" s="643">
        <f>199999995/100000000</f>
        <v>1.9999999500000001</v>
      </c>
    </row>
    <row r="3418" spans="3:8">
      <c r="C3418" s="646" t="s">
        <v>955</v>
      </c>
      <c r="D3418" s="647">
        <v>11.85</v>
      </c>
      <c r="E3418" s="643">
        <v>1</v>
      </c>
      <c r="F3418" s="645"/>
      <c r="G3418" s="645"/>
      <c r="H3418" s="645"/>
    </row>
    <row r="3419" spans="3:8">
      <c r="C3419" s="1512" t="s">
        <v>138</v>
      </c>
      <c r="D3419" s="647">
        <v>13.08</v>
      </c>
      <c r="E3419" s="643">
        <v>1.2</v>
      </c>
      <c r="F3419" s="645"/>
      <c r="G3419" s="645"/>
      <c r="H3419" s="645"/>
    </row>
    <row r="3420" spans="3:8">
      <c r="C3420" s="1512"/>
      <c r="D3420" s="647">
        <v>12.08</v>
      </c>
      <c r="E3420" s="643">
        <v>1.49</v>
      </c>
      <c r="F3420" s="645"/>
      <c r="G3420" s="645"/>
      <c r="H3420" s="645"/>
    </row>
    <row r="3421" spans="3:8">
      <c r="C3421" s="646" t="s">
        <v>285</v>
      </c>
      <c r="D3421" s="647">
        <v>13.18</v>
      </c>
      <c r="E3421" s="643">
        <v>1.2</v>
      </c>
      <c r="F3421" s="645"/>
      <c r="G3421" s="644">
        <f>9230769/10000</f>
        <v>923.07690000000002</v>
      </c>
      <c r="H3421" s="643">
        <f>119999997/100000000</f>
        <v>1.1999999699999999</v>
      </c>
    </row>
    <row r="3422" spans="3:8">
      <c r="C3422" s="1512" t="s">
        <v>173</v>
      </c>
      <c r="D3422" s="647">
        <v>11.86</v>
      </c>
      <c r="E3422" s="643">
        <v>1</v>
      </c>
      <c r="F3422" s="645"/>
      <c r="G3422" s="645"/>
      <c r="H3422" s="645"/>
    </row>
    <row r="3423" spans="3:8">
      <c r="C3423" s="1512"/>
      <c r="D3423" s="647">
        <v>11.6</v>
      </c>
      <c r="E3423" s="643">
        <v>2</v>
      </c>
      <c r="F3423" s="645"/>
      <c r="G3423" s="645"/>
      <c r="H3423" s="645"/>
    </row>
    <row r="3424" spans="3:8">
      <c r="C3424" s="1512" t="s">
        <v>279</v>
      </c>
      <c r="D3424" s="647">
        <v>12.56</v>
      </c>
      <c r="E3424" s="643">
        <v>1.01</v>
      </c>
      <c r="F3424" s="645"/>
      <c r="G3424" s="645"/>
      <c r="H3424" s="645"/>
    </row>
    <row r="3425" spans="3:8">
      <c r="C3425" s="1512"/>
      <c r="D3425" s="647">
        <v>11.91</v>
      </c>
      <c r="E3425" s="643">
        <v>1.34</v>
      </c>
      <c r="F3425" s="645"/>
      <c r="G3425" s="645"/>
      <c r="H3425" s="645"/>
    </row>
    <row r="3426" spans="3:8">
      <c r="C3426" s="646" t="s">
        <v>384</v>
      </c>
      <c r="D3426" s="647">
        <v>11.9</v>
      </c>
      <c r="E3426" s="643">
        <v>1.01</v>
      </c>
      <c r="F3426" s="645"/>
      <c r="G3426" s="645"/>
      <c r="H3426" s="645"/>
    </row>
    <row r="3427" spans="3:8">
      <c r="C3427" s="1512" t="s">
        <v>3198</v>
      </c>
      <c r="D3427" s="647">
        <v>12.19</v>
      </c>
      <c r="E3427" s="643">
        <v>1</v>
      </c>
      <c r="F3427" s="645"/>
      <c r="G3427" s="645"/>
      <c r="H3427" s="645"/>
    </row>
    <row r="3428" spans="3:8">
      <c r="C3428" s="1512"/>
      <c r="D3428" s="647">
        <v>12.09</v>
      </c>
      <c r="E3428" s="643">
        <v>1</v>
      </c>
      <c r="F3428" s="645"/>
      <c r="G3428" s="645"/>
      <c r="H3428" s="645"/>
    </row>
    <row r="3429" spans="3:8">
      <c r="C3429" s="1512"/>
      <c r="D3429" s="647">
        <v>11.99</v>
      </c>
      <c r="E3429" s="643">
        <v>1</v>
      </c>
      <c r="F3429" s="645"/>
      <c r="G3429" s="645"/>
      <c r="H3429" s="645"/>
    </row>
    <row r="3430" spans="3:8">
      <c r="C3430" s="1512" t="s">
        <v>146</v>
      </c>
      <c r="D3430" s="647">
        <v>12.19</v>
      </c>
      <c r="E3430" s="643">
        <v>1</v>
      </c>
      <c r="F3430" s="645"/>
      <c r="G3430" s="645"/>
      <c r="H3430" s="645"/>
    </row>
    <row r="3431" spans="3:8">
      <c r="C3431" s="1512"/>
      <c r="D3431" s="647">
        <v>11.85</v>
      </c>
      <c r="E3431" s="643">
        <v>1.54</v>
      </c>
      <c r="F3431" s="645"/>
      <c r="G3431" s="645"/>
      <c r="H3431" s="645"/>
    </row>
    <row r="3432" spans="3:8">
      <c r="C3432" s="646" t="s">
        <v>300</v>
      </c>
      <c r="D3432" s="647">
        <v>11.91</v>
      </c>
      <c r="E3432" s="643">
        <v>1</v>
      </c>
      <c r="F3432" s="645"/>
      <c r="G3432" s="645"/>
      <c r="H3432" s="645"/>
    </row>
    <row r="3433" spans="3:8">
      <c r="C3433" s="1512" t="s">
        <v>115</v>
      </c>
      <c r="D3433" s="647">
        <v>12</v>
      </c>
      <c r="E3433" s="643">
        <v>1.1000000000000001</v>
      </c>
      <c r="F3433" s="645"/>
      <c r="G3433" s="645"/>
      <c r="H3433" s="645"/>
    </row>
    <row r="3434" spans="3:8">
      <c r="C3434" s="1512"/>
      <c r="D3434" s="647">
        <v>11.85</v>
      </c>
      <c r="E3434" s="643">
        <v>1.8</v>
      </c>
      <c r="F3434" s="645"/>
      <c r="G3434" s="645"/>
      <c r="H3434" s="645"/>
    </row>
    <row r="3435" spans="3:8">
      <c r="C3435" s="1512" t="s">
        <v>136</v>
      </c>
      <c r="D3435" s="647">
        <v>12.52</v>
      </c>
      <c r="E3435" s="643">
        <v>1</v>
      </c>
      <c r="F3435" s="645"/>
      <c r="G3435" s="645"/>
      <c r="H3435" s="645"/>
    </row>
    <row r="3436" spans="3:8">
      <c r="C3436" s="1512"/>
      <c r="D3436" s="647">
        <v>11.9</v>
      </c>
      <c r="E3436" s="643">
        <v>1.3</v>
      </c>
      <c r="F3436" s="645"/>
      <c r="G3436" s="645"/>
      <c r="H3436" s="645"/>
    </row>
    <row r="3437" spans="3:8">
      <c r="C3437" s="1512"/>
      <c r="D3437" s="647">
        <v>11.88</v>
      </c>
      <c r="E3437" s="643">
        <v>1.4</v>
      </c>
      <c r="F3437" s="645"/>
      <c r="G3437" s="645"/>
      <c r="H3437" s="645"/>
    </row>
    <row r="3438" spans="3:8">
      <c r="C3438" s="646" t="s">
        <v>147</v>
      </c>
      <c r="D3438" s="647">
        <v>11.49</v>
      </c>
      <c r="E3438" s="643">
        <v>1.63</v>
      </c>
      <c r="F3438" s="645"/>
      <c r="G3438" s="645"/>
      <c r="H3438" s="645"/>
    </row>
    <row r="3439" spans="3:8">
      <c r="C3439" s="1512" t="s">
        <v>336</v>
      </c>
      <c r="D3439" s="647">
        <v>13.05</v>
      </c>
      <c r="E3439" s="643">
        <v>1.4</v>
      </c>
      <c r="F3439" s="645"/>
      <c r="G3439" s="644">
        <f>10769230/10000</f>
        <v>1076.923</v>
      </c>
      <c r="H3439" s="643">
        <f>139999990/100000000</f>
        <v>1.3999999000000001</v>
      </c>
    </row>
    <row r="3440" spans="3:8">
      <c r="C3440" s="1512"/>
      <c r="D3440" s="647">
        <v>12.89</v>
      </c>
      <c r="E3440" s="643">
        <v>1.4</v>
      </c>
      <c r="F3440" s="645"/>
      <c r="G3440" s="645"/>
      <c r="H3440" s="645"/>
    </row>
    <row r="3441" spans="1:56">
      <c r="C3441" s="1512"/>
      <c r="D3441" s="647">
        <v>11.76</v>
      </c>
      <c r="E3441" s="643">
        <v>2</v>
      </c>
      <c r="F3441" s="645"/>
      <c r="G3441" s="645"/>
      <c r="H3441" s="645"/>
    </row>
    <row r="3442" spans="1:56">
      <c r="C3442" s="646" t="s">
        <v>121</v>
      </c>
      <c r="D3442" s="647">
        <v>12.68</v>
      </c>
      <c r="E3442" s="643">
        <v>1.02</v>
      </c>
      <c r="F3442" s="645"/>
      <c r="G3442" s="644">
        <f>9230769/10000</f>
        <v>923.07690000000002</v>
      </c>
      <c r="H3442" s="643">
        <f>119999997/100000000</f>
        <v>1.1999999699999999</v>
      </c>
    </row>
    <row r="3443" spans="1:56">
      <c r="C3443" s="1512" t="s">
        <v>134</v>
      </c>
      <c r="D3443" s="647">
        <v>13</v>
      </c>
      <c r="E3443" s="643">
        <v>1.8</v>
      </c>
      <c r="F3443" s="645"/>
      <c r="G3443" s="645"/>
      <c r="H3443" s="645"/>
    </row>
    <row r="3444" spans="1:56">
      <c r="C3444" s="1512"/>
      <c r="D3444" s="647">
        <v>12.58</v>
      </c>
      <c r="E3444" s="643">
        <v>1.9</v>
      </c>
      <c r="F3444" s="645"/>
      <c r="G3444" s="645"/>
      <c r="H3444" s="645"/>
    </row>
    <row r="3445" spans="1:56">
      <c r="C3445" s="1512"/>
      <c r="D3445" s="647">
        <v>12.08</v>
      </c>
      <c r="E3445" s="643">
        <v>2</v>
      </c>
      <c r="F3445" s="645"/>
      <c r="G3445" s="645"/>
      <c r="H3445" s="645"/>
    </row>
    <row r="3446" spans="1:56">
      <c r="C3446" s="646" t="s">
        <v>3197</v>
      </c>
      <c r="D3446" s="647">
        <v>13.18</v>
      </c>
      <c r="E3446" s="643">
        <v>1</v>
      </c>
      <c r="F3446" s="645"/>
      <c r="G3446" s="644">
        <f>7692307/10000</f>
        <v>769.23069999999996</v>
      </c>
      <c r="H3446" s="643">
        <f>99999991/100000000</f>
        <v>0.99999990999999999</v>
      </c>
    </row>
    <row r="3447" spans="1:56">
      <c r="C3447" s="646" t="s">
        <v>278</v>
      </c>
      <c r="D3447" s="647">
        <v>13</v>
      </c>
      <c r="E3447" s="643">
        <v>2</v>
      </c>
      <c r="F3447" s="645"/>
      <c r="G3447" s="644">
        <f>9230772/10000</f>
        <v>923.07719999999995</v>
      </c>
      <c r="H3447" s="643">
        <f>120000036/100000000</f>
        <v>1.20000036</v>
      </c>
    </row>
    <row r="3448" spans="1:56" ht="28">
      <c r="C3448" s="673" t="s">
        <v>3196</v>
      </c>
      <c r="D3448" s="647">
        <v>12.88</v>
      </c>
      <c r="E3448" s="643">
        <v>1</v>
      </c>
      <c r="F3448" s="645"/>
      <c r="G3448" s="645"/>
      <c r="H3448" s="645"/>
    </row>
    <row r="3449" spans="1:56">
      <c r="C3449" s="1512" t="s">
        <v>1377</v>
      </c>
      <c r="D3449" s="647">
        <v>13.2</v>
      </c>
      <c r="E3449" s="643">
        <v>1</v>
      </c>
      <c r="F3449" s="645"/>
      <c r="G3449" s="644">
        <f>7692307/10000</f>
        <v>769.23069999999996</v>
      </c>
      <c r="H3449" s="643">
        <f>99999991/100000000</f>
        <v>0.99999990999999999</v>
      </c>
    </row>
    <row r="3450" spans="1:56">
      <c r="C3450" s="1512"/>
      <c r="D3450" s="647">
        <v>12.33</v>
      </c>
      <c r="E3450" s="643">
        <v>1</v>
      </c>
      <c r="F3450" s="645"/>
      <c r="G3450" s="645"/>
      <c r="H3450" s="645"/>
    </row>
    <row r="3451" spans="1:56">
      <c r="C3451" s="673"/>
      <c r="D3451" s="647">
        <v>11.8</v>
      </c>
      <c r="E3451" s="643">
        <v>1</v>
      </c>
      <c r="F3451" s="645"/>
      <c r="G3451" s="645"/>
      <c r="H3451" s="645"/>
    </row>
    <row r="3452" spans="1:56">
      <c r="C3452" s="1512" t="s">
        <v>127</v>
      </c>
      <c r="D3452" s="647">
        <v>13.5</v>
      </c>
      <c r="E3452" s="643">
        <v>1</v>
      </c>
      <c r="F3452" s="645"/>
      <c r="G3452" s="644">
        <f>7692307/10000</f>
        <v>769.23069999999996</v>
      </c>
      <c r="H3452" s="643">
        <f>99999991/100000000</f>
        <v>0.99999990999999999</v>
      </c>
    </row>
    <row r="3453" spans="1:56">
      <c r="C3453" s="1512"/>
      <c r="D3453" s="647">
        <v>11.33</v>
      </c>
      <c r="E3453" s="643">
        <v>2</v>
      </c>
      <c r="F3453" s="645"/>
      <c r="G3453" s="645"/>
      <c r="H3453" s="645"/>
    </row>
    <row r="3454" spans="1:56">
      <c r="C3454" s="646" t="s">
        <v>953</v>
      </c>
      <c r="D3454" s="647">
        <v>12.28</v>
      </c>
      <c r="E3454" s="643">
        <v>2</v>
      </c>
      <c r="F3454" s="645"/>
      <c r="G3454" s="645"/>
      <c r="H3454" s="645"/>
    </row>
    <row r="3456" spans="1:56" s="663" customFormat="1">
      <c r="A3456" s="663" t="s">
        <v>2861</v>
      </c>
      <c r="B3456" s="665" t="s">
        <v>2036</v>
      </c>
      <c r="C3456" s="667" t="s">
        <v>126</v>
      </c>
      <c r="D3456" s="667" t="s">
        <v>1583</v>
      </c>
      <c r="E3456" s="667" t="s">
        <v>4</v>
      </c>
      <c r="F3456" s="667" t="s">
        <v>2860</v>
      </c>
      <c r="G3456" s="667" t="s">
        <v>2859</v>
      </c>
      <c r="H3456" s="667" t="s">
        <v>2858</v>
      </c>
      <c r="I3456" s="667" t="s">
        <v>751</v>
      </c>
      <c r="J3456" s="665" t="s">
        <v>274</v>
      </c>
      <c r="K3456" s="665" t="s">
        <v>273</v>
      </c>
      <c r="L3456" s="665" t="s">
        <v>116</v>
      </c>
      <c r="M3456" s="668" t="s">
        <v>110</v>
      </c>
      <c r="N3456" s="665" t="s">
        <v>276</v>
      </c>
      <c r="O3456" s="667" t="s">
        <v>1311</v>
      </c>
      <c r="P3456" s="665" t="s">
        <v>275</v>
      </c>
      <c r="Q3456" s="665" t="s">
        <v>111</v>
      </c>
      <c r="R3456" s="665" t="s">
        <v>2857</v>
      </c>
      <c r="S3456" s="665" t="s">
        <v>747</v>
      </c>
      <c r="T3456" s="667" t="s">
        <v>12</v>
      </c>
      <c r="U3456" s="666" t="s">
        <v>948</v>
      </c>
      <c r="V3456" s="665" t="s">
        <v>129</v>
      </c>
      <c r="W3456" s="665" t="s">
        <v>220</v>
      </c>
      <c r="X3456" s="665" t="s">
        <v>749</v>
      </c>
      <c r="Y3456" s="665" t="s">
        <v>750</v>
      </c>
      <c r="Z3456" s="665" t="s">
        <v>748</v>
      </c>
      <c r="BB3456" s="664"/>
      <c r="BD3456" s="664"/>
    </row>
    <row r="3457" spans="1:56">
      <c r="A3457" s="642" t="s">
        <v>2078</v>
      </c>
      <c r="B3457" s="1436">
        <v>201</v>
      </c>
      <c r="C3457" s="1437" t="s">
        <v>2085</v>
      </c>
      <c r="D3457" s="662" t="s">
        <v>2084</v>
      </c>
      <c r="E3457" s="662" t="s">
        <v>2083</v>
      </c>
      <c r="F3457" s="661">
        <v>5</v>
      </c>
      <c r="G3457" s="660">
        <v>5</v>
      </c>
      <c r="H3457" s="659">
        <f>L3457*R3457</f>
        <v>48.496000000000002</v>
      </c>
      <c r="I3457" s="656">
        <f>F3457/H3457</f>
        <v>0.10310128670405806</v>
      </c>
      <c r="J3457" s="658" t="s">
        <v>2868</v>
      </c>
      <c r="K3457" s="645" t="s">
        <v>2082</v>
      </c>
      <c r="L3457" s="645">
        <v>30.31</v>
      </c>
      <c r="M3457" s="674">
        <v>26.28</v>
      </c>
      <c r="N3457" s="653">
        <f>M3457/L3457</f>
        <v>0.86704058066644674</v>
      </c>
      <c r="O3457" s="656">
        <v>28.8</v>
      </c>
      <c r="P3457" s="653">
        <f>O3457/L3457</f>
        <v>0.95018145826459921</v>
      </c>
      <c r="Q3457" s="645">
        <v>6</v>
      </c>
      <c r="R3457" s="645">
        <v>1.6</v>
      </c>
      <c r="S3457" s="645" t="s">
        <v>2081</v>
      </c>
      <c r="T3457" s="654">
        <v>42999</v>
      </c>
      <c r="U3457" s="645">
        <v>8.58</v>
      </c>
      <c r="V3457" s="653">
        <f>((U3457*(1+X3457/10)+Y3457/10)/O3457)</f>
        <v>0.89583333333333337</v>
      </c>
      <c r="W3457" s="645" t="s">
        <v>2080</v>
      </c>
      <c r="X3457" s="645">
        <v>20</v>
      </c>
      <c r="Y3457" s="645">
        <v>0.6</v>
      </c>
      <c r="Z3457" s="652" t="s">
        <v>2079</v>
      </c>
      <c r="BB3457" s="651"/>
      <c r="BD3457" s="650"/>
    </row>
    <row r="3458" spans="1:56">
      <c r="C3458" s="648" t="s">
        <v>112</v>
      </c>
      <c r="D3458" s="648" t="s">
        <v>113</v>
      </c>
      <c r="E3458" s="648" t="s">
        <v>943</v>
      </c>
      <c r="F3458" s="649" t="s">
        <v>411</v>
      </c>
      <c r="G3458" s="649" t="s">
        <v>942</v>
      </c>
      <c r="H3458" s="648" t="s">
        <v>231</v>
      </c>
    </row>
    <row r="3459" spans="1:56">
      <c r="C3459" s="646" t="s">
        <v>634</v>
      </c>
      <c r="D3459" s="646">
        <v>33.799999999999997</v>
      </c>
      <c r="E3459" s="646">
        <v>0.7</v>
      </c>
      <c r="F3459" s="645"/>
      <c r="G3459" s="644">
        <v>243.05549999999999</v>
      </c>
      <c r="H3459" s="643">
        <f>69999984/100000000</f>
        <v>0.69999984000000004</v>
      </c>
    </row>
    <row r="3460" spans="1:56" ht="16" customHeight="1">
      <c r="C3460" s="1512" t="s">
        <v>173</v>
      </c>
      <c r="D3460" s="646">
        <v>29.5</v>
      </c>
      <c r="E3460" s="646">
        <v>1.56</v>
      </c>
      <c r="F3460" s="645"/>
      <c r="G3460" s="644">
        <v>715.27769999999998</v>
      </c>
      <c r="H3460" s="643">
        <f>205999977.6/100000000</f>
        <v>2.0599997759999997</v>
      </c>
    </row>
    <row r="3461" spans="1:56">
      <c r="C3461" s="1512"/>
      <c r="D3461" s="646">
        <v>28.8</v>
      </c>
      <c r="E3461" s="646">
        <v>2.06</v>
      </c>
      <c r="F3461" s="645"/>
      <c r="G3461" s="644"/>
      <c r="H3461" s="643"/>
    </row>
    <row r="3462" spans="1:56">
      <c r="C3462" s="1512"/>
      <c r="D3462" s="646">
        <v>27.6</v>
      </c>
      <c r="E3462" s="646">
        <v>2.34</v>
      </c>
      <c r="F3462" s="645"/>
      <c r="G3462" s="644"/>
      <c r="H3462" s="643"/>
    </row>
    <row r="3463" spans="1:56">
      <c r="C3463" s="646" t="s">
        <v>278</v>
      </c>
      <c r="D3463" s="646">
        <v>29.1</v>
      </c>
      <c r="E3463" s="646">
        <v>0.96</v>
      </c>
      <c r="F3463" s="645"/>
      <c r="G3463" s="644">
        <v>333.33330000000001</v>
      </c>
      <c r="H3463" s="643">
        <f>95999990.4/100000000</f>
        <v>0.95999990400000002</v>
      </c>
    </row>
    <row r="3464" spans="1:56">
      <c r="C3464" s="646"/>
      <c r="D3464" s="646">
        <v>27.5</v>
      </c>
      <c r="E3464" s="646">
        <v>1.54</v>
      </c>
      <c r="F3464" s="645"/>
      <c r="G3464" s="644"/>
      <c r="H3464" s="643"/>
    </row>
    <row r="3465" spans="1:56" ht="37" customHeight="1">
      <c r="C3465" s="1512" t="s">
        <v>3195</v>
      </c>
      <c r="D3465" s="673">
        <v>29.1</v>
      </c>
      <c r="E3465" s="673">
        <v>0.7</v>
      </c>
      <c r="F3465" s="645"/>
      <c r="G3465" s="644">
        <v>243.05549999999999</v>
      </c>
      <c r="H3465" s="643">
        <f>69999984/100000000</f>
        <v>0.69999984000000004</v>
      </c>
    </row>
    <row r="3466" spans="1:56" ht="16" customHeight="1">
      <c r="C3466" s="1512"/>
      <c r="D3466" s="673">
        <v>28.9</v>
      </c>
      <c r="E3466" s="673">
        <v>0.7</v>
      </c>
      <c r="F3466" s="645"/>
      <c r="G3466" s="644"/>
      <c r="H3466" s="643"/>
    </row>
    <row r="3467" spans="1:56" ht="16" customHeight="1">
      <c r="C3467" s="1512"/>
      <c r="D3467" s="673">
        <v>28.2</v>
      </c>
      <c r="E3467" s="672">
        <v>0.7</v>
      </c>
      <c r="F3467" s="645"/>
      <c r="G3467" s="644"/>
      <c r="H3467" s="643"/>
    </row>
    <row r="3468" spans="1:56" ht="16" customHeight="1">
      <c r="C3468" s="1512" t="s">
        <v>229</v>
      </c>
      <c r="D3468" s="670">
        <v>29.1</v>
      </c>
      <c r="E3468" s="670">
        <v>0.5</v>
      </c>
      <c r="F3468" s="645"/>
      <c r="G3468" s="644">
        <v>173.61109999999999</v>
      </c>
      <c r="H3468" s="643">
        <f>49999996.8/100000000</f>
        <v>0.49999996799999996</v>
      </c>
    </row>
    <row r="3469" spans="1:56">
      <c r="C3469" s="1512"/>
      <c r="D3469" s="670">
        <v>27.9</v>
      </c>
      <c r="E3469" s="670">
        <v>0.5</v>
      </c>
      <c r="F3469" s="645"/>
      <c r="G3469" s="644"/>
      <c r="H3469" s="643"/>
    </row>
    <row r="3470" spans="1:56">
      <c r="C3470" s="1512"/>
      <c r="D3470" s="670">
        <v>26.5</v>
      </c>
      <c r="E3470" s="670">
        <v>0.5</v>
      </c>
      <c r="F3470" s="645"/>
      <c r="G3470" s="644"/>
      <c r="H3470" s="643"/>
    </row>
    <row r="3471" spans="1:56" ht="16" customHeight="1">
      <c r="C3471" s="1512" t="s">
        <v>352</v>
      </c>
      <c r="D3471" s="670">
        <v>29.1</v>
      </c>
      <c r="E3471" s="670">
        <v>0.5</v>
      </c>
      <c r="F3471" s="645"/>
      <c r="G3471" s="644">
        <v>27.777999999999999</v>
      </c>
      <c r="H3471" s="643">
        <f>8000064/100000000</f>
        <v>8.0000639999999998E-2</v>
      </c>
    </row>
    <row r="3472" spans="1:56">
      <c r="C3472" s="1512"/>
      <c r="D3472" s="670">
        <v>29</v>
      </c>
      <c r="E3472" s="670">
        <v>0.5</v>
      </c>
      <c r="F3472" s="645"/>
      <c r="G3472" s="644"/>
      <c r="H3472" s="643"/>
    </row>
    <row r="3473" spans="1:8">
      <c r="C3473" s="1512"/>
      <c r="D3473" s="670">
        <v>28.9</v>
      </c>
      <c r="E3473" s="670">
        <v>0.5</v>
      </c>
      <c r="F3473" s="645"/>
      <c r="G3473" s="644"/>
      <c r="H3473" s="643"/>
    </row>
    <row r="3474" spans="1:8" s="119" customFormat="1" ht="20.5" customHeight="1">
      <c r="A3474" s="527"/>
      <c r="B3474" s="1438"/>
      <c r="C3474" s="671" t="s">
        <v>3194</v>
      </c>
      <c r="D3474" s="670">
        <v>28</v>
      </c>
      <c r="E3474" s="670">
        <v>1.4</v>
      </c>
      <c r="F3474" s="20"/>
      <c r="G3474" s="20"/>
      <c r="H3474" s="20"/>
    </row>
    <row r="3475" spans="1:8" s="119" customFormat="1" ht="20.25" customHeight="1">
      <c r="A3475" s="527"/>
      <c r="B3475" s="1438"/>
      <c r="C3475" s="671" t="s">
        <v>3193</v>
      </c>
      <c r="D3475" s="670">
        <v>26.4</v>
      </c>
      <c r="E3475" s="670">
        <v>0.5</v>
      </c>
      <c r="F3475" s="20"/>
      <c r="G3475" s="20"/>
      <c r="H3475" s="20"/>
    </row>
    <row r="3476" spans="1:8" s="119" customFormat="1" ht="20.5" customHeight="1">
      <c r="A3476" s="527"/>
      <c r="B3476" s="1438"/>
      <c r="C3476" s="671" t="s">
        <v>3192</v>
      </c>
      <c r="D3476" s="670">
        <v>28.1</v>
      </c>
      <c r="E3476" s="670">
        <v>1.5</v>
      </c>
      <c r="F3476" s="20"/>
      <c r="G3476" s="20"/>
      <c r="H3476" s="20"/>
    </row>
    <row r="3477" spans="1:8" s="119" customFormat="1" ht="20.5" customHeight="1">
      <c r="A3477" s="527"/>
      <c r="B3477" s="1438"/>
      <c r="C3477" s="671" t="s">
        <v>3191</v>
      </c>
      <c r="D3477" s="670">
        <v>28.2</v>
      </c>
      <c r="E3477" s="670">
        <v>0.5</v>
      </c>
      <c r="F3477" s="20"/>
      <c r="G3477" s="20"/>
      <c r="H3477" s="20"/>
    </row>
    <row r="3478" spans="1:8" s="119" customFormat="1" ht="20.25" customHeight="1">
      <c r="A3478" s="527"/>
      <c r="B3478" s="1438"/>
      <c r="C3478" s="671" t="s">
        <v>3190</v>
      </c>
      <c r="D3478" s="670">
        <v>26.7</v>
      </c>
      <c r="E3478" s="670">
        <v>0.52</v>
      </c>
      <c r="F3478" s="20"/>
      <c r="G3478" s="20"/>
      <c r="H3478" s="20"/>
    </row>
    <row r="3479" spans="1:8" s="119" customFormat="1" ht="20.5" customHeight="1">
      <c r="A3479" s="527"/>
      <c r="B3479" s="1438"/>
      <c r="C3479" s="671" t="s">
        <v>3189</v>
      </c>
      <c r="D3479" s="670">
        <v>27.3</v>
      </c>
      <c r="E3479" s="670">
        <v>0.51</v>
      </c>
      <c r="F3479" s="20"/>
      <c r="G3479" s="20"/>
      <c r="H3479" s="20"/>
    </row>
    <row r="3480" spans="1:8" s="119" customFormat="1" ht="20.25" customHeight="1">
      <c r="A3480" s="527"/>
      <c r="B3480" s="1438"/>
      <c r="C3480" s="671" t="s">
        <v>3188</v>
      </c>
      <c r="D3480" s="670">
        <v>26.6</v>
      </c>
      <c r="E3480" s="670">
        <v>0.5</v>
      </c>
      <c r="F3480" s="20"/>
      <c r="G3480" s="20"/>
      <c r="H3480" s="20"/>
    </row>
    <row r="3481" spans="1:8" s="119" customFormat="1" ht="20.5" customHeight="1">
      <c r="A3481" s="527"/>
      <c r="B3481" s="1438"/>
      <c r="C3481" s="671" t="s">
        <v>3187</v>
      </c>
      <c r="D3481" s="670">
        <v>27.6</v>
      </c>
      <c r="E3481" s="670">
        <v>0.52</v>
      </c>
      <c r="F3481" s="20"/>
      <c r="G3481" s="20"/>
      <c r="H3481" s="20"/>
    </row>
    <row r="3482" spans="1:8" s="119" customFormat="1" ht="20.5" customHeight="1">
      <c r="A3482" s="527"/>
      <c r="B3482" s="1438"/>
      <c r="C3482" s="1513" t="s">
        <v>3186</v>
      </c>
      <c r="D3482" s="670">
        <v>27.5</v>
      </c>
      <c r="E3482" s="670">
        <v>0.5</v>
      </c>
      <c r="F3482" s="20"/>
      <c r="G3482" s="20"/>
      <c r="H3482" s="20"/>
    </row>
    <row r="3483" spans="1:8">
      <c r="C3483" s="1513"/>
      <c r="D3483" s="670">
        <v>26.7</v>
      </c>
      <c r="E3483" s="670">
        <v>0.97</v>
      </c>
      <c r="F3483" s="20"/>
      <c r="G3483" s="644"/>
      <c r="H3483" s="643"/>
    </row>
    <row r="3484" spans="1:8">
      <c r="C3484" s="1513"/>
      <c r="D3484" s="670">
        <v>26.3</v>
      </c>
      <c r="E3484" s="670">
        <v>1.03</v>
      </c>
      <c r="F3484" s="20"/>
      <c r="G3484" s="645"/>
      <c r="H3484" s="645"/>
    </row>
    <row r="3485" spans="1:8" s="119" customFormat="1" ht="20.25" customHeight="1">
      <c r="A3485" s="527"/>
      <c r="B3485" s="1438"/>
      <c r="C3485" s="671" t="s">
        <v>3185</v>
      </c>
      <c r="D3485" s="670">
        <v>26.3</v>
      </c>
      <c r="E3485" s="670">
        <v>0.51</v>
      </c>
      <c r="F3485" s="20"/>
      <c r="G3485" s="20"/>
      <c r="H3485" s="20"/>
    </row>
    <row r="3486" spans="1:8" s="119" customFormat="1" ht="20.5" customHeight="1">
      <c r="A3486" s="527"/>
      <c r="B3486" s="1438"/>
      <c r="C3486" s="671" t="s">
        <v>3184</v>
      </c>
      <c r="D3486" s="670">
        <v>28.2</v>
      </c>
      <c r="E3486" s="670">
        <v>0.53</v>
      </c>
      <c r="F3486" s="20"/>
      <c r="G3486" s="20"/>
      <c r="H3486" s="20"/>
    </row>
    <row r="3487" spans="1:8" s="119" customFormat="1" ht="20.25" customHeight="1">
      <c r="A3487" s="1511"/>
      <c r="B3487" s="1438"/>
      <c r="C3487" s="671" t="s">
        <v>3183</v>
      </c>
      <c r="D3487" s="670">
        <v>27.7</v>
      </c>
      <c r="E3487" s="670">
        <v>0.5</v>
      </c>
      <c r="F3487" s="20"/>
      <c r="G3487" s="20"/>
      <c r="H3487" s="20"/>
    </row>
    <row r="3488" spans="1:8" s="119" customFormat="1" ht="20.5" customHeight="1">
      <c r="A3488" s="1511"/>
      <c r="B3488" s="1438"/>
      <c r="C3488" s="671"/>
      <c r="D3488" s="670">
        <v>26.8</v>
      </c>
      <c r="E3488" s="670">
        <v>1</v>
      </c>
      <c r="F3488" s="20"/>
      <c r="G3488" s="20"/>
      <c r="H3488" s="20"/>
    </row>
    <row r="3489" spans="1:56" s="119" customFormat="1" ht="20.5" customHeight="1">
      <c r="A3489" s="1511"/>
      <c r="B3489" s="1438"/>
      <c r="C3489" s="671" t="s">
        <v>3182</v>
      </c>
      <c r="D3489" s="670">
        <v>28.7</v>
      </c>
      <c r="E3489" s="670">
        <v>0.5</v>
      </c>
      <c r="F3489" s="20"/>
      <c r="G3489" s="20"/>
      <c r="H3489" s="20"/>
    </row>
    <row r="3490" spans="1:56" s="119" customFormat="1" ht="20.25" customHeight="1">
      <c r="A3490" s="1511"/>
      <c r="B3490" s="1438"/>
      <c r="C3490" s="671"/>
      <c r="D3490" s="670">
        <v>28</v>
      </c>
      <c r="E3490" s="670">
        <v>0.5</v>
      </c>
      <c r="F3490" s="20"/>
      <c r="G3490" s="20"/>
      <c r="H3490" s="20"/>
    </row>
    <row r="3491" spans="1:56" s="119" customFormat="1" ht="20.5" customHeight="1">
      <c r="A3491" s="1511"/>
      <c r="B3491" s="1438"/>
      <c r="C3491" s="671"/>
      <c r="D3491" s="670">
        <v>27.7</v>
      </c>
      <c r="E3491" s="670">
        <v>0.5</v>
      </c>
      <c r="F3491" s="20"/>
      <c r="G3491" s="20"/>
      <c r="H3491" s="20"/>
    </row>
    <row r="3492" spans="1:56" s="119" customFormat="1" ht="20.25" customHeight="1">
      <c r="A3492" s="527"/>
      <c r="B3492" s="1438"/>
      <c r="C3492" s="671" t="s">
        <v>3181</v>
      </c>
      <c r="D3492" s="670">
        <v>26.28</v>
      </c>
      <c r="E3492" s="670">
        <v>0.7</v>
      </c>
      <c r="F3492" s="20"/>
      <c r="G3492" s="20"/>
      <c r="H3492" s="20"/>
    </row>
    <row r="3493" spans="1:56" s="119" customFormat="1" ht="20.5" customHeight="1">
      <c r="A3493" s="527"/>
      <c r="B3493" s="1438"/>
      <c r="C3493" s="671" t="s">
        <v>3180</v>
      </c>
      <c r="D3493" s="670">
        <v>28.3</v>
      </c>
      <c r="E3493" s="670">
        <v>0.5</v>
      </c>
      <c r="F3493" s="20"/>
      <c r="G3493" s="20"/>
      <c r="H3493" s="20"/>
    </row>
    <row r="3494" spans="1:56" s="119" customFormat="1" ht="20.75" customHeight="1">
      <c r="A3494" s="527"/>
      <c r="B3494" s="1438"/>
      <c r="C3494" s="671" t="s">
        <v>3179</v>
      </c>
      <c r="D3494" s="670">
        <v>28.3</v>
      </c>
      <c r="E3494" s="670">
        <v>0.5</v>
      </c>
      <c r="F3494" s="20"/>
      <c r="G3494" s="20"/>
      <c r="H3494" s="20"/>
    </row>
    <row r="3495" spans="1:56" ht="15" customHeight="1">
      <c r="D3495" s="669"/>
      <c r="E3495" s="526"/>
    </row>
    <row r="3496" spans="1:56" s="663" customFormat="1" ht="15" customHeight="1">
      <c r="A3496" s="663" t="s">
        <v>2861</v>
      </c>
      <c r="B3496" s="665" t="s">
        <v>2036</v>
      </c>
      <c r="C3496" s="667" t="s">
        <v>126</v>
      </c>
      <c r="D3496" s="667" t="s">
        <v>1583</v>
      </c>
      <c r="E3496" s="667" t="s">
        <v>4</v>
      </c>
      <c r="F3496" s="667" t="s">
        <v>2860</v>
      </c>
      <c r="G3496" s="667" t="s">
        <v>2859</v>
      </c>
      <c r="H3496" s="667" t="s">
        <v>2858</v>
      </c>
      <c r="I3496" s="667" t="s">
        <v>751</v>
      </c>
      <c r="J3496" s="665" t="s">
        <v>274</v>
      </c>
      <c r="K3496" s="665" t="s">
        <v>273</v>
      </c>
      <c r="L3496" s="665" t="s">
        <v>116</v>
      </c>
      <c r="M3496" s="665" t="s">
        <v>110</v>
      </c>
      <c r="N3496" s="665" t="s">
        <v>276</v>
      </c>
      <c r="O3496" s="667" t="s">
        <v>1311</v>
      </c>
      <c r="P3496" s="665" t="s">
        <v>275</v>
      </c>
      <c r="Q3496" s="668" t="s">
        <v>111</v>
      </c>
      <c r="R3496" s="665" t="s">
        <v>2857</v>
      </c>
      <c r="S3496" s="665" t="s">
        <v>747</v>
      </c>
      <c r="T3496" s="667" t="s">
        <v>12</v>
      </c>
      <c r="U3496" s="666" t="s">
        <v>948</v>
      </c>
      <c r="V3496" s="665" t="s">
        <v>129</v>
      </c>
      <c r="W3496" s="665" t="s">
        <v>220</v>
      </c>
      <c r="X3496" s="665" t="s">
        <v>749</v>
      </c>
      <c r="Y3496" s="665" t="s">
        <v>750</v>
      </c>
      <c r="Z3496" s="665" t="s">
        <v>748</v>
      </c>
      <c r="BB3496" s="664"/>
      <c r="BD3496" s="664"/>
    </row>
    <row r="3497" spans="1:56" ht="15" customHeight="1">
      <c r="A3497" s="642" t="s">
        <v>2078</v>
      </c>
      <c r="B3497" s="1436">
        <v>202</v>
      </c>
      <c r="C3497" s="1437" t="s">
        <v>2077</v>
      </c>
      <c r="D3497" s="662" t="s">
        <v>2076</v>
      </c>
      <c r="E3497" s="662" t="s">
        <v>2075</v>
      </c>
      <c r="F3497" s="661">
        <v>5.07</v>
      </c>
      <c r="G3497" s="660">
        <v>5.07</v>
      </c>
      <c r="H3497" s="659">
        <f>L3497*R3497</f>
        <v>46.3</v>
      </c>
      <c r="I3497" s="656">
        <f>F3497/H3497</f>
        <v>0.10950323974082074</v>
      </c>
      <c r="J3497" s="658" t="s">
        <v>2867</v>
      </c>
      <c r="K3497" s="645" t="s">
        <v>2074</v>
      </c>
      <c r="L3497" s="645">
        <v>46.3</v>
      </c>
      <c r="M3497" s="645">
        <v>27.69</v>
      </c>
      <c r="N3497" s="657">
        <f>M3497/L3497</f>
        <v>0.59805615550755942</v>
      </c>
      <c r="O3497" s="656">
        <v>42.55</v>
      </c>
      <c r="P3497" s="653">
        <f>O3497/L3497</f>
        <v>0.91900647948164149</v>
      </c>
      <c r="Q3497" s="655">
        <v>8</v>
      </c>
      <c r="R3497" s="645">
        <v>1</v>
      </c>
      <c r="S3497" s="645" t="s">
        <v>2073</v>
      </c>
      <c r="T3497" s="654">
        <v>42999</v>
      </c>
      <c r="U3497" s="645">
        <v>29.56</v>
      </c>
      <c r="V3497" s="653">
        <f>((U3497*(1+X3497/10)+Y3497/10)/O3497)</f>
        <v>1.391774383078731</v>
      </c>
      <c r="W3497" s="645" t="s">
        <v>891</v>
      </c>
      <c r="X3497" s="645">
        <v>10</v>
      </c>
      <c r="Y3497" s="645">
        <v>1</v>
      </c>
      <c r="Z3497" s="652" t="s">
        <v>2072</v>
      </c>
      <c r="BB3497" s="651"/>
      <c r="BD3497" s="650"/>
    </row>
    <row r="3498" spans="1:56">
      <c r="C3498" s="648" t="s">
        <v>112</v>
      </c>
      <c r="D3498" s="648" t="s">
        <v>113</v>
      </c>
      <c r="E3498" s="648" t="s">
        <v>943</v>
      </c>
      <c r="F3498" s="649" t="s">
        <v>411</v>
      </c>
      <c r="G3498" s="649" t="s">
        <v>942</v>
      </c>
      <c r="H3498" s="648" t="s">
        <v>231</v>
      </c>
    </row>
    <row r="3499" spans="1:56" ht="15" customHeight="1">
      <c r="C3499" s="1512" t="s">
        <v>131</v>
      </c>
      <c r="D3499" s="647">
        <v>30.02</v>
      </c>
      <c r="E3499" s="643">
        <f>216999870.2/100000000</f>
        <v>2.169998702</v>
      </c>
      <c r="F3499" s="645"/>
      <c r="G3499" s="645"/>
      <c r="H3499" s="645"/>
    </row>
    <row r="3500" spans="1:56">
      <c r="C3500" s="1512"/>
      <c r="D3500" s="647">
        <v>27.72</v>
      </c>
      <c r="E3500" s="643">
        <f>266499802.8/100000000</f>
        <v>2.6649980280000003</v>
      </c>
      <c r="F3500" s="645"/>
      <c r="G3500" s="645"/>
      <c r="H3500" s="645"/>
    </row>
    <row r="3501" spans="1:56">
      <c r="C3501" s="646" t="s">
        <v>955</v>
      </c>
      <c r="D3501" s="647">
        <v>40.01</v>
      </c>
      <c r="E3501" s="643">
        <f>51000026.82/100000000</f>
        <v>0.5100002682</v>
      </c>
      <c r="F3501" s="645"/>
      <c r="G3501" s="645"/>
      <c r="H3501" s="645"/>
    </row>
    <row r="3502" spans="1:56" ht="15" customHeight="1">
      <c r="C3502" s="646" t="s">
        <v>8</v>
      </c>
      <c r="D3502" s="647">
        <v>32</v>
      </c>
      <c r="E3502" s="643">
        <f>51200000/100000000</f>
        <v>0.51200000000000001</v>
      </c>
      <c r="F3502" s="645"/>
      <c r="G3502" s="645"/>
      <c r="H3502" s="645"/>
    </row>
    <row r="3503" spans="1:56" ht="15" customHeight="1">
      <c r="C3503" s="1512" t="s">
        <v>2866</v>
      </c>
      <c r="D3503" s="647">
        <v>46</v>
      </c>
      <c r="E3503" s="643">
        <f>51000016/100000000</f>
        <v>0.51000016000000004</v>
      </c>
      <c r="F3503" s="645"/>
      <c r="G3503" s="644">
        <f>1198590/10000</f>
        <v>119.85899999999999</v>
      </c>
      <c r="H3503" s="643">
        <f>51000004.5/100000000</f>
        <v>0.51000004499999996</v>
      </c>
    </row>
    <row r="3504" spans="1:56" ht="15" customHeight="1">
      <c r="C3504" s="1512"/>
      <c r="D3504" s="647">
        <v>41</v>
      </c>
      <c r="E3504" s="643">
        <f>102000005/100000000</f>
        <v>1.0200000499999999</v>
      </c>
      <c r="F3504" s="645"/>
      <c r="G3504" s="645"/>
      <c r="H3504" s="645"/>
    </row>
    <row r="3505" spans="3:8">
      <c r="C3505" s="646" t="s">
        <v>127</v>
      </c>
      <c r="D3505" s="647">
        <v>42.55</v>
      </c>
      <c r="E3505" s="643">
        <f>189985750/100000000</f>
        <v>1.8998575</v>
      </c>
      <c r="F3505" s="645"/>
      <c r="G3505" s="644">
        <f>1116184/10000</f>
        <v>111.61839999999999</v>
      </c>
      <c r="H3505" s="643">
        <f>47493629.2/100000000</f>
        <v>0.47493629200000004</v>
      </c>
    </row>
    <row r="3506" spans="3:8">
      <c r="C3506" s="1512" t="s">
        <v>351</v>
      </c>
      <c r="D3506" s="647">
        <v>37.72</v>
      </c>
      <c r="E3506" s="643">
        <f>51001212/100000000</f>
        <v>0.51001211999999996</v>
      </c>
      <c r="F3506" s="645"/>
      <c r="G3506" s="645"/>
      <c r="H3506" s="645"/>
    </row>
    <row r="3507" spans="3:8">
      <c r="C3507" s="1512"/>
      <c r="D3507" s="647">
        <v>34.5</v>
      </c>
      <c r="E3507" s="643">
        <f>60002400/100000000</f>
        <v>0.600024</v>
      </c>
      <c r="F3507" s="645"/>
      <c r="G3507" s="645"/>
      <c r="H3507" s="645"/>
    </row>
    <row r="3508" spans="3:8">
      <c r="C3508" s="1512"/>
      <c r="D3508" s="647">
        <v>27.69</v>
      </c>
      <c r="E3508" s="643">
        <f>70000320/100000000</f>
        <v>0.70000320000000005</v>
      </c>
      <c r="F3508" s="645"/>
      <c r="G3508" s="645"/>
      <c r="H3508" s="645"/>
    </row>
    <row r="3509" spans="3:8">
      <c r="C3509" s="646" t="s">
        <v>1165</v>
      </c>
      <c r="D3509" s="647">
        <v>33.5</v>
      </c>
      <c r="E3509" s="643">
        <f>51020500/100000000</f>
        <v>0.51020500000000002</v>
      </c>
      <c r="F3509" s="645"/>
      <c r="G3509" s="645"/>
      <c r="H3509" s="645"/>
    </row>
    <row r="3510" spans="3:8">
      <c r="C3510" s="646" t="s">
        <v>121</v>
      </c>
      <c r="D3510" s="647">
        <v>33.01</v>
      </c>
      <c r="E3510" s="643">
        <f>120000031.63/100000000</f>
        <v>1.2000003162999999</v>
      </c>
      <c r="F3510" s="645"/>
      <c r="G3510" s="645"/>
      <c r="H3510" s="645"/>
    </row>
    <row r="3511" spans="3:8">
      <c r="C3511" s="1512" t="s">
        <v>3178</v>
      </c>
      <c r="D3511" s="647">
        <v>40</v>
      </c>
      <c r="E3511" s="643">
        <f>51000000/100000000</f>
        <v>0.51</v>
      </c>
      <c r="F3511" s="645"/>
      <c r="G3511" s="645"/>
      <c r="H3511" s="645"/>
    </row>
    <row r="3512" spans="3:8">
      <c r="C3512" s="1512"/>
      <c r="D3512" s="647">
        <v>38</v>
      </c>
      <c r="E3512" s="643">
        <f>51000028/100000000</f>
        <v>0.51000027999999997</v>
      </c>
      <c r="F3512" s="645"/>
      <c r="G3512" s="645"/>
      <c r="H3512" s="645"/>
    </row>
    <row r="3513" spans="3:8">
      <c r="C3513" s="1512"/>
      <c r="D3513" s="647">
        <v>37</v>
      </c>
      <c r="E3513" s="643">
        <f>51000023/100000000</f>
        <v>0.51000023000000005</v>
      </c>
      <c r="F3513" s="645"/>
      <c r="G3513" s="645"/>
      <c r="H3513" s="645"/>
    </row>
    <row r="3514" spans="3:8">
      <c r="C3514" s="1512" t="s">
        <v>173</v>
      </c>
      <c r="D3514" s="647">
        <v>44.21</v>
      </c>
      <c r="E3514" s="643">
        <f>52963580/100000000</f>
        <v>0.52963579999999999</v>
      </c>
      <c r="F3514" s="645"/>
      <c r="G3514" s="644">
        <f>2374420/10000</f>
        <v>237.44200000000001</v>
      </c>
      <c r="H3514" s="643">
        <f>101031571/100000000</f>
        <v>1.01031571</v>
      </c>
    </row>
    <row r="3515" spans="3:8">
      <c r="C3515" s="1512"/>
      <c r="D3515" s="647">
        <v>42.81</v>
      </c>
      <c r="E3515" s="643">
        <f>101031600/100000000</f>
        <v>1.010316</v>
      </c>
      <c r="F3515" s="645"/>
      <c r="G3515" s="645"/>
      <c r="H3515" s="645"/>
    </row>
    <row r="3516" spans="3:8">
      <c r="C3516" s="1512"/>
      <c r="D3516" s="647">
        <v>41.86</v>
      </c>
      <c r="E3516" s="643">
        <f>163002840/100000000</f>
        <v>1.6300284</v>
      </c>
      <c r="F3516" s="645"/>
      <c r="G3516" s="645"/>
      <c r="H3516" s="645"/>
    </row>
    <row r="3517" spans="3:8">
      <c r="C3517" s="646" t="s">
        <v>148</v>
      </c>
      <c r="D3517" s="647">
        <v>37.5</v>
      </c>
      <c r="E3517" s="643">
        <f>51750000/100000000</f>
        <v>0.51749999999999996</v>
      </c>
      <c r="F3517" s="645"/>
      <c r="G3517" s="645"/>
      <c r="H3517" s="645"/>
    </row>
    <row r="3518" spans="3:8" ht="15" customHeight="1">
      <c r="C3518" s="1512" t="s">
        <v>2865</v>
      </c>
      <c r="D3518" s="647">
        <v>38</v>
      </c>
      <c r="E3518" s="643">
        <f>51000028/100000000</f>
        <v>0.51000027999999997</v>
      </c>
      <c r="F3518" s="645"/>
      <c r="G3518" s="645"/>
      <c r="H3518" s="645"/>
    </row>
    <row r="3519" spans="3:8">
      <c r="C3519" s="1512"/>
      <c r="D3519" s="647">
        <v>40</v>
      </c>
      <c r="E3519" s="643">
        <f>51000000/100000000</f>
        <v>0.51</v>
      </c>
      <c r="F3519" s="645"/>
      <c r="G3519" s="645"/>
      <c r="H3519" s="645"/>
    </row>
    <row r="3520" spans="3:8">
      <c r="C3520" s="1512"/>
      <c r="D3520" s="647">
        <v>42</v>
      </c>
      <c r="E3520" s="643">
        <f>51000012/100000000</f>
        <v>0.51000011999999995</v>
      </c>
      <c r="F3520" s="645"/>
      <c r="G3520" s="645"/>
      <c r="H3520" s="645"/>
    </row>
    <row r="3521" spans="3:8">
      <c r="C3521" s="1512" t="s">
        <v>1668</v>
      </c>
      <c r="D3521" s="647">
        <v>42.27</v>
      </c>
      <c r="E3521" s="643">
        <f>51000023.1/100000000</f>
        <v>0.51000023100000003</v>
      </c>
      <c r="F3521" s="645"/>
      <c r="G3521" s="645"/>
      <c r="H3521" s="645"/>
    </row>
    <row r="3522" spans="3:8">
      <c r="C3522" s="1512"/>
      <c r="D3522" s="647">
        <v>38.43</v>
      </c>
      <c r="E3522" s="643">
        <f>80000000.01/100000000</f>
        <v>0.80000000010000005</v>
      </c>
      <c r="F3522" s="645"/>
      <c r="G3522" s="645"/>
      <c r="H3522" s="645"/>
    </row>
    <row r="3523" spans="3:8">
      <c r="C3523" s="1512"/>
      <c r="D3523" s="647">
        <v>33.42</v>
      </c>
      <c r="E3523" s="643">
        <f>99899999.76/100000000</f>
        <v>0.99899999760000002</v>
      </c>
      <c r="F3523" s="645"/>
      <c r="G3523" s="645"/>
      <c r="H3523" s="645"/>
    </row>
    <row r="3524" spans="3:8">
      <c r="C3524" s="1512" t="s">
        <v>115</v>
      </c>
      <c r="D3524" s="647">
        <v>42.75</v>
      </c>
      <c r="E3524" s="643">
        <f>52999569/100000000</f>
        <v>0.52999569000000002</v>
      </c>
      <c r="F3524" s="645"/>
      <c r="G3524" s="644">
        <f>1245583/10000</f>
        <v>124.5583</v>
      </c>
      <c r="H3524" s="643">
        <f>52999556.65/100000000</f>
        <v>0.52999556650000001</v>
      </c>
    </row>
    <row r="3525" spans="3:8">
      <c r="C3525" s="1512"/>
      <c r="D3525" s="647">
        <v>37.5</v>
      </c>
      <c r="E3525" s="643">
        <f>348499200/100000000</f>
        <v>3.4849920000000001</v>
      </c>
      <c r="F3525" s="645"/>
      <c r="G3525" s="645"/>
      <c r="H3525" s="645"/>
    </row>
    <row r="3526" spans="3:8">
      <c r="C3526" s="1512"/>
      <c r="D3526" s="647">
        <v>32.5</v>
      </c>
      <c r="E3526" s="643">
        <f>455838695/100000000</f>
        <v>4.55838695</v>
      </c>
      <c r="F3526" s="645"/>
      <c r="G3526" s="645"/>
      <c r="H3526" s="645"/>
    </row>
    <row r="3527" spans="3:8">
      <c r="C3527" s="646" t="s">
        <v>1164</v>
      </c>
      <c r="D3527" s="647">
        <v>37.25</v>
      </c>
      <c r="E3527" s="643">
        <f>100575000/100000000</f>
        <v>1.0057499999999999</v>
      </c>
      <c r="F3527" s="645"/>
      <c r="G3527" s="644">
        <f>1198712/10000</f>
        <v>119.8712</v>
      </c>
      <c r="H3527" s="643">
        <f>51005195.6/100000000</f>
        <v>0.51005195599999997</v>
      </c>
    </row>
    <row r="3528" spans="3:8">
      <c r="C3528" s="1512" t="s">
        <v>2864</v>
      </c>
      <c r="D3528" s="647">
        <v>42.05</v>
      </c>
      <c r="E3528" s="643">
        <f>51999871/100000000</f>
        <v>0.51999870999999998</v>
      </c>
      <c r="F3528" s="645"/>
      <c r="G3528" s="645"/>
      <c r="H3528" s="645"/>
    </row>
    <row r="3529" spans="3:8">
      <c r="C3529" s="1512"/>
      <c r="D3529" s="647">
        <v>40.47</v>
      </c>
      <c r="E3529" s="643">
        <f>81999909.3/100000000</f>
        <v>0.81999909299999996</v>
      </c>
      <c r="F3529" s="645"/>
      <c r="G3529" s="645"/>
      <c r="H3529" s="645"/>
    </row>
    <row r="3530" spans="3:8">
      <c r="C3530" s="646" t="s">
        <v>1579</v>
      </c>
      <c r="D3530" s="647">
        <v>43.97</v>
      </c>
      <c r="E3530" s="643">
        <f>51005200/100000000</f>
        <v>0.51005199999999995</v>
      </c>
      <c r="F3530" s="645"/>
      <c r="G3530" s="645">
        <v>119.8</v>
      </c>
      <c r="H3530" s="645">
        <v>0.51</v>
      </c>
    </row>
    <row r="3531" spans="3:8">
      <c r="C3531" s="646" t="s">
        <v>2863</v>
      </c>
      <c r="D3531" s="647">
        <v>46.3</v>
      </c>
      <c r="E3531" s="643">
        <f>101860000/100000000</f>
        <v>1.0185999999999999</v>
      </c>
      <c r="F3531" s="645"/>
      <c r="G3531" s="644">
        <f>2393889/10000</f>
        <v>239.38890000000001</v>
      </c>
      <c r="H3531" s="643">
        <f>101859976.95/100000000</f>
        <v>1.0185997695</v>
      </c>
    </row>
    <row r="3532" spans="3:8">
      <c r="C3532" s="1512" t="s">
        <v>229</v>
      </c>
      <c r="D3532" s="647">
        <v>44.66</v>
      </c>
      <c r="E3532" s="643">
        <f>51000067.58/100000000</f>
        <v>0.51000067579999997</v>
      </c>
      <c r="F3532" s="645"/>
      <c r="G3532" s="644">
        <f>1198591/10000</f>
        <v>119.8591</v>
      </c>
      <c r="H3532" s="643">
        <f>51000047.05/100000000</f>
        <v>0.51000047049999997</v>
      </c>
    </row>
    <row r="3533" spans="3:8">
      <c r="C3533" s="1512"/>
      <c r="D3533" s="647">
        <v>43.73</v>
      </c>
      <c r="E3533" s="643">
        <f>51000068.77/100000000</f>
        <v>0.51000068770000007</v>
      </c>
      <c r="F3533" s="645"/>
      <c r="G3533" s="645"/>
      <c r="H3533" s="645"/>
    </row>
    <row r="3534" spans="3:8">
      <c r="C3534" s="1512"/>
      <c r="D3534" s="647">
        <v>42.8</v>
      </c>
      <c r="E3534" s="643">
        <f>51000052/100000000</f>
        <v>0.51000051999999996</v>
      </c>
      <c r="F3534" s="645"/>
      <c r="G3534" s="645"/>
      <c r="H3534" s="645"/>
    </row>
    <row r="3535" spans="3:8">
      <c r="C3535" s="1512" t="s">
        <v>1947</v>
      </c>
      <c r="D3535" s="647">
        <v>36</v>
      </c>
      <c r="E3535" s="643">
        <f>51480000/100000000</f>
        <v>0.51480000000000004</v>
      </c>
      <c r="F3535" s="645"/>
      <c r="G3535" s="645"/>
      <c r="H3535" s="645"/>
    </row>
    <row r="3536" spans="3:8">
      <c r="C3536" s="1512"/>
      <c r="D3536" s="647">
        <v>35</v>
      </c>
      <c r="E3536" s="643">
        <f>52500000/100000000</f>
        <v>0.52500000000000002</v>
      </c>
      <c r="F3536" s="645"/>
      <c r="G3536" s="645"/>
      <c r="H3536" s="645"/>
    </row>
    <row r="3537" spans="3:8">
      <c r="C3537" s="1512"/>
      <c r="D3537" s="647">
        <v>34</v>
      </c>
      <c r="E3537" s="643">
        <f>51680000/100000000</f>
        <v>0.51680000000000004</v>
      </c>
      <c r="F3537" s="645"/>
      <c r="G3537" s="645"/>
      <c r="H3537" s="645"/>
    </row>
    <row r="3538" spans="3:8">
      <c r="C3538" s="1512" t="s">
        <v>146</v>
      </c>
      <c r="D3538" s="647">
        <v>41.8</v>
      </c>
      <c r="E3538" s="643">
        <f>69999952/100000000</f>
        <v>0.69999951999999999</v>
      </c>
      <c r="F3538" s="645"/>
      <c r="G3538" s="645"/>
      <c r="H3538" s="645"/>
    </row>
    <row r="3539" spans="3:8">
      <c r="C3539" s="1512"/>
      <c r="D3539" s="647">
        <v>36.049999999999997</v>
      </c>
      <c r="E3539" s="643">
        <f>89999978.6/100000000</f>
        <v>0.89999978599999997</v>
      </c>
      <c r="F3539" s="645"/>
      <c r="G3539" s="645"/>
      <c r="H3539" s="645"/>
    </row>
    <row r="3540" spans="3:8">
      <c r="C3540" s="1512"/>
      <c r="D3540" s="647">
        <v>33.89</v>
      </c>
      <c r="E3540" s="643">
        <f>109999958.66/100000000</f>
        <v>1.0999995865999999</v>
      </c>
      <c r="F3540" s="645"/>
      <c r="G3540" s="645"/>
      <c r="H3540" s="645"/>
    </row>
    <row r="3541" spans="3:8">
      <c r="C3541" s="646" t="s">
        <v>1246</v>
      </c>
      <c r="D3541" s="647">
        <v>36.1</v>
      </c>
      <c r="E3541" s="643">
        <f>51262000/100000000</f>
        <v>0.51261999999999996</v>
      </c>
      <c r="F3541" s="645"/>
      <c r="G3541" s="645"/>
      <c r="H3541" s="645"/>
    </row>
    <row r="3542" spans="3:8">
      <c r="C3542" s="646" t="s">
        <v>336</v>
      </c>
      <c r="D3542" s="647">
        <v>31</v>
      </c>
      <c r="E3542" s="643">
        <f>56000012/100000000</f>
        <v>0.56000011999999999</v>
      </c>
      <c r="F3542" s="645"/>
      <c r="G3542" s="645"/>
      <c r="H3542" s="645"/>
    </row>
    <row r="3543" spans="3:8">
      <c r="C3543" s="1512" t="s">
        <v>2862</v>
      </c>
      <c r="D3543" s="647">
        <v>36.89</v>
      </c>
      <c r="E3543" s="643">
        <f>51646000/100000000</f>
        <v>0.51646000000000003</v>
      </c>
      <c r="F3543" s="645"/>
      <c r="G3543" s="645"/>
      <c r="H3543" s="645"/>
    </row>
    <row r="3544" spans="3:8">
      <c r="C3544" s="1512"/>
      <c r="D3544" s="647">
        <v>35.090000000000003</v>
      </c>
      <c r="E3544" s="643">
        <f>52635000/100000000</f>
        <v>0.52634999999999998</v>
      </c>
      <c r="F3544" s="645"/>
      <c r="G3544" s="645"/>
      <c r="H3544" s="645"/>
    </row>
    <row r="3545" spans="3:8">
      <c r="C3545" s="1512"/>
      <c r="D3545" s="647">
        <v>32.090000000000003</v>
      </c>
      <c r="E3545" s="643">
        <f>64180000/100000000</f>
        <v>0.64180000000000004</v>
      </c>
      <c r="F3545" s="645"/>
      <c r="G3545" s="645"/>
      <c r="H3545" s="645"/>
    </row>
    <row r="3546" spans="3:8">
      <c r="C3546" s="646" t="s">
        <v>953</v>
      </c>
      <c r="D3546" s="647">
        <v>33.33</v>
      </c>
      <c r="E3546" s="643">
        <f>99990000/100000000</f>
        <v>0.99990000000000001</v>
      </c>
      <c r="F3546" s="645"/>
      <c r="G3546" s="645"/>
      <c r="H3546" s="645"/>
    </row>
    <row r="3547" spans="3:8">
      <c r="C3547" s="646" t="s">
        <v>526</v>
      </c>
      <c r="D3547" s="647">
        <v>36.049999999999997</v>
      </c>
      <c r="E3547" s="643">
        <f>151410000/100000000</f>
        <v>1.5141</v>
      </c>
      <c r="F3547" s="645"/>
      <c r="G3547" s="645"/>
      <c r="H3547" s="645"/>
    </row>
    <row r="3548" spans="3:8">
      <c r="C3548" s="1512" t="s">
        <v>147</v>
      </c>
      <c r="D3548" s="647">
        <v>40.5</v>
      </c>
      <c r="E3548" s="643">
        <f>60475207.5/100000000</f>
        <v>0.60475207499999994</v>
      </c>
      <c r="F3548" s="645"/>
      <c r="G3548" s="645"/>
      <c r="H3548" s="645"/>
    </row>
    <row r="3549" spans="3:8">
      <c r="C3549" s="1512"/>
      <c r="D3549" s="647">
        <v>36.700000000000003</v>
      </c>
      <c r="E3549" s="643">
        <f>64277811.3/100000000</f>
        <v>0.64277811299999998</v>
      </c>
      <c r="F3549" s="645"/>
      <c r="G3549" s="645"/>
      <c r="H3549" s="645"/>
    </row>
    <row r="3550" spans="3:8">
      <c r="C3550" s="1512"/>
      <c r="D3550" s="647">
        <v>30.42</v>
      </c>
      <c r="E3550" s="643">
        <f>109594803.24/100000000</f>
        <v>1.0959480323999999</v>
      </c>
      <c r="F3550" s="645"/>
      <c r="G3550" s="645"/>
      <c r="H3550" s="645"/>
    </row>
    <row r="3551" spans="3:8">
      <c r="C3551" s="646" t="s">
        <v>3177</v>
      </c>
      <c r="D3551" s="645"/>
      <c r="E3551" s="645"/>
      <c r="F3551" s="645"/>
      <c r="G3551" s="644">
        <v>119.17740000000001</v>
      </c>
      <c r="H3551" s="643">
        <v>0.50709983000000003</v>
      </c>
    </row>
  </sheetData>
  <mergeCells count="676">
    <mergeCell ref="D7:E7"/>
    <mergeCell ref="F7:G7"/>
    <mergeCell ref="C20:C22"/>
    <mergeCell ref="C26:C28"/>
    <mergeCell ref="C30:C31"/>
    <mergeCell ref="C32:C33"/>
    <mergeCell ref="C34:C35"/>
    <mergeCell ref="C41:C42"/>
    <mergeCell ref="C45:C47"/>
    <mergeCell ref="C55:C56"/>
    <mergeCell ref="C57:C59"/>
    <mergeCell ref="C106:C108"/>
    <mergeCell ref="C110:C112"/>
    <mergeCell ref="C115:C117"/>
    <mergeCell ref="C119:C121"/>
    <mergeCell ref="C123:C124"/>
    <mergeCell ref="C125:C126"/>
    <mergeCell ref="C130:C131"/>
    <mergeCell ref="C146:C148"/>
    <mergeCell ref="D153:E153"/>
    <mergeCell ref="F153:G153"/>
    <mergeCell ref="D156:E156"/>
    <mergeCell ref="F156:G156"/>
    <mergeCell ref="C168:C169"/>
    <mergeCell ref="C170:C172"/>
    <mergeCell ref="C174:C175"/>
    <mergeCell ref="D176:E176"/>
    <mergeCell ref="F176:G176"/>
    <mergeCell ref="C185:C187"/>
    <mergeCell ref="D188:E188"/>
    <mergeCell ref="F188:G188"/>
    <mergeCell ref="C196:C198"/>
    <mergeCell ref="C201:C203"/>
    <mergeCell ref="C243:C245"/>
    <mergeCell ref="C246:C248"/>
    <mergeCell ref="C250:C251"/>
    <mergeCell ref="C252:C253"/>
    <mergeCell ref="C255:C257"/>
    <mergeCell ref="C258:C260"/>
    <mergeCell ref="C264:C266"/>
    <mergeCell ref="C267:C268"/>
    <mergeCell ref="C269:C271"/>
    <mergeCell ref="C274:C275"/>
    <mergeCell ref="C279:C281"/>
    <mergeCell ref="C284:C285"/>
    <mergeCell ref="C286:C288"/>
    <mergeCell ref="C289:C291"/>
    <mergeCell ref="C292:C294"/>
    <mergeCell ref="C295:C297"/>
    <mergeCell ref="C298:C300"/>
    <mergeCell ref="C301:C302"/>
    <mergeCell ref="C304:C305"/>
    <mergeCell ref="C309:C310"/>
    <mergeCell ref="C313:C314"/>
    <mergeCell ref="F313:F314"/>
    <mergeCell ref="C315:C317"/>
    <mergeCell ref="F315:F317"/>
    <mergeCell ref="C318:C319"/>
    <mergeCell ref="F318:F319"/>
    <mergeCell ref="C323:C324"/>
    <mergeCell ref="F323:F324"/>
    <mergeCell ref="C325:C326"/>
    <mergeCell ref="F325:F326"/>
    <mergeCell ref="C329:C330"/>
    <mergeCell ref="F329:F330"/>
    <mergeCell ref="D342:D344"/>
    <mergeCell ref="E342:E344"/>
    <mergeCell ref="D345:D349"/>
    <mergeCell ref="E345:E349"/>
    <mergeCell ref="C354:C355"/>
    <mergeCell ref="C361:C363"/>
    <mergeCell ref="C364:C366"/>
    <mergeCell ref="C384:C386"/>
    <mergeCell ref="G384:G386"/>
    <mergeCell ref="H384:H386"/>
    <mergeCell ref="C387:C389"/>
    <mergeCell ref="G387:G389"/>
    <mergeCell ref="H387:H389"/>
    <mergeCell ref="C390:C392"/>
    <mergeCell ref="C395:C397"/>
    <mergeCell ref="C398:C400"/>
    <mergeCell ref="G406:G407"/>
    <mergeCell ref="G409:G411"/>
    <mergeCell ref="C424:C425"/>
    <mergeCell ref="C430:C432"/>
    <mergeCell ref="C433:C434"/>
    <mergeCell ref="C435:C436"/>
    <mergeCell ref="C443:C445"/>
    <mergeCell ref="C448:C449"/>
    <mergeCell ref="C451:C453"/>
    <mergeCell ref="C455:C457"/>
    <mergeCell ref="C458:C459"/>
    <mergeCell ref="C460:C461"/>
    <mergeCell ref="C466:C468"/>
    <mergeCell ref="C470:C472"/>
    <mergeCell ref="C474:C475"/>
    <mergeCell ref="C476:C477"/>
    <mergeCell ref="C478:C479"/>
    <mergeCell ref="C494:C496"/>
    <mergeCell ref="C498:C500"/>
    <mergeCell ref="G498:G500"/>
    <mergeCell ref="H498:H500"/>
    <mergeCell ref="C501:C503"/>
    <mergeCell ref="G501:G503"/>
    <mergeCell ref="H501:H503"/>
    <mergeCell ref="C510:C512"/>
    <mergeCell ref="C513:C515"/>
    <mergeCell ref="G513:G515"/>
    <mergeCell ref="H513:H515"/>
    <mergeCell ref="C516:C518"/>
    <mergeCell ref="G516:G518"/>
    <mergeCell ref="H516:H518"/>
    <mergeCell ref="C519:C521"/>
    <mergeCell ref="G519:G521"/>
    <mergeCell ref="H519:H521"/>
    <mergeCell ref="C523:C525"/>
    <mergeCell ref="G523:G525"/>
    <mergeCell ref="H523:H525"/>
    <mergeCell ref="B531:B533"/>
    <mergeCell ref="G531:G533"/>
    <mergeCell ref="D546:E546"/>
    <mergeCell ref="C561:C562"/>
    <mergeCell ref="G561:G562"/>
    <mergeCell ref="H561:H562"/>
    <mergeCell ref="C593:C595"/>
    <mergeCell ref="G593:G594"/>
    <mergeCell ref="H593:H594"/>
    <mergeCell ref="C596:C598"/>
    <mergeCell ref="G596:G598"/>
    <mergeCell ref="H596:H598"/>
    <mergeCell ref="C600:C602"/>
    <mergeCell ref="G600:G602"/>
    <mergeCell ref="H600:H602"/>
    <mergeCell ref="C609:C611"/>
    <mergeCell ref="C615:D615"/>
    <mergeCell ref="C631:C632"/>
    <mergeCell ref="C637:C639"/>
    <mergeCell ref="C643:C645"/>
    <mergeCell ref="C649:C650"/>
    <mergeCell ref="C653:C655"/>
    <mergeCell ref="C656:C657"/>
    <mergeCell ref="C658:C659"/>
    <mergeCell ref="C661:C663"/>
    <mergeCell ref="C664:C665"/>
    <mergeCell ref="C668:C669"/>
    <mergeCell ref="C672:C673"/>
    <mergeCell ref="C676:C678"/>
    <mergeCell ref="C679:C680"/>
    <mergeCell ref="C681:C682"/>
    <mergeCell ref="C684:C686"/>
    <mergeCell ref="C695:C697"/>
    <mergeCell ref="C709:C711"/>
    <mergeCell ref="G709:G711"/>
    <mergeCell ref="H709:H711"/>
    <mergeCell ref="C720:C721"/>
    <mergeCell ref="C725:C727"/>
    <mergeCell ref="C729:C731"/>
    <mergeCell ref="C734:C735"/>
    <mergeCell ref="C736:C737"/>
    <mergeCell ref="C743:C744"/>
    <mergeCell ref="C746:C748"/>
    <mergeCell ref="C749:C750"/>
    <mergeCell ref="C752:C754"/>
    <mergeCell ref="C772:C774"/>
    <mergeCell ref="C798:C799"/>
    <mergeCell ref="C802:C803"/>
    <mergeCell ref="C809:C811"/>
    <mergeCell ref="G809:G811"/>
    <mergeCell ref="H809:H811"/>
    <mergeCell ref="C812:C814"/>
    <mergeCell ref="G812:G814"/>
    <mergeCell ref="H812:H814"/>
    <mergeCell ref="C816:C818"/>
    <mergeCell ref="G816:G818"/>
    <mergeCell ref="H816:H818"/>
    <mergeCell ref="C821:C823"/>
    <mergeCell ref="C829:C830"/>
    <mergeCell ref="C832:C834"/>
    <mergeCell ref="C837:C839"/>
    <mergeCell ref="C840:C842"/>
    <mergeCell ref="C846:C847"/>
    <mergeCell ref="C852:C853"/>
    <mergeCell ref="C859:C861"/>
    <mergeCell ref="C863:C865"/>
    <mergeCell ref="C868:C870"/>
    <mergeCell ref="C871:C873"/>
    <mergeCell ref="C875:C876"/>
    <mergeCell ref="C886:C887"/>
    <mergeCell ref="C890:C891"/>
    <mergeCell ref="C892:C893"/>
    <mergeCell ref="C894:C895"/>
    <mergeCell ref="C896:C898"/>
    <mergeCell ref="C899:C900"/>
    <mergeCell ref="C907:C908"/>
    <mergeCell ref="C927:C928"/>
    <mergeCell ref="C931:C932"/>
    <mergeCell ref="C933:C934"/>
    <mergeCell ref="C935:C937"/>
    <mergeCell ref="C939:C940"/>
    <mergeCell ref="C942:C943"/>
    <mergeCell ref="C945:C946"/>
    <mergeCell ref="C951:C952"/>
    <mergeCell ref="C953:C955"/>
    <mergeCell ref="C956:C957"/>
    <mergeCell ref="C959:C961"/>
    <mergeCell ref="C969:C970"/>
    <mergeCell ref="C975:C976"/>
    <mergeCell ref="C979:C980"/>
    <mergeCell ref="C982:C984"/>
    <mergeCell ref="C989:C991"/>
    <mergeCell ref="C995:C997"/>
    <mergeCell ref="C1000:C1001"/>
    <mergeCell ref="C1004:C1006"/>
    <mergeCell ref="C1007:C1008"/>
    <mergeCell ref="C1016:C1017"/>
    <mergeCell ref="D1027:E1027"/>
    <mergeCell ref="C1040:C1042"/>
    <mergeCell ref="C1067:C1068"/>
    <mergeCell ref="H1067:H1068"/>
    <mergeCell ref="C1071:C1073"/>
    <mergeCell ref="H1071:H1073"/>
    <mergeCell ref="C1074:C1075"/>
    <mergeCell ref="H1074:H1075"/>
    <mergeCell ref="C1076:C1077"/>
    <mergeCell ref="H1076:H1077"/>
    <mergeCell ref="C1078:C1079"/>
    <mergeCell ref="H1078:H1079"/>
    <mergeCell ref="C1080:C1081"/>
    <mergeCell ref="H1080:H1081"/>
    <mergeCell ref="R1085:T1085"/>
    <mergeCell ref="C1096:C1098"/>
    <mergeCell ref="H1096:H1098"/>
    <mergeCell ref="C1099:C1100"/>
    <mergeCell ref="H1099:H1100"/>
    <mergeCell ref="C1101:C1103"/>
    <mergeCell ref="H1101:H1103"/>
    <mergeCell ref="C1104:C1106"/>
    <mergeCell ref="D1108:E1108"/>
    <mergeCell ref="C1111:C1112"/>
    <mergeCell ref="C1113:C1115"/>
    <mergeCell ref="C1128:C1131"/>
    <mergeCell ref="D1128:D1131"/>
    <mergeCell ref="E1128:E1131"/>
    <mergeCell ref="G1128:G1131"/>
    <mergeCell ref="H1128:H1129"/>
    <mergeCell ref="C1132:C1133"/>
    <mergeCell ref="D1132:D1133"/>
    <mergeCell ref="E1132:E1133"/>
    <mergeCell ref="G1132:G1134"/>
    <mergeCell ref="H1132:H1133"/>
    <mergeCell ref="C1173:C1175"/>
    <mergeCell ref="G1173:G1175"/>
    <mergeCell ref="H1173:H1175"/>
    <mergeCell ref="C1176:C1178"/>
    <mergeCell ref="G1176:G1178"/>
    <mergeCell ref="H1176:H1178"/>
    <mergeCell ref="C1179:C1181"/>
    <mergeCell ref="G1179:G1181"/>
    <mergeCell ref="H1179:H1181"/>
    <mergeCell ref="C1182:C1183"/>
    <mergeCell ref="G1182:G1183"/>
    <mergeCell ref="H1182:H1183"/>
    <mergeCell ref="C1192:C1194"/>
    <mergeCell ref="C1196:C1197"/>
    <mergeCell ref="C1202:C1203"/>
    <mergeCell ref="C1204:C1206"/>
    <mergeCell ref="C1207:C1209"/>
    <mergeCell ref="C1226:C1228"/>
    <mergeCell ref="E1226:E1228"/>
    <mergeCell ref="G1226:G1228"/>
    <mergeCell ref="H1226:H1228"/>
    <mergeCell ref="C1259:C1260"/>
    <mergeCell ref="C1311:C1312"/>
    <mergeCell ref="C1313:C1315"/>
    <mergeCell ref="C1318:C1320"/>
    <mergeCell ref="C1321:C1322"/>
    <mergeCell ref="C1324:C1326"/>
    <mergeCell ref="C1327:C1329"/>
    <mergeCell ref="C1330:C1332"/>
    <mergeCell ref="C1334:C1336"/>
    <mergeCell ref="C1347:C1349"/>
    <mergeCell ref="C1350:C1351"/>
    <mergeCell ref="C1352:C1354"/>
    <mergeCell ref="C1355:C1357"/>
    <mergeCell ref="C1364:C1366"/>
    <mergeCell ref="C1369:C1371"/>
    <mergeCell ref="C1373:C1374"/>
    <mergeCell ref="C1375:C1377"/>
    <mergeCell ref="C1384:C1386"/>
    <mergeCell ref="C1391:C1393"/>
    <mergeCell ref="C1394:C1396"/>
    <mergeCell ref="C1399:C1401"/>
    <mergeCell ref="C1403:C1405"/>
    <mergeCell ref="C1406:C1408"/>
    <mergeCell ref="C1409:C1410"/>
    <mergeCell ref="C1412:C1413"/>
    <mergeCell ref="C1415:C1416"/>
    <mergeCell ref="C1418:C1420"/>
    <mergeCell ref="C1428:C1429"/>
    <mergeCell ref="C1430:C1432"/>
    <mergeCell ref="C1434:C1436"/>
    <mergeCell ref="C1447:C1449"/>
    <mergeCell ref="C1452:C1454"/>
    <mergeCell ref="C1456:C1457"/>
    <mergeCell ref="C1458:C1459"/>
    <mergeCell ref="C1460:C1462"/>
    <mergeCell ref="C1475:C1477"/>
    <mergeCell ref="C1478:C1480"/>
    <mergeCell ref="C1483:C1485"/>
    <mergeCell ref="C1486:C1488"/>
    <mergeCell ref="C1492:C1494"/>
    <mergeCell ref="C1496:C1498"/>
    <mergeCell ref="C1523:C1524"/>
    <mergeCell ref="C1530:C1532"/>
    <mergeCell ref="C1536:C1538"/>
    <mergeCell ref="C1539:C1541"/>
    <mergeCell ref="C1542:C1544"/>
    <mergeCell ref="D1551:E1551"/>
    <mergeCell ref="C1565:C1567"/>
    <mergeCell ref="C1569:C1571"/>
    <mergeCell ref="C1573:C1575"/>
    <mergeCell ref="D1584:E1584"/>
    <mergeCell ref="C1594:C1595"/>
    <mergeCell ref="C1596:C1597"/>
    <mergeCell ref="C1598:C1600"/>
    <mergeCell ref="C1605:C1606"/>
    <mergeCell ref="C1610:C1611"/>
    <mergeCell ref="C1634:C1635"/>
    <mergeCell ref="C1645:C1647"/>
    <mergeCell ref="G1645:G1647"/>
    <mergeCell ref="H1645:H1647"/>
    <mergeCell ref="C1701:C1703"/>
    <mergeCell ref="C1706:C1708"/>
    <mergeCell ref="C1709:C1710"/>
    <mergeCell ref="C1712:C1713"/>
    <mergeCell ref="C1715:C1716"/>
    <mergeCell ref="C1721:C1722"/>
    <mergeCell ref="C1724:C1725"/>
    <mergeCell ref="C1726:C1727"/>
    <mergeCell ref="C1748:E1748"/>
    <mergeCell ref="C1753:C1755"/>
    <mergeCell ref="H1753:H1755"/>
    <mergeCell ref="C1759:C1761"/>
    <mergeCell ref="H1759:H1761"/>
    <mergeCell ref="D1778:E1778"/>
    <mergeCell ref="D1787:D1793"/>
    <mergeCell ref="C1832:C1834"/>
    <mergeCell ref="C1835:C1837"/>
    <mergeCell ref="C1838:C1839"/>
    <mergeCell ref="C1840:C1842"/>
    <mergeCell ref="C1853:C1855"/>
    <mergeCell ref="C1856:C1858"/>
    <mergeCell ref="C1860:C1862"/>
    <mergeCell ref="C1866:C1867"/>
    <mergeCell ref="C1869:C1870"/>
    <mergeCell ref="C1876:C1877"/>
    <mergeCell ref="D1893:E1897"/>
    <mergeCell ref="C1902:C1904"/>
    <mergeCell ref="C1908:C1910"/>
    <mergeCell ref="C1939:C1940"/>
    <mergeCell ref="C1943:C1944"/>
    <mergeCell ref="C1945:C1946"/>
    <mergeCell ref="C1955:C1956"/>
    <mergeCell ref="C1996:C1997"/>
    <mergeCell ref="C1998:C2000"/>
    <mergeCell ref="C2001:C2002"/>
    <mergeCell ref="C2003:C2004"/>
    <mergeCell ref="C2005:C2007"/>
    <mergeCell ref="C2008:C2010"/>
    <mergeCell ref="C2013:C2015"/>
    <mergeCell ref="C2019:C2020"/>
    <mergeCell ref="C2023:C2024"/>
    <mergeCell ref="C2027:C2028"/>
    <mergeCell ref="C2039:C2041"/>
    <mergeCell ref="C2043:C2045"/>
    <mergeCell ref="C2046:C2048"/>
    <mergeCell ref="C2052:C2053"/>
    <mergeCell ref="C2058:C2060"/>
    <mergeCell ref="C2061:C2063"/>
    <mergeCell ref="C2069:C2071"/>
    <mergeCell ref="C2075:C2076"/>
    <mergeCell ref="C2078:C2080"/>
    <mergeCell ref="C2092:C2093"/>
    <mergeCell ref="C2094:C2095"/>
    <mergeCell ref="C2122:C2123"/>
    <mergeCell ref="C2130:C2131"/>
    <mergeCell ref="C2133:C2134"/>
    <mergeCell ref="C2135:C2136"/>
    <mergeCell ref="C2141:C2142"/>
    <mergeCell ref="C2159:C2160"/>
    <mergeCell ref="C2161:C2163"/>
    <mergeCell ref="C2166:C2168"/>
    <mergeCell ref="D2189:E2189"/>
    <mergeCell ref="F2189:G2189"/>
    <mergeCell ref="C2221:C2223"/>
    <mergeCell ref="C2228:C2230"/>
    <mergeCell ref="C2243:C2244"/>
    <mergeCell ref="C2246:C2247"/>
    <mergeCell ref="C2249:C2251"/>
    <mergeCell ref="C2253:C2255"/>
    <mergeCell ref="C2256:C2258"/>
    <mergeCell ref="C2259:C2260"/>
    <mergeCell ref="C2266:C2267"/>
    <mergeCell ref="C2275:C2276"/>
    <mergeCell ref="C2278:C2280"/>
    <mergeCell ref="C2297:C2298"/>
    <mergeCell ref="C2309:C2311"/>
    <mergeCell ref="C2312:C2313"/>
    <mergeCell ref="C2314:C2315"/>
    <mergeCell ref="C2316:C2318"/>
    <mergeCell ref="C2319:C2321"/>
    <mergeCell ref="C2322:C2323"/>
    <mergeCell ref="C2351:C2352"/>
    <mergeCell ref="H2351:H2352"/>
    <mergeCell ref="C2353:C2355"/>
    <mergeCell ref="H2353:H2355"/>
    <mergeCell ref="C2356:C2357"/>
    <mergeCell ref="H2356:H2357"/>
    <mergeCell ref="C2359:C2361"/>
    <mergeCell ref="H2359:H2361"/>
    <mergeCell ref="C2370:C2371"/>
    <mergeCell ref="G2370:G2371"/>
    <mergeCell ref="H2370:H2371"/>
    <mergeCell ref="A2373:A2374"/>
    <mergeCell ref="C2373:C2375"/>
    <mergeCell ref="A2376:A2378"/>
    <mergeCell ref="C2376:C2377"/>
    <mergeCell ref="A2379:A2380"/>
    <mergeCell ref="C2388:C2390"/>
    <mergeCell ref="G2388:G2390"/>
    <mergeCell ref="H2388:H2390"/>
    <mergeCell ref="D2407:E2408"/>
    <mergeCell ref="C2443:C2445"/>
    <mergeCell ref="G2443:G2445"/>
    <mergeCell ref="H2443:H2445"/>
    <mergeCell ref="C2447:C2449"/>
    <mergeCell ref="H2447:H2449"/>
    <mergeCell ref="C2450:C2451"/>
    <mergeCell ref="H2450:H2451"/>
    <mergeCell ref="C2453:C2454"/>
    <mergeCell ref="H2453:H2454"/>
    <mergeCell ref="C2455:C2456"/>
    <mergeCell ref="H2455:H2456"/>
    <mergeCell ref="C2457:C2458"/>
    <mergeCell ref="H2457:H2458"/>
    <mergeCell ref="C2460:C2461"/>
    <mergeCell ref="H2460:H2461"/>
    <mergeCell ref="C2469:C2470"/>
    <mergeCell ref="D2469:D2470"/>
    <mergeCell ref="E2469:E2470"/>
    <mergeCell ref="F2469:F2470"/>
    <mergeCell ref="G2469:G2470"/>
    <mergeCell ref="H2469:H2470"/>
    <mergeCell ref="C2471:C2472"/>
    <mergeCell ref="D2471:D2472"/>
    <mergeCell ref="E2471:E2472"/>
    <mergeCell ref="F2471:F2472"/>
    <mergeCell ref="G2471:G2472"/>
    <mergeCell ref="H2471:H2472"/>
    <mergeCell ref="C2473:C2474"/>
    <mergeCell ref="D2473:D2474"/>
    <mergeCell ref="E2473:E2474"/>
    <mergeCell ref="F2473:F2474"/>
    <mergeCell ref="G2473:G2474"/>
    <mergeCell ref="H2473:H2474"/>
    <mergeCell ref="C2475:C2477"/>
    <mergeCell ref="F2475:F2477"/>
    <mergeCell ref="G2475:G2477"/>
    <mergeCell ref="H2475:H2477"/>
    <mergeCell ref="C2478:C2479"/>
    <mergeCell ref="F2478:F2479"/>
    <mergeCell ref="G2478:G2479"/>
    <mergeCell ref="H2478:H2479"/>
    <mergeCell ref="D2482:E2482"/>
    <mergeCell ref="F2482:G2482"/>
    <mergeCell ref="C2493:C2495"/>
    <mergeCell ref="C2498:C2500"/>
    <mergeCell ref="C2503:C2505"/>
    <mergeCell ref="C2507:C2509"/>
    <mergeCell ref="C2510:C2512"/>
    <mergeCell ref="C2519:C2520"/>
    <mergeCell ref="C2522:C2524"/>
    <mergeCell ref="C2526:C2527"/>
    <mergeCell ref="C2528:C2530"/>
    <mergeCell ref="C2539:C2540"/>
    <mergeCell ref="C2542:C2544"/>
    <mergeCell ref="C2545:C2547"/>
    <mergeCell ref="C2548:C2549"/>
    <mergeCell ref="C2561:C2563"/>
    <mergeCell ref="E2561:E2563"/>
    <mergeCell ref="C2582:C2583"/>
    <mergeCell ref="C2584:C2585"/>
    <mergeCell ref="C2588:C2589"/>
    <mergeCell ref="C2590:C2592"/>
    <mergeCell ref="C2604:C2606"/>
    <mergeCell ref="C2607:C2609"/>
    <mergeCell ref="C2614:C2616"/>
    <mergeCell ref="C2617:C2619"/>
    <mergeCell ref="C2620:C2622"/>
    <mergeCell ref="C2623:C2625"/>
    <mergeCell ref="C2629:C2630"/>
    <mergeCell ref="C2631:C2633"/>
    <mergeCell ref="C2640:C2642"/>
    <mergeCell ref="C2643:C2644"/>
    <mergeCell ref="C2645:C2646"/>
    <mergeCell ref="C2648:C2650"/>
    <mergeCell ref="C2654:C2655"/>
    <mergeCell ref="C2663:C2664"/>
    <mergeCell ref="C2666:C2668"/>
    <mergeCell ref="C2682:C2684"/>
    <mergeCell ref="C2688:C2689"/>
    <mergeCell ref="C2690:C2692"/>
    <mergeCell ref="C2694:C2695"/>
    <mergeCell ref="C2700:C2702"/>
    <mergeCell ref="C2707:C2708"/>
    <mergeCell ref="C2716:C2717"/>
    <mergeCell ref="H2716:H2717"/>
    <mergeCell ref="C2718:C2720"/>
    <mergeCell ref="H2718:H2720"/>
    <mergeCell ref="C2721:C2723"/>
    <mergeCell ref="H2721:H2723"/>
    <mergeCell ref="C2734:C2735"/>
    <mergeCell ref="C2739:C2740"/>
    <mergeCell ref="C2741:C2742"/>
    <mergeCell ref="C2743:C2744"/>
    <mergeCell ref="C2749:C2751"/>
    <mergeCell ref="C2814:C2816"/>
    <mergeCell ref="C2826:C2828"/>
    <mergeCell ref="B2829:B2830"/>
    <mergeCell ref="C2829:C2830"/>
    <mergeCell ref="A2831:A2832"/>
    <mergeCell ref="C2831:C2832"/>
    <mergeCell ref="A2839:A2841"/>
    <mergeCell ref="C2839:C2841"/>
    <mergeCell ref="C2842:C2844"/>
    <mergeCell ref="A2843:A2844"/>
    <mergeCell ref="A2845:A2846"/>
    <mergeCell ref="C2845:C2846"/>
    <mergeCell ref="A2848:A2850"/>
    <mergeCell ref="C2848:C2850"/>
    <mergeCell ref="A2851:A2852"/>
    <mergeCell ref="C2851:C2852"/>
    <mergeCell ref="C2857:C2858"/>
    <mergeCell ref="C2874:C2876"/>
    <mergeCell ref="C2877:C2879"/>
    <mergeCell ref="C2880:C2882"/>
    <mergeCell ref="C2883:C2885"/>
    <mergeCell ref="C2886:C2888"/>
    <mergeCell ref="C2889:C2891"/>
    <mergeCell ref="C2900:C2902"/>
    <mergeCell ref="C2903:C2904"/>
    <mergeCell ref="C2921:C2922"/>
    <mergeCell ref="C2923:C2924"/>
    <mergeCell ref="C2953:C2955"/>
    <mergeCell ref="C2958:C2960"/>
    <mergeCell ref="C2969:C2971"/>
    <mergeCell ref="C2983:C2984"/>
    <mergeCell ref="C2985:C2987"/>
    <mergeCell ref="C2990:C2992"/>
    <mergeCell ref="C3001:C3003"/>
    <mergeCell ref="G3001:G3003"/>
    <mergeCell ref="H3001:H3003"/>
    <mergeCell ref="C3004:C3005"/>
    <mergeCell ref="G3004:G3005"/>
    <mergeCell ref="H3004:H3005"/>
    <mergeCell ref="C3006:C3008"/>
    <mergeCell ref="G3006:G3008"/>
    <mergeCell ref="H3006:H3008"/>
    <mergeCell ref="C3009:C3011"/>
    <mergeCell ref="G3009:G3011"/>
    <mergeCell ref="H3009:H3011"/>
    <mergeCell ref="C3032:C3033"/>
    <mergeCell ref="D3032:D3033"/>
    <mergeCell ref="E3032:E3033"/>
    <mergeCell ref="C3038:C3040"/>
    <mergeCell ref="C3041:C3043"/>
    <mergeCell ref="C3044:C3046"/>
    <mergeCell ref="C3054:C3055"/>
    <mergeCell ref="C3057:C3058"/>
    <mergeCell ref="C3059:C3060"/>
    <mergeCell ref="C3061:C3063"/>
    <mergeCell ref="C3065:C3066"/>
    <mergeCell ref="C3067:C3069"/>
    <mergeCell ref="C3084:C3085"/>
    <mergeCell ref="C3097:C3098"/>
    <mergeCell ref="C3111:C3113"/>
    <mergeCell ref="C3114:C3116"/>
    <mergeCell ref="C3158:C3160"/>
    <mergeCell ref="C3161:C3163"/>
    <mergeCell ref="C3164:C3166"/>
    <mergeCell ref="C3170:C3172"/>
    <mergeCell ref="C3176:C3178"/>
    <mergeCell ref="C3179:C3180"/>
    <mergeCell ref="C3184:C3186"/>
    <mergeCell ref="C3187:C3188"/>
    <mergeCell ref="C3190:C3191"/>
    <mergeCell ref="C3193:C3195"/>
    <mergeCell ref="C3196:C3198"/>
    <mergeCell ref="C3200:C3202"/>
    <mergeCell ref="C3205:C3207"/>
    <mergeCell ref="C3208:C3209"/>
    <mergeCell ref="C3210:C3211"/>
    <mergeCell ref="C3212:C3213"/>
    <mergeCell ref="C3214:C3215"/>
    <mergeCell ref="C3217:C3218"/>
    <mergeCell ref="D3226:E3226"/>
    <mergeCell ref="C3235:C3237"/>
    <mergeCell ref="C3249:C3251"/>
    <mergeCell ref="C3252:C3254"/>
    <mergeCell ref="C3256:C3257"/>
    <mergeCell ref="C3262:C3264"/>
    <mergeCell ref="C3268:C3269"/>
    <mergeCell ref="C3277:C3278"/>
    <mergeCell ref="C3280:C3282"/>
    <mergeCell ref="C3285:C3287"/>
    <mergeCell ref="C3289:C3291"/>
    <mergeCell ref="C3293:C3295"/>
    <mergeCell ref="C3298:C3300"/>
    <mergeCell ref="C3301:C3303"/>
    <mergeCell ref="C3307:C3309"/>
    <mergeCell ref="C3311:C3313"/>
    <mergeCell ref="C3316:C3318"/>
    <mergeCell ref="C3321:C3323"/>
    <mergeCell ref="C3324:C3325"/>
    <mergeCell ref="C3326:C3328"/>
    <mergeCell ref="C3329:C3331"/>
    <mergeCell ref="C3333:C3335"/>
    <mergeCell ref="C3337:C3338"/>
    <mergeCell ref="C3339:C3340"/>
    <mergeCell ref="C3342:C3344"/>
    <mergeCell ref="C3345:C3346"/>
    <mergeCell ref="C3348:C3350"/>
    <mergeCell ref="C3351:C3353"/>
    <mergeCell ref="C3357:C3358"/>
    <mergeCell ref="C3360:C3361"/>
    <mergeCell ref="C3362:C3364"/>
    <mergeCell ref="C3372:C3374"/>
    <mergeCell ref="C3377:C3378"/>
    <mergeCell ref="C3379:C3381"/>
    <mergeCell ref="C3389:C3390"/>
    <mergeCell ref="C3391:C3393"/>
    <mergeCell ref="C3397:C3399"/>
    <mergeCell ref="C3408:C3410"/>
    <mergeCell ref="C3412:C3413"/>
    <mergeCell ref="C3419:C3420"/>
    <mergeCell ref="C3422:C3423"/>
    <mergeCell ref="C3424:C3425"/>
    <mergeCell ref="C3427:C3429"/>
    <mergeCell ref="C3430:C3431"/>
    <mergeCell ref="C3433:C3434"/>
    <mergeCell ref="C3435:C3437"/>
    <mergeCell ref="C3439:C3441"/>
    <mergeCell ref="C3443:C3445"/>
    <mergeCell ref="C3449:C3450"/>
    <mergeCell ref="C3452:C3453"/>
    <mergeCell ref="C3460:C3462"/>
    <mergeCell ref="C3465:C3467"/>
    <mergeCell ref="C3468:C3470"/>
    <mergeCell ref="C3471:C3473"/>
    <mergeCell ref="C3482:C3484"/>
    <mergeCell ref="A3487:A3488"/>
    <mergeCell ref="A3489:A3491"/>
    <mergeCell ref="C3499:C3500"/>
    <mergeCell ref="C3503:C3504"/>
    <mergeCell ref="C3506:C3508"/>
    <mergeCell ref="C3511:C3513"/>
    <mergeCell ref="C3514:C3516"/>
    <mergeCell ref="C3538:C3540"/>
    <mergeCell ref="C3543:C3545"/>
    <mergeCell ref="C3548:C3550"/>
    <mergeCell ref="C3518:C3520"/>
    <mergeCell ref="C3521:C3523"/>
    <mergeCell ref="C3524:C3526"/>
    <mergeCell ref="C3528:C3529"/>
    <mergeCell ref="C3532:C3534"/>
    <mergeCell ref="C3535:C3537"/>
  </mergeCells>
  <phoneticPr fontId="139" type="noConversion"/>
  <hyperlinks>
    <hyperlink ref="C769" r:id="rId1" xr:uid="{00000000-0004-0000-0700-000000000000}"/>
    <hyperlink ref="S769" r:id="rId2" xr:uid="{00000000-0004-0000-0700-000001000000}"/>
    <hyperlink ref="C1768" r:id="rId3" xr:uid="{00000000-0004-0000-0700-000002000000}"/>
    <hyperlink ref="S1768" r:id="rId4" xr:uid="{00000000-0004-0000-0700-000003000000}"/>
    <hyperlink ref="C2196" r:id="rId5" xr:uid="{00000000-0004-0000-0700-000004000000}"/>
    <hyperlink ref="S2196" r:id="rId6" xr:uid="{00000000-0004-0000-0700-000005000000}"/>
    <hyperlink ref="U68" r:id="rId7" display="http://static.cninfo.com.cn/finalpage/2017-05-04/1203474001.PDF" xr:uid="{00000000-0004-0000-0700-000006000000}"/>
    <hyperlink ref="U161" r:id="rId8" display="http://static.cninfo.com.cn/finalpage/2017-05-05/1203476050.PDF" xr:uid="{00000000-0004-0000-0700-000007000000}"/>
    <hyperlink ref="S2" r:id="rId9" xr:uid="{00000000-0004-0000-0700-000008000000}"/>
    <hyperlink ref="C2" r:id="rId10" xr:uid="{00000000-0004-0000-0700-000009000000}"/>
    <hyperlink ref="C17" r:id="rId11" xr:uid="{00000000-0004-0000-0700-00000A000000}"/>
    <hyperlink ref="S17" r:id="rId12" xr:uid="{00000000-0004-0000-0700-00000B000000}"/>
    <hyperlink ref="C52" r:id="rId13" xr:uid="{00000000-0004-0000-0700-00000C000000}"/>
    <hyperlink ref="S52" r:id="rId14" xr:uid="{00000000-0004-0000-0700-00000D000000}"/>
    <hyperlink ref="S96" r:id="rId15" xr:uid="{00000000-0004-0000-0700-00000E000000}"/>
    <hyperlink ref="C262" r:id="rId16" xr:uid="{00000000-0004-0000-0700-00000F000000}"/>
    <hyperlink ref="S1580" r:id="rId17" xr:uid="{00000000-0004-0000-0700-000010000000}"/>
    <hyperlink ref="C68" r:id="rId18" xr:uid="{00000000-0004-0000-0700-000011000000}"/>
    <hyperlink ref="C96" r:id="rId19" xr:uid="{00000000-0004-0000-0700-000012000000}"/>
    <hyperlink ref="C79" r:id="rId20" xr:uid="{00000000-0004-0000-0700-000013000000}"/>
    <hyperlink ref="S68" r:id="rId21" xr:uid="{00000000-0004-0000-0700-000014000000}"/>
    <hyperlink ref="S79" r:id="rId22" xr:uid="{00000000-0004-0000-0700-000015000000}"/>
    <hyperlink ref="C1470" r:id="rId23" xr:uid="{00000000-0004-0000-0700-000016000000}"/>
    <hyperlink ref="C2036" r:id="rId24" xr:uid="{00000000-0004-0000-0700-000017000000}"/>
    <hyperlink ref="C2895" r:id="rId25" xr:uid="{00000000-0004-0000-0700-000018000000}"/>
    <hyperlink ref="C2927" r:id="rId26" xr:uid="{00000000-0004-0000-0700-000019000000}"/>
    <hyperlink ref="C161" r:id="rId27" xr:uid="{00000000-0004-0000-0700-00001A000000}"/>
    <hyperlink ref="C182" r:id="rId28" xr:uid="{00000000-0004-0000-0700-00001B000000}"/>
    <hyperlink ref="C194" r:id="rId29" xr:uid="{00000000-0004-0000-0700-00001C000000}"/>
    <hyperlink ref="C241" r:id="rId30" xr:uid="{00000000-0004-0000-0700-00001D000000}"/>
    <hyperlink ref="C339" r:id="rId31" xr:uid="{00000000-0004-0000-0700-00001E000000}"/>
    <hyperlink ref="C359" r:id="rId32" xr:uid="{00000000-0004-0000-0700-00001F000000}"/>
    <hyperlink ref="C374" r:id="rId33" xr:uid="{00000000-0004-0000-0700-000020000000}"/>
    <hyperlink ref="C382" r:id="rId34" xr:uid="{00000000-0004-0000-0700-000021000000}"/>
    <hyperlink ref="C404" r:id="rId35" xr:uid="{00000000-0004-0000-0700-000022000000}"/>
    <hyperlink ref="C420" r:id="rId36" xr:uid="{00000000-0004-0000-0700-000023000000}"/>
    <hyperlink ref="C428" r:id="rId37" xr:uid="{00000000-0004-0000-0700-000024000000}"/>
    <hyperlink ref="C439" r:id="rId38" xr:uid="{00000000-0004-0000-0700-000025000000}"/>
    <hyperlink ref="C483" r:id="rId39" xr:uid="{00000000-0004-0000-0700-000026000000}"/>
    <hyperlink ref="C492" r:id="rId40" xr:uid="{00000000-0004-0000-0700-000027000000}"/>
    <hyperlink ref="C507" r:id="rId41" xr:uid="{00000000-0004-0000-0700-000028000000}"/>
    <hyperlink ref="C529" r:id="rId42" xr:uid="{00000000-0004-0000-0700-000029000000}"/>
    <hyperlink ref="C544" r:id="rId43" xr:uid="{00000000-0004-0000-0700-00002A000000}"/>
    <hyperlink ref="C556" r:id="rId44" xr:uid="{00000000-0004-0000-0700-00002B000000}"/>
    <hyperlink ref="C568" r:id="rId45" xr:uid="{00000000-0004-0000-0700-00002C000000}"/>
    <hyperlink ref="C573" r:id="rId46" xr:uid="{00000000-0004-0000-0700-00002D000000}"/>
    <hyperlink ref="C590" r:id="rId47" xr:uid="{00000000-0004-0000-0700-00002E000000}"/>
    <hyperlink ref="C605" r:id="rId48" xr:uid="{00000000-0004-0000-0700-00002F000000}"/>
    <hyperlink ref="C618" r:id="rId49" xr:uid="{00000000-0004-0000-0700-000030000000}"/>
    <hyperlink ref="C628" r:id="rId50" xr:uid="{00000000-0004-0000-0700-000031000000}"/>
    <hyperlink ref="C634" r:id="rId51" xr:uid="{00000000-0004-0000-0700-000032000000}"/>
    <hyperlink ref="C705" r:id="rId52" xr:uid="{00000000-0004-0000-0700-000033000000}"/>
    <hyperlink ref="C715" r:id="rId53" xr:uid="{00000000-0004-0000-0700-000034000000}"/>
    <hyperlink ref="C761" r:id="rId54" xr:uid="{00000000-0004-0000-0700-000035000000}"/>
    <hyperlink ref="C781" r:id="rId55" xr:uid="{00000000-0004-0000-0700-000036000000}"/>
    <hyperlink ref="C796" r:id="rId56" xr:uid="{00000000-0004-0000-0700-000037000000}"/>
    <hyperlink ref="C806" r:id="rId57" xr:uid="{00000000-0004-0000-0700-000038000000}"/>
    <hyperlink ref="C827" r:id="rId58" xr:uid="{00000000-0004-0000-0700-000039000000}"/>
    <hyperlink ref="C857" r:id="rId59" xr:uid="{00000000-0004-0000-0700-00003A000000}"/>
    <hyperlink ref="C903" r:id="rId60" xr:uid="{00000000-0004-0000-0700-00003B000000}"/>
    <hyperlink ref="C919" r:id="rId61" xr:uid="{00000000-0004-0000-0700-00003C000000}"/>
    <hyperlink ref="C965" r:id="rId62" xr:uid="{00000000-0004-0000-0700-00003D000000}"/>
    <hyperlink ref="C987" r:id="rId63" xr:uid="{00000000-0004-0000-0700-00003E000000}"/>
    <hyperlink ref="C1021" r:id="rId64" xr:uid="{00000000-0004-0000-0700-00003F000000}"/>
    <hyperlink ref="C1035" r:id="rId65" xr:uid="{00000000-0004-0000-0700-000040000000}"/>
    <hyperlink ref="C1054" r:id="rId66" xr:uid="{00000000-0004-0000-0700-000041000000}"/>
    <hyperlink ref="C1064" r:id="rId67" xr:uid="{00000000-0004-0000-0700-000042000000}"/>
    <hyperlink ref="C1084" r:id="rId68" xr:uid="{00000000-0004-0000-0700-000043000000}"/>
    <hyperlink ref="C1094" r:id="rId69" xr:uid="{00000000-0004-0000-0700-000044000000}"/>
    <hyperlink ref="C1118" r:id="rId70" xr:uid="{00000000-0004-0000-0700-000045000000}"/>
    <hyperlink ref="C1126" r:id="rId71" xr:uid="{00000000-0004-0000-0700-000046000000}"/>
    <hyperlink ref="C1139" r:id="rId72" xr:uid="{00000000-0004-0000-0700-000047000000}"/>
    <hyperlink ref="C1161" r:id="rId73" xr:uid="{00000000-0004-0000-0700-000048000000}"/>
    <hyperlink ref="C1171" r:id="rId74" xr:uid="{00000000-0004-0000-0700-000049000000}"/>
    <hyperlink ref="C1187" r:id="rId75" xr:uid="{00000000-0004-0000-0700-00004A000000}"/>
    <hyperlink ref="C1215" r:id="rId76" xr:uid="{00000000-0004-0000-0700-00004B000000}"/>
    <hyperlink ref="C1231" r:id="rId77" xr:uid="{00000000-0004-0000-0700-00004C000000}"/>
    <hyperlink ref="C1250" r:id="rId78" xr:uid="{00000000-0004-0000-0700-00004D000000}"/>
    <hyperlink ref="C1255" r:id="rId79" xr:uid="{00000000-0004-0000-0700-00004E000000}"/>
    <hyperlink ref="C1265" r:id="rId80" xr:uid="{00000000-0004-0000-0700-00004F000000}"/>
    <hyperlink ref="C1278" r:id="rId81" xr:uid="{00000000-0004-0000-0700-000050000000}"/>
    <hyperlink ref="C1295" r:id="rId82" xr:uid="{00000000-0004-0000-0700-000051000000}"/>
    <hyperlink ref="C1309" r:id="rId83" xr:uid="{00000000-0004-0000-0700-000052000000}"/>
    <hyperlink ref="C1341" r:id="rId84" xr:uid="{00000000-0004-0000-0700-000053000000}"/>
    <hyperlink ref="C1360" r:id="rId85" xr:uid="{00000000-0004-0000-0700-000054000000}"/>
    <hyperlink ref="C1426" r:id="rId86" xr:uid="{00000000-0004-0000-0700-000055000000}"/>
    <hyperlink ref="C1441" r:id="rId87" xr:uid="{00000000-0004-0000-0700-000056000000}"/>
    <hyperlink ref="C1517" r:id="rId88" xr:uid="{00000000-0004-0000-0700-000057000000}"/>
    <hyperlink ref="C1547" r:id="rId89" xr:uid="{00000000-0004-0000-0700-000058000000}"/>
    <hyperlink ref="C1560" r:id="rId90" xr:uid="{00000000-0004-0000-0700-000059000000}"/>
    <hyperlink ref="C1580" r:id="rId91" xr:uid="{00000000-0004-0000-0700-00005A000000}"/>
    <hyperlink ref="C1590" r:id="rId92" xr:uid="{00000000-0004-0000-0700-00005B000000}"/>
    <hyperlink ref="C1615" r:id="rId93" xr:uid="{00000000-0004-0000-0700-00005C000000}"/>
    <hyperlink ref="C1630" r:id="rId94" xr:uid="{00000000-0004-0000-0700-00005D000000}"/>
    <hyperlink ref="C1640" r:id="rId95" xr:uid="{00000000-0004-0000-0700-00005E000000}"/>
    <hyperlink ref="C1652" r:id="rId96" xr:uid="{00000000-0004-0000-0700-00005F000000}"/>
    <hyperlink ref="C1673" r:id="rId97" xr:uid="{00000000-0004-0000-0700-000060000000}"/>
    <hyperlink ref="C1698" r:id="rId98" xr:uid="{00000000-0004-0000-0700-000061000000}"/>
    <hyperlink ref="C1751" r:id="rId99" xr:uid="{00000000-0004-0000-0700-000062000000}"/>
    <hyperlink ref="C1785" r:id="rId100" xr:uid="{00000000-0004-0000-0700-000063000000}"/>
    <hyperlink ref="C1796" r:id="rId101" xr:uid="{00000000-0004-0000-0700-000064000000}"/>
    <hyperlink ref="C1819" r:id="rId102" xr:uid="{00000000-0004-0000-0700-000065000000}"/>
    <hyperlink ref="C1829" r:id="rId103" xr:uid="{00000000-0004-0000-0700-000066000000}"/>
    <hyperlink ref="C1849" r:id="rId104" xr:uid="{00000000-0004-0000-0700-000067000000}"/>
    <hyperlink ref="C1891" r:id="rId105" xr:uid="{00000000-0004-0000-0700-000068000000}"/>
    <hyperlink ref="C1900" r:id="rId106" xr:uid="{00000000-0004-0000-0700-000069000000}"/>
    <hyperlink ref="C1914" r:id="rId107" xr:uid="{00000000-0004-0000-0700-00006A000000}"/>
    <hyperlink ref="C1928" r:id="rId108" xr:uid="{00000000-0004-0000-0700-00006B000000}"/>
    <hyperlink ref="C1937" r:id="rId109" xr:uid="{00000000-0004-0000-0700-00006C000000}"/>
    <hyperlink ref="C1986" r:id="rId110" xr:uid="{00000000-0004-0000-0700-00006D000000}"/>
    <hyperlink ref="C2105" r:id="rId111" xr:uid="{00000000-0004-0000-0700-00006E000000}"/>
    <hyperlink ref="C2120" r:id="rId112" xr:uid="{00000000-0004-0000-0700-00006F000000}"/>
    <hyperlink ref="C2127" r:id="rId113" xr:uid="{00000000-0004-0000-0700-000070000000}"/>
    <hyperlink ref="C2152" r:id="rId114" xr:uid="{00000000-0004-0000-0700-000071000000}"/>
    <hyperlink ref="C2173" r:id="rId115" xr:uid="{00000000-0004-0000-0700-000072000000}"/>
    <hyperlink ref="C2208" r:id="rId116" xr:uid="{00000000-0004-0000-0700-000073000000}"/>
    <hyperlink ref="C3051" r:id="rId117" xr:uid="{00000000-0004-0000-0700-000074000000}"/>
    <hyperlink ref="C3074" r:id="rId118" xr:uid="{00000000-0004-0000-0700-000075000000}"/>
    <hyperlink ref="C3156" r:id="rId119" xr:uid="{00000000-0004-0000-0700-000076000000}"/>
    <hyperlink ref="C3223" r:id="rId120" xr:uid="{00000000-0004-0000-0700-000077000000}"/>
    <hyperlink ref="C3233" r:id="rId121" xr:uid="{00000000-0004-0000-0700-000078000000}"/>
    <hyperlink ref="C3246" r:id="rId122" xr:uid="{00000000-0004-0000-0700-000079000000}"/>
    <hyperlink ref="C3274" r:id="rId123" xr:uid="{00000000-0004-0000-0700-00007A000000}"/>
    <hyperlink ref="C3368" r:id="rId124" xr:uid="{00000000-0004-0000-0700-00007B000000}"/>
    <hyperlink ref="C3406" r:id="rId125" xr:uid="{00000000-0004-0000-0700-00007C000000}"/>
    <hyperlink ref="C3457" r:id="rId126" xr:uid="{00000000-0004-0000-0700-00007D000000}"/>
    <hyperlink ref="C3497" r:id="rId127" xr:uid="{00000000-0004-0000-0700-00007E000000}"/>
    <hyperlink ref="C2241" r:id="rId128" xr:uid="{00000000-0004-0000-0700-00007F000000}"/>
    <hyperlink ref="C2271" r:id="rId129" xr:uid="{00000000-0004-0000-0700-000080000000}"/>
    <hyperlink ref="C2288" r:id="rId130" xr:uid="{00000000-0004-0000-0700-000081000000}"/>
    <hyperlink ref="C2306" r:id="rId131" xr:uid="{00000000-0004-0000-0700-000082000000}"/>
    <hyperlink ref="C2348" r:id="rId132" xr:uid="{00000000-0004-0000-0700-000083000000}"/>
    <hyperlink ref="C2368" r:id="rId133" xr:uid="{00000000-0004-0000-0700-000084000000}"/>
    <hyperlink ref="C2386" r:id="rId134" xr:uid="{00000000-0004-0000-0700-000085000000}"/>
    <hyperlink ref="C2403" r:id="rId135" xr:uid="{00000000-0004-0000-0700-000086000000}"/>
    <hyperlink ref="C2414" r:id="rId136" xr:uid="{00000000-0004-0000-0700-000087000000}"/>
    <hyperlink ref="C2440" r:id="rId137" xr:uid="{00000000-0004-0000-0700-000088000000}"/>
    <hyperlink ref="C2466" r:id="rId138" xr:uid="{00000000-0004-0000-0700-000089000000}"/>
    <hyperlink ref="C2489" r:id="rId139" xr:uid="{00000000-0004-0000-0700-00008A000000}"/>
    <hyperlink ref="C2537" r:id="rId140" xr:uid="{00000000-0004-0000-0700-00008B000000}"/>
    <hyperlink ref="C2552" r:id="rId141" xr:uid="{00000000-0004-0000-0700-00008C000000}"/>
    <hyperlink ref="C2580" r:id="rId142" xr:uid="{00000000-0004-0000-0700-00008D000000}"/>
    <hyperlink ref="C2597" r:id="rId143" xr:uid="{00000000-0004-0000-0700-00008E000000}"/>
    <hyperlink ref="C2612" r:id="rId144" xr:uid="{00000000-0004-0000-0700-00008F000000}"/>
    <hyperlink ref="C2636" r:id="rId145" xr:uid="{00000000-0004-0000-0700-000090000000}"/>
    <hyperlink ref="C2659" r:id="rId146" xr:uid="{00000000-0004-0000-0700-000091000000}"/>
    <hyperlink ref="C2676" r:id="rId147" xr:uid="{00000000-0004-0000-0700-000092000000}"/>
    <hyperlink ref="C2705" r:id="rId148" xr:uid="{00000000-0004-0000-0700-000093000000}"/>
    <hyperlink ref="C2729" r:id="rId149" xr:uid="{00000000-0004-0000-0700-000094000000}"/>
    <hyperlink ref="C2747" r:id="rId150" xr:uid="{00000000-0004-0000-0700-000095000000}"/>
    <hyperlink ref="C2761" r:id="rId151" xr:uid="{00000000-0004-0000-0700-000096000000}"/>
    <hyperlink ref="C2775" r:id="rId152" xr:uid="{00000000-0004-0000-0700-000097000000}"/>
    <hyperlink ref="C2798" r:id="rId153" xr:uid="{00000000-0004-0000-0700-000098000000}"/>
    <hyperlink ref="C2812" r:id="rId154" xr:uid="{00000000-0004-0000-0700-000099000000}"/>
    <hyperlink ref="C2863" r:id="rId155" xr:uid="{00000000-0004-0000-0700-00009A000000}"/>
    <hyperlink ref="C2872" r:id="rId156" xr:uid="{00000000-0004-0000-0700-00009B000000}"/>
    <hyperlink ref="C2951" r:id="rId157" xr:uid="{00000000-0004-0000-0700-00009C000000}"/>
    <hyperlink ref="C2978" r:id="rId158" xr:uid="{00000000-0004-0000-0700-00009D000000}"/>
    <hyperlink ref="C2999" r:id="rId159" xr:uid="{00000000-0004-0000-0700-00009E000000}"/>
    <hyperlink ref="C3014" r:id="rId160" xr:uid="{00000000-0004-0000-0700-00009F000000}"/>
    <hyperlink ref="C3030" r:id="rId161" xr:uid="{00000000-0004-0000-0700-0000A0000000}"/>
  </hyperlink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248"/>
  <sheetViews>
    <sheetView topLeftCell="A2" workbookViewId="0">
      <selection activeCell="F286" sqref="F286"/>
    </sheetView>
  </sheetViews>
  <sheetFormatPr defaultColWidth="10.83203125" defaultRowHeight="15.5"/>
  <cols>
    <col min="1" max="1" width="10.6640625" style="528" customWidth="1"/>
    <col min="2" max="2" width="37.5" style="528" customWidth="1"/>
    <col min="3" max="3" width="11.6640625" style="528" customWidth="1"/>
    <col min="4" max="4" width="15.83203125" style="528" bestFit="1" customWidth="1"/>
    <col min="5" max="5" width="14" style="528" bestFit="1" customWidth="1"/>
    <col min="6" max="6" width="22" style="528" bestFit="1" customWidth="1"/>
    <col min="7" max="7" width="15.83203125" style="528" bestFit="1" customWidth="1"/>
    <col min="8" max="8" width="14" style="528" bestFit="1" customWidth="1"/>
    <col min="9" max="11" width="10.83203125" style="528"/>
    <col min="12" max="12" width="12.1640625" style="528" bestFit="1" customWidth="1"/>
    <col min="13" max="15" width="10.83203125" style="528"/>
    <col min="16" max="16" width="14.6640625" style="528" bestFit="1" customWidth="1"/>
    <col min="17" max="19" width="0" style="528" hidden="1" customWidth="1"/>
    <col min="20" max="16384" width="10.83203125" style="528"/>
  </cols>
  <sheetData>
    <row r="1" spans="1:19" s="24" customFormat="1" ht="14">
      <c r="B1" s="24" t="s">
        <v>1281</v>
      </c>
    </row>
    <row r="2" spans="1:19" s="24" customFormat="1" ht="14"/>
    <row r="3" spans="1:19" s="530" customFormat="1" ht="14">
      <c r="A3" s="562" t="s">
        <v>106</v>
      </c>
      <c r="B3" s="565" t="s">
        <v>107</v>
      </c>
      <c r="C3" s="564" t="s">
        <v>4</v>
      </c>
      <c r="D3" s="563" t="s">
        <v>108</v>
      </c>
      <c r="E3" s="563" t="s">
        <v>109</v>
      </c>
      <c r="F3" s="562" t="s">
        <v>411</v>
      </c>
      <c r="G3" s="561" t="s">
        <v>950</v>
      </c>
      <c r="H3" s="561" t="s">
        <v>110</v>
      </c>
      <c r="I3" s="561" t="s">
        <v>276</v>
      </c>
      <c r="J3" s="561" t="s">
        <v>117</v>
      </c>
      <c r="K3" s="561" t="s">
        <v>275</v>
      </c>
      <c r="L3" s="562" t="s">
        <v>111</v>
      </c>
      <c r="M3" s="561" t="s">
        <v>949</v>
      </c>
      <c r="N3" s="561" t="s">
        <v>948</v>
      </c>
      <c r="O3" s="561" t="s">
        <v>129</v>
      </c>
      <c r="P3" s="561" t="s">
        <v>220</v>
      </c>
      <c r="Q3" s="537" t="s">
        <v>947</v>
      </c>
      <c r="R3" s="537" t="s">
        <v>946</v>
      </c>
      <c r="S3" s="560" t="s">
        <v>945</v>
      </c>
    </row>
    <row r="4" spans="1:19" s="547" customFormat="1" ht="14">
      <c r="A4" s="554">
        <v>203</v>
      </c>
      <c r="B4" s="559" t="s">
        <v>753</v>
      </c>
      <c r="C4" s="558">
        <v>300437</v>
      </c>
      <c r="D4" s="555">
        <v>4.1094999999999997</v>
      </c>
      <c r="E4" s="555">
        <v>4.10949981</v>
      </c>
      <c r="F4" s="557" t="s">
        <v>980</v>
      </c>
      <c r="G4" s="555">
        <v>26.08</v>
      </c>
      <c r="H4" s="547">
        <v>23.36</v>
      </c>
      <c r="I4" s="555">
        <f>H4/G4</f>
        <v>0.89570552147239269</v>
      </c>
      <c r="J4" s="555">
        <v>23.4</v>
      </c>
      <c r="K4" s="555">
        <f>J4/G4</f>
        <v>0.89723926380368102</v>
      </c>
      <c r="L4" s="554">
        <v>3</v>
      </c>
      <c r="M4" s="566">
        <v>43000</v>
      </c>
      <c r="N4" s="555">
        <v>18.25</v>
      </c>
      <c r="O4" s="555">
        <f>(N4*(1+Q4/10)+R4/10)/J4</f>
        <v>0.78333333333333333</v>
      </c>
      <c r="P4" s="598" t="s">
        <v>754</v>
      </c>
      <c r="Q4" s="554">
        <f>IFERROR(MID(P4,FIND("转",P4)+1,FIND("股",P4)-(FIND("转",P4)+1)),0)</f>
        <v>0</v>
      </c>
      <c r="R4" s="554" t="str">
        <f>IFERROR(MID(P4,FIND("派",P4)+1,FIND("元",P4)-FIND("派",P4)-1),0)</f>
        <v>0.80</v>
      </c>
      <c r="S4" s="553"/>
    </row>
    <row r="5" spans="1:19" s="529" customFormat="1" ht="14">
      <c r="A5" s="530"/>
      <c r="B5" s="588" t="s">
        <v>112</v>
      </c>
      <c r="C5" s="588" t="s">
        <v>113</v>
      </c>
      <c r="D5" s="588" t="s">
        <v>943</v>
      </c>
      <c r="E5" s="589" t="s">
        <v>411</v>
      </c>
      <c r="F5" s="589" t="s">
        <v>942</v>
      </c>
      <c r="G5" s="588" t="s">
        <v>231</v>
      </c>
      <c r="H5" s="588" t="s">
        <v>941</v>
      </c>
      <c r="I5" s="587">
        <f>SUM(G6:G10)</f>
        <v>4.10949981</v>
      </c>
      <c r="J5" s="586"/>
      <c r="K5" s="586"/>
      <c r="L5" s="586"/>
      <c r="M5" s="586"/>
      <c r="N5" s="586"/>
    </row>
    <row r="6" spans="1:19" s="529" customFormat="1" ht="14">
      <c r="A6" s="1633">
        <v>1</v>
      </c>
      <c r="B6" s="1630" t="s">
        <v>115</v>
      </c>
      <c r="C6" s="585">
        <v>23.4</v>
      </c>
      <c r="D6" s="585">
        <v>0.87</v>
      </c>
      <c r="E6" s="584"/>
      <c r="F6" s="1616">
        <v>345.94009999999997</v>
      </c>
      <c r="G6" s="1616">
        <v>0.80949983400000003</v>
      </c>
      <c r="H6" s="583" t="s">
        <v>126</v>
      </c>
      <c r="I6" s="138" t="s">
        <v>752</v>
      </c>
      <c r="J6" s="582"/>
      <c r="K6" s="582"/>
      <c r="L6" s="582"/>
      <c r="M6" s="582"/>
      <c r="N6" s="582"/>
    </row>
    <row r="7" spans="1:19" s="529" customFormat="1" ht="14">
      <c r="A7" s="1633"/>
      <c r="B7" s="1630"/>
      <c r="C7" s="585">
        <v>23.36</v>
      </c>
      <c r="D7" s="585">
        <v>0.93</v>
      </c>
      <c r="E7" s="584"/>
      <c r="F7" s="1617"/>
      <c r="G7" s="1617"/>
      <c r="H7" s="583"/>
      <c r="I7" s="582"/>
      <c r="J7" s="582"/>
      <c r="K7" s="582"/>
      <c r="L7" s="582"/>
      <c r="M7" s="582"/>
      <c r="N7" s="582"/>
    </row>
    <row r="8" spans="1:19" s="529" customFormat="1" ht="14">
      <c r="A8" s="530">
        <v>2</v>
      </c>
      <c r="B8" s="537" t="s">
        <v>285</v>
      </c>
      <c r="C8" s="585">
        <v>25.95</v>
      </c>
      <c r="D8" s="585">
        <v>2.4750000000000001</v>
      </c>
      <c r="E8" s="584"/>
      <c r="F8" s="585">
        <v>1057.6922999999999</v>
      </c>
      <c r="G8" s="585">
        <v>2.4749999819999999</v>
      </c>
      <c r="H8" s="583"/>
      <c r="I8" s="582"/>
      <c r="J8" s="582"/>
      <c r="K8" s="582"/>
      <c r="L8" s="582"/>
      <c r="M8" s="582"/>
      <c r="N8" s="582"/>
    </row>
    <row r="9" spans="1:19" s="529" customFormat="1" ht="14">
      <c r="A9" s="530">
        <v>3</v>
      </c>
      <c r="B9" s="537" t="s">
        <v>982</v>
      </c>
      <c r="C9" s="585">
        <v>23.41</v>
      </c>
      <c r="D9" s="585">
        <v>0.82499999999999996</v>
      </c>
      <c r="E9" s="584"/>
      <c r="F9" s="585">
        <v>352.5641</v>
      </c>
      <c r="G9" s="585">
        <v>0.82499999400000001</v>
      </c>
      <c r="H9" s="583"/>
      <c r="I9" s="582"/>
      <c r="J9" s="582"/>
      <c r="K9" s="582"/>
      <c r="L9" s="582"/>
      <c r="M9" s="582"/>
      <c r="N9" s="582"/>
    </row>
    <row r="10" spans="1:19" s="529" customFormat="1" ht="14">
      <c r="A10" s="530">
        <v>4</v>
      </c>
      <c r="B10" s="537" t="s">
        <v>981</v>
      </c>
      <c r="C10" s="585">
        <v>23.36</v>
      </c>
      <c r="D10" s="585">
        <v>0.82499999999999996</v>
      </c>
      <c r="E10" s="584"/>
      <c r="F10" s="585"/>
      <c r="G10" s="585"/>
      <c r="H10" s="583"/>
      <c r="I10" s="582"/>
      <c r="J10" s="582"/>
      <c r="K10" s="582"/>
      <c r="L10" s="582"/>
      <c r="M10" s="582"/>
      <c r="N10" s="582"/>
    </row>
    <row r="11" spans="1:19" s="529" customFormat="1" ht="14">
      <c r="A11" s="530"/>
      <c r="B11" s="530"/>
      <c r="C11" s="590"/>
      <c r="D11" s="590"/>
      <c r="E11" s="591"/>
      <c r="F11" s="590"/>
      <c r="G11" s="590"/>
      <c r="H11" s="583"/>
      <c r="I11" s="582"/>
      <c r="J11" s="582"/>
      <c r="K11" s="582"/>
      <c r="L11" s="582"/>
      <c r="M11" s="582"/>
      <c r="N11" s="582"/>
    </row>
    <row r="12" spans="1:19" s="529" customFormat="1" ht="14">
      <c r="A12" s="530"/>
      <c r="B12" s="530"/>
      <c r="C12" s="590"/>
      <c r="D12" s="590"/>
      <c r="E12" s="591"/>
      <c r="F12" s="590"/>
      <c r="G12" s="590"/>
      <c r="H12" s="583"/>
      <c r="I12" s="582"/>
      <c r="J12" s="582"/>
      <c r="K12" s="582"/>
      <c r="L12" s="582"/>
      <c r="M12" s="582"/>
      <c r="N12" s="582"/>
    </row>
    <row r="13" spans="1:19" s="529" customFormat="1" ht="14">
      <c r="A13" s="530"/>
      <c r="B13" s="530"/>
      <c r="C13" s="590"/>
      <c r="D13" s="590"/>
      <c r="E13" s="591"/>
      <c r="F13" s="590"/>
      <c r="G13" s="590"/>
      <c r="H13" s="583"/>
      <c r="I13" s="582"/>
      <c r="J13" s="582"/>
      <c r="K13" s="582"/>
      <c r="L13" s="582"/>
      <c r="M13" s="582"/>
      <c r="N13" s="582"/>
    </row>
    <row r="14" spans="1:19" s="530" customFormat="1" ht="14">
      <c r="A14" s="562" t="s">
        <v>106</v>
      </c>
      <c r="B14" s="565" t="s">
        <v>107</v>
      </c>
      <c r="C14" s="564" t="s">
        <v>4</v>
      </c>
      <c r="D14" s="563" t="s">
        <v>108</v>
      </c>
      <c r="E14" s="563" t="s">
        <v>109</v>
      </c>
      <c r="F14" s="562" t="s">
        <v>411</v>
      </c>
      <c r="G14" s="561" t="s">
        <v>950</v>
      </c>
      <c r="H14" s="561" t="s">
        <v>110</v>
      </c>
      <c r="I14" s="561" t="s">
        <v>276</v>
      </c>
      <c r="J14" s="561" t="s">
        <v>117</v>
      </c>
      <c r="K14" s="561" t="s">
        <v>275</v>
      </c>
      <c r="L14" s="562" t="s">
        <v>111</v>
      </c>
      <c r="M14" s="561" t="s">
        <v>949</v>
      </c>
      <c r="N14" s="561" t="s">
        <v>948</v>
      </c>
      <c r="O14" s="561" t="s">
        <v>129</v>
      </c>
      <c r="P14" s="561" t="s">
        <v>220</v>
      </c>
      <c r="Q14" s="537" t="s">
        <v>947</v>
      </c>
      <c r="R14" s="537" t="s">
        <v>946</v>
      </c>
      <c r="S14" s="560" t="s">
        <v>945</v>
      </c>
    </row>
    <row r="15" spans="1:19" s="547" customFormat="1" ht="14">
      <c r="A15" s="554">
        <v>204</v>
      </c>
      <c r="B15" s="559" t="s">
        <v>755</v>
      </c>
      <c r="C15" s="558" t="s">
        <v>756</v>
      </c>
      <c r="D15" s="555">
        <v>8.3775999999999993</v>
      </c>
      <c r="E15" s="555">
        <v>8.3775998724999994</v>
      </c>
      <c r="F15" s="557" t="s">
        <v>980</v>
      </c>
      <c r="G15" s="555">
        <v>46.65</v>
      </c>
      <c r="H15" s="555">
        <v>24.79</v>
      </c>
      <c r="I15" s="555">
        <f>H15/G15</f>
        <v>0.5314040728831726</v>
      </c>
      <c r="J15" s="555">
        <v>37.25</v>
      </c>
      <c r="K15" s="555">
        <f>J15/G15</f>
        <v>0.79849946409431938</v>
      </c>
      <c r="L15" s="554">
        <v>5</v>
      </c>
      <c r="M15" s="566">
        <v>43000</v>
      </c>
      <c r="N15" s="555">
        <v>30.3</v>
      </c>
      <c r="O15" s="555">
        <f>(N15*(1+Q15/10)+R15/10)/J15</f>
        <v>0.81879194630872487</v>
      </c>
      <c r="P15" s="598" t="s">
        <v>268</v>
      </c>
      <c r="Q15" s="554">
        <f>IFERROR(MID(P15,FIND("转",P15)+1,FIND("股",P15)-(FIND("转",P15)+1)),0)</f>
        <v>0</v>
      </c>
      <c r="R15" s="554" t="str">
        <f>IFERROR(MID(P15,FIND("派",P15)+1,FIND("元",P15)-FIND("派",P15)-1),0)</f>
        <v>2.00</v>
      </c>
      <c r="S15" s="553"/>
    </row>
    <row r="16" spans="1:19" s="529" customFormat="1" ht="14">
      <c r="A16" s="530"/>
      <c r="B16" s="588" t="s">
        <v>112</v>
      </c>
      <c r="C16" s="588" t="s">
        <v>113</v>
      </c>
      <c r="D16" s="588" t="s">
        <v>943</v>
      </c>
      <c r="E16" s="589" t="s">
        <v>411</v>
      </c>
      <c r="F16" s="589" t="s">
        <v>942</v>
      </c>
      <c r="G16" s="588" t="s">
        <v>231</v>
      </c>
      <c r="H16" s="588" t="s">
        <v>941</v>
      </c>
      <c r="I16" s="587">
        <f>SUM(G17:G24)</f>
        <v>8.3775998724999994</v>
      </c>
      <c r="J16" s="586"/>
      <c r="K16" s="586"/>
      <c r="L16" s="586"/>
      <c r="M16" s="586"/>
      <c r="N16" s="586"/>
    </row>
    <row r="17" spans="1:14" s="529" customFormat="1" ht="14">
      <c r="A17" s="530">
        <v>1</v>
      </c>
      <c r="B17" s="585" t="s">
        <v>300</v>
      </c>
      <c r="C17" s="585">
        <v>40.53</v>
      </c>
      <c r="D17" s="585">
        <v>0.85</v>
      </c>
      <c r="E17" s="584"/>
      <c r="F17" s="585">
        <v>228.18879000000001</v>
      </c>
      <c r="G17" s="585">
        <v>0.84999992749999997</v>
      </c>
      <c r="H17" s="583" t="s">
        <v>126</v>
      </c>
      <c r="I17" s="138" t="s">
        <v>979</v>
      </c>
      <c r="J17" s="582"/>
      <c r="K17" s="582"/>
      <c r="L17" s="582"/>
      <c r="M17" s="582"/>
      <c r="N17" s="582"/>
    </row>
    <row r="18" spans="1:14" s="529" customFormat="1" ht="14">
      <c r="A18" s="1633">
        <v>2</v>
      </c>
      <c r="B18" s="1621" t="s">
        <v>228</v>
      </c>
      <c r="C18" s="585">
        <v>40</v>
      </c>
      <c r="D18" s="585">
        <v>1.68</v>
      </c>
      <c r="E18" s="584"/>
      <c r="F18" s="1621">
        <v>451.00670000000002</v>
      </c>
      <c r="G18" s="1621">
        <v>1.6799999575</v>
      </c>
      <c r="H18" s="583"/>
      <c r="I18" s="582"/>
      <c r="J18" s="582"/>
      <c r="K18" s="582"/>
      <c r="L18" s="582"/>
      <c r="M18" s="582"/>
      <c r="N18" s="582"/>
    </row>
    <row r="19" spans="1:14" s="529" customFormat="1" ht="14">
      <c r="A19" s="1633"/>
      <c r="B19" s="1621"/>
      <c r="C19" s="585">
        <v>39.200000000000003</v>
      </c>
      <c r="D19" s="585">
        <v>1</v>
      </c>
      <c r="E19" s="584"/>
      <c r="F19" s="1621"/>
      <c r="G19" s="1621"/>
      <c r="H19" s="583"/>
      <c r="I19" s="582"/>
      <c r="J19" s="582"/>
      <c r="K19" s="582"/>
      <c r="L19" s="582"/>
      <c r="M19" s="582"/>
      <c r="N19" s="582"/>
    </row>
    <row r="20" spans="1:14" s="529" customFormat="1" ht="14">
      <c r="A20" s="1633">
        <v>3</v>
      </c>
      <c r="B20" s="1621" t="s">
        <v>121</v>
      </c>
      <c r="C20" s="585">
        <v>36.01</v>
      </c>
      <c r="D20" s="585">
        <v>1.84</v>
      </c>
      <c r="E20" s="584"/>
      <c r="F20" s="1621">
        <v>268.4563</v>
      </c>
      <c r="G20" s="1621">
        <v>0.99999971750000005</v>
      </c>
      <c r="H20" s="583"/>
      <c r="I20" s="582"/>
      <c r="J20" s="582"/>
      <c r="K20" s="582"/>
      <c r="L20" s="582"/>
      <c r="M20" s="582"/>
      <c r="N20" s="582"/>
    </row>
    <row r="21" spans="1:14" s="529" customFormat="1" ht="14">
      <c r="A21" s="1633"/>
      <c r="B21" s="1621"/>
      <c r="C21" s="585">
        <v>41.12</v>
      </c>
      <c r="D21" s="585">
        <v>2</v>
      </c>
      <c r="E21" s="584"/>
      <c r="F21" s="1621"/>
      <c r="G21" s="1621"/>
      <c r="H21" s="583"/>
      <c r="I21" s="582"/>
      <c r="J21" s="582"/>
      <c r="K21" s="582"/>
      <c r="L21" s="582"/>
      <c r="M21" s="582"/>
      <c r="N21" s="582"/>
    </row>
    <row r="22" spans="1:14" s="529" customFormat="1" ht="14">
      <c r="A22" s="1633">
        <v>4</v>
      </c>
      <c r="B22" s="1621" t="s">
        <v>127</v>
      </c>
      <c r="C22" s="585" t="s">
        <v>978</v>
      </c>
      <c r="D22" s="585">
        <v>3.3</v>
      </c>
      <c r="E22" s="584"/>
      <c r="F22" s="1621">
        <v>885.90599999999995</v>
      </c>
      <c r="G22" s="1621">
        <v>3.2999998499999998</v>
      </c>
      <c r="H22" s="583"/>
      <c r="I22" s="582"/>
      <c r="J22" s="582"/>
      <c r="K22" s="582"/>
      <c r="L22" s="582"/>
      <c r="M22" s="582"/>
      <c r="N22" s="582"/>
    </row>
    <row r="23" spans="1:14" s="529" customFormat="1" ht="14">
      <c r="A23" s="1633"/>
      <c r="B23" s="1621"/>
      <c r="C23" s="585">
        <v>40.56</v>
      </c>
      <c r="D23" s="585">
        <v>1.1499999999999999</v>
      </c>
      <c r="E23" s="584"/>
      <c r="F23" s="1621"/>
      <c r="G23" s="1621"/>
      <c r="H23" s="583"/>
      <c r="I23" s="582"/>
      <c r="J23" s="582"/>
      <c r="K23" s="582"/>
      <c r="L23" s="582"/>
      <c r="M23" s="582"/>
      <c r="N23" s="582"/>
    </row>
    <row r="24" spans="1:14" s="529" customFormat="1" ht="14">
      <c r="A24" s="1633">
        <v>5</v>
      </c>
      <c r="B24" s="1621" t="s">
        <v>115</v>
      </c>
      <c r="C24" s="585">
        <v>37.25</v>
      </c>
      <c r="D24" s="585">
        <v>4.05</v>
      </c>
      <c r="E24" s="584"/>
      <c r="F24" s="1621">
        <v>415.46319999999997</v>
      </c>
      <c r="G24" s="1621">
        <v>1.54760042</v>
      </c>
      <c r="H24" s="583"/>
      <c r="I24" s="582"/>
      <c r="J24" s="582"/>
      <c r="K24" s="582"/>
      <c r="L24" s="582"/>
      <c r="M24" s="582"/>
      <c r="N24" s="582"/>
    </row>
    <row r="25" spans="1:14" s="529" customFormat="1" ht="14">
      <c r="A25" s="1633"/>
      <c r="B25" s="1621"/>
      <c r="C25" s="585">
        <v>33.6</v>
      </c>
      <c r="D25" s="585">
        <v>5.19</v>
      </c>
      <c r="E25" s="584"/>
      <c r="F25" s="1621"/>
      <c r="G25" s="1621"/>
      <c r="H25" s="583"/>
      <c r="I25" s="582"/>
      <c r="J25" s="582"/>
      <c r="K25" s="582"/>
      <c r="L25" s="582"/>
      <c r="M25" s="582"/>
      <c r="N25" s="582"/>
    </row>
    <row r="26" spans="1:14" s="529" customFormat="1" ht="14">
      <c r="A26" s="530">
        <v>6</v>
      </c>
      <c r="B26" s="585" t="s">
        <v>955</v>
      </c>
      <c r="C26" s="585">
        <v>33.21</v>
      </c>
      <c r="D26" s="585">
        <v>0.84</v>
      </c>
      <c r="E26" s="584"/>
      <c r="F26" s="585"/>
      <c r="G26" s="585"/>
      <c r="H26" s="583"/>
      <c r="I26" s="582"/>
      <c r="J26" s="582"/>
      <c r="K26" s="582"/>
      <c r="L26" s="582"/>
      <c r="M26" s="582"/>
      <c r="N26" s="582"/>
    </row>
    <row r="27" spans="1:14" s="529" customFormat="1" ht="14">
      <c r="A27" s="530">
        <v>7</v>
      </c>
      <c r="B27" s="585" t="s">
        <v>351</v>
      </c>
      <c r="C27" s="585">
        <v>36</v>
      </c>
      <c r="D27" s="585">
        <v>0.84</v>
      </c>
      <c r="E27" s="584"/>
      <c r="F27" s="585"/>
      <c r="G27" s="585"/>
      <c r="H27" s="583"/>
      <c r="I27" s="582"/>
      <c r="J27" s="582"/>
      <c r="K27" s="582"/>
      <c r="L27" s="582"/>
      <c r="M27" s="582"/>
      <c r="N27" s="582"/>
    </row>
    <row r="28" spans="1:14" s="529" customFormat="1" ht="14">
      <c r="A28" s="1633">
        <v>8</v>
      </c>
      <c r="B28" s="1616" t="s">
        <v>977</v>
      </c>
      <c r="C28" s="585">
        <v>35.159999999999997</v>
      </c>
      <c r="D28" s="585">
        <v>0.84</v>
      </c>
      <c r="E28" s="584"/>
      <c r="F28" s="585"/>
      <c r="G28" s="585"/>
      <c r="H28" s="583"/>
      <c r="I28" s="582"/>
      <c r="J28" s="582"/>
      <c r="K28" s="582"/>
      <c r="L28" s="582"/>
      <c r="M28" s="582"/>
      <c r="N28" s="582"/>
    </row>
    <row r="29" spans="1:14" s="529" customFormat="1" ht="14">
      <c r="A29" s="1633"/>
      <c r="B29" s="1617"/>
      <c r="C29" s="585">
        <v>28.02</v>
      </c>
      <c r="D29" s="585">
        <v>2.7</v>
      </c>
      <c r="E29" s="584"/>
      <c r="F29" s="585"/>
      <c r="G29" s="585"/>
      <c r="H29" s="583"/>
      <c r="I29" s="582"/>
      <c r="J29" s="582"/>
      <c r="K29" s="582"/>
      <c r="L29" s="582"/>
      <c r="M29" s="582"/>
      <c r="N29" s="582"/>
    </row>
    <row r="30" spans="1:14" s="529" customFormat="1" ht="14">
      <c r="A30" s="530">
        <v>9</v>
      </c>
      <c r="B30" s="585" t="s">
        <v>131</v>
      </c>
      <c r="C30" s="585">
        <v>24.82</v>
      </c>
      <c r="D30" s="585">
        <v>4.03</v>
      </c>
      <c r="E30" s="584"/>
      <c r="F30" s="585"/>
      <c r="G30" s="585"/>
      <c r="H30" s="583"/>
      <c r="I30" s="582"/>
      <c r="J30" s="582"/>
      <c r="K30" s="582"/>
      <c r="L30" s="582"/>
      <c r="M30" s="582"/>
      <c r="N30" s="582"/>
    </row>
    <row r="31" spans="1:14" s="529" customFormat="1" ht="14">
      <c r="A31" s="530">
        <v>10</v>
      </c>
      <c r="B31" s="585" t="s">
        <v>128</v>
      </c>
      <c r="C31" s="585">
        <v>33.049999999999997</v>
      </c>
      <c r="D31" s="585">
        <v>1.26</v>
      </c>
      <c r="E31" s="584"/>
      <c r="F31" s="585"/>
      <c r="G31" s="585"/>
      <c r="H31" s="583"/>
      <c r="I31" s="582"/>
      <c r="J31" s="582"/>
      <c r="K31" s="582"/>
      <c r="L31" s="582"/>
      <c r="M31" s="582"/>
      <c r="N31" s="582"/>
    </row>
    <row r="32" spans="1:14" s="529" customFormat="1" ht="14">
      <c r="A32" s="530">
        <v>11</v>
      </c>
      <c r="B32" s="585" t="s">
        <v>146</v>
      </c>
      <c r="C32" s="585">
        <v>36</v>
      </c>
      <c r="D32" s="585">
        <v>0.84</v>
      </c>
      <c r="E32" s="584"/>
      <c r="F32" s="585"/>
      <c r="G32" s="585"/>
      <c r="H32" s="583"/>
      <c r="I32" s="582"/>
      <c r="J32" s="582"/>
      <c r="K32" s="582"/>
      <c r="L32" s="582"/>
      <c r="M32" s="582"/>
      <c r="N32" s="582"/>
    </row>
    <row r="33" spans="1:19" s="529" customFormat="1" ht="14">
      <c r="A33" s="1633">
        <v>12</v>
      </c>
      <c r="B33" s="1616" t="s">
        <v>976</v>
      </c>
      <c r="C33" s="585">
        <v>33.979999999999997</v>
      </c>
      <c r="D33" s="585">
        <v>0.84</v>
      </c>
      <c r="E33" s="584"/>
      <c r="F33" s="585"/>
      <c r="G33" s="585"/>
      <c r="H33" s="583"/>
      <c r="I33" s="582"/>
      <c r="J33" s="582"/>
      <c r="K33" s="582"/>
      <c r="L33" s="582"/>
      <c r="M33" s="582"/>
      <c r="N33" s="582"/>
    </row>
    <row r="34" spans="1:19" s="529" customFormat="1" ht="14">
      <c r="A34" s="1633"/>
      <c r="B34" s="1617"/>
      <c r="C34" s="585">
        <v>35.299999999999997</v>
      </c>
      <c r="D34" s="585">
        <v>0.84</v>
      </c>
      <c r="E34" s="584"/>
      <c r="F34" s="585"/>
      <c r="G34" s="585"/>
      <c r="H34" s="583"/>
      <c r="I34" s="582"/>
      <c r="J34" s="582"/>
      <c r="K34" s="582"/>
      <c r="L34" s="582"/>
      <c r="M34" s="582"/>
      <c r="N34" s="582"/>
    </row>
    <row r="35" spans="1:19" s="529" customFormat="1" ht="14">
      <c r="A35" s="530">
        <v>13</v>
      </c>
      <c r="B35" s="585" t="s">
        <v>975</v>
      </c>
      <c r="C35" s="585">
        <v>33.9</v>
      </c>
      <c r="D35" s="585">
        <v>1.68</v>
      </c>
      <c r="E35" s="584"/>
      <c r="F35" s="585"/>
      <c r="G35" s="585"/>
      <c r="H35" s="583"/>
      <c r="I35" s="582"/>
      <c r="J35" s="582"/>
      <c r="K35" s="582"/>
      <c r="L35" s="582"/>
      <c r="M35" s="582"/>
      <c r="N35" s="582"/>
    </row>
    <row r="36" spans="1:19" s="529" customFormat="1" ht="14">
      <c r="A36" s="530">
        <v>14</v>
      </c>
      <c r="B36" s="585" t="s">
        <v>336</v>
      </c>
      <c r="C36" s="585">
        <v>36.67</v>
      </c>
      <c r="D36" s="585">
        <v>0.92</v>
      </c>
      <c r="E36" s="584"/>
      <c r="F36" s="585"/>
      <c r="G36" s="585"/>
      <c r="H36" s="583"/>
      <c r="I36" s="582"/>
      <c r="J36" s="582"/>
      <c r="K36" s="582"/>
      <c r="L36" s="582"/>
      <c r="M36" s="582"/>
      <c r="N36" s="582"/>
    </row>
    <row r="37" spans="1:19" s="529" customFormat="1" ht="14">
      <c r="A37" s="1633">
        <v>15</v>
      </c>
      <c r="B37" s="1616" t="s">
        <v>974</v>
      </c>
      <c r="C37" s="585">
        <v>33.11</v>
      </c>
      <c r="D37" s="585">
        <v>0.84</v>
      </c>
      <c r="E37" s="584"/>
      <c r="F37" s="585"/>
      <c r="G37" s="585"/>
      <c r="H37" s="583"/>
      <c r="I37" s="582"/>
      <c r="J37" s="582"/>
      <c r="K37" s="582"/>
      <c r="L37" s="582"/>
      <c r="M37" s="582"/>
      <c r="N37" s="582"/>
    </row>
    <row r="38" spans="1:19" s="529" customFormat="1" ht="14">
      <c r="A38" s="1633"/>
      <c r="B38" s="1617"/>
      <c r="C38" s="585">
        <v>35.979999999999997</v>
      </c>
      <c r="D38" s="585">
        <v>0.88</v>
      </c>
      <c r="E38" s="597"/>
      <c r="F38" s="596"/>
      <c r="G38" s="596"/>
      <c r="H38" s="582"/>
      <c r="I38" s="582"/>
      <c r="J38" s="582"/>
      <c r="K38" s="582"/>
    </row>
    <row r="39" spans="1:19" s="529" customFormat="1" ht="14">
      <c r="A39" s="1633">
        <v>16</v>
      </c>
      <c r="B39" s="1616" t="s">
        <v>371</v>
      </c>
      <c r="C39" s="585">
        <v>30.36</v>
      </c>
      <c r="D39" s="585">
        <v>0.89</v>
      </c>
      <c r="E39" s="597"/>
      <c r="F39" s="596"/>
      <c r="G39" s="596"/>
      <c r="H39" s="582"/>
      <c r="I39" s="582"/>
      <c r="J39" s="582"/>
      <c r="K39" s="582"/>
    </row>
    <row r="40" spans="1:19" s="529" customFormat="1" ht="14">
      <c r="A40" s="1633"/>
      <c r="B40" s="1631"/>
      <c r="C40" s="585">
        <v>25.36</v>
      </c>
      <c r="D40" s="585">
        <v>0.9</v>
      </c>
      <c r="E40" s="585"/>
      <c r="F40" s="596"/>
      <c r="G40" s="596"/>
      <c r="H40" s="582"/>
      <c r="I40" s="582"/>
      <c r="J40" s="582"/>
      <c r="K40" s="582"/>
    </row>
    <row r="41" spans="1:19" s="529" customFormat="1" ht="14">
      <c r="A41" s="1633"/>
      <c r="B41" s="1617"/>
      <c r="C41" s="585">
        <v>33.6</v>
      </c>
      <c r="D41" s="585">
        <v>0.86</v>
      </c>
      <c r="E41" s="585"/>
      <c r="F41" s="596"/>
      <c r="G41" s="596"/>
      <c r="H41" s="582"/>
      <c r="I41" s="582"/>
      <c r="J41" s="582"/>
      <c r="K41" s="582"/>
    </row>
    <row r="42" spans="1:19" s="529" customFormat="1" ht="14">
      <c r="A42" s="530">
        <v>17</v>
      </c>
      <c r="B42" s="585" t="s">
        <v>147</v>
      </c>
      <c r="C42" s="585">
        <v>29.91</v>
      </c>
      <c r="D42" s="585">
        <v>1.7</v>
      </c>
      <c r="E42" s="585"/>
      <c r="F42" s="596"/>
      <c r="G42" s="596"/>
      <c r="H42" s="582"/>
      <c r="I42" s="582"/>
      <c r="J42" s="582"/>
      <c r="K42" s="582"/>
    </row>
    <row r="43" spans="1:19" s="529" customFormat="1" ht="14">
      <c r="A43" s="530">
        <v>18</v>
      </c>
      <c r="B43" s="585" t="s">
        <v>973</v>
      </c>
      <c r="C43" s="585">
        <v>34.799999999999997</v>
      </c>
      <c r="D43" s="585">
        <v>1.2</v>
      </c>
      <c r="E43" s="585"/>
      <c r="F43" s="596"/>
      <c r="G43" s="596"/>
      <c r="H43" s="582"/>
      <c r="I43" s="582"/>
      <c r="J43" s="582"/>
      <c r="K43" s="582"/>
    </row>
    <row r="44" spans="1:19" s="529" customFormat="1" ht="14">
      <c r="A44" s="530">
        <v>19</v>
      </c>
      <c r="B44" s="585" t="s">
        <v>953</v>
      </c>
      <c r="C44" s="585">
        <v>31.13</v>
      </c>
      <c r="D44" s="585">
        <v>1.1000000000000001</v>
      </c>
      <c r="E44" s="585"/>
      <c r="F44" s="596"/>
      <c r="G44" s="596"/>
      <c r="H44" s="582"/>
      <c r="I44" s="582"/>
      <c r="J44" s="582"/>
      <c r="K44" s="582"/>
    </row>
    <row r="45" spans="1:19" s="529" customFormat="1" ht="14">
      <c r="A45" s="530"/>
      <c r="B45" s="530"/>
      <c r="C45" s="590"/>
      <c r="D45" s="590"/>
      <c r="E45" s="595"/>
      <c r="F45" s="582"/>
      <c r="G45" s="582"/>
      <c r="H45" s="582"/>
      <c r="I45" s="582"/>
      <c r="J45" s="582"/>
      <c r="K45" s="582"/>
    </row>
    <row r="46" spans="1:19" s="529" customFormat="1" ht="14">
      <c r="A46" s="530"/>
      <c r="B46" s="530"/>
      <c r="C46" s="590"/>
      <c r="D46" s="590"/>
      <c r="E46" s="583"/>
      <c r="F46" s="582"/>
      <c r="G46" s="582"/>
      <c r="H46" s="582"/>
      <c r="I46" s="582"/>
      <c r="J46" s="582"/>
      <c r="K46" s="582"/>
    </row>
    <row r="47" spans="1:19" s="529" customFormat="1" ht="14">
      <c r="A47" s="530"/>
      <c r="B47" s="530"/>
      <c r="C47" s="530"/>
    </row>
    <row r="48" spans="1:19" s="530" customFormat="1" ht="14">
      <c r="A48" s="562" t="s">
        <v>106</v>
      </c>
      <c r="B48" s="565" t="s">
        <v>107</v>
      </c>
      <c r="C48" s="564" t="s">
        <v>4</v>
      </c>
      <c r="D48" s="563" t="s">
        <v>108</v>
      </c>
      <c r="E48" s="563" t="s">
        <v>109</v>
      </c>
      <c r="F48" s="562" t="s">
        <v>411</v>
      </c>
      <c r="G48" s="561" t="s">
        <v>950</v>
      </c>
      <c r="H48" s="561" t="s">
        <v>110</v>
      </c>
      <c r="I48" s="561" t="s">
        <v>276</v>
      </c>
      <c r="J48" s="561" t="s">
        <v>117</v>
      </c>
      <c r="K48" s="561" t="s">
        <v>275</v>
      </c>
      <c r="L48" s="562" t="s">
        <v>111</v>
      </c>
      <c r="M48" s="561" t="s">
        <v>949</v>
      </c>
      <c r="N48" s="561" t="s">
        <v>948</v>
      </c>
      <c r="O48" s="561" t="s">
        <v>129</v>
      </c>
      <c r="P48" s="561" t="s">
        <v>220</v>
      </c>
      <c r="Q48" s="537" t="s">
        <v>947</v>
      </c>
      <c r="R48" s="537" t="s">
        <v>946</v>
      </c>
      <c r="S48" s="560" t="s">
        <v>945</v>
      </c>
    </row>
    <row r="49" spans="1:19" s="547" customFormat="1" ht="14">
      <c r="A49" s="554">
        <v>205</v>
      </c>
      <c r="B49" s="559" t="s">
        <v>758</v>
      </c>
      <c r="C49" s="558" t="s">
        <v>759</v>
      </c>
      <c r="D49" s="555">
        <v>6.6</v>
      </c>
      <c r="E49" s="555">
        <v>6.5999998432</v>
      </c>
      <c r="F49" s="557" t="s">
        <v>972</v>
      </c>
      <c r="G49" s="555">
        <v>14.12</v>
      </c>
      <c r="H49" s="555">
        <v>12.26</v>
      </c>
      <c r="I49" s="555">
        <f>H49/G49</f>
        <v>0.86827195467422102</v>
      </c>
      <c r="J49" s="555">
        <v>13.28</v>
      </c>
      <c r="K49" s="555">
        <f>J49/G49</f>
        <v>0.94050991501416437</v>
      </c>
      <c r="L49" s="554">
        <v>3</v>
      </c>
      <c r="M49" s="566">
        <v>43000</v>
      </c>
      <c r="N49" s="555">
        <v>10.76</v>
      </c>
      <c r="O49" s="555">
        <f>(N49*(1+Q49/10)+R49/10)/J49</f>
        <v>0.81400602409638567</v>
      </c>
      <c r="P49" s="553" t="s">
        <v>267</v>
      </c>
      <c r="Q49" s="554">
        <f>IFERROR(MID(P49,FIND("转",P49)+1,FIND("股",P49)-(FIND("转",P49)+1)),0)</f>
        <v>0</v>
      </c>
      <c r="R49" s="554" t="str">
        <f>IFERROR(MID(P49,FIND("派",P49)+1,FIND("元",P49)-FIND("派",P49)-1),0)</f>
        <v>0.5</v>
      </c>
      <c r="S49" s="553"/>
    </row>
    <row r="50" spans="1:19" s="529" customFormat="1" ht="14">
      <c r="A50" s="530"/>
      <c r="B50" s="588" t="s">
        <v>112</v>
      </c>
      <c r="C50" s="588" t="s">
        <v>113</v>
      </c>
      <c r="D50" s="588" t="s">
        <v>943</v>
      </c>
      <c r="E50" s="589" t="s">
        <v>411</v>
      </c>
      <c r="F50" s="589" t="s">
        <v>942</v>
      </c>
      <c r="G50" s="588" t="s">
        <v>231</v>
      </c>
      <c r="H50" s="594" t="s">
        <v>941</v>
      </c>
      <c r="I50" s="587">
        <f>SUM(G51:G56)</f>
        <v>6.5999998432000009</v>
      </c>
      <c r="J50" s="586"/>
      <c r="K50" s="586"/>
      <c r="L50" s="586"/>
      <c r="M50" s="586"/>
      <c r="N50" s="586"/>
    </row>
    <row r="51" spans="1:19" s="529" customFormat="1" ht="14">
      <c r="A51" s="530">
        <v>1</v>
      </c>
      <c r="B51" s="593" t="s">
        <v>148</v>
      </c>
      <c r="C51" s="574">
        <v>13.59</v>
      </c>
      <c r="D51" s="585">
        <v>1.32</v>
      </c>
      <c r="E51" s="584"/>
      <c r="F51" s="539">
        <v>993.97590000000002</v>
      </c>
      <c r="G51" s="539">
        <v>1.3199999952000001</v>
      </c>
      <c r="H51" s="583" t="s">
        <v>126</v>
      </c>
      <c r="I51" s="138" t="s">
        <v>757</v>
      </c>
      <c r="J51" s="582"/>
      <c r="K51" s="582"/>
      <c r="L51" s="582"/>
      <c r="M51" s="582"/>
      <c r="N51" s="582"/>
    </row>
    <row r="52" spans="1:19" s="529" customFormat="1" ht="14">
      <c r="A52" s="530">
        <v>2</v>
      </c>
      <c r="B52" s="593" t="s">
        <v>634</v>
      </c>
      <c r="C52" s="574">
        <v>13.28</v>
      </c>
      <c r="D52" s="585">
        <v>2.61</v>
      </c>
      <c r="E52" s="584"/>
      <c r="F52" s="539">
        <v>1965.3614</v>
      </c>
      <c r="G52" s="539">
        <v>2.6099999392000002</v>
      </c>
      <c r="H52" s="583"/>
      <c r="I52" s="582"/>
      <c r="J52" s="582"/>
      <c r="K52" s="582"/>
      <c r="L52" s="582"/>
      <c r="M52" s="582"/>
      <c r="N52" s="582"/>
    </row>
    <row r="53" spans="1:19" s="529" customFormat="1" ht="14">
      <c r="A53" s="530">
        <v>3</v>
      </c>
      <c r="B53" s="593" t="s">
        <v>361</v>
      </c>
      <c r="C53" s="574">
        <v>13.41</v>
      </c>
      <c r="D53" s="585">
        <v>2.67</v>
      </c>
      <c r="E53" s="584"/>
      <c r="F53" s="539">
        <v>2010.5420999999999</v>
      </c>
      <c r="G53" s="539">
        <v>2.6699999087999999</v>
      </c>
      <c r="H53" s="583"/>
      <c r="I53" s="582"/>
      <c r="J53" s="582"/>
      <c r="K53" s="582"/>
      <c r="L53" s="582"/>
      <c r="M53" s="582"/>
      <c r="N53" s="582"/>
    </row>
    <row r="54" spans="1:19" s="529" customFormat="1" ht="14">
      <c r="A54" s="1633">
        <v>4</v>
      </c>
      <c r="B54" s="1619" t="s">
        <v>115</v>
      </c>
      <c r="C54" s="574">
        <v>12.87</v>
      </c>
      <c r="D54" s="585">
        <v>0.66</v>
      </c>
      <c r="E54" s="584"/>
      <c r="F54" s="539"/>
      <c r="G54" s="539"/>
      <c r="H54" s="583"/>
      <c r="I54" s="582"/>
      <c r="J54" s="582"/>
      <c r="K54" s="582"/>
      <c r="L54" s="582"/>
      <c r="M54" s="582"/>
      <c r="N54" s="582"/>
    </row>
    <row r="55" spans="1:19" s="529" customFormat="1" ht="14">
      <c r="A55" s="1633"/>
      <c r="B55" s="1622"/>
      <c r="C55" s="574">
        <v>12.5</v>
      </c>
      <c r="D55" s="585">
        <v>0.93</v>
      </c>
      <c r="E55" s="584"/>
      <c r="F55" s="539"/>
      <c r="G55" s="539"/>
      <c r="H55" s="583"/>
      <c r="I55" s="582"/>
      <c r="J55" s="582"/>
      <c r="K55" s="582"/>
      <c r="L55" s="582"/>
      <c r="M55" s="582"/>
      <c r="N55" s="582"/>
    </row>
    <row r="56" spans="1:19" s="529" customFormat="1" ht="14">
      <c r="A56" s="1633"/>
      <c r="B56" s="1620"/>
      <c r="C56" s="574">
        <v>12.29</v>
      </c>
      <c r="D56" s="585">
        <v>0.98</v>
      </c>
      <c r="E56" s="584"/>
      <c r="F56" s="539"/>
      <c r="G56" s="539"/>
      <c r="H56" s="583"/>
      <c r="I56" s="582"/>
      <c r="J56" s="582"/>
      <c r="K56" s="582"/>
      <c r="L56" s="582"/>
      <c r="M56" s="582"/>
      <c r="N56" s="582"/>
    </row>
    <row r="57" spans="1:19" s="529" customFormat="1" ht="14">
      <c r="A57" s="530">
        <v>5</v>
      </c>
      <c r="B57" s="537" t="s">
        <v>955</v>
      </c>
      <c r="C57" s="574">
        <v>12.31</v>
      </c>
      <c r="D57" s="585">
        <v>0.66</v>
      </c>
      <c r="E57" s="584"/>
      <c r="F57" s="539"/>
      <c r="G57" s="539"/>
      <c r="H57" s="583"/>
      <c r="I57" s="582"/>
      <c r="J57" s="582"/>
      <c r="K57" s="582"/>
      <c r="L57" s="582"/>
      <c r="M57" s="582"/>
      <c r="N57" s="582"/>
    </row>
    <row r="58" spans="1:19" s="529" customFormat="1" ht="14">
      <c r="A58" s="530">
        <v>6</v>
      </c>
      <c r="B58" s="537" t="s">
        <v>971</v>
      </c>
      <c r="C58" s="574">
        <v>12.36</v>
      </c>
      <c r="D58" s="585">
        <v>1.32</v>
      </c>
      <c r="E58" s="584"/>
      <c r="F58" s="539"/>
      <c r="G58" s="539"/>
      <c r="H58" s="583"/>
      <c r="I58" s="582"/>
      <c r="J58" s="582"/>
      <c r="K58" s="582"/>
      <c r="L58" s="582"/>
      <c r="M58" s="582"/>
      <c r="N58" s="582"/>
    </row>
    <row r="59" spans="1:19" s="529" customFormat="1" ht="14">
      <c r="A59" s="530">
        <v>7</v>
      </c>
      <c r="B59" s="537" t="s">
        <v>128</v>
      </c>
      <c r="C59" s="574">
        <v>12.55</v>
      </c>
      <c r="D59" s="574">
        <v>0.66</v>
      </c>
      <c r="E59" s="538"/>
      <c r="F59" s="592"/>
      <c r="G59" s="592"/>
    </row>
    <row r="60" spans="1:19" s="529" customFormat="1" ht="14">
      <c r="A60" s="530"/>
      <c r="B60" s="530"/>
      <c r="C60" s="530"/>
      <c r="D60" s="590"/>
      <c r="E60" s="591"/>
      <c r="F60" s="590"/>
      <c r="G60" s="590"/>
      <c r="H60" s="583"/>
      <c r="I60" s="582"/>
      <c r="J60" s="582"/>
      <c r="K60" s="582"/>
      <c r="L60" s="582"/>
      <c r="M60" s="582"/>
      <c r="N60" s="582"/>
    </row>
    <row r="61" spans="1:19" s="529" customFormat="1" ht="14">
      <c r="A61" s="530"/>
      <c r="B61" s="530"/>
      <c r="C61" s="530"/>
    </row>
    <row r="62" spans="1:19" s="529" customFormat="1" ht="14">
      <c r="A62" s="530"/>
      <c r="B62" s="530"/>
      <c r="C62" s="530"/>
    </row>
    <row r="63" spans="1:19" s="529" customFormat="1" ht="14">
      <c r="A63" s="530"/>
      <c r="B63" s="530"/>
      <c r="C63" s="530"/>
    </row>
    <row r="64" spans="1:19" s="530" customFormat="1" ht="14">
      <c r="A64" s="562" t="s">
        <v>106</v>
      </c>
      <c r="B64" s="565" t="s">
        <v>107</v>
      </c>
      <c r="C64" s="564" t="s">
        <v>4</v>
      </c>
      <c r="D64" s="563" t="s">
        <v>108</v>
      </c>
      <c r="E64" s="563" t="s">
        <v>109</v>
      </c>
      <c r="F64" s="562" t="s">
        <v>411</v>
      </c>
      <c r="G64" s="561" t="s">
        <v>950</v>
      </c>
      <c r="H64" s="561" t="s">
        <v>110</v>
      </c>
      <c r="I64" s="561" t="s">
        <v>276</v>
      </c>
      <c r="J64" s="561" t="s">
        <v>117</v>
      </c>
      <c r="K64" s="561" t="s">
        <v>275</v>
      </c>
      <c r="L64" s="562" t="s">
        <v>111</v>
      </c>
      <c r="M64" s="561" t="s">
        <v>949</v>
      </c>
      <c r="N64" s="561" t="s">
        <v>948</v>
      </c>
      <c r="O64" s="561" t="s">
        <v>129</v>
      </c>
      <c r="P64" s="561" t="s">
        <v>220</v>
      </c>
      <c r="Q64" s="537" t="s">
        <v>947</v>
      </c>
      <c r="R64" s="537" t="s">
        <v>946</v>
      </c>
      <c r="S64" s="560" t="s">
        <v>945</v>
      </c>
    </row>
    <row r="65" spans="1:19" s="547" customFormat="1" ht="14">
      <c r="A65" s="554">
        <v>206</v>
      </c>
      <c r="B65" s="559" t="s">
        <v>760</v>
      </c>
      <c r="C65" s="558" t="s">
        <v>761</v>
      </c>
      <c r="D65" s="555">
        <v>48</v>
      </c>
      <c r="E65" s="555">
        <v>47.999999902500001</v>
      </c>
      <c r="F65" s="557" t="s">
        <v>970</v>
      </c>
      <c r="G65" s="555">
        <v>10.95</v>
      </c>
      <c r="H65" s="555">
        <v>10.32</v>
      </c>
      <c r="I65" s="555">
        <f>H65/G65</f>
        <v>0.94246575342465766</v>
      </c>
      <c r="J65" s="555">
        <v>10.35</v>
      </c>
      <c r="K65" s="555">
        <f>J65/G65</f>
        <v>0.9452054794520548</v>
      </c>
      <c r="L65" s="554">
        <v>5</v>
      </c>
      <c r="M65" s="566">
        <v>43000</v>
      </c>
      <c r="N65" s="555">
        <v>8.06</v>
      </c>
      <c r="O65" s="555">
        <f>(N65*(1+Q65/10)+R65/10)/J65</f>
        <v>0.78357487922705327</v>
      </c>
      <c r="P65" s="553" t="s">
        <v>267</v>
      </c>
      <c r="Q65" s="554">
        <f>IFERROR(MID(P65,FIND("转",P65)+1,FIND("股",P65)-(FIND("转",P65)+1)),0)</f>
        <v>0</v>
      </c>
      <c r="R65" s="554" t="str">
        <f>IFERROR(MID(P65,FIND("派",P65)+1,FIND("元",P65)-FIND("派",P65)-1),0)</f>
        <v>0.5</v>
      </c>
      <c r="S65" s="553"/>
    </row>
    <row r="66" spans="1:19" s="529" customFormat="1" ht="14">
      <c r="A66" s="530"/>
      <c r="B66" s="588" t="s">
        <v>112</v>
      </c>
      <c r="C66" s="588" t="s">
        <v>113</v>
      </c>
      <c r="D66" s="588" t="s">
        <v>943</v>
      </c>
      <c r="E66" s="589" t="s">
        <v>411</v>
      </c>
      <c r="F66" s="589" t="s">
        <v>942</v>
      </c>
      <c r="G66" s="588" t="s">
        <v>231</v>
      </c>
      <c r="H66" s="588" t="s">
        <v>941</v>
      </c>
      <c r="I66" s="587">
        <f>SUM(G67:G73)</f>
        <v>47.999999902499994</v>
      </c>
      <c r="J66" s="586"/>
      <c r="K66" s="586"/>
      <c r="L66" s="586"/>
      <c r="M66" s="586"/>
      <c r="N66" s="586"/>
    </row>
    <row r="67" spans="1:19" s="529" customFormat="1" ht="14">
      <c r="A67" s="530">
        <v>1</v>
      </c>
      <c r="B67" s="537" t="s">
        <v>285</v>
      </c>
      <c r="C67" s="585">
        <v>10.5</v>
      </c>
      <c r="D67" s="585">
        <v>6</v>
      </c>
      <c r="E67" s="584"/>
      <c r="F67" s="585">
        <v>5797.1013999999996</v>
      </c>
      <c r="G67" s="585">
        <v>5.9999999490000002</v>
      </c>
      <c r="H67" s="583" t="s">
        <v>126</v>
      </c>
      <c r="I67" s="138" t="s">
        <v>969</v>
      </c>
      <c r="J67" s="582"/>
      <c r="K67" s="582"/>
      <c r="L67" s="582"/>
      <c r="M67" s="582"/>
      <c r="N67" s="582"/>
    </row>
    <row r="68" spans="1:19" s="529" customFormat="1" ht="14">
      <c r="A68" s="530">
        <v>2</v>
      </c>
      <c r="B68" s="537" t="s">
        <v>152</v>
      </c>
      <c r="C68" s="585">
        <v>10.4</v>
      </c>
      <c r="D68" s="585">
        <v>4.8</v>
      </c>
      <c r="E68" s="584"/>
      <c r="F68" s="585">
        <v>4637.6810999999998</v>
      </c>
      <c r="G68" s="585">
        <v>4.7999999385000001</v>
      </c>
      <c r="H68" s="583"/>
      <c r="I68" s="582"/>
      <c r="J68" s="582"/>
      <c r="K68" s="582"/>
      <c r="L68" s="582"/>
      <c r="M68" s="582"/>
      <c r="N68" s="582"/>
    </row>
    <row r="69" spans="1:19" s="529" customFormat="1" ht="14">
      <c r="A69" s="1633">
        <v>3</v>
      </c>
      <c r="B69" s="1619" t="s">
        <v>142</v>
      </c>
      <c r="C69" s="585">
        <v>10.5</v>
      </c>
      <c r="D69" s="585">
        <v>19.2</v>
      </c>
      <c r="E69" s="584"/>
      <c r="F69" s="1616">
        <v>18689.855</v>
      </c>
      <c r="G69" s="1616">
        <v>19.343999924999999</v>
      </c>
      <c r="H69" s="583"/>
      <c r="I69" s="141"/>
      <c r="J69" s="582"/>
      <c r="K69" s="582"/>
      <c r="L69" s="582"/>
      <c r="M69" s="582"/>
      <c r="N69" s="582"/>
    </row>
    <row r="70" spans="1:19" s="529" customFormat="1" ht="14">
      <c r="A70" s="1633"/>
      <c r="B70" s="1620"/>
      <c r="C70" s="585">
        <v>10.48</v>
      </c>
      <c r="D70" s="585">
        <v>19.344000000000001</v>
      </c>
      <c r="E70" s="584"/>
      <c r="F70" s="1617"/>
      <c r="G70" s="1617"/>
      <c r="H70" s="583"/>
      <c r="I70" s="582"/>
      <c r="J70" s="582"/>
      <c r="K70" s="582"/>
      <c r="L70" s="582"/>
      <c r="M70" s="582"/>
      <c r="N70" s="582"/>
    </row>
    <row r="71" spans="1:19" s="529" customFormat="1" ht="14">
      <c r="A71" s="1633">
        <v>4</v>
      </c>
      <c r="B71" s="1619" t="s">
        <v>960</v>
      </c>
      <c r="C71" s="585">
        <v>10.35</v>
      </c>
      <c r="D71" s="585">
        <v>12</v>
      </c>
      <c r="E71" s="584"/>
      <c r="F71" s="1616">
        <v>11594.202799999999</v>
      </c>
      <c r="G71" s="1616">
        <v>11.999999898</v>
      </c>
      <c r="H71" s="583"/>
      <c r="I71" s="582"/>
      <c r="J71" s="582"/>
      <c r="K71" s="582"/>
      <c r="L71" s="582"/>
      <c r="M71" s="582"/>
      <c r="N71" s="582"/>
    </row>
    <row r="72" spans="1:19" s="529" customFormat="1" ht="14">
      <c r="A72" s="1633"/>
      <c r="B72" s="1620"/>
      <c r="C72" s="585">
        <v>10.32</v>
      </c>
      <c r="D72" s="585">
        <v>12</v>
      </c>
      <c r="E72" s="584"/>
      <c r="F72" s="1617"/>
      <c r="G72" s="1617"/>
      <c r="H72" s="583"/>
      <c r="I72" s="582"/>
      <c r="J72" s="582"/>
      <c r="K72" s="582"/>
      <c r="L72" s="582"/>
      <c r="M72" s="582"/>
      <c r="N72" s="582"/>
    </row>
    <row r="73" spans="1:19" s="529" customFormat="1" ht="14">
      <c r="A73" s="1633">
        <v>5</v>
      </c>
      <c r="B73" s="1619" t="s">
        <v>278</v>
      </c>
      <c r="C73" s="585">
        <v>10.35</v>
      </c>
      <c r="D73" s="585">
        <v>12</v>
      </c>
      <c r="E73" s="584"/>
      <c r="F73" s="1616">
        <v>5657.9712</v>
      </c>
      <c r="G73" s="1616">
        <v>5.8560001919999998</v>
      </c>
      <c r="H73" s="583"/>
      <c r="I73" s="582"/>
      <c r="J73" s="582"/>
      <c r="K73" s="582"/>
      <c r="L73" s="582"/>
      <c r="M73" s="582"/>
      <c r="N73" s="582"/>
    </row>
    <row r="74" spans="1:19" s="529" customFormat="1" ht="14">
      <c r="A74" s="1633"/>
      <c r="B74" s="1620"/>
      <c r="C74" s="585">
        <v>10.32</v>
      </c>
      <c r="D74" s="585">
        <v>12</v>
      </c>
      <c r="E74" s="584"/>
      <c r="F74" s="1617"/>
      <c r="G74" s="1617"/>
      <c r="H74" s="583"/>
      <c r="I74" s="582"/>
      <c r="J74" s="582"/>
      <c r="K74" s="582"/>
      <c r="L74" s="582"/>
      <c r="M74" s="582"/>
      <c r="N74" s="582"/>
    </row>
    <row r="75" spans="1:19" s="529" customFormat="1" ht="14">
      <c r="A75" s="530"/>
      <c r="B75" s="530"/>
      <c r="C75" s="530"/>
    </row>
    <row r="76" spans="1:19" s="529" customFormat="1" ht="14">
      <c r="A76" s="530"/>
      <c r="B76" s="581"/>
      <c r="C76" s="580"/>
      <c r="D76" s="532"/>
    </row>
    <row r="77" spans="1:19" s="529" customFormat="1" ht="14">
      <c r="A77" s="530"/>
      <c r="B77" s="581"/>
      <c r="C77" s="580"/>
      <c r="D77" s="532"/>
    </row>
    <row r="78" spans="1:19" s="530" customFormat="1" ht="14">
      <c r="A78" s="562" t="s">
        <v>106</v>
      </c>
      <c r="B78" s="565" t="s">
        <v>107</v>
      </c>
      <c r="C78" s="564" t="s">
        <v>4</v>
      </c>
      <c r="D78" s="563" t="s">
        <v>108</v>
      </c>
      <c r="E78" s="563" t="s">
        <v>109</v>
      </c>
      <c r="F78" s="562" t="s">
        <v>411</v>
      </c>
      <c r="G78" s="561" t="s">
        <v>950</v>
      </c>
      <c r="H78" s="561" t="s">
        <v>110</v>
      </c>
      <c r="I78" s="561" t="s">
        <v>276</v>
      </c>
      <c r="J78" s="561" t="s">
        <v>117</v>
      </c>
      <c r="K78" s="561" t="s">
        <v>275</v>
      </c>
      <c r="L78" s="562" t="s">
        <v>111</v>
      </c>
      <c r="M78" s="561" t="s">
        <v>949</v>
      </c>
      <c r="N78" s="561" t="s">
        <v>948</v>
      </c>
      <c r="O78" s="561" t="s">
        <v>129</v>
      </c>
      <c r="P78" s="561" t="s">
        <v>220</v>
      </c>
      <c r="Q78" s="537" t="s">
        <v>947</v>
      </c>
      <c r="R78" s="537" t="s">
        <v>946</v>
      </c>
      <c r="S78" s="560" t="s">
        <v>945</v>
      </c>
    </row>
    <row r="79" spans="1:19" s="547" customFormat="1" ht="14">
      <c r="A79" s="554">
        <v>207</v>
      </c>
      <c r="B79" s="559" t="s">
        <v>763</v>
      </c>
      <c r="C79" s="558" t="s">
        <v>764</v>
      </c>
      <c r="D79" s="555">
        <v>22.392600000000002</v>
      </c>
      <c r="E79" s="555">
        <v>22.392599903800001</v>
      </c>
      <c r="F79" s="557" t="s">
        <v>968</v>
      </c>
      <c r="G79" s="555">
        <v>15.2</v>
      </c>
      <c r="H79" s="547">
        <v>12.26</v>
      </c>
      <c r="I79" s="555">
        <f>H79/G79</f>
        <v>0.80657894736842106</v>
      </c>
      <c r="J79" s="555">
        <v>13.58</v>
      </c>
      <c r="K79" s="555">
        <f>J79/G79</f>
        <v>0.893421052631579</v>
      </c>
      <c r="L79" s="554">
        <v>10</v>
      </c>
      <c r="M79" s="566">
        <v>43000</v>
      </c>
      <c r="N79" s="555">
        <v>7.29</v>
      </c>
      <c r="O79" s="555">
        <f>(N79*(1+Q79/10)+R79/10)/J79</f>
        <v>0.7006627393225332</v>
      </c>
      <c r="P79" s="553" t="s">
        <v>765</v>
      </c>
      <c r="Q79" s="554" t="str">
        <f>IFERROR(MID(P79,FIND("转",P79)+1,FIND("股",P79)-(FIND("转",P79)+1)),0)</f>
        <v>3</v>
      </c>
      <c r="R79" s="554" t="str">
        <f>IFERROR(MID(P79,FIND("派",P79)+1,FIND("元",P79)-FIND("派",P79)-1),0)</f>
        <v>0.38</v>
      </c>
      <c r="S79" s="553"/>
    </row>
    <row r="80" spans="1:19" s="540" customFormat="1" ht="14">
      <c r="A80" s="547"/>
      <c r="B80" s="551" t="s">
        <v>112</v>
      </c>
      <c r="C80" s="551" t="s">
        <v>113</v>
      </c>
      <c r="D80" s="551" t="s">
        <v>943</v>
      </c>
      <c r="E80" s="552" t="s">
        <v>411</v>
      </c>
      <c r="F80" s="552" t="s">
        <v>942</v>
      </c>
      <c r="G80" s="551" t="s">
        <v>231</v>
      </c>
      <c r="H80" s="551" t="s">
        <v>941</v>
      </c>
      <c r="I80" s="549">
        <f>SUM(G81:G95)</f>
        <v>22.392599903800004</v>
      </c>
      <c r="J80" s="548"/>
      <c r="K80" s="548"/>
      <c r="L80" s="548"/>
      <c r="M80" s="548"/>
      <c r="N80" s="548"/>
      <c r="P80" s="529"/>
    </row>
    <row r="81" spans="1:14" s="540" customFormat="1" ht="14">
      <c r="A81" s="547">
        <v>1</v>
      </c>
      <c r="B81" s="537" t="s">
        <v>967</v>
      </c>
      <c r="C81" s="574">
        <v>14.75</v>
      </c>
      <c r="D81" s="577">
        <v>2.2400000000000002</v>
      </c>
      <c r="E81" s="578"/>
      <c r="F81" s="577">
        <v>1649.4845</v>
      </c>
      <c r="G81" s="577">
        <v>2.2399999510000002</v>
      </c>
      <c r="H81" s="543" t="s">
        <v>126</v>
      </c>
      <c r="I81" s="138" t="s">
        <v>762</v>
      </c>
      <c r="J81" s="541"/>
      <c r="K81" s="541"/>
      <c r="L81" s="541"/>
      <c r="M81" s="541"/>
      <c r="N81" s="541"/>
    </row>
    <row r="82" spans="1:14" s="540" customFormat="1" ht="14">
      <c r="A82" s="547">
        <v>2</v>
      </c>
      <c r="B82" s="537" t="s">
        <v>173</v>
      </c>
      <c r="C82" s="574">
        <v>14.34</v>
      </c>
      <c r="D82" s="577">
        <v>2.2400000000000002</v>
      </c>
      <c r="E82" s="578"/>
      <c r="F82" s="577">
        <v>1649.4845</v>
      </c>
      <c r="G82" s="577">
        <v>2.2399999510000002</v>
      </c>
      <c r="H82" s="543"/>
      <c r="I82" s="542"/>
      <c r="J82" s="541"/>
      <c r="K82" s="541"/>
      <c r="L82" s="541"/>
      <c r="M82" s="541"/>
      <c r="N82" s="541"/>
    </row>
    <row r="83" spans="1:14" s="540" customFormat="1" ht="14">
      <c r="A83" s="547">
        <v>3</v>
      </c>
      <c r="B83" s="537" t="s">
        <v>966</v>
      </c>
      <c r="C83" s="574">
        <v>14.28</v>
      </c>
      <c r="D83" s="577">
        <v>2.2400000000000002</v>
      </c>
      <c r="E83" s="578"/>
      <c r="F83" s="577">
        <v>1649.4845</v>
      </c>
      <c r="G83" s="577">
        <v>2.2399999510000002</v>
      </c>
      <c r="H83" s="543"/>
      <c r="I83" s="542"/>
      <c r="J83" s="541"/>
      <c r="K83" s="541"/>
      <c r="L83" s="541"/>
      <c r="M83" s="541"/>
      <c r="N83" s="541"/>
    </row>
    <row r="84" spans="1:14" s="540" customFormat="1" ht="14">
      <c r="A84" s="547">
        <v>4</v>
      </c>
      <c r="B84" s="537" t="s">
        <v>666</v>
      </c>
      <c r="C84" s="574">
        <v>14.21</v>
      </c>
      <c r="D84" s="577">
        <v>2.5</v>
      </c>
      <c r="E84" s="578"/>
      <c r="F84" s="577">
        <v>1840.9425000000001</v>
      </c>
      <c r="G84" s="577">
        <v>2.4999999150000001</v>
      </c>
      <c r="H84" s="543"/>
      <c r="I84" s="542"/>
      <c r="J84" s="541"/>
      <c r="K84" s="541"/>
      <c r="L84" s="541"/>
      <c r="M84" s="541"/>
      <c r="N84" s="541"/>
    </row>
    <row r="85" spans="1:14" s="540" customFormat="1" ht="14">
      <c r="A85" s="547">
        <v>5</v>
      </c>
      <c r="B85" s="537" t="s">
        <v>115</v>
      </c>
      <c r="C85" s="574">
        <v>14.05</v>
      </c>
      <c r="D85" s="577">
        <v>2.5</v>
      </c>
      <c r="E85" s="578"/>
      <c r="F85" s="577">
        <v>1840.9425000000001</v>
      </c>
      <c r="G85" s="577">
        <v>2.4999999150000001</v>
      </c>
      <c r="H85" s="543"/>
      <c r="I85" s="542"/>
      <c r="J85" s="541"/>
      <c r="K85" s="541"/>
      <c r="L85" s="541"/>
      <c r="M85" s="541"/>
      <c r="N85" s="541"/>
    </row>
    <row r="86" spans="1:14" s="540" customFormat="1" ht="14">
      <c r="A86" s="547">
        <v>6</v>
      </c>
      <c r="B86" s="537" t="s">
        <v>522</v>
      </c>
      <c r="C86" s="574">
        <v>14.04</v>
      </c>
      <c r="D86" s="577">
        <v>2.2400000000000002</v>
      </c>
      <c r="E86" s="578"/>
      <c r="F86" s="577">
        <v>1649.4845</v>
      </c>
      <c r="G86" s="577">
        <v>2.2399999510000002</v>
      </c>
      <c r="H86" s="543"/>
      <c r="I86" s="542"/>
      <c r="J86" s="541"/>
      <c r="K86" s="541"/>
      <c r="L86" s="541"/>
      <c r="M86" s="541"/>
      <c r="N86" s="541"/>
    </row>
    <row r="87" spans="1:14" s="540" customFormat="1" ht="14">
      <c r="A87" s="547">
        <v>7</v>
      </c>
      <c r="B87" s="537" t="s">
        <v>13</v>
      </c>
      <c r="C87" s="574">
        <v>13.89</v>
      </c>
      <c r="D87" s="577">
        <v>2.5</v>
      </c>
      <c r="E87" s="578"/>
      <c r="F87" s="577">
        <v>1840.9425000000001</v>
      </c>
      <c r="G87" s="577">
        <v>2.4999999150000001</v>
      </c>
      <c r="H87" s="543"/>
      <c r="I87" s="542"/>
      <c r="J87" s="541"/>
      <c r="K87" s="541"/>
      <c r="L87" s="541"/>
      <c r="M87" s="541"/>
      <c r="N87" s="541"/>
    </row>
    <row r="88" spans="1:14" s="540" customFormat="1" ht="14">
      <c r="A88" s="1634">
        <v>8</v>
      </c>
      <c r="B88" s="1630" t="s">
        <v>965</v>
      </c>
      <c r="C88" s="574">
        <v>13.6</v>
      </c>
      <c r="D88" s="577">
        <v>2.2400000000000002</v>
      </c>
      <c r="E88" s="578"/>
      <c r="F88" s="1618">
        <v>1649.4845</v>
      </c>
      <c r="G88" s="1618">
        <v>2.2399999510000002</v>
      </c>
      <c r="H88" s="543"/>
      <c r="I88" s="542"/>
      <c r="J88" s="541"/>
      <c r="K88" s="541"/>
      <c r="L88" s="541"/>
      <c r="M88" s="541"/>
      <c r="N88" s="541"/>
    </row>
    <row r="89" spans="1:14" s="540" customFormat="1" ht="14">
      <c r="A89" s="1634"/>
      <c r="B89" s="1630"/>
      <c r="C89" s="574">
        <v>13.3</v>
      </c>
      <c r="D89" s="577">
        <v>2.2999999999999998</v>
      </c>
      <c r="E89" s="578"/>
      <c r="F89" s="1618"/>
      <c r="G89" s="1618"/>
      <c r="H89" s="543"/>
      <c r="I89" s="542"/>
      <c r="J89" s="541"/>
      <c r="K89" s="541"/>
      <c r="L89" s="541"/>
      <c r="M89" s="541"/>
      <c r="N89" s="541"/>
    </row>
    <row r="90" spans="1:14" s="540" customFormat="1" ht="14">
      <c r="A90" s="1634"/>
      <c r="B90" s="1630"/>
      <c r="C90" s="574">
        <v>13</v>
      </c>
      <c r="D90" s="577">
        <v>2.5</v>
      </c>
      <c r="E90" s="578"/>
      <c r="F90" s="1618"/>
      <c r="G90" s="1618"/>
      <c r="H90" s="543"/>
      <c r="I90" s="542"/>
      <c r="J90" s="541"/>
      <c r="K90" s="541"/>
      <c r="L90" s="541"/>
      <c r="M90" s="541"/>
      <c r="N90" s="541"/>
    </row>
    <row r="91" spans="1:14" s="540" customFormat="1" ht="14">
      <c r="A91" s="547">
        <v>9</v>
      </c>
      <c r="B91" s="537" t="s">
        <v>133</v>
      </c>
      <c r="C91" s="574">
        <v>13.59</v>
      </c>
      <c r="D91" s="577">
        <v>2.5</v>
      </c>
      <c r="E91" s="578"/>
      <c r="F91" s="577">
        <v>1840.9425000000001</v>
      </c>
      <c r="G91" s="577">
        <v>2.4999999150000001</v>
      </c>
      <c r="H91" s="543"/>
      <c r="I91" s="542"/>
      <c r="J91" s="541"/>
      <c r="K91" s="541"/>
      <c r="L91" s="541"/>
      <c r="M91" s="541"/>
      <c r="N91" s="541"/>
    </row>
    <row r="92" spans="1:14" s="540" customFormat="1" ht="14">
      <c r="A92" s="547">
        <v>10</v>
      </c>
      <c r="B92" s="537" t="s">
        <v>146</v>
      </c>
      <c r="C92" s="575">
        <v>13.58</v>
      </c>
      <c r="D92" s="577">
        <v>2.2400000000000002</v>
      </c>
      <c r="E92" s="578"/>
      <c r="F92" s="577">
        <v>878.20360000000005</v>
      </c>
      <c r="G92" s="577">
        <v>1.1926004887999999</v>
      </c>
      <c r="H92" s="543"/>
      <c r="I92" s="542"/>
      <c r="J92" s="541"/>
      <c r="K92" s="541"/>
      <c r="L92" s="541"/>
      <c r="M92" s="541"/>
      <c r="N92" s="541"/>
    </row>
    <row r="93" spans="1:14" s="540" customFormat="1" ht="14">
      <c r="A93" s="1634">
        <v>11</v>
      </c>
      <c r="B93" s="1630" t="s">
        <v>147</v>
      </c>
      <c r="C93" s="574">
        <v>13.34</v>
      </c>
      <c r="D93" s="577">
        <v>2.4900000000000002</v>
      </c>
      <c r="E93" s="578"/>
      <c r="F93" s="579"/>
      <c r="G93" s="579"/>
      <c r="H93" s="543"/>
      <c r="I93" s="542"/>
      <c r="J93" s="541"/>
      <c r="K93" s="541"/>
      <c r="L93" s="541"/>
      <c r="M93" s="541"/>
      <c r="N93" s="541"/>
    </row>
    <row r="94" spans="1:14" s="540" customFormat="1" ht="14">
      <c r="A94" s="1634"/>
      <c r="B94" s="1630"/>
      <c r="C94" s="574">
        <v>12.5</v>
      </c>
      <c r="D94" s="577">
        <v>2.5</v>
      </c>
      <c r="E94" s="578"/>
      <c r="F94" s="579"/>
      <c r="G94" s="579"/>
      <c r="H94" s="543"/>
      <c r="I94" s="542"/>
      <c r="J94" s="541"/>
      <c r="K94" s="541"/>
      <c r="L94" s="541"/>
      <c r="M94" s="541"/>
      <c r="N94" s="541"/>
    </row>
    <row r="95" spans="1:14" s="540" customFormat="1" ht="14">
      <c r="A95" s="547">
        <v>12</v>
      </c>
      <c r="B95" s="537" t="s">
        <v>316</v>
      </c>
      <c r="C95" s="574">
        <v>13.29</v>
      </c>
      <c r="D95" s="577">
        <v>2.2400000000000002</v>
      </c>
      <c r="E95" s="578"/>
      <c r="F95" s="577"/>
      <c r="G95" s="577"/>
      <c r="H95" s="543"/>
      <c r="I95" s="542"/>
      <c r="J95" s="541"/>
      <c r="K95" s="541"/>
      <c r="L95" s="541"/>
      <c r="M95" s="541"/>
      <c r="N95" s="541"/>
    </row>
    <row r="96" spans="1:14" s="529" customFormat="1" ht="14">
      <c r="A96" s="530">
        <v>13</v>
      </c>
      <c r="B96" s="537" t="s">
        <v>127</v>
      </c>
      <c r="C96" s="574">
        <v>13.23</v>
      </c>
      <c r="D96" s="539">
        <v>2.5</v>
      </c>
      <c r="E96" s="575"/>
      <c r="F96" s="575"/>
      <c r="G96" s="574"/>
    </row>
    <row r="97" spans="1:19" s="529" customFormat="1" ht="14">
      <c r="A97" s="530">
        <v>14</v>
      </c>
      <c r="B97" s="537" t="s">
        <v>300</v>
      </c>
      <c r="C97" s="574">
        <v>12.84</v>
      </c>
      <c r="D97" s="539">
        <v>2.2400000000000002</v>
      </c>
      <c r="E97" s="575"/>
      <c r="F97" s="575"/>
      <c r="G97" s="574"/>
    </row>
    <row r="98" spans="1:19" s="529" customFormat="1" ht="14">
      <c r="A98" s="530">
        <v>15</v>
      </c>
      <c r="B98" s="537" t="s">
        <v>953</v>
      </c>
      <c r="C98" s="574">
        <v>12.83</v>
      </c>
      <c r="D98" s="539">
        <v>2.5</v>
      </c>
      <c r="E98" s="575"/>
      <c r="F98" s="575"/>
      <c r="G98" s="574"/>
    </row>
    <row r="99" spans="1:19" s="529" customFormat="1" ht="14">
      <c r="A99" s="530">
        <v>16</v>
      </c>
      <c r="B99" s="537" t="s">
        <v>964</v>
      </c>
      <c r="C99" s="574">
        <v>12.75</v>
      </c>
      <c r="D99" s="539">
        <v>2.2400000000000002</v>
      </c>
      <c r="E99" s="575"/>
      <c r="F99" s="575"/>
      <c r="G99" s="574"/>
    </row>
    <row r="100" spans="1:19" s="529" customFormat="1" ht="14">
      <c r="A100" s="530">
        <v>17</v>
      </c>
      <c r="B100" s="537" t="s">
        <v>124</v>
      </c>
      <c r="C100" s="574">
        <v>12.38</v>
      </c>
      <c r="D100" s="539">
        <v>2.5</v>
      </c>
      <c r="E100" s="576"/>
      <c r="F100" s="575"/>
      <c r="G100" s="574"/>
    </row>
    <row r="101" spans="1:19" s="529" customFormat="1" ht="14">
      <c r="A101" s="530">
        <v>18</v>
      </c>
      <c r="B101" s="537" t="s">
        <v>131</v>
      </c>
      <c r="C101" s="574">
        <v>12.27</v>
      </c>
      <c r="D101" s="539">
        <v>2.4300000000000002</v>
      </c>
      <c r="E101" s="575"/>
      <c r="F101" s="575"/>
      <c r="G101" s="574"/>
    </row>
    <row r="102" spans="1:19" s="529" customFormat="1" ht="14">
      <c r="A102" s="530"/>
      <c r="B102" s="530"/>
      <c r="C102" s="530"/>
      <c r="E102" s="532"/>
      <c r="F102" s="532"/>
    </row>
    <row r="103" spans="1:19" s="529" customFormat="1" ht="14">
      <c r="A103" s="530"/>
      <c r="B103" s="530"/>
      <c r="C103" s="530"/>
      <c r="E103" s="532"/>
      <c r="F103" s="573"/>
    </row>
    <row r="104" spans="1:19" s="529" customFormat="1" ht="14">
      <c r="A104" s="530"/>
      <c r="B104" s="530"/>
      <c r="C104" s="530"/>
      <c r="E104" s="532"/>
      <c r="F104" s="573"/>
    </row>
    <row r="105" spans="1:19" s="530" customFormat="1" ht="14">
      <c r="A105" s="562" t="s">
        <v>106</v>
      </c>
      <c r="B105" s="565" t="s">
        <v>107</v>
      </c>
      <c r="C105" s="564" t="s">
        <v>4</v>
      </c>
      <c r="D105" s="563" t="s">
        <v>108</v>
      </c>
      <c r="E105" s="563" t="s">
        <v>109</v>
      </c>
      <c r="F105" s="562" t="s">
        <v>411</v>
      </c>
      <c r="G105" s="561" t="s">
        <v>950</v>
      </c>
      <c r="H105" s="561" t="s">
        <v>110</v>
      </c>
      <c r="I105" s="561" t="s">
        <v>276</v>
      </c>
      <c r="J105" s="561" t="s">
        <v>117</v>
      </c>
      <c r="K105" s="561" t="s">
        <v>275</v>
      </c>
      <c r="L105" s="562" t="s">
        <v>111</v>
      </c>
      <c r="M105" s="561" t="s">
        <v>949</v>
      </c>
      <c r="N105" s="561" t="s">
        <v>948</v>
      </c>
      <c r="O105" s="561" t="s">
        <v>129</v>
      </c>
      <c r="P105" s="561" t="s">
        <v>220</v>
      </c>
      <c r="Q105" s="537" t="s">
        <v>947</v>
      </c>
      <c r="R105" s="537" t="s">
        <v>946</v>
      </c>
      <c r="S105" s="560" t="s">
        <v>945</v>
      </c>
    </row>
    <row r="106" spans="1:19" s="547" customFormat="1" ht="14">
      <c r="A106" s="554">
        <v>208</v>
      </c>
      <c r="B106" s="559" t="s">
        <v>767</v>
      </c>
      <c r="C106" s="558" t="s">
        <v>768</v>
      </c>
      <c r="D106" s="555">
        <v>11.425000000000001</v>
      </c>
      <c r="E106" s="555">
        <v>11.424999616299999</v>
      </c>
      <c r="F106" s="572" t="s">
        <v>963</v>
      </c>
      <c r="G106" s="555">
        <v>15.79</v>
      </c>
      <c r="H106" s="555">
        <v>10.7</v>
      </c>
      <c r="I106" s="555">
        <f>H106/G106</f>
        <v>0.67764407853071562</v>
      </c>
      <c r="J106" s="555">
        <v>14.59</v>
      </c>
      <c r="K106" s="555">
        <f>J106/G106</f>
        <v>0.9240025332488917</v>
      </c>
      <c r="L106" s="554">
        <v>6</v>
      </c>
      <c r="M106" s="566">
        <v>43007</v>
      </c>
      <c r="N106" s="555">
        <v>16.8</v>
      </c>
      <c r="O106" s="555">
        <f>(N106*(1+Q106/10)+R106/10)/J106</f>
        <v>1.1549006168608638</v>
      </c>
      <c r="P106" s="553" t="s">
        <v>267</v>
      </c>
      <c r="Q106" s="554">
        <f>IFERROR(MID(P106,FIND("转",P106)+1,FIND("股",P106)-(FIND("转",P106)+1)),0)</f>
        <v>0</v>
      </c>
      <c r="R106" s="554" t="str">
        <f>IFERROR(MID(P106,FIND("派",P106)+1,FIND("元",P106)-FIND("派",P106)-1),0)</f>
        <v>0.5</v>
      </c>
      <c r="S106" s="553"/>
    </row>
    <row r="107" spans="1:19" s="540" customFormat="1" ht="14">
      <c r="A107" s="547"/>
      <c r="B107" s="551" t="s">
        <v>112</v>
      </c>
      <c r="C107" s="551" t="s">
        <v>113</v>
      </c>
      <c r="D107" s="551" t="s">
        <v>943</v>
      </c>
      <c r="E107" s="552" t="s">
        <v>411</v>
      </c>
      <c r="F107" s="552" t="s">
        <v>942</v>
      </c>
      <c r="G107" s="551" t="s">
        <v>231</v>
      </c>
      <c r="H107" s="550" t="s">
        <v>941</v>
      </c>
      <c r="I107" s="549">
        <f>SUM(G108:G120)</f>
        <v>11.424999616300001</v>
      </c>
      <c r="J107" s="548"/>
      <c r="K107" s="548"/>
      <c r="L107" s="548"/>
      <c r="M107" s="548"/>
      <c r="N107" s="548"/>
    </row>
    <row r="108" spans="1:19" s="540" customFormat="1" ht="14">
      <c r="A108" s="1634">
        <v>1</v>
      </c>
      <c r="B108" s="1619" t="s">
        <v>115</v>
      </c>
      <c r="C108" s="546">
        <v>15.05</v>
      </c>
      <c r="D108" s="546">
        <v>2.8809999999999998</v>
      </c>
      <c r="E108" s="544"/>
      <c r="F108" s="1623">
        <v>1974.6401000000001</v>
      </c>
      <c r="G108" s="1623">
        <v>2.8809999058999995</v>
      </c>
      <c r="H108" s="543" t="s">
        <v>126</v>
      </c>
      <c r="I108" s="138" t="s">
        <v>766</v>
      </c>
      <c r="J108" s="541"/>
      <c r="K108" s="541"/>
      <c r="L108" s="541"/>
      <c r="M108" s="541"/>
      <c r="N108" s="541"/>
    </row>
    <row r="109" spans="1:19" s="540" customFormat="1" ht="14">
      <c r="A109" s="1634"/>
      <c r="B109" s="1622"/>
      <c r="C109" s="546">
        <v>14.25</v>
      </c>
      <c r="D109" s="546">
        <v>8.1370000000000005</v>
      </c>
      <c r="E109" s="544"/>
      <c r="F109" s="1623"/>
      <c r="G109" s="1623"/>
      <c r="H109" s="543"/>
      <c r="I109" s="138"/>
      <c r="J109" s="541"/>
      <c r="K109" s="541"/>
      <c r="L109" s="541"/>
      <c r="M109" s="541"/>
      <c r="N109" s="541"/>
    </row>
    <row r="110" spans="1:19" s="540" customFormat="1" ht="14">
      <c r="A110" s="1634"/>
      <c r="B110" s="1620"/>
      <c r="C110" s="546">
        <v>13.5</v>
      </c>
      <c r="D110" s="546">
        <v>11.425000000000001</v>
      </c>
      <c r="E110" s="544"/>
      <c r="F110" s="1623"/>
      <c r="G110" s="1623"/>
      <c r="H110" s="543"/>
      <c r="I110" s="138"/>
      <c r="J110" s="541"/>
      <c r="K110" s="541"/>
      <c r="L110" s="541"/>
      <c r="M110" s="541"/>
      <c r="N110" s="541"/>
    </row>
    <row r="111" spans="1:19" s="540" customFormat="1" ht="14">
      <c r="A111" s="1634">
        <v>2</v>
      </c>
      <c r="B111" s="1619" t="s">
        <v>121</v>
      </c>
      <c r="C111" s="546">
        <v>15.78</v>
      </c>
      <c r="D111" s="546">
        <v>2.4</v>
      </c>
      <c r="E111" s="544"/>
      <c r="F111" s="1623">
        <v>1713.5023000000001</v>
      </c>
      <c r="G111" s="1623">
        <v>2.4999998557000001</v>
      </c>
      <c r="H111" s="543"/>
      <c r="I111" s="542"/>
      <c r="J111" s="541"/>
      <c r="K111" s="541"/>
      <c r="L111" s="541"/>
      <c r="M111" s="541"/>
      <c r="N111" s="541"/>
    </row>
    <row r="112" spans="1:19" s="540" customFormat="1" ht="14">
      <c r="A112" s="1634"/>
      <c r="B112" s="1622"/>
      <c r="C112" s="546">
        <v>14.97</v>
      </c>
      <c r="D112" s="546">
        <v>2.5</v>
      </c>
      <c r="E112" s="544"/>
      <c r="F112" s="1623"/>
      <c r="G112" s="1623"/>
      <c r="H112" s="543"/>
      <c r="I112" s="542"/>
      <c r="J112" s="541"/>
      <c r="K112" s="541"/>
      <c r="L112" s="541"/>
      <c r="M112" s="541"/>
      <c r="N112" s="541"/>
    </row>
    <row r="113" spans="1:14" s="540" customFormat="1" ht="14">
      <c r="A113" s="1634"/>
      <c r="B113" s="1620"/>
      <c r="C113" s="546">
        <v>12.68</v>
      </c>
      <c r="D113" s="546">
        <v>3.7</v>
      </c>
      <c r="E113" s="544"/>
      <c r="F113" s="1623"/>
      <c r="G113" s="1623"/>
      <c r="H113" s="543"/>
      <c r="I113" s="542"/>
      <c r="J113" s="541"/>
      <c r="K113" s="541"/>
      <c r="L113" s="541"/>
      <c r="M113" s="541"/>
      <c r="N113" s="541"/>
    </row>
    <row r="114" spans="1:14" s="540" customFormat="1" ht="14">
      <c r="A114" s="1634">
        <v>3</v>
      </c>
      <c r="B114" s="1619" t="s">
        <v>962</v>
      </c>
      <c r="C114" s="546">
        <v>15.48</v>
      </c>
      <c r="D114" s="546">
        <v>2.2000000000000002</v>
      </c>
      <c r="E114" s="544"/>
      <c r="F114" s="1623">
        <v>1576.4222</v>
      </c>
      <c r="G114" s="1623">
        <v>2.2999999897999999</v>
      </c>
      <c r="H114" s="543"/>
      <c r="I114" s="542"/>
      <c r="J114" s="541"/>
      <c r="K114" s="541"/>
      <c r="L114" s="541"/>
      <c r="M114" s="541"/>
      <c r="N114" s="541"/>
    </row>
    <row r="115" spans="1:14" s="540" customFormat="1" ht="14">
      <c r="A115" s="1634"/>
      <c r="B115" s="1622"/>
      <c r="C115" s="546">
        <v>15.3</v>
      </c>
      <c r="D115" s="546">
        <v>2.2999999999999998</v>
      </c>
      <c r="E115" s="544"/>
      <c r="F115" s="1623"/>
      <c r="G115" s="1623"/>
      <c r="H115" s="543"/>
      <c r="I115" s="542"/>
      <c r="J115" s="541"/>
      <c r="K115" s="541"/>
      <c r="L115" s="541"/>
      <c r="M115" s="541"/>
      <c r="N115" s="541"/>
    </row>
    <row r="116" spans="1:14" s="540" customFormat="1" ht="14">
      <c r="A116" s="1634"/>
      <c r="B116" s="1620"/>
      <c r="C116" s="546">
        <v>13.78</v>
      </c>
      <c r="D116" s="546">
        <v>2.5</v>
      </c>
      <c r="E116" s="544"/>
      <c r="F116" s="1623"/>
      <c r="G116" s="1623"/>
      <c r="H116" s="543"/>
      <c r="I116" s="542"/>
      <c r="J116" s="541"/>
      <c r="K116" s="541"/>
      <c r="L116" s="541"/>
      <c r="M116" s="541"/>
      <c r="N116" s="541"/>
    </row>
    <row r="117" spans="1:14" s="540" customFormat="1" ht="14">
      <c r="A117" s="547">
        <v>4</v>
      </c>
      <c r="B117" s="537" t="s">
        <v>233</v>
      </c>
      <c r="C117" s="546">
        <v>15</v>
      </c>
      <c r="D117" s="546">
        <v>1.5</v>
      </c>
      <c r="E117" s="544"/>
      <c r="F117" s="546">
        <v>1028.1014</v>
      </c>
      <c r="G117" s="546">
        <v>1.4999999425999999</v>
      </c>
      <c r="H117" s="543"/>
      <c r="I117" s="542"/>
      <c r="J117" s="541"/>
      <c r="K117" s="541"/>
      <c r="L117" s="541"/>
      <c r="M117" s="541"/>
      <c r="N117" s="541"/>
    </row>
    <row r="118" spans="1:14" s="540" customFormat="1" ht="14">
      <c r="A118" s="1634">
        <v>5</v>
      </c>
      <c r="B118" s="1619" t="s">
        <v>371</v>
      </c>
      <c r="C118" s="546">
        <v>15.55</v>
      </c>
      <c r="D118" s="546">
        <v>1.5</v>
      </c>
      <c r="E118" s="544"/>
      <c r="F118" s="1623">
        <v>1028.1014</v>
      </c>
      <c r="G118" s="1623">
        <v>1.4999999425999999</v>
      </c>
      <c r="H118" s="543"/>
      <c r="I118" s="542"/>
      <c r="J118" s="541"/>
      <c r="K118" s="541"/>
      <c r="L118" s="541"/>
      <c r="M118" s="541"/>
      <c r="N118" s="541"/>
    </row>
    <row r="119" spans="1:14" s="540" customFormat="1" ht="14">
      <c r="A119" s="1634"/>
      <c r="B119" s="1620"/>
      <c r="C119" s="546">
        <v>13.09</v>
      </c>
      <c r="D119" s="546">
        <v>3</v>
      </c>
      <c r="E119" s="544"/>
      <c r="F119" s="1623"/>
      <c r="G119" s="1623"/>
      <c r="H119" s="543"/>
      <c r="I119" s="542"/>
      <c r="J119" s="541"/>
      <c r="K119" s="541"/>
      <c r="L119" s="541"/>
      <c r="M119" s="541"/>
      <c r="N119" s="541"/>
    </row>
    <row r="120" spans="1:14" s="540" customFormat="1" ht="14">
      <c r="A120" s="1634">
        <v>6</v>
      </c>
      <c r="B120" s="1619" t="s">
        <v>173</v>
      </c>
      <c r="C120" s="546">
        <v>14.59</v>
      </c>
      <c r="D120" s="546">
        <v>1.56</v>
      </c>
      <c r="E120" s="544"/>
      <c r="F120" s="1624">
        <v>509.93830000000003</v>
      </c>
      <c r="G120" s="1624">
        <v>0.74399997969999998</v>
      </c>
      <c r="H120" s="543"/>
      <c r="I120" s="542"/>
      <c r="J120" s="541"/>
      <c r="K120" s="541"/>
      <c r="L120" s="541"/>
      <c r="M120" s="541"/>
      <c r="N120" s="541"/>
    </row>
    <row r="121" spans="1:14" s="540" customFormat="1" ht="14">
      <c r="A121" s="1634"/>
      <c r="B121" s="1622"/>
      <c r="C121" s="546">
        <v>14.26</v>
      </c>
      <c r="D121" s="546">
        <v>3.04</v>
      </c>
      <c r="E121" s="544"/>
      <c r="F121" s="1626"/>
      <c r="G121" s="1626"/>
      <c r="H121" s="543"/>
      <c r="I121" s="542"/>
      <c r="J121" s="541"/>
      <c r="K121" s="541"/>
      <c r="L121" s="541"/>
      <c r="M121" s="541"/>
      <c r="N121" s="541"/>
    </row>
    <row r="122" spans="1:14" s="540" customFormat="1" ht="14">
      <c r="A122" s="1634"/>
      <c r="B122" s="1620"/>
      <c r="C122" s="546">
        <v>13.79</v>
      </c>
      <c r="D122" s="546">
        <v>3.2</v>
      </c>
      <c r="E122" s="544"/>
      <c r="F122" s="1625"/>
      <c r="G122" s="1625"/>
      <c r="H122" s="543"/>
      <c r="I122" s="542"/>
      <c r="J122" s="541"/>
      <c r="K122" s="541"/>
      <c r="L122" s="541"/>
      <c r="M122" s="541"/>
      <c r="N122" s="541"/>
    </row>
    <row r="123" spans="1:14" s="540" customFormat="1" ht="14">
      <c r="A123" s="1634">
        <v>7</v>
      </c>
      <c r="B123" s="1619" t="s">
        <v>279</v>
      </c>
      <c r="C123" s="546">
        <v>14.5</v>
      </c>
      <c r="D123" s="546">
        <v>2.13</v>
      </c>
      <c r="E123" s="544"/>
      <c r="F123" s="546"/>
      <c r="G123" s="546"/>
      <c r="H123" s="543"/>
      <c r="I123" s="542"/>
      <c r="J123" s="541"/>
      <c r="K123" s="541"/>
      <c r="L123" s="541"/>
      <c r="M123" s="541"/>
      <c r="N123" s="541"/>
    </row>
    <row r="124" spans="1:14" s="540" customFormat="1" ht="14">
      <c r="A124" s="1634"/>
      <c r="B124" s="1622"/>
      <c r="C124" s="546">
        <v>14.1</v>
      </c>
      <c r="D124" s="546">
        <v>2.13</v>
      </c>
      <c r="E124" s="544"/>
      <c r="F124" s="546"/>
      <c r="G124" s="546"/>
      <c r="H124" s="543"/>
      <c r="I124" s="542"/>
      <c r="J124" s="541"/>
      <c r="K124" s="541"/>
      <c r="L124" s="541"/>
      <c r="M124" s="541"/>
      <c r="N124" s="541"/>
    </row>
    <row r="125" spans="1:14" s="540" customFormat="1" ht="14">
      <c r="A125" s="1634"/>
      <c r="B125" s="1620"/>
      <c r="C125" s="546">
        <v>13.01</v>
      </c>
      <c r="D125" s="546">
        <v>2.13</v>
      </c>
      <c r="E125" s="544"/>
      <c r="F125" s="546"/>
      <c r="G125" s="546"/>
      <c r="H125" s="543"/>
      <c r="I125" s="542"/>
      <c r="J125" s="541"/>
      <c r="K125" s="541"/>
      <c r="L125" s="541"/>
      <c r="M125" s="541"/>
      <c r="N125" s="541"/>
    </row>
    <row r="126" spans="1:14" s="540" customFormat="1" ht="14">
      <c r="A126" s="1634">
        <v>8</v>
      </c>
      <c r="B126" s="1619" t="s">
        <v>131</v>
      </c>
      <c r="C126" s="546">
        <v>11.02</v>
      </c>
      <c r="D126" s="546">
        <v>2.86</v>
      </c>
      <c r="E126" s="544"/>
      <c r="F126" s="546"/>
      <c r="G126" s="546"/>
      <c r="H126" s="543"/>
      <c r="I126" s="542"/>
      <c r="J126" s="541"/>
      <c r="K126" s="541"/>
      <c r="L126" s="541"/>
      <c r="M126" s="541"/>
      <c r="N126" s="541"/>
    </row>
    <row r="127" spans="1:14" s="540" customFormat="1" ht="14">
      <c r="A127" s="1634"/>
      <c r="B127" s="1620"/>
      <c r="C127" s="546">
        <v>10.72</v>
      </c>
      <c r="D127" s="546">
        <v>4.2</v>
      </c>
      <c r="E127" s="544"/>
      <c r="F127" s="546"/>
      <c r="G127" s="546"/>
      <c r="H127" s="543"/>
      <c r="I127" s="542"/>
      <c r="J127" s="541"/>
      <c r="K127" s="541"/>
      <c r="L127" s="541"/>
      <c r="M127" s="541"/>
      <c r="N127" s="541"/>
    </row>
    <row r="128" spans="1:14" s="540" customFormat="1" ht="14">
      <c r="A128" s="547">
        <v>9</v>
      </c>
      <c r="B128" s="537" t="s">
        <v>277</v>
      </c>
      <c r="C128" s="546">
        <v>12</v>
      </c>
      <c r="D128" s="546">
        <v>6</v>
      </c>
      <c r="E128" s="544"/>
      <c r="F128" s="546"/>
      <c r="G128" s="546"/>
      <c r="H128" s="543"/>
      <c r="I128" s="542"/>
      <c r="J128" s="541"/>
      <c r="K128" s="541"/>
      <c r="L128" s="541"/>
      <c r="M128" s="541"/>
      <c r="N128" s="541"/>
    </row>
    <row r="129" spans="1:14" s="540" customFormat="1" ht="14">
      <c r="A129" s="547">
        <v>10</v>
      </c>
      <c r="B129" s="537" t="s">
        <v>384</v>
      </c>
      <c r="C129" s="546">
        <v>14</v>
      </c>
      <c r="D129" s="546">
        <v>1.5</v>
      </c>
      <c r="E129" s="544"/>
      <c r="F129" s="546"/>
      <c r="G129" s="546"/>
      <c r="H129" s="543"/>
      <c r="I129" s="542"/>
      <c r="J129" s="541"/>
      <c r="K129" s="541"/>
      <c r="L129" s="541"/>
      <c r="M129" s="541"/>
      <c r="N129" s="541"/>
    </row>
    <row r="130" spans="1:14" s="540" customFormat="1" ht="14">
      <c r="A130" s="547">
        <v>11</v>
      </c>
      <c r="B130" s="537" t="s">
        <v>724</v>
      </c>
      <c r="C130" s="546">
        <v>13.95</v>
      </c>
      <c r="D130" s="546">
        <v>1.51</v>
      </c>
      <c r="E130" s="544"/>
      <c r="F130" s="546"/>
      <c r="G130" s="546"/>
      <c r="H130" s="543"/>
      <c r="I130" s="542"/>
      <c r="J130" s="541"/>
      <c r="K130" s="541"/>
      <c r="L130" s="541"/>
      <c r="M130" s="541"/>
      <c r="N130" s="541"/>
    </row>
    <row r="131" spans="1:14" s="540" customFormat="1" ht="14">
      <c r="A131" s="547">
        <v>12</v>
      </c>
      <c r="B131" s="537" t="s">
        <v>310</v>
      </c>
      <c r="C131" s="546">
        <v>13.9</v>
      </c>
      <c r="D131" s="546">
        <v>1.5</v>
      </c>
      <c r="E131" s="544"/>
      <c r="F131" s="546"/>
      <c r="G131" s="546"/>
      <c r="H131" s="543"/>
      <c r="I131" s="542"/>
      <c r="J131" s="541"/>
      <c r="K131" s="541"/>
      <c r="L131" s="541"/>
      <c r="M131" s="541"/>
      <c r="N131" s="541"/>
    </row>
    <row r="132" spans="1:14" s="540" customFormat="1" ht="14">
      <c r="A132" s="547">
        <v>13</v>
      </c>
      <c r="B132" s="537" t="s">
        <v>146</v>
      </c>
      <c r="C132" s="546">
        <v>13.1</v>
      </c>
      <c r="D132" s="546">
        <v>1.5</v>
      </c>
      <c r="E132" s="544"/>
      <c r="F132" s="546"/>
      <c r="G132" s="546"/>
      <c r="H132" s="543"/>
      <c r="I132" s="542"/>
      <c r="J132" s="541"/>
      <c r="K132" s="541"/>
      <c r="L132" s="541"/>
      <c r="M132" s="541"/>
      <c r="N132" s="541"/>
    </row>
    <row r="133" spans="1:14" s="540" customFormat="1" ht="14">
      <c r="A133" s="547">
        <v>14</v>
      </c>
      <c r="B133" s="537" t="s">
        <v>336</v>
      </c>
      <c r="C133" s="546">
        <v>13.32</v>
      </c>
      <c r="D133" s="546">
        <v>1.5</v>
      </c>
      <c r="E133" s="544"/>
      <c r="F133" s="546"/>
      <c r="G133" s="546"/>
      <c r="H133" s="543"/>
      <c r="I133" s="542"/>
      <c r="J133" s="541"/>
      <c r="K133" s="541"/>
      <c r="L133" s="541"/>
      <c r="M133" s="541"/>
      <c r="N133" s="541"/>
    </row>
    <row r="134" spans="1:14" s="540" customFormat="1" ht="14">
      <c r="A134" s="1634">
        <v>15</v>
      </c>
      <c r="B134" s="1619" t="s">
        <v>961</v>
      </c>
      <c r="C134" s="546">
        <v>14.52</v>
      </c>
      <c r="D134" s="546">
        <v>4.75</v>
      </c>
      <c r="E134" s="544"/>
      <c r="F134" s="546"/>
      <c r="G134" s="546"/>
      <c r="H134" s="543"/>
      <c r="I134" s="542"/>
      <c r="J134" s="541"/>
      <c r="K134" s="541"/>
      <c r="L134" s="541"/>
      <c r="M134" s="541"/>
      <c r="N134" s="541"/>
    </row>
    <row r="135" spans="1:14" s="540" customFormat="1" ht="14">
      <c r="A135" s="1634"/>
      <c r="B135" s="1622"/>
      <c r="C135" s="546">
        <v>13</v>
      </c>
      <c r="D135" s="546">
        <v>4.75</v>
      </c>
      <c r="E135" s="544"/>
      <c r="F135" s="546"/>
      <c r="G135" s="546"/>
      <c r="H135" s="543"/>
      <c r="I135" s="542"/>
      <c r="J135" s="541"/>
      <c r="K135" s="541"/>
      <c r="L135" s="541"/>
      <c r="M135" s="541"/>
      <c r="N135" s="541"/>
    </row>
    <row r="136" spans="1:14" s="540" customFormat="1" ht="14">
      <c r="A136" s="1634"/>
      <c r="B136" s="1620"/>
      <c r="C136" s="546">
        <v>12</v>
      </c>
      <c r="D136" s="546">
        <v>4.75</v>
      </c>
      <c r="E136" s="544"/>
      <c r="F136" s="546"/>
      <c r="G136" s="546"/>
      <c r="H136" s="543"/>
      <c r="I136" s="542"/>
      <c r="J136" s="541"/>
      <c r="K136" s="541"/>
      <c r="L136" s="541"/>
      <c r="M136" s="541"/>
      <c r="N136" s="541"/>
    </row>
    <row r="137" spans="1:14" s="540" customFormat="1" ht="14">
      <c r="A137" s="1634">
        <v>16</v>
      </c>
      <c r="B137" s="1619" t="s">
        <v>300</v>
      </c>
      <c r="C137" s="546">
        <v>13.79</v>
      </c>
      <c r="D137" s="546">
        <v>1.51</v>
      </c>
      <c r="E137" s="544"/>
      <c r="F137" s="546"/>
      <c r="G137" s="546"/>
      <c r="H137" s="543"/>
      <c r="I137" s="542"/>
      <c r="J137" s="541"/>
      <c r="K137" s="541"/>
      <c r="L137" s="541"/>
      <c r="M137" s="541"/>
      <c r="N137" s="541"/>
    </row>
    <row r="138" spans="1:14" s="540" customFormat="1" ht="14">
      <c r="A138" s="1634"/>
      <c r="B138" s="1620"/>
      <c r="C138" s="546">
        <v>13.47</v>
      </c>
      <c r="D138" s="546">
        <v>1.61</v>
      </c>
      <c r="E138" s="544"/>
      <c r="F138" s="546"/>
      <c r="G138" s="546"/>
      <c r="H138" s="543"/>
      <c r="I138" s="542"/>
      <c r="J138" s="541"/>
      <c r="K138" s="541"/>
      <c r="L138" s="541"/>
      <c r="M138" s="541"/>
      <c r="N138" s="541"/>
    </row>
    <row r="139" spans="1:14" s="540" customFormat="1" ht="14">
      <c r="A139" s="1634">
        <v>17</v>
      </c>
      <c r="B139" s="1619" t="s">
        <v>150</v>
      </c>
      <c r="C139" s="546">
        <v>14.56</v>
      </c>
      <c r="D139" s="546">
        <v>1.915</v>
      </c>
      <c r="E139" s="544"/>
      <c r="F139" s="546"/>
      <c r="G139" s="546"/>
      <c r="H139" s="543"/>
      <c r="I139" s="542"/>
      <c r="J139" s="541"/>
      <c r="K139" s="541"/>
      <c r="L139" s="541"/>
      <c r="M139" s="541"/>
      <c r="N139" s="541"/>
    </row>
    <row r="140" spans="1:14" s="540" customFormat="1" ht="14">
      <c r="A140" s="1634"/>
      <c r="B140" s="1622"/>
      <c r="C140" s="546">
        <v>13.66</v>
      </c>
      <c r="D140" s="546">
        <v>2.56</v>
      </c>
      <c r="E140" s="544"/>
      <c r="F140" s="546"/>
      <c r="G140" s="546"/>
      <c r="H140" s="543"/>
      <c r="I140" s="542"/>
      <c r="J140" s="541"/>
      <c r="K140" s="541"/>
      <c r="L140" s="541"/>
      <c r="M140" s="541"/>
      <c r="N140" s="541"/>
    </row>
    <row r="141" spans="1:14" s="540" customFormat="1" ht="14">
      <c r="A141" s="1634"/>
      <c r="B141" s="1620"/>
      <c r="C141" s="546">
        <v>12.8</v>
      </c>
      <c r="D141" s="546">
        <v>3.82</v>
      </c>
      <c r="E141" s="544"/>
      <c r="F141" s="546"/>
      <c r="G141" s="546"/>
      <c r="H141" s="543"/>
      <c r="I141" s="542"/>
      <c r="J141" s="541"/>
      <c r="K141" s="541"/>
      <c r="L141" s="541"/>
      <c r="M141" s="541"/>
      <c r="N141" s="541"/>
    </row>
    <row r="142" spans="1:14" s="540" customFormat="1" ht="14">
      <c r="A142" s="547">
        <v>18</v>
      </c>
      <c r="B142" s="537" t="s">
        <v>664</v>
      </c>
      <c r="C142" s="546">
        <v>12.7</v>
      </c>
      <c r="D142" s="546">
        <v>1.5</v>
      </c>
      <c r="E142" s="544"/>
      <c r="F142" s="546"/>
      <c r="G142" s="546"/>
      <c r="H142" s="543"/>
      <c r="I142" s="542"/>
      <c r="J142" s="541"/>
      <c r="K142" s="541"/>
      <c r="L142" s="541"/>
      <c r="M142" s="541"/>
      <c r="N142" s="541"/>
    </row>
    <row r="143" spans="1:14" s="540" customFormat="1" ht="14">
      <c r="A143" s="1634">
        <v>19</v>
      </c>
      <c r="B143" s="1619" t="s">
        <v>136</v>
      </c>
      <c r="C143" s="546">
        <v>14</v>
      </c>
      <c r="D143" s="546">
        <v>1.5</v>
      </c>
      <c r="E143" s="544"/>
      <c r="F143" s="546"/>
      <c r="G143" s="546"/>
      <c r="H143" s="543"/>
      <c r="I143" s="542"/>
      <c r="J143" s="541"/>
      <c r="K143" s="541"/>
      <c r="L143" s="541"/>
      <c r="M143" s="541"/>
      <c r="N143" s="541"/>
    </row>
    <row r="144" spans="1:14" s="540" customFormat="1" ht="14">
      <c r="A144" s="1634"/>
      <c r="B144" s="1622"/>
      <c r="C144" s="546">
        <v>13.48</v>
      </c>
      <c r="D144" s="546">
        <v>1.7</v>
      </c>
      <c r="E144" s="544"/>
      <c r="F144" s="546"/>
      <c r="G144" s="546"/>
      <c r="H144" s="543"/>
      <c r="I144" s="542"/>
      <c r="J144" s="541"/>
      <c r="K144" s="541"/>
      <c r="L144" s="541"/>
      <c r="M144" s="541"/>
      <c r="N144" s="541"/>
    </row>
    <row r="145" spans="1:19" s="540" customFormat="1" ht="14">
      <c r="A145" s="1634"/>
      <c r="B145" s="1620"/>
      <c r="C145" s="546">
        <v>12.68</v>
      </c>
      <c r="D145" s="546">
        <v>2.1</v>
      </c>
      <c r="E145" s="544"/>
      <c r="F145" s="546"/>
      <c r="G145" s="546"/>
      <c r="H145" s="543"/>
      <c r="I145" s="542"/>
      <c r="J145" s="541"/>
      <c r="K145" s="541"/>
      <c r="L145" s="541"/>
      <c r="M145" s="541"/>
      <c r="N145" s="541"/>
    </row>
    <row r="146" spans="1:19" s="540" customFormat="1" ht="14">
      <c r="A146" s="547">
        <v>20</v>
      </c>
      <c r="B146" s="537" t="s">
        <v>147</v>
      </c>
      <c r="C146" s="546">
        <v>13.21</v>
      </c>
      <c r="D146" s="546">
        <v>2.33</v>
      </c>
      <c r="E146" s="544"/>
      <c r="F146" s="546"/>
      <c r="G146" s="546"/>
      <c r="H146" s="543"/>
      <c r="I146" s="542"/>
      <c r="J146" s="541"/>
      <c r="K146" s="541"/>
      <c r="L146" s="541"/>
      <c r="M146" s="541"/>
      <c r="N146" s="541"/>
    </row>
    <row r="147" spans="1:19" s="540" customFormat="1" ht="14">
      <c r="A147" s="547">
        <v>21</v>
      </c>
      <c r="B147" s="537" t="s">
        <v>278</v>
      </c>
      <c r="C147" s="546">
        <v>13.6</v>
      </c>
      <c r="D147" s="546">
        <v>1.5</v>
      </c>
      <c r="E147" s="544"/>
      <c r="F147" s="546"/>
      <c r="G147" s="546"/>
      <c r="H147" s="543"/>
      <c r="I147" s="542"/>
      <c r="J147" s="541"/>
      <c r="K147" s="541"/>
      <c r="L147" s="541"/>
      <c r="M147" s="541"/>
      <c r="N147" s="541"/>
    </row>
    <row r="148" spans="1:19" s="540" customFormat="1" ht="14">
      <c r="A148" s="547">
        <v>22</v>
      </c>
      <c r="B148" s="537" t="s">
        <v>138</v>
      </c>
      <c r="C148" s="546">
        <v>13.51</v>
      </c>
      <c r="D148" s="546">
        <v>1.6</v>
      </c>
      <c r="E148" s="544"/>
      <c r="F148" s="546"/>
      <c r="G148" s="546"/>
      <c r="H148" s="543"/>
      <c r="I148" s="542"/>
      <c r="J148" s="541"/>
      <c r="K148" s="541"/>
      <c r="L148" s="541"/>
      <c r="M148" s="541"/>
      <c r="N148" s="541"/>
    </row>
    <row r="149" spans="1:19" s="540" customFormat="1" ht="14">
      <c r="A149" s="547"/>
      <c r="B149" s="530"/>
      <c r="C149" s="567"/>
      <c r="D149" s="567"/>
      <c r="E149" s="568"/>
      <c r="F149" s="567"/>
      <c r="G149" s="567"/>
      <c r="H149" s="543"/>
      <c r="I149" s="542"/>
      <c r="J149" s="541"/>
      <c r="K149" s="541"/>
      <c r="L149" s="541"/>
      <c r="M149" s="541"/>
      <c r="N149" s="541"/>
    </row>
    <row r="150" spans="1:19" s="540" customFormat="1" ht="14">
      <c r="A150" s="547"/>
      <c r="B150" s="530"/>
      <c r="C150" s="567"/>
      <c r="D150" s="567"/>
      <c r="E150" s="568"/>
      <c r="F150" s="567"/>
      <c r="G150" s="567"/>
      <c r="H150" s="543"/>
      <c r="I150" s="542"/>
      <c r="J150" s="541"/>
      <c r="K150" s="541"/>
      <c r="L150" s="541"/>
      <c r="M150" s="541"/>
      <c r="N150" s="541"/>
    </row>
    <row r="151" spans="1:19" s="540" customFormat="1" ht="14">
      <c r="A151" s="547"/>
      <c r="B151" s="530"/>
      <c r="C151" s="567"/>
      <c r="D151" s="567"/>
      <c r="E151" s="568"/>
      <c r="F151" s="567"/>
      <c r="G151" s="567"/>
      <c r="H151" s="543"/>
      <c r="I151" s="542"/>
      <c r="J151" s="541"/>
      <c r="K151" s="541"/>
      <c r="L151" s="541"/>
      <c r="M151" s="541"/>
      <c r="N151" s="541"/>
    </row>
    <row r="152" spans="1:19" s="530" customFormat="1" ht="14">
      <c r="A152" s="562" t="s">
        <v>106</v>
      </c>
      <c r="B152" s="565" t="s">
        <v>107</v>
      </c>
      <c r="C152" s="564" t="s">
        <v>4</v>
      </c>
      <c r="D152" s="563" t="s">
        <v>108</v>
      </c>
      <c r="E152" s="563" t="s">
        <v>109</v>
      </c>
      <c r="F152" s="562" t="s">
        <v>411</v>
      </c>
      <c r="G152" s="561" t="s">
        <v>950</v>
      </c>
      <c r="H152" s="561" t="s">
        <v>110</v>
      </c>
      <c r="I152" s="561" t="s">
        <v>276</v>
      </c>
      <c r="J152" s="561" t="s">
        <v>117</v>
      </c>
      <c r="K152" s="561" t="s">
        <v>275</v>
      </c>
      <c r="L152" s="562" t="s">
        <v>111</v>
      </c>
      <c r="M152" s="561" t="s">
        <v>949</v>
      </c>
      <c r="N152" s="561" t="s">
        <v>948</v>
      </c>
      <c r="O152" s="561" t="s">
        <v>129</v>
      </c>
      <c r="P152" s="561" t="s">
        <v>220</v>
      </c>
      <c r="Q152" s="537" t="s">
        <v>947</v>
      </c>
      <c r="R152" s="537" t="s">
        <v>946</v>
      </c>
      <c r="S152" s="560" t="s">
        <v>945</v>
      </c>
    </row>
    <row r="153" spans="1:19" s="547" customFormat="1" ht="14">
      <c r="A153" s="554">
        <v>209</v>
      </c>
      <c r="B153" s="559" t="s">
        <v>769</v>
      </c>
      <c r="C153" s="558" t="s">
        <v>770</v>
      </c>
      <c r="D153" s="555">
        <v>25.5</v>
      </c>
      <c r="E153" s="555">
        <v>25.499999971699999</v>
      </c>
      <c r="F153" s="571" t="s">
        <v>958</v>
      </c>
      <c r="G153" s="555">
        <v>5.59</v>
      </c>
      <c r="H153" s="555">
        <v>4.09</v>
      </c>
      <c r="I153" s="555">
        <f>H153/G153</f>
        <v>0.73166368515205726</v>
      </c>
      <c r="J153" s="555">
        <v>4.3899999999999997</v>
      </c>
      <c r="K153" s="555">
        <f>J153/G153</f>
        <v>0.78533094812164572</v>
      </c>
      <c r="L153" s="554">
        <v>7</v>
      </c>
      <c r="M153" s="566">
        <v>43004</v>
      </c>
      <c r="N153" s="555">
        <v>4.92</v>
      </c>
      <c r="O153" s="555">
        <f>(N153*(1+Q153/10)+R153/10)/J153</f>
        <v>1.1275626423690206</v>
      </c>
      <c r="P153" s="553" t="s">
        <v>236</v>
      </c>
      <c r="Q153" s="554">
        <f>IFERROR(MID(P153,FIND("转",P153)+1,FIND("股",P153)-(FIND("转",P153)+1)),0)</f>
        <v>0</v>
      </c>
      <c r="R153" s="554" t="str">
        <f>IFERROR(MID(P153,FIND("派",P153)+1,FIND("元",P153)-FIND("派",P153)-1),0)</f>
        <v>0.30</v>
      </c>
      <c r="S153" s="553"/>
    </row>
    <row r="154" spans="1:19" s="540" customFormat="1" ht="14">
      <c r="A154" s="547"/>
      <c r="B154" s="551" t="s">
        <v>112</v>
      </c>
      <c r="C154" s="551" t="s">
        <v>113</v>
      </c>
      <c r="D154" s="551" t="s">
        <v>943</v>
      </c>
      <c r="E154" s="552" t="s">
        <v>411</v>
      </c>
      <c r="F154" s="552" t="s">
        <v>942</v>
      </c>
      <c r="G154" s="551" t="s">
        <v>231</v>
      </c>
      <c r="H154" s="551" t="s">
        <v>941</v>
      </c>
      <c r="I154" s="549">
        <f>SUM(G155:G170)</f>
        <v>25.499999971699999</v>
      </c>
      <c r="J154" s="548"/>
      <c r="K154" s="548"/>
      <c r="L154" s="548"/>
      <c r="M154" s="548"/>
      <c r="N154" s="548"/>
    </row>
    <row r="155" spans="1:19" s="540" customFormat="1" ht="14">
      <c r="A155" s="1633">
        <v>1</v>
      </c>
      <c r="B155" s="1619" t="s">
        <v>320</v>
      </c>
      <c r="C155" s="569">
        <v>4.6100000000000003</v>
      </c>
      <c r="D155" s="546">
        <v>2.6</v>
      </c>
      <c r="E155" s="544"/>
      <c r="F155" s="1624">
        <v>5922.5511999999999</v>
      </c>
      <c r="G155" s="1624">
        <v>2.5999999767999999</v>
      </c>
      <c r="H155" s="543" t="s">
        <v>126</v>
      </c>
      <c r="I155" s="138" t="s">
        <v>766</v>
      </c>
      <c r="J155" s="541"/>
      <c r="K155" s="541"/>
      <c r="L155" s="541"/>
      <c r="M155" s="541"/>
      <c r="N155" s="541"/>
    </row>
    <row r="156" spans="1:19" s="540" customFormat="1" ht="14">
      <c r="A156" s="1633"/>
      <c r="B156" s="1620"/>
      <c r="C156" s="569">
        <v>4.5999999999999996</v>
      </c>
      <c r="D156" s="546">
        <v>4.8</v>
      </c>
      <c r="E156" s="544"/>
      <c r="F156" s="1625"/>
      <c r="G156" s="1625"/>
      <c r="H156" s="543"/>
      <c r="I156" s="140"/>
      <c r="J156" s="541"/>
      <c r="K156" s="541"/>
      <c r="L156" s="541"/>
      <c r="M156" s="541"/>
      <c r="N156" s="541"/>
    </row>
    <row r="157" spans="1:19" s="540" customFormat="1" ht="14">
      <c r="A157" s="1633">
        <v>2</v>
      </c>
      <c r="B157" s="1619" t="s">
        <v>960</v>
      </c>
      <c r="C157" s="569">
        <v>4.45</v>
      </c>
      <c r="D157" s="546">
        <v>4.8</v>
      </c>
      <c r="E157" s="544"/>
      <c r="F157" s="1624">
        <v>10933.940699999999</v>
      </c>
      <c r="G157" s="1624">
        <v>4.7999999672999998</v>
      </c>
      <c r="H157" s="543"/>
      <c r="I157" s="542"/>
      <c r="J157" s="541"/>
      <c r="K157" s="541"/>
      <c r="L157" s="541"/>
      <c r="M157" s="541"/>
      <c r="N157" s="541"/>
    </row>
    <row r="158" spans="1:19" s="540" customFormat="1" ht="14">
      <c r="A158" s="1633"/>
      <c r="B158" s="1620"/>
      <c r="C158" s="569">
        <v>4.55</v>
      </c>
      <c r="D158" s="546">
        <v>5</v>
      </c>
      <c r="E158" s="544"/>
      <c r="F158" s="1625"/>
      <c r="G158" s="1625"/>
      <c r="H158" s="543"/>
      <c r="I158" s="542"/>
      <c r="J158" s="541"/>
      <c r="K158" s="541"/>
      <c r="L158" s="541"/>
      <c r="M158" s="541"/>
      <c r="N158" s="541"/>
    </row>
    <row r="159" spans="1:19" s="540" customFormat="1" ht="14">
      <c r="A159" s="1633">
        <v>3</v>
      </c>
      <c r="B159" s="1619" t="s">
        <v>337</v>
      </c>
      <c r="C159" s="569">
        <v>4.5</v>
      </c>
      <c r="D159" s="546">
        <v>5</v>
      </c>
      <c r="E159" s="544"/>
      <c r="F159" s="1624">
        <v>11389.5216</v>
      </c>
      <c r="G159" s="1624">
        <v>4.9999999824000003</v>
      </c>
      <c r="H159" s="543"/>
      <c r="I159" s="542"/>
      <c r="J159" s="541"/>
      <c r="K159" s="541"/>
      <c r="L159" s="541"/>
      <c r="M159" s="541"/>
      <c r="N159" s="541"/>
    </row>
    <row r="160" spans="1:19" s="540" customFormat="1" ht="14">
      <c r="A160" s="1633"/>
      <c r="B160" s="1620"/>
      <c r="C160" s="569">
        <v>4.53</v>
      </c>
      <c r="D160" s="546">
        <v>4.8</v>
      </c>
      <c r="E160" s="544"/>
      <c r="F160" s="1625"/>
      <c r="G160" s="1625"/>
      <c r="H160" s="543"/>
      <c r="I160" s="542"/>
      <c r="J160" s="541"/>
      <c r="K160" s="541"/>
      <c r="L160" s="541"/>
      <c r="M160" s="541"/>
      <c r="N160" s="541"/>
    </row>
    <row r="161" spans="1:19" s="540" customFormat="1" ht="14">
      <c r="A161" s="1633">
        <v>4</v>
      </c>
      <c r="B161" s="1619" t="s">
        <v>336</v>
      </c>
      <c r="C161" s="569">
        <v>4.5</v>
      </c>
      <c r="D161" s="546">
        <v>4.8</v>
      </c>
      <c r="E161" s="544"/>
      <c r="F161" s="1624">
        <v>10933.940699999999</v>
      </c>
      <c r="G161" s="1624">
        <v>4.7999999672999998</v>
      </c>
      <c r="H161" s="543"/>
      <c r="I161" s="542"/>
      <c r="J161" s="541"/>
      <c r="K161" s="541"/>
      <c r="L161" s="541"/>
      <c r="M161" s="541"/>
      <c r="N161" s="541"/>
    </row>
    <row r="162" spans="1:19" s="540" customFormat="1" ht="14">
      <c r="A162" s="1633"/>
      <c r="B162" s="1620"/>
      <c r="C162" s="569">
        <v>4.5</v>
      </c>
      <c r="D162" s="546">
        <v>3.35</v>
      </c>
      <c r="E162" s="544"/>
      <c r="F162" s="1625"/>
      <c r="G162" s="1625"/>
      <c r="H162" s="543"/>
      <c r="I162" s="542"/>
      <c r="J162" s="541"/>
      <c r="K162" s="541"/>
      <c r="L162" s="541"/>
      <c r="M162" s="541"/>
      <c r="N162" s="541"/>
    </row>
    <row r="163" spans="1:19" s="540" customFormat="1" ht="14">
      <c r="A163" s="530">
        <v>5</v>
      </c>
      <c r="B163" s="537" t="s">
        <v>417</v>
      </c>
      <c r="C163" s="569">
        <v>4.4000000000000004</v>
      </c>
      <c r="D163" s="546">
        <v>3.35</v>
      </c>
      <c r="E163" s="544"/>
      <c r="F163" s="546">
        <v>7630.9794000000002</v>
      </c>
      <c r="G163" s="546">
        <v>3.3499999566000001</v>
      </c>
      <c r="H163" s="543"/>
      <c r="I163" s="542"/>
      <c r="J163" s="541"/>
      <c r="K163" s="541"/>
      <c r="L163" s="541"/>
      <c r="M163" s="541"/>
      <c r="N163" s="541"/>
    </row>
    <row r="164" spans="1:19" s="540" customFormat="1" ht="14">
      <c r="A164" s="530">
        <v>6</v>
      </c>
      <c r="B164" s="537" t="s">
        <v>147</v>
      </c>
      <c r="C164" s="569">
        <v>4.3899999999999997</v>
      </c>
      <c r="D164" s="546">
        <v>3.4683339999999996</v>
      </c>
      <c r="E164" s="544"/>
      <c r="F164" s="546">
        <v>5125.2849999999999</v>
      </c>
      <c r="G164" s="546">
        <v>2.2500001150000002</v>
      </c>
      <c r="H164" s="543"/>
      <c r="I164" s="542"/>
      <c r="J164" s="541"/>
      <c r="K164" s="541"/>
      <c r="L164" s="541"/>
      <c r="M164" s="541"/>
      <c r="N164" s="541"/>
    </row>
    <row r="165" spans="1:19" s="540" customFormat="1" ht="14">
      <c r="A165" s="530">
        <v>7</v>
      </c>
      <c r="B165" s="537" t="s">
        <v>959</v>
      </c>
      <c r="C165" s="546"/>
      <c r="D165" s="546"/>
      <c r="E165" s="544"/>
      <c r="F165" s="546">
        <v>6150.3416999999999</v>
      </c>
      <c r="G165" s="546">
        <v>2.7000000062999998</v>
      </c>
      <c r="H165" s="543"/>
      <c r="I165" s="542"/>
      <c r="J165" s="541"/>
      <c r="K165" s="541"/>
      <c r="L165" s="541"/>
      <c r="M165" s="541"/>
      <c r="N165" s="541"/>
    </row>
    <row r="166" spans="1:19" s="540" customFormat="1" ht="14">
      <c r="A166" s="1633">
        <v>8</v>
      </c>
      <c r="B166" s="1619" t="s">
        <v>121</v>
      </c>
      <c r="C166" s="569">
        <v>4.3</v>
      </c>
      <c r="D166" s="546">
        <v>2.533334</v>
      </c>
      <c r="E166" s="544"/>
      <c r="F166" s="1624"/>
      <c r="G166" s="1624"/>
      <c r="H166" s="543"/>
      <c r="I166" s="542"/>
      <c r="J166" s="541"/>
      <c r="K166" s="541"/>
      <c r="L166" s="541"/>
      <c r="M166" s="541"/>
      <c r="N166" s="541"/>
    </row>
    <row r="167" spans="1:19" s="540" customFormat="1" ht="14">
      <c r="A167" s="1633"/>
      <c r="B167" s="1620"/>
      <c r="C167" s="570">
        <v>4.28</v>
      </c>
      <c r="D167" s="546">
        <v>2.5339999999999998</v>
      </c>
      <c r="E167" s="544"/>
      <c r="F167" s="1625"/>
      <c r="G167" s="1625"/>
      <c r="H167" s="543"/>
      <c r="I167" s="542"/>
      <c r="J167" s="541"/>
      <c r="K167" s="541"/>
      <c r="L167" s="541"/>
      <c r="M167" s="541"/>
      <c r="N167" s="541"/>
    </row>
    <row r="168" spans="1:19" s="540" customFormat="1" ht="14">
      <c r="A168" s="530">
        <v>9</v>
      </c>
      <c r="B168" s="537" t="s">
        <v>115</v>
      </c>
      <c r="C168" s="569">
        <v>4.09</v>
      </c>
      <c r="D168" s="546">
        <v>2.8540000000000001</v>
      </c>
      <c r="E168" s="544"/>
      <c r="F168" s="546"/>
      <c r="G168" s="546"/>
      <c r="H168" s="543"/>
      <c r="I168" s="542"/>
      <c r="J168" s="541"/>
      <c r="K168" s="541"/>
      <c r="L168" s="541"/>
      <c r="M168" s="541"/>
      <c r="N168" s="541"/>
    </row>
    <row r="169" spans="1:19" s="540" customFormat="1" ht="14">
      <c r="A169" s="530">
        <v>10</v>
      </c>
      <c r="B169" s="537" t="s">
        <v>953</v>
      </c>
      <c r="C169" s="569">
        <v>4.28</v>
      </c>
      <c r="D169" s="546">
        <v>2.8</v>
      </c>
      <c r="E169" s="544"/>
      <c r="F169" s="546"/>
      <c r="G169" s="546"/>
      <c r="H169" s="543"/>
      <c r="I169" s="542"/>
      <c r="J169" s="541"/>
      <c r="K169" s="541"/>
      <c r="L169" s="541"/>
      <c r="M169" s="541"/>
      <c r="N169" s="541"/>
    </row>
    <row r="170" spans="1:19" s="540" customFormat="1" ht="14">
      <c r="A170" s="530">
        <v>11</v>
      </c>
      <c r="B170" s="537" t="s">
        <v>300</v>
      </c>
      <c r="C170" s="569">
        <v>4.1900000000000004</v>
      </c>
      <c r="D170" s="546">
        <v>2.54</v>
      </c>
      <c r="E170" s="544"/>
      <c r="F170" s="546"/>
      <c r="G170" s="546"/>
      <c r="H170" s="543"/>
      <c r="I170" s="542"/>
      <c r="J170" s="541"/>
      <c r="K170" s="541"/>
      <c r="L170" s="541"/>
      <c r="M170" s="541"/>
      <c r="N170" s="541"/>
    </row>
    <row r="171" spans="1:19" s="540" customFormat="1" ht="14">
      <c r="A171" s="530"/>
      <c r="B171" s="530"/>
      <c r="C171" s="567"/>
      <c r="D171" s="567"/>
      <c r="E171" s="568"/>
      <c r="F171" s="567"/>
      <c r="G171" s="567"/>
      <c r="H171" s="543"/>
      <c r="I171" s="542"/>
      <c r="J171" s="541"/>
      <c r="K171" s="541"/>
      <c r="L171" s="541"/>
      <c r="M171" s="541"/>
      <c r="N171" s="541"/>
    </row>
    <row r="172" spans="1:19" s="540" customFormat="1" ht="14">
      <c r="A172" s="530"/>
      <c r="B172" s="530"/>
      <c r="C172" s="567"/>
      <c r="D172" s="567"/>
      <c r="E172" s="568"/>
      <c r="F172" s="567"/>
      <c r="G172" s="567"/>
      <c r="H172" s="543"/>
      <c r="I172" s="542"/>
      <c r="J172" s="541"/>
      <c r="K172" s="541"/>
      <c r="L172" s="541"/>
      <c r="M172" s="541"/>
      <c r="N172" s="541"/>
    </row>
    <row r="173" spans="1:19" s="540" customFormat="1" ht="14">
      <c r="A173" s="530"/>
      <c r="B173" s="530"/>
      <c r="C173" s="567"/>
      <c r="D173" s="567"/>
      <c r="E173" s="568"/>
      <c r="F173" s="567"/>
      <c r="G173" s="567"/>
      <c r="H173" s="543"/>
      <c r="I173" s="542"/>
      <c r="J173" s="541"/>
      <c r="K173" s="541"/>
      <c r="L173" s="541"/>
      <c r="M173" s="541"/>
      <c r="N173" s="541"/>
    </row>
    <row r="174" spans="1:19" s="530" customFormat="1" ht="14">
      <c r="A174" s="562" t="s">
        <v>106</v>
      </c>
      <c r="B174" s="565" t="s">
        <v>107</v>
      </c>
      <c r="C174" s="564" t="s">
        <v>4</v>
      </c>
      <c r="D174" s="563" t="s">
        <v>108</v>
      </c>
      <c r="E174" s="563" t="s">
        <v>109</v>
      </c>
      <c r="F174" s="562" t="s">
        <v>411</v>
      </c>
      <c r="G174" s="561" t="s">
        <v>950</v>
      </c>
      <c r="H174" s="561" t="s">
        <v>110</v>
      </c>
      <c r="I174" s="561" t="s">
        <v>276</v>
      </c>
      <c r="J174" s="561" t="s">
        <v>117</v>
      </c>
      <c r="K174" s="561" t="s">
        <v>275</v>
      </c>
      <c r="L174" s="562" t="s">
        <v>111</v>
      </c>
      <c r="M174" s="561" t="s">
        <v>949</v>
      </c>
      <c r="N174" s="561" t="s">
        <v>948</v>
      </c>
      <c r="O174" s="561" t="s">
        <v>129</v>
      </c>
      <c r="P174" s="561" t="s">
        <v>220</v>
      </c>
      <c r="Q174" s="537" t="s">
        <v>947</v>
      </c>
      <c r="R174" s="537" t="s">
        <v>946</v>
      </c>
      <c r="S174" s="560" t="s">
        <v>945</v>
      </c>
    </row>
    <row r="175" spans="1:19" s="547" customFormat="1" ht="14">
      <c r="A175" s="554">
        <v>210</v>
      </c>
      <c r="B175" s="559" t="s">
        <v>772</v>
      </c>
      <c r="C175" s="558" t="s">
        <v>773</v>
      </c>
      <c r="D175" s="555">
        <v>35.054200000000002</v>
      </c>
      <c r="E175" s="555">
        <v>35.054199920199999</v>
      </c>
      <c r="F175" s="557" t="s">
        <v>958</v>
      </c>
      <c r="G175" s="555">
        <v>22.44</v>
      </c>
      <c r="H175" s="555">
        <v>14.61</v>
      </c>
      <c r="I175" s="555">
        <f>H175/G175</f>
        <v>0.65106951871657748</v>
      </c>
      <c r="J175" s="555">
        <v>14.66</v>
      </c>
      <c r="K175" s="555">
        <f>J175/G175</f>
        <v>0.65329768270944744</v>
      </c>
      <c r="L175" s="554">
        <v>9</v>
      </c>
      <c r="M175" s="566">
        <v>43005</v>
      </c>
      <c r="N175" s="555">
        <v>14.36</v>
      </c>
      <c r="O175" s="555">
        <f>(N175*(1+Q175/10)+R175/10)/J175</f>
        <v>0.98035470668485669</v>
      </c>
      <c r="P175" s="553" t="s">
        <v>774</v>
      </c>
      <c r="Q175" s="554">
        <f>IFERROR(MID(P175,FIND("转",P175)+1,FIND("股",P175)-(FIND("转",P175)+1)),0)</f>
        <v>0</v>
      </c>
      <c r="R175" s="554" t="str">
        <f>IFERROR(MID(P175,FIND("派",P175)+1,FIND("元",P175)-FIND("派",P175)-1),0)</f>
        <v>0.12</v>
      </c>
      <c r="S175" s="553"/>
    </row>
    <row r="176" spans="1:19" s="540" customFormat="1" ht="14">
      <c r="A176" s="547"/>
      <c r="B176" s="551" t="s">
        <v>112</v>
      </c>
      <c r="C176" s="551" t="s">
        <v>113</v>
      </c>
      <c r="D176" s="551" t="s">
        <v>943</v>
      </c>
      <c r="E176" s="552" t="s">
        <v>411</v>
      </c>
      <c r="F176" s="552" t="s">
        <v>942</v>
      </c>
      <c r="G176" s="551" t="s">
        <v>231</v>
      </c>
      <c r="H176" s="551" t="s">
        <v>941</v>
      </c>
      <c r="I176" s="549">
        <f>SUM(G177:G194)</f>
        <v>35.054199920199999</v>
      </c>
      <c r="J176" s="548"/>
      <c r="K176" s="548"/>
      <c r="L176" s="548"/>
      <c r="M176" s="548"/>
      <c r="N176" s="548"/>
    </row>
    <row r="177" spans="1:14" s="540" customFormat="1">
      <c r="A177" s="1634">
        <v>1</v>
      </c>
      <c r="B177" s="1627" t="s">
        <v>146</v>
      </c>
      <c r="C177" s="546">
        <v>18.7</v>
      </c>
      <c r="D177" s="546">
        <v>3.5055000000000001</v>
      </c>
      <c r="E177" s="544"/>
      <c r="F177" s="1624">
        <v>2391.2004999999999</v>
      </c>
      <c r="G177" s="1624">
        <v>3.5054999330000003</v>
      </c>
      <c r="H177" s="543" t="s">
        <v>126</v>
      </c>
      <c r="I177" s="139" t="s">
        <v>771</v>
      </c>
      <c r="J177" s="541"/>
      <c r="K177" s="541"/>
      <c r="L177" s="541"/>
      <c r="M177" s="541"/>
      <c r="N177" s="541"/>
    </row>
    <row r="178" spans="1:14" s="540" customFormat="1" ht="14">
      <c r="A178" s="1634"/>
      <c r="B178" s="1628"/>
      <c r="C178" s="546">
        <v>18.05</v>
      </c>
      <c r="D178" s="546">
        <v>3.5055000000000001</v>
      </c>
      <c r="E178" s="544"/>
      <c r="F178" s="1626"/>
      <c r="G178" s="1626"/>
      <c r="H178" s="543"/>
      <c r="I178" s="542"/>
      <c r="J178" s="541"/>
      <c r="K178" s="541"/>
      <c r="L178" s="541"/>
      <c r="M178" s="541"/>
      <c r="N178" s="541"/>
    </row>
    <row r="179" spans="1:14" s="540" customFormat="1" ht="14">
      <c r="A179" s="1634"/>
      <c r="B179" s="1629"/>
      <c r="C179" s="546">
        <v>17.399999999999999</v>
      </c>
      <c r="D179" s="546">
        <v>3.5055000000000001</v>
      </c>
      <c r="E179" s="544"/>
      <c r="F179" s="1625"/>
      <c r="G179" s="1625"/>
      <c r="H179" s="543"/>
      <c r="I179" s="542"/>
      <c r="J179" s="541"/>
      <c r="K179" s="541"/>
      <c r="L179" s="541"/>
      <c r="M179" s="541"/>
      <c r="N179" s="541"/>
    </row>
    <row r="180" spans="1:14" s="540" customFormat="1" ht="14">
      <c r="A180" s="547">
        <v>2</v>
      </c>
      <c r="B180" s="554" t="s">
        <v>320</v>
      </c>
      <c r="C180" s="546">
        <v>18.37</v>
      </c>
      <c r="D180" s="546">
        <v>3.7</v>
      </c>
      <c r="E180" s="544"/>
      <c r="F180" s="546">
        <v>2523.8744000000002</v>
      </c>
      <c r="G180" s="546">
        <v>3.6999998704000001</v>
      </c>
      <c r="H180" s="543"/>
      <c r="I180" s="542"/>
      <c r="J180" s="541"/>
      <c r="K180" s="541"/>
      <c r="L180" s="541"/>
      <c r="M180" s="541"/>
      <c r="N180" s="541"/>
    </row>
    <row r="181" spans="1:14" s="540" customFormat="1" ht="14">
      <c r="A181" s="547">
        <v>3</v>
      </c>
      <c r="B181" s="554" t="s">
        <v>666</v>
      </c>
      <c r="C181" s="546">
        <v>18</v>
      </c>
      <c r="D181" s="546">
        <v>5.9909999999999997</v>
      </c>
      <c r="E181" s="544"/>
      <c r="F181" s="546">
        <v>4086.6302000000001</v>
      </c>
      <c r="G181" s="546">
        <v>5.9909998732000007</v>
      </c>
      <c r="H181" s="543"/>
      <c r="I181" s="542"/>
      <c r="J181" s="541"/>
      <c r="K181" s="541"/>
      <c r="L181" s="541"/>
      <c r="M181" s="541"/>
      <c r="N181" s="541"/>
    </row>
    <row r="182" spans="1:14" s="540" customFormat="1" ht="14">
      <c r="A182" s="1634">
        <v>4</v>
      </c>
      <c r="B182" s="1627" t="s">
        <v>115</v>
      </c>
      <c r="C182" s="546">
        <v>17.25</v>
      </c>
      <c r="D182" s="546">
        <v>3.55</v>
      </c>
      <c r="E182" s="544"/>
      <c r="F182" s="1624">
        <v>2873.8062</v>
      </c>
      <c r="G182" s="1624">
        <v>4.2129998891999998</v>
      </c>
      <c r="H182" s="543"/>
      <c r="I182" s="542"/>
      <c r="J182" s="541"/>
      <c r="K182" s="541"/>
      <c r="L182" s="541"/>
      <c r="M182" s="541"/>
      <c r="N182" s="541"/>
    </row>
    <row r="183" spans="1:14" s="540" customFormat="1" ht="14">
      <c r="A183" s="1634"/>
      <c r="B183" s="1628"/>
      <c r="C183" s="546">
        <v>16.7</v>
      </c>
      <c r="D183" s="546">
        <v>3.82</v>
      </c>
      <c r="E183" s="544"/>
      <c r="F183" s="1626"/>
      <c r="G183" s="1626"/>
      <c r="H183" s="543"/>
      <c r="I183" s="542"/>
      <c r="J183" s="541"/>
      <c r="K183" s="541"/>
      <c r="L183" s="541"/>
      <c r="M183" s="541"/>
      <c r="N183" s="541"/>
    </row>
    <row r="184" spans="1:14" s="540" customFormat="1" ht="14">
      <c r="A184" s="1634"/>
      <c r="B184" s="1629"/>
      <c r="C184" s="546">
        <v>15.5</v>
      </c>
      <c r="D184" s="546">
        <v>4.2130000000000001</v>
      </c>
      <c r="E184" s="544"/>
      <c r="F184" s="1625"/>
      <c r="G184" s="1625"/>
      <c r="H184" s="543"/>
      <c r="I184" s="542"/>
      <c r="J184" s="541"/>
      <c r="K184" s="541"/>
      <c r="L184" s="541"/>
      <c r="M184" s="541"/>
      <c r="N184" s="541"/>
    </row>
    <row r="185" spans="1:14" s="540" customFormat="1" ht="14">
      <c r="A185" s="1634">
        <v>5</v>
      </c>
      <c r="B185" s="1627" t="s">
        <v>131</v>
      </c>
      <c r="C185" s="546">
        <v>15.32</v>
      </c>
      <c r="D185" s="546">
        <v>3.5449999999999999</v>
      </c>
      <c r="E185" s="544"/>
      <c r="F185" s="1624">
        <v>2418.1446000000001</v>
      </c>
      <c r="G185" s="1624">
        <v>3.5449999836000003</v>
      </c>
      <c r="H185" s="543"/>
      <c r="I185" s="542"/>
      <c r="J185" s="541"/>
      <c r="K185" s="541"/>
      <c r="L185" s="541"/>
      <c r="M185" s="541"/>
      <c r="N185" s="541"/>
    </row>
    <row r="186" spans="1:14" s="540" customFormat="1" ht="14">
      <c r="A186" s="1634"/>
      <c r="B186" s="1629"/>
      <c r="C186" s="546">
        <v>14.63</v>
      </c>
      <c r="D186" s="546">
        <v>4.0549999999999997</v>
      </c>
      <c r="E186" s="544"/>
      <c r="F186" s="1625"/>
      <c r="G186" s="1625"/>
      <c r="H186" s="543"/>
      <c r="I186" s="542"/>
      <c r="J186" s="541"/>
      <c r="K186" s="541"/>
      <c r="L186" s="541"/>
      <c r="M186" s="541"/>
      <c r="N186" s="541"/>
    </row>
    <row r="187" spans="1:14" s="540" customFormat="1" ht="14">
      <c r="A187" s="547">
        <v>6</v>
      </c>
      <c r="B187" s="554" t="s">
        <v>336</v>
      </c>
      <c r="C187" s="546">
        <v>15.31</v>
      </c>
      <c r="D187" s="546">
        <v>3.56</v>
      </c>
      <c r="E187" s="544"/>
      <c r="F187" s="546">
        <v>2428.3764999999999</v>
      </c>
      <c r="G187" s="546">
        <v>3.5599999489999998</v>
      </c>
      <c r="H187" s="543"/>
      <c r="I187" s="542"/>
      <c r="J187" s="541"/>
      <c r="K187" s="541"/>
      <c r="L187" s="541"/>
      <c r="M187" s="541"/>
      <c r="N187" s="541"/>
    </row>
    <row r="188" spans="1:14" s="540" customFormat="1" ht="14">
      <c r="A188" s="547">
        <v>7</v>
      </c>
      <c r="B188" s="554" t="s">
        <v>953</v>
      </c>
      <c r="C188" s="546">
        <v>15.28</v>
      </c>
      <c r="D188" s="546">
        <v>4</v>
      </c>
      <c r="E188" s="544"/>
      <c r="F188" s="546">
        <v>2728.5129000000002</v>
      </c>
      <c r="G188" s="546">
        <v>3.9999999113999998</v>
      </c>
      <c r="H188" s="543"/>
      <c r="I188" s="542"/>
      <c r="J188" s="541"/>
      <c r="K188" s="541"/>
      <c r="L188" s="541"/>
      <c r="M188" s="541"/>
      <c r="N188" s="541"/>
    </row>
    <row r="189" spans="1:14" s="540" customFormat="1" ht="14">
      <c r="A189" s="547">
        <v>8</v>
      </c>
      <c r="B189" s="554" t="s">
        <v>150</v>
      </c>
      <c r="C189" s="546">
        <v>14.66</v>
      </c>
      <c r="D189" s="546">
        <v>3.5550000000000002</v>
      </c>
      <c r="E189" s="544"/>
      <c r="F189" s="546">
        <v>2424.9657999999999</v>
      </c>
      <c r="G189" s="546">
        <v>3.5549998627999999</v>
      </c>
      <c r="H189" s="543"/>
      <c r="I189" s="542"/>
      <c r="J189" s="541"/>
      <c r="K189" s="541"/>
      <c r="L189" s="541"/>
      <c r="M189" s="541"/>
      <c r="N189" s="541"/>
    </row>
    <row r="190" spans="1:14" s="540" customFormat="1" ht="14">
      <c r="A190" s="547">
        <v>9</v>
      </c>
      <c r="B190" s="554" t="s">
        <v>957</v>
      </c>
      <c r="C190" s="546">
        <v>14.66</v>
      </c>
      <c r="D190" s="546">
        <v>3.55</v>
      </c>
      <c r="E190" s="544"/>
      <c r="F190" s="546">
        <v>2035.9485999999999</v>
      </c>
      <c r="G190" s="546">
        <v>2.9847006476</v>
      </c>
      <c r="H190" s="543"/>
      <c r="I190" s="542"/>
      <c r="J190" s="541"/>
      <c r="K190" s="541"/>
      <c r="L190" s="541"/>
      <c r="M190" s="541"/>
      <c r="N190" s="541"/>
    </row>
    <row r="191" spans="1:14" s="540" customFormat="1" ht="14">
      <c r="A191" s="547"/>
      <c r="B191" s="547"/>
      <c r="C191" s="567"/>
      <c r="D191" s="567"/>
      <c r="E191" s="568"/>
      <c r="F191" s="567"/>
      <c r="G191" s="567"/>
      <c r="H191" s="543"/>
      <c r="I191" s="542"/>
      <c r="J191" s="541"/>
      <c r="K191" s="541"/>
      <c r="L191" s="541"/>
      <c r="M191" s="541"/>
      <c r="N191" s="541"/>
    </row>
    <row r="192" spans="1:14" s="540" customFormat="1" ht="14">
      <c r="A192" s="547"/>
      <c r="B192" s="547"/>
      <c r="C192" s="567"/>
      <c r="D192" s="567"/>
      <c r="E192" s="568"/>
      <c r="F192" s="567"/>
      <c r="G192" s="567"/>
      <c r="H192" s="543"/>
      <c r="I192" s="542"/>
      <c r="J192" s="541"/>
      <c r="K192" s="541"/>
      <c r="L192" s="541"/>
      <c r="M192" s="541"/>
      <c r="N192" s="541"/>
    </row>
    <row r="193" spans="1:19" s="540" customFormat="1" ht="14">
      <c r="A193" s="547"/>
      <c r="B193" s="547"/>
      <c r="C193" s="567"/>
      <c r="D193" s="567"/>
      <c r="E193" s="568"/>
      <c r="F193" s="567"/>
      <c r="G193" s="567"/>
      <c r="H193" s="543"/>
      <c r="I193" s="542"/>
      <c r="J193" s="541"/>
      <c r="K193" s="541"/>
      <c r="L193" s="541"/>
      <c r="M193" s="541"/>
      <c r="N193" s="541"/>
    </row>
    <row r="194" spans="1:19" s="530" customFormat="1" ht="14">
      <c r="A194" s="562" t="s">
        <v>106</v>
      </c>
      <c r="B194" s="565" t="s">
        <v>107</v>
      </c>
      <c r="C194" s="564" t="s">
        <v>4</v>
      </c>
      <c r="D194" s="563" t="s">
        <v>108</v>
      </c>
      <c r="E194" s="563" t="s">
        <v>109</v>
      </c>
      <c r="F194" s="562" t="s">
        <v>411</v>
      </c>
      <c r="G194" s="561" t="s">
        <v>950</v>
      </c>
      <c r="H194" s="561" t="s">
        <v>110</v>
      </c>
      <c r="I194" s="561" t="s">
        <v>276</v>
      </c>
      <c r="J194" s="561" t="s">
        <v>117</v>
      </c>
      <c r="K194" s="561" t="s">
        <v>275</v>
      </c>
      <c r="L194" s="562" t="s">
        <v>111</v>
      </c>
      <c r="M194" s="561" t="s">
        <v>949</v>
      </c>
      <c r="N194" s="561" t="s">
        <v>948</v>
      </c>
      <c r="O194" s="561" t="s">
        <v>129</v>
      </c>
      <c r="P194" s="561" t="s">
        <v>220</v>
      </c>
      <c r="Q194" s="537" t="s">
        <v>947</v>
      </c>
      <c r="R194" s="537" t="s">
        <v>946</v>
      </c>
      <c r="S194" s="560" t="s">
        <v>945</v>
      </c>
    </row>
    <row r="195" spans="1:19" s="547" customFormat="1" ht="14">
      <c r="A195" s="554">
        <v>211</v>
      </c>
      <c r="B195" s="559" t="s">
        <v>776</v>
      </c>
      <c r="C195" s="558" t="s">
        <v>777</v>
      </c>
      <c r="D195" s="555">
        <v>11.5</v>
      </c>
      <c r="E195" s="555">
        <v>11.499999868</v>
      </c>
      <c r="F195" s="557" t="s">
        <v>944</v>
      </c>
      <c r="G195" s="555">
        <v>25.15</v>
      </c>
      <c r="H195" s="555">
        <v>19.579999999999998</v>
      </c>
      <c r="I195" s="555">
        <f>H195/G195</f>
        <v>0.77852882703777337</v>
      </c>
      <c r="J195" s="555">
        <v>24.4</v>
      </c>
      <c r="K195" s="555">
        <f>J195/G195</f>
        <v>0.97017892644135184</v>
      </c>
      <c r="L195" s="554">
        <v>7</v>
      </c>
      <c r="M195" s="566">
        <v>43035</v>
      </c>
      <c r="N195" s="555">
        <v>15.48</v>
      </c>
      <c r="O195" s="555">
        <f>(N195*(1+Q195/10)+R195/10)/J195</f>
        <v>0.63442622950819683</v>
      </c>
      <c r="P195" s="553" t="s">
        <v>223</v>
      </c>
      <c r="Q195" s="554">
        <f>IFERROR(MID(P195,FIND("转",P195)+1,FIND("股",P195)-(FIND("转",P195)+1)),0)</f>
        <v>0</v>
      </c>
      <c r="R195" s="554">
        <f>IFERROR(MID(P195,FIND("派",P195)+1,FIND("元",P195)-FIND("派",P195)-1),0)</f>
        <v>0</v>
      </c>
      <c r="S195" s="553" t="s">
        <v>956</v>
      </c>
    </row>
    <row r="196" spans="1:19" s="540" customFormat="1" ht="14">
      <c r="A196" s="547"/>
      <c r="B196" s="551" t="s">
        <v>112</v>
      </c>
      <c r="C196" s="551" t="s">
        <v>113</v>
      </c>
      <c r="D196" s="551" t="s">
        <v>943</v>
      </c>
      <c r="E196" s="552" t="s">
        <v>411</v>
      </c>
      <c r="F196" s="552" t="s">
        <v>942</v>
      </c>
      <c r="G196" s="551" t="s">
        <v>231</v>
      </c>
      <c r="H196" s="551" t="s">
        <v>941</v>
      </c>
      <c r="I196" s="549">
        <f>SUM(G197:G225)</f>
        <v>11.499999868</v>
      </c>
      <c r="J196" s="548"/>
      <c r="K196" s="548"/>
      <c r="L196" s="548"/>
      <c r="M196" s="548"/>
      <c r="N196" s="548"/>
    </row>
    <row r="197" spans="1:19" s="540" customFormat="1">
      <c r="A197" s="547">
        <v>1</v>
      </c>
      <c r="B197" s="554" t="s">
        <v>124</v>
      </c>
      <c r="C197" s="546">
        <v>23</v>
      </c>
      <c r="D197" s="546">
        <v>1.31</v>
      </c>
      <c r="E197" s="544"/>
      <c r="F197" s="546"/>
      <c r="G197" s="546"/>
      <c r="H197" s="543" t="s">
        <v>126</v>
      </c>
      <c r="I197" s="139" t="s">
        <v>775</v>
      </c>
      <c r="J197" s="541"/>
      <c r="K197" s="541"/>
      <c r="L197" s="541"/>
      <c r="M197" s="541"/>
      <c r="N197" s="541"/>
    </row>
    <row r="198" spans="1:19" s="540" customFormat="1" ht="14">
      <c r="A198" s="1634">
        <v>2</v>
      </c>
      <c r="B198" s="1627" t="s">
        <v>955</v>
      </c>
      <c r="C198" s="546">
        <v>24.4</v>
      </c>
      <c r="D198" s="546">
        <v>1.2</v>
      </c>
      <c r="E198" s="544"/>
      <c r="F198" s="1624">
        <v>135.24610000000001</v>
      </c>
      <c r="G198" s="1624">
        <v>0.33000048399999998</v>
      </c>
      <c r="H198" s="543"/>
      <c r="I198" s="542"/>
      <c r="J198" s="541"/>
      <c r="K198" s="541"/>
      <c r="L198" s="541"/>
      <c r="M198" s="541"/>
      <c r="N198" s="541"/>
    </row>
    <row r="199" spans="1:19" s="540" customFormat="1" ht="14">
      <c r="A199" s="1634"/>
      <c r="B199" s="1628"/>
      <c r="C199" s="546">
        <v>23.19</v>
      </c>
      <c r="D199" s="546">
        <v>1.3</v>
      </c>
      <c r="E199" s="544"/>
      <c r="F199" s="1626"/>
      <c r="G199" s="1626"/>
      <c r="H199" s="543"/>
      <c r="I199" s="542"/>
      <c r="J199" s="541"/>
      <c r="K199" s="541"/>
      <c r="L199" s="541"/>
      <c r="M199" s="541"/>
      <c r="N199" s="541"/>
    </row>
    <row r="200" spans="1:19" s="540" customFormat="1" ht="14">
      <c r="A200" s="1634"/>
      <c r="B200" s="1629"/>
      <c r="C200" s="546">
        <v>21.97</v>
      </c>
      <c r="D200" s="546">
        <v>1.4</v>
      </c>
      <c r="E200" s="544"/>
      <c r="F200" s="1625"/>
      <c r="G200" s="1625"/>
      <c r="H200" s="543"/>
      <c r="I200" s="542"/>
      <c r="J200" s="541"/>
      <c r="K200" s="541"/>
      <c r="L200" s="541"/>
      <c r="M200" s="541"/>
      <c r="N200" s="541"/>
    </row>
    <row r="201" spans="1:19" s="540" customFormat="1" ht="14">
      <c r="A201" s="547">
        <v>3</v>
      </c>
      <c r="B201" s="554" t="s">
        <v>351</v>
      </c>
      <c r="C201" s="546">
        <v>20.12</v>
      </c>
      <c r="D201" s="546">
        <v>1.2</v>
      </c>
      <c r="E201" s="544"/>
      <c r="F201" s="546"/>
      <c r="G201" s="546"/>
      <c r="H201" s="534"/>
      <c r="I201" s="532"/>
      <c r="J201" s="541"/>
      <c r="K201" s="541"/>
      <c r="L201" s="541"/>
      <c r="M201" s="541"/>
      <c r="N201" s="541"/>
    </row>
    <row r="202" spans="1:19" s="540" customFormat="1" ht="14">
      <c r="A202" s="547">
        <v>4</v>
      </c>
      <c r="B202" s="554" t="s">
        <v>6</v>
      </c>
      <c r="C202" s="546">
        <v>19.579999999999998</v>
      </c>
      <c r="D202" s="546">
        <v>1.2</v>
      </c>
      <c r="E202" s="544"/>
      <c r="F202" s="546"/>
      <c r="G202" s="546"/>
      <c r="H202" s="543"/>
      <c r="I202" s="542"/>
      <c r="J202" s="541"/>
      <c r="K202" s="541"/>
      <c r="L202" s="541"/>
      <c r="M202" s="541"/>
      <c r="N202" s="541"/>
    </row>
    <row r="203" spans="1:19" s="540" customFormat="1" ht="14">
      <c r="A203" s="547">
        <v>5</v>
      </c>
      <c r="B203" s="554" t="s">
        <v>128</v>
      </c>
      <c r="C203" s="546">
        <v>22.01</v>
      </c>
      <c r="D203" s="546">
        <v>1.2</v>
      </c>
      <c r="E203" s="544"/>
      <c r="F203" s="546"/>
      <c r="G203" s="546"/>
      <c r="H203" s="543"/>
      <c r="I203" s="542"/>
      <c r="J203" s="541"/>
      <c r="K203" s="541"/>
      <c r="L203" s="541"/>
      <c r="M203" s="541"/>
      <c r="N203" s="541"/>
    </row>
    <row r="204" spans="1:19" s="540" customFormat="1" ht="14">
      <c r="A204" s="1634">
        <v>6</v>
      </c>
      <c r="B204" s="1627" t="s">
        <v>173</v>
      </c>
      <c r="C204" s="546">
        <v>23.44</v>
      </c>
      <c r="D204" s="546">
        <v>1.22</v>
      </c>
      <c r="E204" s="544"/>
      <c r="F204" s="1624"/>
      <c r="G204" s="1624"/>
      <c r="H204" s="543"/>
      <c r="I204" s="542"/>
      <c r="J204" s="541"/>
      <c r="K204" s="541"/>
      <c r="L204" s="541"/>
      <c r="M204" s="541"/>
      <c r="N204" s="541"/>
    </row>
    <row r="205" spans="1:19" s="540" customFormat="1" ht="14">
      <c r="A205" s="1634"/>
      <c r="B205" s="1628"/>
      <c r="C205" s="546">
        <v>22.7</v>
      </c>
      <c r="D205" s="546">
        <v>1.91</v>
      </c>
      <c r="E205" s="544"/>
      <c r="F205" s="1626"/>
      <c r="G205" s="1626"/>
      <c r="H205" s="543"/>
      <c r="I205" s="542"/>
      <c r="J205" s="541"/>
      <c r="K205" s="541"/>
      <c r="L205" s="541"/>
      <c r="M205" s="541"/>
      <c r="N205" s="541"/>
    </row>
    <row r="206" spans="1:19" s="540" customFormat="1" ht="14">
      <c r="A206" s="1634"/>
      <c r="B206" s="1629"/>
      <c r="C206" s="546">
        <v>21.96</v>
      </c>
      <c r="D206" s="546">
        <v>3.41</v>
      </c>
      <c r="E206" s="544"/>
      <c r="F206" s="1625"/>
      <c r="G206" s="1625"/>
      <c r="H206" s="543"/>
      <c r="I206" s="542"/>
      <c r="J206" s="541"/>
      <c r="K206" s="541"/>
      <c r="L206" s="541"/>
      <c r="M206" s="541"/>
      <c r="N206" s="541"/>
    </row>
    <row r="207" spans="1:19" s="540" customFormat="1" ht="14">
      <c r="A207" s="547">
        <v>7</v>
      </c>
      <c r="B207" s="554" t="s">
        <v>156</v>
      </c>
      <c r="C207" s="546">
        <v>22.52</v>
      </c>
      <c r="D207" s="546">
        <v>1.2</v>
      </c>
      <c r="E207" s="544"/>
      <c r="F207" s="546"/>
      <c r="G207" s="546"/>
      <c r="H207" s="543"/>
      <c r="I207" s="542"/>
      <c r="J207" s="541"/>
      <c r="K207" s="541"/>
      <c r="L207" s="541"/>
      <c r="M207" s="541"/>
      <c r="N207" s="541"/>
    </row>
    <row r="208" spans="1:19" s="540" customFormat="1" ht="14">
      <c r="A208" s="1634">
        <v>8</v>
      </c>
      <c r="B208" s="1627" t="s">
        <v>131</v>
      </c>
      <c r="C208" s="546">
        <v>20.18</v>
      </c>
      <c r="D208" s="546">
        <v>1.6</v>
      </c>
      <c r="E208" s="544"/>
      <c r="F208" s="1624"/>
      <c r="G208" s="1624"/>
      <c r="H208" s="543"/>
      <c r="I208" s="542"/>
      <c r="J208" s="541"/>
      <c r="K208" s="541"/>
      <c r="L208" s="541"/>
      <c r="M208" s="541"/>
      <c r="N208" s="541"/>
    </row>
    <row r="209" spans="1:14" s="540" customFormat="1" ht="14">
      <c r="A209" s="1634"/>
      <c r="B209" s="1629"/>
      <c r="C209" s="546">
        <v>19.62</v>
      </c>
      <c r="D209" s="546">
        <v>2.99</v>
      </c>
      <c r="E209" s="544"/>
      <c r="F209" s="1625"/>
      <c r="G209" s="1625"/>
      <c r="H209" s="543"/>
      <c r="I209" s="542"/>
      <c r="J209" s="541"/>
      <c r="K209" s="541"/>
      <c r="L209" s="541"/>
      <c r="M209" s="541"/>
      <c r="N209" s="541"/>
    </row>
    <row r="210" spans="1:14" s="540" customFormat="1" ht="14">
      <c r="A210" s="547">
        <v>9</v>
      </c>
      <c r="B210" s="554" t="s">
        <v>320</v>
      </c>
      <c r="C210" s="546">
        <v>24.41</v>
      </c>
      <c r="D210" s="546">
        <v>2</v>
      </c>
      <c r="E210" s="544"/>
      <c r="F210" s="546">
        <v>819.6721</v>
      </c>
      <c r="G210" s="546">
        <v>1.9999999240000002</v>
      </c>
      <c r="H210" s="543"/>
      <c r="I210" s="542"/>
      <c r="J210" s="541"/>
      <c r="K210" s="541"/>
      <c r="L210" s="541"/>
      <c r="M210" s="541"/>
      <c r="N210" s="541"/>
    </row>
    <row r="211" spans="1:14" s="540" customFormat="1" ht="14">
      <c r="A211" s="547">
        <v>10</v>
      </c>
      <c r="B211" s="554" t="s">
        <v>954</v>
      </c>
      <c r="C211" s="546">
        <v>25.1</v>
      </c>
      <c r="D211" s="546">
        <v>1.2</v>
      </c>
      <c r="E211" s="544"/>
      <c r="F211" s="546">
        <v>491.8032</v>
      </c>
      <c r="G211" s="546">
        <v>1.1999998080000001</v>
      </c>
      <c r="H211" s="543"/>
      <c r="I211" s="542"/>
      <c r="J211" s="541"/>
      <c r="K211" s="541"/>
      <c r="L211" s="541"/>
      <c r="M211" s="541"/>
      <c r="N211" s="541"/>
    </row>
    <row r="212" spans="1:14" s="540" customFormat="1" ht="14">
      <c r="A212" s="1634">
        <v>11</v>
      </c>
      <c r="B212" s="1627" t="s">
        <v>115</v>
      </c>
      <c r="C212" s="546">
        <v>23.18</v>
      </c>
      <c r="D212" s="546">
        <v>1.52</v>
      </c>
      <c r="E212" s="544"/>
      <c r="F212" s="1624"/>
      <c r="G212" s="1624"/>
      <c r="H212" s="543"/>
      <c r="I212" s="542"/>
      <c r="J212" s="541"/>
      <c r="K212" s="541"/>
      <c r="L212" s="541"/>
      <c r="M212" s="541"/>
      <c r="N212" s="541"/>
    </row>
    <row r="213" spans="1:14" s="540" customFormat="1" ht="14">
      <c r="A213" s="1634"/>
      <c r="B213" s="1628"/>
      <c r="C213" s="546">
        <v>21.48</v>
      </c>
      <c r="D213" s="546">
        <v>2.34</v>
      </c>
      <c r="E213" s="544"/>
      <c r="F213" s="1626"/>
      <c r="G213" s="1626"/>
      <c r="H213" s="543"/>
      <c r="I213" s="542"/>
      <c r="J213" s="541"/>
      <c r="K213" s="541"/>
      <c r="L213" s="541"/>
      <c r="M213" s="541"/>
      <c r="N213" s="541"/>
    </row>
    <row r="214" spans="1:14" s="540" customFormat="1" ht="14">
      <c r="A214" s="1634"/>
      <c r="B214" s="1629"/>
      <c r="C214" s="546">
        <v>20.260000000000002</v>
      </c>
      <c r="D214" s="546">
        <v>3.45</v>
      </c>
      <c r="E214" s="544"/>
      <c r="F214" s="1625"/>
      <c r="G214" s="1625"/>
      <c r="H214" s="543"/>
      <c r="I214" s="542"/>
      <c r="J214" s="541"/>
      <c r="K214" s="541"/>
      <c r="L214" s="541"/>
      <c r="M214" s="541"/>
      <c r="N214" s="541"/>
    </row>
    <row r="215" spans="1:14" s="540" customFormat="1" ht="14">
      <c r="A215" s="547">
        <v>12</v>
      </c>
      <c r="B215" s="554" t="s">
        <v>121</v>
      </c>
      <c r="C215" s="546">
        <v>25.14</v>
      </c>
      <c r="D215" s="546">
        <v>2.0499999999999998</v>
      </c>
      <c r="E215" s="544"/>
      <c r="F215" s="546">
        <v>840.16390000000001</v>
      </c>
      <c r="G215" s="546">
        <v>2.049999916</v>
      </c>
      <c r="H215" s="543"/>
      <c r="I215" s="542"/>
      <c r="J215" s="541"/>
      <c r="K215" s="541"/>
      <c r="L215" s="541"/>
      <c r="M215" s="541"/>
      <c r="N215" s="541"/>
    </row>
    <row r="216" spans="1:14" s="540" customFormat="1" ht="14">
      <c r="A216" s="547">
        <v>13</v>
      </c>
      <c r="B216" s="554" t="s">
        <v>147</v>
      </c>
      <c r="C216" s="546">
        <v>19.82</v>
      </c>
      <c r="D216" s="546">
        <v>2.15</v>
      </c>
      <c r="E216" s="544"/>
      <c r="F216" s="546"/>
      <c r="G216" s="546"/>
      <c r="H216" s="543"/>
      <c r="I216" s="542"/>
      <c r="J216" s="541"/>
      <c r="K216" s="541"/>
      <c r="L216" s="541"/>
      <c r="M216" s="541"/>
      <c r="N216" s="541"/>
    </row>
    <row r="217" spans="1:14" s="540" customFormat="1" ht="14">
      <c r="A217" s="547">
        <v>14</v>
      </c>
      <c r="B217" s="554" t="s">
        <v>336</v>
      </c>
      <c r="C217" s="546">
        <v>21.2</v>
      </c>
      <c r="D217" s="546">
        <v>1.2</v>
      </c>
      <c r="E217" s="544"/>
      <c r="F217" s="546"/>
      <c r="G217" s="546"/>
      <c r="H217" s="543"/>
      <c r="I217" s="542"/>
      <c r="J217" s="541"/>
      <c r="K217" s="541"/>
      <c r="L217" s="541"/>
      <c r="M217" s="541"/>
      <c r="N217" s="541"/>
    </row>
    <row r="218" spans="1:14" s="540" customFormat="1" ht="14">
      <c r="A218" s="547">
        <v>15</v>
      </c>
      <c r="B218" s="554" t="s">
        <v>953</v>
      </c>
      <c r="C218" s="546">
        <v>21.28</v>
      </c>
      <c r="D218" s="546">
        <v>1.3</v>
      </c>
      <c r="E218" s="544"/>
      <c r="F218" s="546"/>
      <c r="G218" s="546"/>
      <c r="H218" s="543"/>
      <c r="I218" s="542"/>
      <c r="J218" s="541"/>
      <c r="K218" s="541"/>
      <c r="L218" s="541"/>
      <c r="M218" s="541"/>
      <c r="N218" s="541"/>
    </row>
    <row r="219" spans="1:14" s="540" customFormat="1" ht="14">
      <c r="A219" s="547">
        <v>16</v>
      </c>
      <c r="B219" s="554" t="s">
        <v>120</v>
      </c>
      <c r="C219" s="546">
        <v>23.16</v>
      </c>
      <c r="D219" s="546">
        <v>1.2</v>
      </c>
      <c r="E219" s="544"/>
      <c r="F219" s="546"/>
      <c r="G219" s="546"/>
      <c r="H219" s="543"/>
      <c r="I219" s="542"/>
      <c r="J219" s="541"/>
      <c r="K219" s="541"/>
      <c r="L219" s="541"/>
      <c r="M219" s="541"/>
      <c r="N219" s="541"/>
    </row>
    <row r="220" spans="1:14" s="540" customFormat="1" ht="14">
      <c r="A220" s="1634">
        <v>17</v>
      </c>
      <c r="B220" s="1627" t="s">
        <v>952</v>
      </c>
      <c r="C220" s="546">
        <v>24.99</v>
      </c>
      <c r="D220" s="546">
        <v>1.35</v>
      </c>
      <c r="E220" s="544"/>
      <c r="F220" s="1624">
        <v>553.27859999999998</v>
      </c>
      <c r="G220" s="1624">
        <v>1.349999784</v>
      </c>
      <c r="H220" s="543"/>
      <c r="I220" s="542"/>
      <c r="J220" s="541"/>
      <c r="K220" s="541"/>
      <c r="L220" s="541"/>
      <c r="M220" s="541"/>
      <c r="N220" s="541"/>
    </row>
    <row r="221" spans="1:14" s="540" customFormat="1" ht="14">
      <c r="A221" s="1634"/>
      <c r="B221" s="1628"/>
      <c r="C221" s="546">
        <v>24.89</v>
      </c>
      <c r="D221" s="546">
        <v>1.35</v>
      </c>
      <c r="E221" s="544"/>
      <c r="F221" s="1626"/>
      <c r="G221" s="1626"/>
      <c r="H221" s="543"/>
      <c r="I221" s="542"/>
      <c r="J221" s="541"/>
      <c r="K221" s="541"/>
      <c r="L221" s="541"/>
      <c r="M221" s="541"/>
      <c r="N221" s="541"/>
    </row>
    <row r="222" spans="1:14" s="540" customFormat="1" ht="14">
      <c r="A222" s="1634"/>
      <c r="B222" s="1629"/>
      <c r="C222" s="546">
        <v>24.79</v>
      </c>
      <c r="D222" s="546">
        <v>1.35</v>
      </c>
      <c r="E222" s="544"/>
      <c r="F222" s="1625"/>
      <c r="G222" s="1625"/>
      <c r="H222" s="543"/>
      <c r="I222" s="542"/>
      <c r="J222" s="541"/>
      <c r="K222" s="541"/>
      <c r="L222" s="541"/>
      <c r="M222" s="541"/>
      <c r="N222" s="541"/>
    </row>
    <row r="223" spans="1:14" s="540" customFormat="1" ht="14">
      <c r="A223" s="547">
        <v>18</v>
      </c>
      <c r="B223" s="554" t="s">
        <v>951</v>
      </c>
      <c r="C223" s="546">
        <v>24.41</v>
      </c>
      <c r="D223" s="546">
        <v>1.6</v>
      </c>
      <c r="E223" s="544"/>
      <c r="F223" s="546">
        <v>655.73770000000002</v>
      </c>
      <c r="G223" s="546">
        <v>1.5999999880000002</v>
      </c>
      <c r="H223" s="543"/>
      <c r="I223" s="542"/>
      <c r="J223" s="541"/>
      <c r="K223" s="541"/>
      <c r="L223" s="541"/>
      <c r="M223" s="541"/>
      <c r="N223" s="541"/>
    </row>
    <row r="224" spans="1:14" s="540" customFormat="1" ht="14">
      <c r="A224" s="1634">
        <v>19</v>
      </c>
      <c r="B224" s="1627" t="s">
        <v>144</v>
      </c>
      <c r="C224" s="546">
        <v>25.15</v>
      </c>
      <c r="D224" s="546">
        <v>1.75</v>
      </c>
      <c r="E224" s="544"/>
      <c r="F224" s="1624">
        <v>1217.2130999999999</v>
      </c>
      <c r="G224" s="1624">
        <v>2.9699999639999999</v>
      </c>
      <c r="H224" s="543"/>
      <c r="I224" s="542"/>
      <c r="J224" s="541"/>
      <c r="K224" s="541"/>
      <c r="L224" s="541"/>
      <c r="M224" s="541"/>
      <c r="N224" s="541"/>
    </row>
    <row r="225" spans="1:19" s="540" customFormat="1" ht="14">
      <c r="A225" s="1634"/>
      <c r="B225" s="1629"/>
      <c r="C225" s="546">
        <v>24.41</v>
      </c>
      <c r="D225" s="546">
        <v>2.97</v>
      </c>
      <c r="E225" s="544"/>
      <c r="F225" s="1625"/>
      <c r="G225" s="1625"/>
      <c r="H225" s="543"/>
      <c r="I225" s="542"/>
      <c r="J225" s="541"/>
      <c r="K225" s="541"/>
      <c r="L225" s="541"/>
      <c r="M225" s="541"/>
      <c r="N225" s="541"/>
    </row>
    <row r="226" spans="1:19" s="529" customFormat="1" ht="14">
      <c r="A226" s="530"/>
      <c r="B226" s="530"/>
      <c r="C226" s="530"/>
      <c r="E226" s="532"/>
      <c r="F226" s="532"/>
      <c r="G226" s="532"/>
      <c r="H226" s="534"/>
    </row>
    <row r="227" spans="1:19" s="529" customFormat="1" ht="14">
      <c r="A227" s="530"/>
      <c r="B227" s="530"/>
      <c r="C227" s="530"/>
      <c r="E227" s="532"/>
      <c r="F227" s="532"/>
      <c r="G227" s="532"/>
      <c r="H227" s="534"/>
    </row>
    <row r="228" spans="1:19" s="529" customFormat="1" ht="14">
      <c r="A228" s="530"/>
      <c r="B228" s="530"/>
      <c r="C228" s="530"/>
      <c r="E228" s="532"/>
      <c r="F228" s="532"/>
      <c r="G228" s="532"/>
      <c r="H228" s="534"/>
    </row>
    <row r="229" spans="1:19" s="530" customFormat="1" ht="14">
      <c r="A229" s="562" t="s">
        <v>106</v>
      </c>
      <c r="B229" s="565" t="s">
        <v>107</v>
      </c>
      <c r="C229" s="564" t="s">
        <v>4</v>
      </c>
      <c r="D229" s="563" t="s">
        <v>108</v>
      </c>
      <c r="E229" s="563" t="s">
        <v>109</v>
      </c>
      <c r="F229" s="562" t="s">
        <v>411</v>
      </c>
      <c r="G229" s="561" t="s">
        <v>950</v>
      </c>
      <c r="H229" s="561" t="s">
        <v>110</v>
      </c>
      <c r="I229" s="561" t="s">
        <v>276</v>
      </c>
      <c r="J229" s="561" t="s">
        <v>117</v>
      </c>
      <c r="K229" s="561" t="s">
        <v>275</v>
      </c>
      <c r="L229" s="562" t="s">
        <v>111</v>
      </c>
      <c r="M229" s="561" t="s">
        <v>949</v>
      </c>
      <c r="N229" s="561" t="s">
        <v>948</v>
      </c>
      <c r="O229" s="561" t="s">
        <v>129</v>
      </c>
      <c r="P229" s="561" t="s">
        <v>220</v>
      </c>
      <c r="Q229" s="537" t="s">
        <v>947</v>
      </c>
      <c r="R229" s="537" t="s">
        <v>946</v>
      </c>
      <c r="S229" s="560" t="s">
        <v>945</v>
      </c>
    </row>
    <row r="230" spans="1:19" s="547" customFormat="1" ht="14">
      <c r="A230" s="554">
        <v>212</v>
      </c>
      <c r="B230" s="559" t="s">
        <v>778</v>
      </c>
      <c r="C230" s="558" t="s">
        <v>779</v>
      </c>
      <c r="D230" s="555">
        <v>4.9450000000000003</v>
      </c>
      <c r="E230" s="555">
        <v>4.9449999840999999</v>
      </c>
      <c r="F230" s="557" t="s">
        <v>944</v>
      </c>
      <c r="G230" s="555">
        <v>14.87</v>
      </c>
      <c r="H230" s="555">
        <v>12.66</v>
      </c>
      <c r="I230" s="555">
        <f>H230/G230</f>
        <v>0.85137861466039011</v>
      </c>
      <c r="J230" s="555">
        <v>14.99</v>
      </c>
      <c r="K230" s="555">
        <f>J230/G230</f>
        <v>1.008069939475454</v>
      </c>
      <c r="L230" s="554">
        <v>5</v>
      </c>
      <c r="M230" s="556">
        <v>42641</v>
      </c>
      <c r="N230" s="555">
        <v>16.5</v>
      </c>
      <c r="O230" s="555">
        <f>(N230*(1+Q230/10)+R230/10)/J230</f>
        <v>1.1007338225483656</v>
      </c>
      <c r="P230" s="553" t="s">
        <v>223</v>
      </c>
      <c r="Q230" s="554">
        <f>IFERROR(MID(P230,FIND("转",P230)+1,FIND("股",P230)-(FIND("转",P230)+1)),0)</f>
        <v>0</v>
      </c>
      <c r="R230" s="554">
        <f>IFERROR(MID(P230,FIND("派",P230)+1,FIND("元",P230)-FIND("派",P230)-1),0)</f>
        <v>0</v>
      </c>
      <c r="S230" s="553" t="s">
        <v>780</v>
      </c>
    </row>
    <row r="231" spans="1:19" s="540" customFormat="1" ht="14">
      <c r="A231" s="547"/>
      <c r="B231" s="551" t="s">
        <v>112</v>
      </c>
      <c r="C231" s="551" t="s">
        <v>113</v>
      </c>
      <c r="D231" s="551" t="s">
        <v>943</v>
      </c>
      <c r="E231" s="552" t="s">
        <v>411</v>
      </c>
      <c r="F231" s="552" t="s">
        <v>942</v>
      </c>
      <c r="G231" s="551" t="s">
        <v>231</v>
      </c>
      <c r="H231" s="550" t="s">
        <v>941</v>
      </c>
      <c r="I231" s="549">
        <f>SUM(G232:G247)</f>
        <v>4.944999984099999</v>
      </c>
      <c r="J231" s="548"/>
      <c r="K231" s="548"/>
      <c r="L231" s="548"/>
      <c r="M231" s="548"/>
      <c r="N231" s="548"/>
    </row>
    <row r="232" spans="1:19" s="540" customFormat="1" ht="14">
      <c r="A232" s="530">
        <v>1</v>
      </c>
      <c r="B232" s="537" t="s">
        <v>940</v>
      </c>
      <c r="C232" s="536">
        <v>15.18</v>
      </c>
      <c r="D232" s="536">
        <v>1.5</v>
      </c>
      <c r="E232" s="544"/>
      <c r="F232" s="546">
        <v>1000.6671</v>
      </c>
      <c r="G232" s="546">
        <v>1.4999999828999999</v>
      </c>
      <c r="H232" s="543" t="s">
        <v>126</v>
      </c>
      <c r="I232" s="138" t="s">
        <v>939</v>
      </c>
      <c r="J232" s="541"/>
      <c r="K232" s="541"/>
      <c r="L232" s="541"/>
      <c r="M232" s="541"/>
      <c r="N232" s="541"/>
    </row>
    <row r="233" spans="1:19" s="540" customFormat="1" ht="14">
      <c r="A233" s="530">
        <v>2</v>
      </c>
      <c r="B233" s="537" t="s">
        <v>938</v>
      </c>
      <c r="C233" s="536">
        <v>15.16</v>
      </c>
      <c r="D233" s="536">
        <v>1</v>
      </c>
      <c r="E233" s="544"/>
      <c r="F233" s="546">
        <v>667.1114</v>
      </c>
      <c r="G233" s="546">
        <v>0.99999998859999994</v>
      </c>
      <c r="H233" s="543"/>
      <c r="I233" s="542"/>
      <c r="J233" s="541"/>
      <c r="K233" s="541"/>
      <c r="L233" s="541"/>
      <c r="M233" s="541"/>
      <c r="N233" s="541"/>
    </row>
    <row r="234" spans="1:19" s="540" customFormat="1" ht="14">
      <c r="A234" s="530">
        <v>3</v>
      </c>
      <c r="B234" s="537" t="s">
        <v>148</v>
      </c>
      <c r="C234" s="536">
        <v>14.12</v>
      </c>
      <c r="D234" s="536">
        <v>1</v>
      </c>
      <c r="E234" s="544"/>
      <c r="F234" s="546"/>
      <c r="G234" s="546"/>
      <c r="H234" s="543"/>
      <c r="I234" s="542"/>
      <c r="J234" s="541"/>
      <c r="K234" s="541"/>
      <c r="L234" s="541"/>
      <c r="M234" s="541"/>
      <c r="N234" s="541"/>
    </row>
    <row r="235" spans="1:19" s="540" customFormat="1" ht="14">
      <c r="A235" s="530">
        <v>4</v>
      </c>
      <c r="B235" s="537" t="s">
        <v>937</v>
      </c>
      <c r="C235" s="536">
        <v>15.12</v>
      </c>
      <c r="D235" s="536">
        <v>1</v>
      </c>
      <c r="E235" s="544"/>
      <c r="F235" s="546">
        <v>667.1114</v>
      </c>
      <c r="G235" s="546">
        <v>0.99999998859999994</v>
      </c>
      <c r="H235" s="543"/>
      <c r="I235" s="542"/>
      <c r="J235" s="541"/>
      <c r="K235" s="541"/>
      <c r="L235" s="541"/>
      <c r="M235" s="541"/>
      <c r="N235" s="541"/>
    </row>
    <row r="236" spans="1:19" s="540" customFormat="1" ht="14">
      <c r="A236" s="1632">
        <v>5</v>
      </c>
      <c r="B236" s="1630" t="s">
        <v>115</v>
      </c>
      <c r="C236" s="536">
        <v>13</v>
      </c>
      <c r="D236" s="536">
        <v>1.1100000000000001</v>
      </c>
      <c r="E236" s="544"/>
      <c r="F236" s="1623"/>
      <c r="G236" s="1623"/>
      <c r="H236" s="543"/>
      <c r="I236" s="542"/>
      <c r="J236" s="541"/>
      <c r="K236" s="541"/>
      <c r="L236" s="541"/>
      <c r="M236" s="541"/>
      <c r="N236" s="541"/>
    </row>
    <row r="237" spans="1:19" s="540" customFormat="1" ht="14">
      <c r="A237" s="1632"/>
      <c r="B237" s="1630"/>
      <c r="C237" s="536">
        <v>12.66</v>
      </c>
      <c r="D237" s="536">
        <v>1.47</v>
      </c>
      <c r="E237" s="544"/>
      <c r="F237" s="1623"/>
      <c r="G237" s="1623"/>
      <c r="H237" s="543"/>
      <c r="I237" s="542"/>
      <c r="J237" s="541"/>
      <c r="K237" s="541"/>
      <c r="L237" s="541"/>
      <c r="M237" s="541"/>
      <c r="N237" s="541"/>
    </row>
    <row r="238" spans="1:19" s="540" customFormat="1" ht="14">
      <c r="A238" s="547">
        <v>6</v>
      </c>
      <c r="B238" s="537" t="s">
        <v>936</v>
      </c>
      <c r="C238" s="536">
        <v>15.18</v>
      </c>
      <c r="D238" s="536">
        <v>1</v>
      </c>
      <c r="E238" s="544"/>
      <c r="F238" s="546">
        <v>667.1114</v>
      </c>
      <c r="G238" s="546">
        <v>0.99999998859999994</v>
      </c>
      <c r="H238" s="543"/>
      <c r="I238" s="542"/>
      <c r="J238" s="541"/>
      <c r="K238" s="541"/>
      <c r="L238" s="541"/>
      <c r="M238" s="541"/>
      <c r="N238" s="541"/>
    </row>
    <row r="239" spans="1:19" s="540" customFormat="1" ht="14">
      <c r="A239" s="530">
        <v>7</v>
      </c>
      <c r="B239" s="537" t="s">
        <v>336</v>
      </c>
      <c r="C239" s="536">
        <v>14.2</v>
      </c>
      <c r="D239" s="536">
        <v>1</v>
      </c>
      <c r="E239" s="544"/>
      <c r="F239" s="546"/>
      <c r="G239" s="546"/>
      <c r="H239" s="543"/>
      <c r="I239" s="542"/>
      <c r="J239" s="541"/>
      <c r="K239" s="541"/>
      <c r="L239" s="541"/>
      <c r="M239" s="541"/>
      <c r="N239" s="541"/>
    </row>
    <row r="240" spans="1:19" s="540" customFormat="1" ht="14">
      <c r="A240" s="530">
        <v>8</v>
      </c>
      <c r="B240" s="537" t="s">
        <v>147</v>
      </c>
      <c r="C240" s="536">
        <v>12.82</v>
      </c>
      <c r="D240" s="536">
        <v>1</v>
      </c>
      <c r="E240" s="544"/>
      <c r="F240" s="545"/>
      <c r="G240" s="545"/>
      <c r="H240" s="543"/>
      <c r="I240" s="542"/>
      <c r="J240" s="541"/>
      <c r="K240" s="541"/>
      <c r="L240" s="541"/>
      <c r="M240" s="541"/>
      <c r="N240" s="541"/>
    </row>
    <row r="241" spans="1:14" s="540" customFormat="1" ht="14">
      <c r="A241" s="530">
        <v>9</v>
      </c>
      <c r="B241" s="537" t="s">
        <v>935</v>
      </c>
      <c r="C241" s="536">
        <v>14.99</v>
      </c>
      <c r="D241" s="536">
        <v>1</v>
      </c>
      <c r="E241" s="544"/>
      <c r="F241" s="539">
        <v>296.8646</v>
      </c>
      <c r="G241" s="539">
        <v>0.44500003539999999</v>
      </c>
      <c r="H241" s="543"/>
      <c r="I241" s="542"/>
      <c r="J241" s="541"/>
      <c r="K241" s="541"/>
      <c r="L241" s="541"/>
      <c r="M241" s="541"/>
      <c r="N241" s="541"/>
    </row>
    <row r="242" spans="1:14" s="529" customFormat="1" ht="14">
      <c r="A242" s="1633">
        <v>10</v>
      </c>
      <c r="B242" s="1630" t="s">
        <v>934</v>
      </c>
      <c r="C242" s="536">
        <v>14.22</v>
      </c>
      <c r="D242" s="536">
        <v>1</v>
      </c>
      <c r="E242" s="537"/>
      <c r="F242" s="539"/>
      <c r="G242" s="539"/>
      <c r="H242" s="532"/>
    </row>
    <row r="243" spans="1:14" s="529" customFormat="1" ht="14">
      <c r="A243" s="1633"/>
      <c r="B243" s="1630"/>
      <c r="C243" s="536">
        <v>13.82</v>
      </c>
      <c r="D243" s="536">
        <v>1</v>
      </c>
      <c r="E243" s="537"/>
      <c r="F243" s="539"/>
      <c r="G243" s="539"/>
      <c r="H243" s="532"/>
    </row>
    <row r="244" spans="1:14" s="529" customFormat="1" ht="14">
      <c r="A244" s="1633"/>
      <c r="B244" s="1630"/>
      <c r="C244" s="536">
        <v>12.92</v>
      </c>
      <c r="D244" s="536">
        <v>1</v>
      </c>
      <c r="E244" s="537"/>
      <c r="F244" s="538"/>
      <c r="G244" s="538"/>
      <c r="H244" s="532"/>
    </row>
    <row r="245" spans="1:14" s="529" customFormat="1" ht="14">
      <c r="A245" s="530">
        <v>11</v>
      </c>
      <c r="B245" s="537" t="s">
        <v>122</v>
      </c>
      <c r="C245" s="536">
        <v>12.71</v>
      </c>
      <c r="D245" s="536">
        <v>1</v>
      </c>
      <c r="E245" s="537"/>
      <c r="F245" s="536"/>
      <c r="G245" s="536"/>
      <c r="H245" s="532"/>
    </row>
    <row r="246" spans="1:14" s="529" customFormat="1" ht="14">
      <c r="A246" s="530"/>
      <c r="B246" s="530"/>
      <c r="C246" s="530"/>
      <c r="D246" s="535"/>
      <c r="F246" s="534"/>
      <c r="G246" s="535"/>
      <c r="H246" s="532"/>
    </row>
    <row r="247" spans="1:14" s="529" customFormat="1" ht="14">
      <c r="A247" s="530"/>
      <c r="B247" s="530"/>
      <c r="C247" s="530"/>
      <c r="D247" s="535"/>
      <c r="E247" s="530"/>
      <c r="F247" s="534"/>
      <c r="G247" s="533"/>
      <c r="H247" s="532"/>
    </row>
    <row r="248" spans="1:14" s="529" customFormat="1" ht="14">
      <c r="A248" s="530"/>
      <c r="B248" s="531"/>
      <c r="C248" s="530"/>
    </row>
  </sheetData>
  <mergeCells count="142">
    <mergeCell ref="A108:A110"/>
    <mergeCell ref="B123:B125"/>
    <mergeCell ref="G118:G119"/>
    <mergeCell ref="F118:F119"/>
    <mergeCell ref="G157:G158"/>
    <mergeCell ref="G155:G156"/>
    <mergeCell ref="F155:F156"/>
    <mergeCell ref="F157:F158"/>
    <mergeCell ref="F120:F122"/>
    <mergeCell ref="G120:G122"/>
    <mergeCell ref="A120:A122"/>
    <mergeCell ref="A118:A119"/>
    <mergeCell ref="A114:A116"/>
    <mergeCell ref="A143:A145"/>
    <mergeCell ref="A139:A141"/>
    <mergeCell ref="A137:A138"/>
    <mergeCell ref="A134:A136"/>
    <mergeCell ref="B157:B158"/>
    <mergeCell ref="B155:B156"/>
    <mergeCell ref="A39:A41"/>
    <mergeCell ref="A37:A38"/>
    <mergeCell ref="B18:B19"/>
    <mergeCell ref="B20:B21"/>
    <mergeCell ref="A6:A7"/>
    <mergeCell ref="A24:A25"/>
    <mergeCell ref="A22:A23"/>
    <mergeCell ref="A20:A21"/>
    <mergeCell ref="A18:A19"/>
    <mergeCell ref="B6:B7"/>
    <mergeCell ref="A204:A206"/>
    <mergeCell ref="G212:G214"/>
    <mergeCell ref="F212:F214"/>
    <mergeCell ref="G224:G225"/>
    <mergeCell ref="G220:G222"/>
    <mergeCell ref="F220:F222"/>
    <mergeCell ref="F224:F225"/>
    <mergeCell ref="A28:A29"/>
    <mergeCell ref="A126:A127"/>
    <mergeCell ref="A123:A125"/>
    <mergeCell ref="A71:A72"/>
    <mergeCell ref="B28:B29"/>
    <mergeCell ref="B33:B34"/>
    <mergeCell ref="B37:B38"/>
    <mergeCell ref="A33:A34"/>
    <mergeCell ref="B118:B119"/>
    <mergeCell ref="B114:B116"/>
    <mergeCell ref="B111:B113"/>
    <mergeCell ref="A69:A70"/>
    <mergeCell ref="A93:A94"/>
    <mergeCell ref="A88:A90"/>
    <mergeCell ref="B93:B94"/>
    <mergeCell ref="A54:A56"/>
    <mergeCell ref="A73:A74"/>
    <mergeCell ref="A177:A179"/>
    <mergeCell ref="B108:B110"/>
    <mergeCell ref="B166:B167"/>
    <mergeCell ref="G182:G184"/>
    <mergeCell ref="G185:G186"/>
    <mergeCell ref="A198:A200"/>
    <mergeCell ref="B198:B200"/>
    <mergeCell ref="G198:G200"/>
    <mergeCell ref="F198:F200"/>
    <mergeCell ref="A166:A167"/>
    <mergeCell ref="A161:A162"/>
    <mergeCell ref="A159:A160"/>
    <mergeCell ref="A157:A158"/>
    <mergeCell ref="A155:A156"/>
    <mergeCell ref="B120:B122"/>
    <mergeCell ref="B143:B145"/>
    <mergeCell ref="B139:B141"/>
    <mergeCell ref="B137:B138"/>
    <mergeCell ref="B134:B136"/>
    <mergeCell ref="B126:B127"/>
    <mergeCell ref="A111:A113"/>
    <mergeCell ref="G108:G110"/>
    <mergeCell ref="G114:G116"/>
    <mergeCell ref="F114:F116"/>
    <mergeCell ref="B242:B244"/>
    <mergeCell ref="B236:B237"/>
    <mergeCell ref="A236:A237"/>
    <mergeCell ref="F88:F90"/>
    <mergeCell ref="G208:G209"/>
    <mergeCell ref="B185:B186"/>
    <mergeCell ref="B182:B184"/>
    <mergeCell ref="G204:G206"/>
    <mergeCell ref="F204:F206"/>
    <mergeCell ref="G236:G237"/>
    <mergeCell ref="A242:A244"/>
    <mergeCell ref="B177:B179"/>
    <mergeCell ref="A224:A225"/>
    <mergeCell ref="B224:B225"/>
    <mergeCell ref="A220:A222"/>
    <mergeCell ref="B220:B222"/>
    <mergeCell ref="A212:A214"/>
    <mergeCell ref="B212:B214"/>
    <mergeCell ref="B208:B209"/>
    <mergeCell ref="A208:A209"/>
    <mergeCell ref="G159:G160"/>
    <mergeCell ref="F159:F160"/>
    <mergeCell ref="A185:A186"/>
    <mergeCell ref="A182:A184"/>
    <mergeCell ref="B204:B206"/>
    <mergeCell ref="B88:B90"/>
    <mergeCell ref="B39:B41"/>
    <mergeCell ref="G71:G72"/>
    <mergeCell ref="G24:G25"/>
    <mergeCell ref="F18:F19"/>
    <mergeCell ref="F20:F21"/>
    <mergeCell ref="F22:F23"/>
    <mergeCell ref="B161:B162"/>
    <mergeCell ref="B159:B160"/>
    <mergeCell ref="G111:G113"/>
    <mergeCell ref="F111:F113"/>
    <mergeCell ref="F108:F110"/>
    <mergeCell ref="F236:F237"/>
    <mergeCell ref="F161:F162"/>
    <mergeCell ref="F185:F186"/>
    <mergeCell ref="F182:F184"/>
    <mergeCell ref="F177:F179"/>
    <mergeCell ref="G161:G162"/>
    <mergeCell ref="F208:F209"/>
    <mergeCell ref="G166:G167"/>
    <mergeCell ref="F166:F167"/>
    <mergeCell ref="G177:G179"/>
    <mergeCell ref="F6:F7"/>
    <mergeCell ref="G88:G90"/>
    <mergeCell ref="B71:B72"/>
    <mergeCell ref="B73:B74"/>
    <mergeCell ref="F73:F74"/>
    <mergeCell ref="G73:G74"/>
    <mergeCell ref="B69:B70"/>
    <mergeCell ref="B22:B23"/>
    <mergeCell ref="B24:B25"/>
    <mergeCell ref="F24:F25"/>
    <mergeCell ref="G18:G19"/>
    <mergeCell ref="G20:G21"/>
    <mergeCell ref="G22:G23"/>
    <mergeCell ref="G6:G7"/>
    <mergeCell ref="B54:B56"/>
    <mergeCell ref="F69:F70"/>
    <mergeCell ref="G69:G70"/>
    <mergeCell ref="F71:F72"/>
  </mergeCells>
  <phoneticPr fontId="139" type="noConversion"/>
  <hyperlinks>
    <hyperlink ref="I6" r:id="rId1" xr:uid="{00000000-0004-0000-0800-000000000000}"/>
    <hyperlink ref="I67" r:id="rId2" xr:uid="{00000000-0004-0000-0800-000001000000}"/>
    <hyperlink ref="I81" r:id="rId3" xr:uid="{00000000-0004-0000-0800-000002000000}"/>
    <hyperlink ref="I51" r:id="rId4" xr:uid="{00000000-0004-0000-0800-000003000000}"/>
    <hyperlink ref="I17" r:id="rId5" xr:uid="{00000000-0004-0000-0800-000004000000}"/>
    <hyperlink ref="I108" r:id="rId6" xr:uid="{00000000-0004-0000-0800-000005000000}"/>
    <hyperlink ref="I197" r:id="rId7" xr:uid="{00000000-0004-0000-0800-000006000000}"/>
    <hyperlink ref="I232" r:id="rId8" xr:uid="{00000000-0004-0000-0800-000007000000}"/>
    <hyperlink ref="I155" r:id="rId9" xr:uid="{00000000-0004-0000-0800-000008000000}"/>
    <hyperlink ref="I177" r:id="rId10" xr:uid="{00000000-0004-0000-0800-000009000000}"/>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246"/>
  <sheetViews>
    <sheetView workbookViewId="0">
      <selection activeCell="H252" sqref="H252"/>
    </sheetView>
  </sheetViews>
  <sheetFormatPr defaultColWidth="10.83203125" defaultRowHeight="15.5"/>
  <cols>
    <col min="1" max="1" width="10.1640625" style="528" customWidth="1"/>
    <col min="2" max="2" width="41.83203125" style="528" customWidth="1"/>
    <col min="3" max="3" width="12.5" style="528" customWidth="1"/>
    <col min="4" max="4" width="14.83203125" style="528" customWidth="1"/>
    <col min="5" max="5" width="13.33203125" style="528" customWidth="1"/>
    <col min="6" max="6" width="22" style="528" bestFit="1" customWidth="1"/>
    <col min="7" max="7" width="15.83203125" style="528" bestFit="1" customWidth="1"/>
    <col min="8" max="8" width="14" style="528" bestFit="1" customWidth="1"/>
    <col min="9" max="11" width="10.83203125" style="528"/>
    <col min="12" max="12" width="12.1640625" style="528" bestFit="1" customWidth="1"/>
    <col min="13" max="15" width="10.83203125" style="528"/>
    <col min="16" max="16" width="15.5" style="528" bestFit="1" customWidth="1"/>
    <col min="17" max="19" width="0" style="528" hidden="1" customWidth="1"/>
    <col min="20" max="16384" width="10.83203125" style="528"/>
  </cols>
  <sheetData>
    <row r="1" spans="1:19" s="24" customFormat="1" ht="14">
      <c r="B1" s="24" t="s">
        <v>1281</v>
      </c>
    </row>
    <row r="2" spans="1:19" s="24" customFormat="1" ht="14"/>
    <row r="3" spans="1:19" s="530" customFormat="1" ht="14">
      <c r="A3" s="562" t="s">
        <v>106</v>
      </c>
      <c r="B3" s="565" t="s">
        <v>107</v>
      </c>
      <c r="C3" s="564" t="s">
        <v>4</v>
      </c>
      <c r="D3" s="563" t="s">
        <v>108</v>
      </c>
      <c r="E3" s="563" t="s">
        <v>109</v>
      </c>
      <c r="F3" s="562" t="s">
        <v>411</v>
      </c>
      <c r="G3" s="561" t="s">
        <v>950</v>
      </c>
      <c r="H3" s="561" t="s">
        <v>110</v>
      </c>
      <c r="I3" s="561" t="s">
        <v>276</v>
      </c>
      <c r="J3" s="561" t="s">
        <v>117</v>
      </c>
      <c r="K3" s="561" t="s">
        <v>275</v>
      </c>
      <c r="L3" s="562" t="s">
        <v>111</v>
      </c>
      <c r="M3" s="561" t="s">
        <v>949</v>
      </c>
      <c r="N3" s="561" t="s">
        <v>948</v>
      </c>
      <c r="O3" s="561" t="s">
        <v>129</v>
      </c>
      <c r="P3" s="561" t="s">
        <v>220</v>
      </c>
      <c r="Q3" s="537" t="s">
        <v>947</v>
      </c>
      <c r="R3" s="537" t="s">
        <v>946</v>
      </c>
      <c r="S3" s="560" t="s">
        <v>945</v>
      </c>
    </row>
    <row r="4" spans="1:19" s="547" customFormat="1" ht="14">
      <c r="A4" s="554">
        <v>213</v>
      </c>
      <c r="B4" s="559" t="s">
        <v>781</v>
      </c>
      <c r="C4" s="558" t="s">
        <v>782</v>
      </c>
      <c r="D4" s="555">
        <v>3.4910000000000001</v>
      </c>
      <c r="E4" s="555">
        <v>3.4470000000000001</v>
      </c>
      <c r="F4" s="557" t="s">
        <v>988</v>
      </c>
      <c r="G4" s="555">
        <v>35.909999999999997</v>
      </c>
      <c r="H4" s="555">
        <v>31.77</v>
      </c>
      <c r="I4" s="555">
        <f>H4/G4</f>
        <v>0.88471177944862167</v>
      </c>
      <c r="J4" s="555">
        <v>34.47</v>
      </c>
      <c r="K4" s="555">
        <f>J4/G4</f>
        <v>0.9598997493734337</v>
      </c>
      <c r="L4" s="554">
        <v>4</v>
      </c>
      <c r="M4" s="566">
        <v>43006</v>
      </c>
      <c r="N4" s="555">
        <v>12.5</v>
      </c>
      <c r="O4" s="555">
        <f>(N4*(1+Q4/10)+R4/10)/J4</f>
        <v>0.73252103278212943</v>
      </c>
      <c r="P4" s="598" t="s">
        <v>783</v>
      </c>
      <c r="Q4" s="554" t="str">
        <f>IFERROR(MID(P4,FIND("转",P4)+1,FIND("股",P4)-(FIND("转",P4)+1)),0)</f>
        <v>10</v>
      </c>
      <c r="R4" s="554" t="str">
        <f>IFERROR(MID(P4,FIND("派",P4)+1,FIND("元",P4)-FIND("派",P4)-1),0)</f>
        <v>2.50</v>
      </c>
      <c r="S4" s="553" t="s">
        <v>784</v>
      </c>
    </row>
    <row r="5" spans="1:19" s="540" customFormat="1" ht="14">
      <c r="A5" s="547"/>
      <c r="B5" s="551" t="s">
        <v>112</v>
      </c>
      <c r="C5" s="551" t="s">
        <v>113</v>
      </c>
      <c r="D5" s="551" t="s">
        <v>943</v>
      </c>
      <c r="E5" s="552" t="s">
        <v>411</v>
      </c>
      <c r="F5" s="552" t="s">
        <v>942</v>
      </c>
      <c r="G5" s="551" t="s">
        <v>231</v>
      </c>
      <c r="H5" s="551" t="s">
        <v>941</v>
      </c>
      <c r="I5" s="549">
        <f>SUM(G6:G15)</f>
        <v>2.0720003175000001</v>
      </c>
      <c r="J5" s="548"/>
      <c r="K5" s="548"/>
      <c r="L5" s="548"/>
      <c r="M5" s="548"/>
      <c r="N5" s="548"/>
    </row>
    <row r="6" spans="1:19" s="540" customFormat="1" ht="14">
      <c r="A6" s="1635">
        <v>1</v>
      </c>
      <c r="B6" s="1636" t="s">
        <v>348</v>
      </c>
      <c r="C6" s="577">
        <v>34.200000000000003</v>
      </c>
      <c r="D6" s="577">
        <v>0.69820000000000004</v>
      </c>
      <c r="E6" s="544"/>
      <c r="F6" s="1623"/>
      <c r="G6" s="1623"/>
      <c r="H6" s="543" t="s">
        <v>126</v>
      </c>
      <c r="I6" s="138" t="s">
        <v>1038</v>
      </c>
      <c r="J6" s="541"/>
      <c r="K6" s="541"/>
      <c r="L6" s="541"/>
      <c r="M6" s="541"/>
      <c r="N6" s="541"/>
    </row>
    <row r="7" spans="1:19" s="540" customFormat="1" ht="14">
      <c r="A7" s="1635"/>
      <c r="B7" s="1636"/>
      <c r="C7" s="577">
        <v>33.700000000000003</v>
      </c>
      <c r="D7" s="577">
        <v>0.69899999999999995</v>
      </c>
      <c r="E7" s="544"/>
      <c r="F7" s="1623"/>
      <c r="G7" s="1623"/>
      <c r="H7" s="543"/>
      <c r="I7" s="542"/>
      <c r="J7" s="541"/>
      <c r="K7" s="541"/>
      <c r="L7" s="541"/>
      <c r="M7" s="541"/>
      <c r="N7" s="541"/>
    </row>
    <row r="8" spans="1:19" s="540" customFormat="1" ht="14">
      <c r="A8" s="1635"/>
      <c r="B8" s="1636"/>
      <c r="C8" s="577">
        <v>33</v>
      </c>
      <c r="D8" s="577">
        <v>0.7</v>
      </c>
      <c r="E8" s="544"/>
      <c r="F8" s="1623"/>
      <c r="G8" s="1623"/>
      <c r="H8" s="543"/>
      <c r="I8" s="542"/>
      <c r="J8" s="541"/>
      <c r="K8" s="541"/>
      <c r="L8" s="541"/>
      <c r="M8" s="541"/>
      <c r="N8" s="541"/>
    </row>
    <row r="9" spans="1:19" s="540" customFormat="1" ht="14">
      <c r="A9" s="547">
        <v>2</v>
      </c>
      <c r="B9" s="554" t="s">
        <v>629</v>
      </c>
      <c r="C9" s="577">
        <v>38.72</v>
      </c>
      <c r="D9" s="577">
        <v>0.69899999999999995</v>
      </c>
      <c r="E9" s="544"/>
      <c r="F9" s="546">
        <v>202.785</v>
      </c>
      <c r="G9" s="546">
        <v>0.69899989500000004</v>
      </c>
      <c r="H9" s="543"/>
      <c r="I9" s="542"/>
      <c r="J9" s="541"/>
      <c r="K9" s="541"/>
      <c r="L9" s="541"/>
      <c r="M9" s="541"/>
      <c r="N9" s="541"/>
    </row>
    <row r="10" spans="1:19" s="540" customFormat="1" ht="14">
      <c r="A10" s="547">
        <v>3</v>
      </c>
      <c r="B10" s="554" t="s">
        <v>1037</v>
      </c>
      <c r="C10" s="577">
        <v>31.77</v>
      </c>
      <c r="D10" s="577">
        <v>0.7</v>
      </c>
      <c r="E10" s="544"/>
      <c r="F10" s="546"/>
      <c r="G10" s="546"/>
      <c r="H10" s="543"/>
      <c r="I10" s="542"/>
      <c r="J10" s="541"/>
      <c r="K10" s="541"/>
      <c r="L10" s="541"/>
      <c r="M10" s="541"/>
      <c r="N10" s="541"/>
    </row>
    <row r="11" spans="1:19" s="540" customFormat="1" ht="14">
      <c r="A11" s="1635">
        <v>4</v>
      </c>
      <c r="B11" s="1636" t="s">
        <v>336</v>
      </c>
      <c r="C11" s="577">
        <v>34.47</v>
      </c>
      <c r="D11" s="577">
        <v>0.7</v>
      </c>
      <c r="E11" s="544"/>
      <c r="F11" s="1623">
        <v>163.6207</v>
      </c>
      <c r="G11" s="1623">
        <v>0.56400055289999995</v>
      </c>
      <c r="H11" s="543"/>
      <c r="I11" s="542"/>
      <c r="J11" s="541"/>
      <c r="K11" s="541"/>
      <c r="L11" s="541"/>
      <c r="M11" s="541"/>
      <c r="N11" s="541"/>
    </row>
    <row r="12" spans="1:19" s="540" customFormat="1" ht="14">
      <c r="A12" s="1635"/>
      <c r="B12" s="1636"/>
      <c r="C12" s="577">
        <v>32.32</v>
      </c>
      <c r="D12" s="577">
        <v>1.53</v>
      </c>
      <c r="E12" s="544"/>
      <c r="F12" s="1623"/>
      <c r="G12" s="1623"/>
      <c r="H12" s="543"/>
      <c r="I12" s="542"/>
      <c r="J12" s="541"/>
      <c r="K12" s="541"/>
      <c r="L12" s="541"/>
      <c r="M12" s="541"/>
      <c r="N12" s="541"/>
    </row>
    <row r="13" spans="1:19" s="540" customFormat="1" ht="14">
      <c r="A13" s="1635">
        <v>5</v>
      </c>
      <c r="B13" s="1636" t="s">
        <v>146</v>
      </c>
      <c r="C13" s="577">
        <v>33.47</v>
      </c>
      <c r="D13" s="577">
        <v>0.7</v>
      </c>
      <c r="E13" s="544"/>
      <c r="F13" s="1623"/>
      <c r="G13" s="1623"/>
      <c r="H13" s="543"/>
      <c r="I13" s="542"/>
      <c r="J13" s="541"/>
      <c r="K13" s="541"/>
      <c r="L13" s="541"/>
      <c r="M13" s="541"/>
      <c r="N13" s="541"/>
    </row>
    <row r="14" spans="1:19" s="540" customFormat="1" ht="14">
      <c r="A14" s="1635"/>
      <c r="B14" s="1636"/>
      <c r="C14" s="577">
        <v>32.31</v>
      </c>
      <c r="D14" s="577">
        <v>1.43</v>
      </c>
      <c r="E14" s="544"/>
      <c r="F14" s="1623"/>
      <c r="G14" s="1623"/>
      <c r="H14" s="543"/>
      <c r="I14" s="542"/>
      <c r="J14" s="541"/>
      <c r="K14" s="541"/>
      <c r="L14" s="541"/>
      <c r="M14" s="541"/>
      <c r="N14" s="541"/>
    </row>
    <row r="15" spans="1:19" s="540" customFormat="1" ht="14">
      <c r="A15" s="1635">
        <v>6</v>
      </c>
      <c r="B15" s="1636" t="s">
        <v>115</v>
      </c>
      <c r="C15" s="577">
        <v>35.92</v>
      </c>
      <c r="D15" s="577">
        <v>0.80900000000000005</v>
      </c>
      <c r="E15" s="544"/>
      <c r="F15" s="1623">
        <v>234.6968</v>
      </c>
      <c r="G15" s="1623">
        <v>0.80899986959999992</v>
      </c>
      <c r="H15" s="543"/>
      <c r="I15" s="542"/>
      <c r="J15" s="541"/>
      <c r="K15" s="541"/>
      <c r="L15" s="541"/>
      <c r="M15" s="541"/>
      <c r="N15" s="541"/>
    </row>
    <row r="16" spans="1:19" s="529" customFormat="1" ht="14">
      <c r="A16" s="1635"/>
      <c r="B16" s="1636"/>
      <c r="C16" s="539">
        <v>32.31</v>
      </c>
      <c r="D16" s="539">
        <v>1.48</v>
      </c>
      <c r="E16" s="605"/>
      <c r="F16" s="1623"/>
      <c r="G16" s="1623"/>
    </row>
    <row r="17" spans="1:19" s="529" customFormat="1" ht="14">
      <c r="A17" s="1635"/>
      <c r="B17" s="1636"/>
      <c r="C17" s="539">
        <v>32</v>
      </c>
      <c r="D17" s="539">
        <v>1.95</v>
      </c>
      <c r="E17" s="605"/>
      <c r="F17" s="1623"/>
      <c r="G17" s="1623"/>
    </row>
    <row r="18" spans="1:19" s="529" customFormat="1" ht="14">
      <c r="A18" s="1632">
        <v>7</v>
      </c>
      <c r="B18" s="1630" t="s">
        <v>300</v>
      </c>
      <c r="C18" s="539">
        <v>33.18</v>
      </c>
      <c r="D18" s="539">
        <v>0.71</v>
      </c>
      <c r="E18" s="605"/>
      <c r="F18" s="1637"/>
      <c r="G18" s="1630"/>
    </row>
    <row r="19" spans="1:19" s="529" customFormat="1" ht="14">
      <c r="A19" s="1632"/>
      <c r="B19" s="1630"/>
      <c r="C19" s="539">
        <v>32.32</v>
      </c>
      <c r="D19" s="539">
        <v>1.07</v>
      </c>
      <c r="E19" s="608"/>
      <c r="F19" s="1637"/>
      <c r="G19" s="1630"/>
    </row>
    <row r="20" spans="1:19" s="529" customFormat="1" ht="14">
      <c r="A20" s="530">
        <v>8</v>
      </c>
      <c r="B20" s="537" t="s">
        <v>285</v>
      </c>
      <c r="C20" s="539">
        <v>36.32</v>
      </c>
      <c r="D20" s="539">
        <v>1.375</v>
      </c>
      <c r="E20" s="608"/>
      <c r="F20" s="539">
        <v>398.89749999999998</v>
      </c>
      <c r="G20" s="539">
        <v>1.3749996824999999</v>
      </c>
    </row>
    <row r="21" spans="1:19" s="529" customFormat="1" ht="14">
      <c r="A21" s="530"/>
      <c r="B21" s="530"/>
      <c r="C21" s="612"/>
      <c r="D21" s="612"/>
      <c r="E21" s="533"/>
      <c r="F21" s="534"/>
    </row>
    <row r="22" spans="1:19" s="529" customFormat="1" ht="14">
      <c r="A22" s="530"/>
      <c r="B22" s="530"/>
      <c r="C22" s="612"/>
      <c r="D22" s="612"/>
      <c r="E22" s="533"/>
      <c r="F22" s="534"/>
    </row>
    <row r="23" spans="1:19" s="529" customFormat="1" ht="14">
      <c r="A23" s="530"/>
      <c r="B23" s="530"/>
      <c r="C23" s="530"/>
      <c r="E23" s="533"/>
      <c r="F23" s="534"/>
    </row>
    <row r="24" spans="1:19" s="530" customFormat="1" ht="14">
      <c r="A24" s="562" t="s">
        <v>106</v>
      </c>
      <c r="B24" s="565" t="s">
        <v>107</v>
      </c>
      <c r="C24" s="564" t="s">
        <v>4</v>
      </c>
      <c r="D24" s="563" t="s">
        <v>108</v>
      </c>
      <c r="E24" s="563" t="s">
        <v>109</v>
      </c>
      <c r="F24" s="562" t="s">
        <v>411</v>
      </c>
      <c r="G24" s="561" t="s">
        <v>950</v>
      </c>
      <c r="H24" s="561" t="s">
        <v>110</v>
      </c>
      <c r="I24" s="561" t="s">
        <v>276</v>
      </c>
      <c r="J24" s="561" t="s">
        <v>117</v>
      </c>
      <c r="K24" s="561" t="s">
        <v>275</v>
      </c>
      <c r="L24" s="562" t="s">
        <v>111</v>
      </c>
      <c r="M24" s="561" t="s">
        <v>949</v>
      </c>
      <c r="N24" s="561" t="s">
        <v>948</v>
      </c>
      <c r="O24" s="561" t="s">
        <v>129</v>
      </c>
      <c r="P24" s="561" t="s">
        <v>220</v>
      </c>
      <c r="Q24" s="537" t="s">
        <v>947</v>
      </c>
      <c r="R24" s="537" t="s">
        <v>946</v>
      </c>
      <c r="S24" s="560" t="s">
        <v>945</v>
      </c>
    </row>
    <row r="25" spans="1:19" s="547" customFormat="1" ht="14">
      <c r="A25" s="554">
        <v>214</v>
      </c>
      <c r="B25" s="559" t="s">
        <v>785</v>
      </c>
      <c r="C25" s="558" t="s">
        <v>786</v>
      </c>
      <c r="D25" s="555">
        <v>20</v>
      </c>
      <c r="E25" s="555">
        <v>19.999999949999999</v>
      </c>
      <c r="F25" s="557" t="s">
        <v>1036</v>
      </c>
      <c r="G25" s="555">
        <v>16.61</v>
      </c>
      <c r="H25" s="555">
        <v>5.3</v>
      </c>
      <c r="I25" s="555">
        <f>H25/G25</f>
        <v>0.31908488862131246</v>
      </c>
      <c r="J25" s="555">
        <v>15</v>
      </c>
      <c r="K25" s="555">
        <f>J25/G25</f>
        <v>0.90307043949428056</v>
      </c>
      <c r="L25" s="554">
        <v>9</v>
      </c>
      <c r="M25" s="566">
        <v>43018</v>
      </c>
      <c r="N25" s="555">
        <v>18.190000000000001</v>
      </c>
      <c r="O25" s="555">
        <f>(N25*(1+Q25/10)+R25/10)/J25</f>
        <v>1.2126666666666668</v>
      </c>
      <c r="P25" s="553" t="s">
        <v>223</v>
      </c>
      <c r="Q25" s="554">
        <f>IFERROR(MID(P25,FIND("转",P25)+1,FIND("股",P25)-(FIND("转",P25)+1)),0)</f>
        <v>0</v>
      </c>
      <c r="R25" s="554">
        <f>IFERROR(MID(P25,FIND("派",P25)+1,FIND("元",P25)-FIND("派",P25)-1),0)</f>
        <v>0</v>
      </c>
      <c r="S25" s="553"/>
    </row>
    <row r="26" spans="1:19" s="540" customFormat="1" ht="14">
      <c r="A26" s="547"/>
      <c r="B26" s="551" t="s">
        <v>112</v>
      </c>
      <c r="C26" s="551" t="s">
        <v>113</v>
      </c>
      <c r="D26" s="551" t="s">
        <v>943</v>
      </c>
      <c r="E26" s="552" t="s">
        <v>411</v>
      </c>
      <c r="F26" s="552" t="s">
        <v>942</v>
      </c>
      <c r="G26" s="551" t="s">
        <v>231</v>
      </c>
      <c r="H26" s="551" t="s">
        <v>941</v>
      </c>
      <c r="I26" s="549">
        <f>SUM(G27:G61)</f>
        <v>19.999999949999999</v>
      </c>
      <c r="J26" s="548"/>
      <c r="K26" s="548"/>
      <c r="L26" s="548"/>
      <c r="M26" s="548"/>
      <c r="N26" s="548"/>
    </row>
    <row r="27" spans="1:19" s="540" customFormat="1" ht="14">
      <c r="A27" s="530">
        <v>1</v>
      </c>
      <c r="B27" s="536" t="s">
        <v>1035</v>
      </c>
      <c r="C27" s="536">
        <v>18</v>
      </c>
      <c r="D27" s="536">
        <v>4</v>
      </c>
      <c r="E27" s="544"/>
      <c r="F27" s="546">
        <v>2666.6666</v>
      </c>
      <c r="G27" s="546">
        <v>3.9999999000000002</v>
      </c>
      <c r="H27" s="543" t="s">
        <v>126</v>
      </c>
      <c r="I27" s="138" t="s">
        <v>1034</v>
      </c>
      <c r="J27" s="541"/>
      <c r="K27" s="541"/>
      <c r="L27" s="541"/>
      <c r="M27" s="541"/>
      <c r="N27" s="541"/>
    </row>
    <row r="28" spans="1:19" s="540" customFormat="1" ht="14">
      <c r="A28" s="1632">
        <v>2</v>
      </c>
      <c r="B28" s="1637" t="s">
        <v>174</v>
      </c>
      <c r="C28" s="536">
        <v>17.600000000000001</v>
      </c>
      <c r="D28" s="536">
        <v>2</v>
      </c>
      <c r="E28" s="544"/>
      <c r="F28" s="1624">
        <v>1333.3333</v>
      </c>
      <c r="G28" s="1624">
        <v>1.9999999500000001</v>
      </c>
      <c r="H28" s="543"/>
      <c r="I28" s="542"/>
      <c r="J28" s="541"/>
      <c r="K28" s="541"/>
      <c r="L28" s="541"/>
      <c r="M28" s="541"/>
      <c r="N28" s="541"/>
    </row>
    <row r="29" spans="1:19" s="540" customFormat="1" ht="14">
      <c r="A29" s="1632"/>
      <c r="B29" s="1637"/>
      <c r="C29" s="536">
        <v>16.8</v>
      </c>
      <c r="D29" s="536">
        <v>2</v>
      </c>
      <c r="E29" s="544"/>
      <c r="F29" s="1626"/>
      <c r="G29" s="1626"/>
      <c r="H29" s="543"/>
      <c r="I29" s="542"/>
      <c r="J29" s="541"/>
      <c r="K29" s="541"/>
      <c r="L29" s="541"/>
      <c r="M29" s="541"/>
      <c r="N29" s="541"/>
    </row>
    <row r="30" spans="1:19" s="540" customFormat="1" ht="14">
      <c r="A30" s="1632"/>
      <c r="B30" s="1637"/>
      <c r="C30" s="536">
        <v>16</v>
      </c>
      <c r="D30" s="536">
        <v>2</v>
      </c>
      <c r="E30" s="544"/>
      <c r="F30" s="1625"/>
      <c r="G30" s="1625"/>
      <c r="H30" s="543"/>
      <c r="I30" s="542"/>
      <c r="J30" s="541"/>
      <c r="K30" s="541"/>
      <c r="L30" s="541"/>
      <c r="M30" s="541"/>
      <c r="N30" s="541"/>
    </row>
    <row r="31" spans="1:19" s="540" customFormat="1" ht="14">
      <c r="A31" s="530">
        <v>3</v>
      </c>
      <c r="B31" s="536" t="s">
        <v>706</v>
      </c>
      <c r="C31" s="536">
        <v>16.7</v>
      </c>
      <c r="D31" s="536">
        <v>2.1</v>
      </c>
      <c r="E31" s="544"/>
      <c r="F31" s="546">
        <v>1400</v>
      </c>
      <c r="G31" s="546">
        <v>2.1</v>
      </c>
      <c r="H31" s="543"/>
      <c r="I31" s="542"/>
      <c r="J31" s="541"/>
      <c r="K31" s="541"/>
      <c r="L31" s="541"/>
      <c r="M31" s="541"/>
      <c r="N31" s="541"/>
    </row>
    <row r="32" spans="1:19" s="540" customFormat="1" ht="14">
      <c r="A32" s="530">
        <v>4</v>
      </c>
      <c r="B32" s="536" t="s">
        <v>522</v>
      </c>
      <c r="C32" s="536">
        <v>16.3</v>
      </c>
      <c r="D32" s="536">
        <v>2</v>
      </c>
      <c r="E32" s="544"/>
      <c r="F32" s="546">
        <v>1333.3333</v>
      </c>
      <c r="G32" s="546">
        <v>1.9999999500000001</v>
      </c>
      <c r="H32" s="543"/>
      <c r="I32" s="542"/>
      <c r="J32" s="541"/>
      <c r="K32" s="541"/>
      <c r="L32" s="541"/>
      <c r="M32" s="541"/>
      <c r="N32" s="541"/>
    </row>
    <row r="33" spans="1:14" s="540" customFormat="1" ht="14">
      <c r="A33" s="530">
        <v>5</v>
      </c>
      <c r="B33" s="536" t="s">
        <v>1033</v>
      </c>
      <c r="C33" s="536">
        <v>16</v>
      </c>
      <c r="D33" s="536">
        <v>2</v>
      </c>
      <c r="E33" s="544"/>
      <c r="F33" s="546">
        <v>1333.3333</v>
      </c>
      <c r="G33" s="546">
        <v>1.9999999500000001</v>
      </c>
      <c r="H33" s="543"/>
      <c r="I33" s="542"/>
      <c r="J33" s="541"/>
      <c r="K33" s="541"/>
      <c r="L33" s="541"/>
      <c r="M33" s="541"/>
      <c r="N33" s="541"/>
    </row>
    <row r="34" spans="1:14" s="540" customFormat="1" ht="14">
      <c r="A34" s="530">
        <v>6</v>
      </c>
      <c r="B34" s="536" t="s">
        <v>1032</v>
      </c>
      <c r="C34" s="536">
        <v>16</v>
      </c>
      <c r="D34" s="536">
        <v>2</v>
      </c>
      <c r="E34" s="544"/>
      <c r="F34" s="546">
        <v>1333.3333</v>
      </c>
      <c r="G34" s="546">
        <v>1.9999999500000001</v>
      </c>
      <c r="H34" s="543"/>
      <c r="I34" s="542"/>
      <c r="J34" s="541"/>
      <c r="K34" s="541"/>
      <c r="L34" s="541"/>
      <c r="M34" s="541"/>
      <c r="N34" s="541"/>
    </row>
    <row r="35" spans="1:14" s="540" customFormat="1" ht="14">
      <c r="A35" s="1632">
        <v>7</v>
      </c>
      <c r="B35" s="1637" t="s">
        <v>115</v>
      </c>
      <c r="C35" s="536">
        <v>15.8</v>
      </c>
      <c r="D35" s="536">
        <v>2</v>
      </c>
      <c r="E35" s="544"/>
      <c r="F35" s="1624">
        <v>1333.3333</v>
      </c>
      <c r="G35" s="1624">
        <v>1.9999999500000001</v>
      </c>
      <c r="H35" s="543"/>
      <c r="I35" s="542"/>
      <c r="J35" s="541"/>
      <c r="K35" s="541"/>
      <c r="L35" s="541"/>
      <c r="M35" s="541"/>
      <c r="N35" s="541"/>
    </row>
    <row r="36" spans="1:14" s="540" customFormat="1" ht="14">
      <c r="A36" s="1632"/>
      <c r="B36" s="1637"/>
      <c r="C36" s="536">
        <v>14.8</v>
      </c>
      <c r="D36" s="536">
        <v>5.27</v>
      </c>
      <c r="E36" s="544"/>
      <c r="F36" s="1625"/>
      <c r="G36" s="1625"/>
      <c r="H36" s="543"/>
      <c r="I36" s="542"/>
      <c r="J36" s="541"/>
      <c r="K36" s="541"/>
      <c r="L36" s="541"/>
      <c r="M36" s="541"/>
      <c r="N36" s="541"/>
    </row>
    <row r="37" spans="1:14" s="540" customFormat="1" ht="14">
      <c r="A37" s="1632">
        <v>8</v>
      </c>
      <c r="B37" s="1637" t="s">
        <v>594</v>
      </c>
      <c r="C37" s="536">
        <v>15</v>
      </c>
      <c r="D37" s="536">
        <v>2.1</v>
      </c>
      <c r="E37" s="544"/>
      <c r="F37" s="1624">
        <v>1400</v>
      </c>
      <c r="G37" s="1624">
        <v>2.1</v>
      </c>
      <c r="H37" s="543"/>
      <c r="I37" s="542"/>
      <c r="J37" s="541"/>
      <c r="K37" s="541"/>
      <c r="L37" s="541"/>
      <c r="M37" s="541"/>
      <c r="N37" s="541"/>
    </row>
    <row r="38" spans="1:14" s="540" customFormat="1" ht="14">
      <c r="A38" s="1632"/>
      <c r="B38" s="1637"/>
      <c r="C38" s="536">
        <v>13.9</v>
      </c>
      <c r="D38" s="536">
        <v>4.0999999999999996</v>
      </c>
      <c r="E38" s="544"/>
      <c r="F38" s="1626"/>
      <c r="G38" s="1626"/>
      <c r="H38" s="543"/>
      <c r="I38" s="542"/>
      <c r="J38" s="541"/>
      <c r="K38" s="541"/>
      <c r="L38" s="541"/>
      <c r="M38" s="541"/>
      <c r="N38" s="541"/>
    </row>
    <row r="39" spans="1:14" s="540" customFormat="1" ht="14">
      <c r="A39" s="1632"/>
      <c r="B39" s="1637"/>
      <c r="C39" s="536">
        <v>12.9</v>
      </c>
      <c r="D39" s="536">
        <v>6</v>
      </c>
      <c r="E39" s="544"/>
      <c r="F39" s="1625"/>
      <c r="G39" s="1625"/>
      <c r="H39" s="543"/>
      <c r="I39" s="542"/>
      <c r="J39" s="541"/>
      <c r="K39" s="541"/>
      <c r="L39" s="541"/>
      <c r="M39" s="541"/>
      <c r="N39" s="541"/>
    </row>
    <row r="40" spans="1:14" s="540" customFormat="1" ht="14">
      <c r="A40" s="1632">
        <v>9</v>
      </c>
      <c r="B40" s="1637" t="s">
        <v>128</v>
      </c>
      <c r="C40" s="536">
        <v>15</v>
      </c>
      <c r="D40" s="536">
        <v>2</v>
      </c>
      <c r="E40" s="544"/>
      <c r="F40" s="1624">
        <v>1200.0001999999999</v>
      </c>
      <c r="G40" s="1624">
        <v>1.8000003</v>
      </c>
      <c r="H40" s="543"/>
      <c r="I40" s="542"/>
      <c r="J40" s="541"/>
      <c r="K40" s="541"/>
      <c r="L40" s="541"/>
      <c r="M40" s="541"/>
      <c r="N40" s="541"/>
    </row>
    <row r="41" spans="1:14" s="540" customFormat="1" ht="14">
      <c r="A41" s="1632"/>
      <c r="B41" s="1637"/>
      <c r="C41" s="536">
        <v>12.1</v>
      </c>
      <c r="D41" s="536">
        <v>4</v>
      </c>
      <c r="E41" s="544"/>
      <c r="F41" s="1625"/>
      <c r="G41" s="1625"/>
      <c r="H41" s="543"/>
      <c r="I41" s="542"/>
      <c r="J41" s="541"/>
      <c r="K41" s="541"/>
      <c r="L41" s="541"/>
      <c r="M41" s="541"/>
      <c r="N41" s="541"/>
    </row>
    <row r="42" spans="1:14" s="540" customFormat="1" ht="14">
      <c r="A42" s="530">
        <v>10</v>
      </c>
      <c r="B42" s="536" t="s">
        <v>13</v>
      </c>
      <c r="C42" s="536">
        <v>11.8</v>
      </c>
      <c r="D42" s="536">
        <v>2</v>
      </c>
      <c r="E42" s="544"/>
      <c r="F42" s="546"/>
      <c r="G42" s="546"/>
      <c r="H42" s="543"/>
      <c r="I42" s="542"/>
      <c r="J42" s="541"/>
      <c r="K42" s="541"/>
      <c r="L42" s="541"/>
      <c r="M42" s="541"/>
      <c r="N42" s="541"/>
    </row>
    <row r="43" spans="1:14" s="540" customFormat="1" ht="14">
      <c r="A43" s="1632">
        <v>11</v>
      </c>
      <c r="B43" s="1637" t="s">
        <v>131</v>
      </c>
      <c r="C43" s="536">
        <v>8.1</v>
      </c>
      <c r="D43" s="536">
        <v>2.44</v>
      </c>
      <c r="E43" s="544"/>
      <c r="F43" s="546"/>
      <c r="G43" s="546"/>
      <c r="H43" s="543"/>
      <c r="I43" s="542"/>
      <c r="J43" s="541"/>
      <c r="K43" s="541"/>
      <c r="L43" s="541"/>
      <c r="M43" s="541"/>
      <c r="N43" s="541"/>
    </row>
    <row r="44" spans="1:14" s="540" customFormat="1" ht="14">
      <c r="A44" s="1632"/>
      <c r="B44" s="1637"/>
      <c r="C44" s="536">
        <v>5.4</v>
      </c>
      <c r="D44" s="536">
        <v>2.96</v>
      </c>
      <c r="E44" s="544"/>
      <c r="F44" s="546"/>
      <c r="G44" s="546"/>
      <c r="H44" s="543"/>
      <c r="I44" s="542"/>
      <c r="J44" s="541"/>
      <c r="K44" s="541"/>
      <c r="L44" s="541"/>
      <c r="M44" s="541"/>
      <c r="N44" s="541"/>
    </row>
    <row r="45" spans="1:14" s="540" customFormat="1" ht="14">
      <c r="A45" s="1632">
        <v>12</v>
      </c>
      <c r="B45" s="1637" t="s">
        <v>1031</v>
      </c>
      <c r="C45" s="536">
        <v>13.6</v>
      </c>
      <c r="D45" s="536">
        <v>2</v>
      </c>
      <c r="E45" s="544"/>
      <c r="F45" s="546"/>
      <c r="G45" s="546"/>
      <c r="H45" s="543"/>
      <c r="I45" s="542"/>
      <c r="J45" s="541"/>
      <c r="K45" s="541"/>
      <c r="L45" s="541"/>
      <c r="M45" s="541"/>
      <c r="N45" s="541"/>
    </row>
    <row r="46" spans="1:14" s="540" customFormat="1" ht="14">
      <c r="A46" s="1632"/>
      <c r="B46" s="1637"/>
      <c r="C46" s="536">
        <v>12.1</v>
      </c>
      <c r="D46" s="536">
        <v>2.2000000000000002</v>
      </c>
      <c r="E46" s="544"/>
      <c r="F46" s="546"/>
      <c r="G46" s="546"/>
      <c r="H46" s="543"/>
      <c r="I46" s="542"/>
      <c r="J46" s="541"/>
      <c r="K46" s="541"/>
      <c r="L46" s="541"/>
      <c r="M46" s="541"/>
      <c r="N46" s="541"/>
    </row>
    <row r="47" spans="1:14" s="540" customFormat="1" ht="14">
      <c r="A47" s="1632"/>
      <c r="B47" s="1637"/>
      <c r="C47" s="536">
        <v>10.1</v>
      </c>
      <c r="D47" s="536">
        <v>2.4</v>
      </c>
      <c r="E47" s="544"/>
      <c r="F47" s="546"/>
      <c r="G47" s="546"/>
      <c r="H47" s="543"/>
      <c r="I47" s="542"/>
      <c r="J47" s="541"/>
      <c r="K47" s="541"/>
      <c r="L47" s="541"/>
      <c r="M47" s="541"/>
      <c r="N47" s="541"/>
    </row>
    <row r="48" spans="1:14" s="540" customFormat="1" ht="14">
      <c r="A48" s="530">
        <v>13</v>
      </c>
      <c r="B48" s="536" t="s">
        <v>336</v>
      </c>
      <c r="C48" s="536">
        <v>13.4</v>
      </c>
      <c r="D48" s="536">
        <v>2</v>
      </c>
      <c r="E48" s="544"/>
      <c r="F48" s="546"/>
      <c r="G48" s="546"/>
      <c r="H48" s="543"/>
      <c r="I48" s="542"/>
      <c r="J48" s="541"/>
      <c r="K48" s="541"/>
      <c r="L48" s="541"/>
      <c r="M48" s="541"/>
      <c r="N48" s="541"/>
    </row>
    <row r="49" spans="1:14" s="540" customFormat="1" ht="14">
      <c r="A49" s="1632">
        <v>14</v>
      </c>
      <c r="B49" s="1637" t="s">
        <v>147</v>
      </c>
      <c r="C49" s="536">
        <v>13.4</v>
      </c>
      <c r="D49" s="536">
        <v>3.11</v>
      </c>
      <c r="E49" s="544"/>
      <c r="F49" s="546"/>
      <c r="G49" s="546"/>
      <c r="H49" s="543"/>
      <c r="I49" s="542"/>
      <c r="J49" s="541"/>
      <c r="K49" s="541"/>
      <c r="L49" s="541"/>
      <c r="M49" s="541"/>
      <c r="N49" s="541"/>
    </row>
    <row r="50" spans="1:14" s="540" customFormat="1" ht="14">
      <c r="A50" s="1632"/>
      <c r="B50" s="1637"/>
      <c r="C50" s="536">
        <v>8.1</v>
      </c>
      <c r="D50" s="536">
        <v>3.24</v>
      </c>
      <c r="E50" s="544"/>
      <c r="F50" s="546"/>
      <c r="G50" s="546"/>
      <c r="H50" s="543"/>
      <c r="I50" s="542"/>
      <c r="J50" s="541"/>
      <c r="K50" s="541"/>
      <c r="L50" s="541"/>
      <c r="M50" s="541"/>
      <c r="N50" s="541"/>
    </row>
    <row r="51" spans="1:14" s="540" customFormat="1" ht="14">
      <c r="A51" s="1632">
        <v>15</v>
      </c>
      <c r="B51" s="1637" t="s">
        <v>150</v>
      </c>
      <c r="C51" s="536">
        <v>10.199999999999999</v>
      </c>
      <c r="D51" s="536">
        <v>2.04</v>
      </c>
      <c r="E51" s="544"/>
      <c r="F51" s="546"/>
      <c r="G51" s="546"/>
      <c r="H51" s="543"/>
      <c r="I51" s="542"/>
      <c r="J51" s="541"/>
      <c r="K51" s="541"/>
      <c r="L51" s="541"/>
      <c r="M51" s="541"/>
      <c r="N51" s="541"/>
    </row>
    <row r="52" spans="1:14" s="540" customFormat="1" ht="14">
      <c r="A52" s="1632"/>
      <c r="B52" s="1637"/>
      <c r="C52" s="536">
        <v>8</v>
      </c>
      <c r="D52" s="536">
        <v>2.41</v>
      </c>
      <c r="E52" s="544"/>
      <c r="F52" s="546"/>
      <c r="G52" s="546"/>
      <c r="H52" s="543"/>
      <c r="I52" s="542"/>
      <c r="J52" s="541"/>
      <c r="K52" s="541"/>
      <c r="L52" s="541"/>
      <c r="M52" s="541"/>
      <c r="N52" s="541"/>
    </row>
    <row r="53" spans="1:14" s="540" customFormat="1" ht="14">
      <c r="A53" s="530">
        <v>16</v>
      </c>
      <c r="B53" s="536" t="s">
        <v>1030</v>
      </c>
      <c r="C53" s="536">
        <v>12</v>
      </c>
      <c r="D53" s="536">
        <v>4</v>
      </c>
      <c r="E53" s="544"/>
      <c r="F53" s="546"/>
      <c r="G53" s="546"/>
      <c r="H53" s="543"/>
      <c r="I53" s="542"/>
      <c r="J53" s="541"/>
      <c r="K53" s="541"/>
      <c r="L53" s="541"/>
      <c r="M53" s="541"/>
      <c r="N53" s="541"/>
    </row>
    <row r="54" spans="1:14" s="540" customFormat="1" ht="14">
      <c r="A54" s="530">
        <v>17</v>
      </c>
      <c r="B54" s="536" t="s">
        <v>1029</v>
      </c>
      <c r="C54" s="536">
        <v>12</v>
      </c>
      <c r="D54" s="536">
        <v>2.66</v>
      </c>
      <c r="E54" s="544"/>
      <c r="F54" s="546"/>
      <c r="G54" s="546"/>
      <c r="H54" s="543"/>
      <c r="I54" s="542"/>
      <c r="J54" s="541"/>
      <c r="K54" s="541"/>
      <c r="L54" s="541"/>
      <c r="M54" s="541"/>
      <c r="N54" s="541"/>
    </row>
    <row r="55" spans="1:14" s="540" customFormat="1" ht="14">
      <c r="A55" s="1632">
        <v>18</v>
      </c>
      <c r="B55" s="1637" t="s">
        <v>173</v>
      </c>
      <c r="C55" s="536">
        <v>14.4</v>
      </c>
      <c r="D55" s="536">
        <v>2</v>
      </c>
      <c r="E55" s="544"/>
      <c r="F55" s="546"/>
      <c r="G55" s="546"/>
      <c r="H55" s="543"/>
      <c r="I55" s="542"/>
      <c r="J55" s="541"/>
      <c r="K55" s="541"/>
      <c r="L55" s="541"/>
      <c r="M55" s="541"/>
      <c r="N55" s="541"/>
    </row>
    <row r="56" spans="1:14" s="540" customFormat="1" ht="14">
      <c r="A56" s="1632"/>
      <c r="B56" s="1637"/>
      <c r="C56" s="536">
        <v>13.7</v>
      </c>
      <c r="D56" s="536">
        <v>2.79</v>
      </c>
      <c r="E56" s="544"/>
      <c r="F56" s="546"/>
      <c r="G56" s="546"/>
      <c r="H56" s="543"/>
      <c r="I56" s="542"/>
      <c r="J56" s="541"/>
      <c r="K56" s="541"/>
      <c r="L56" s="541"/>
      <c r="M56" s="541"/>
      <c r="N56" s="541"/>
    </row>
    <row r="57" spans="1:14" s="540" customFormat="1" ht="14">
      <c r="A57" s="1632"/>
      <c r="B57" s="1637"/>
      <c r="C57" s="536">
        <v>12.9</v>
      </c>
      <c r="D57" s="536">
        <v>3.86</v>
      </c>
      <c r="E57" s="544"/>
      <c r="F57" s="546"/>
      <c r="G57" s="546"/>
      <c r="H57" s="543"/>
      <c r="I57" s="542"/>
      <c r="J57" s="541"/>
      <c r="K57" s="541"/>
      <c r="L57" s="541"/>
      <c r="M57" s="541"/>
      <c r="N57" s="541"/>
    </row>
    <row r="58" spans="1:14" s="540" customFormat="1" ht="14">
      <c r="A58" s="530">
        <v>19</v>
      </c>
      <c r="B58" s="536" t="s">
        <v>157</v>
      </c>
      <c r="C58" s="536">
        <v>9.1</v>
      </c>
      <c r="D58" s="536">
        <v>2</v>
      </c>
      <c r="E58" s="544"/>
      <c r="F58" s="546"/>
      <c r="G58" s="546"/>
      <c r="H58" s="543"/>
      <c r="I58" s="542"/>
      <c r="J58" s="541"/>
      <c r="K58" s="541"/>
      <c r="L58" s="541"/>
      <c r="M58" s="541"/>
      <c r="N58" s="541"/>
    </row>
    <row r="59" spans="1:14" s="540" customFormat="1" ht="14">
      <c r="A59" s="530">
        <v>20</v>
      </c>
      <c r="B59" s="536" t="s">
        <v>1028</v>
      </c>
      <c r="C59" s="536">
        <v>12.6</v>
      </c>
      <c r="D59" s="536">
        <v>2</v>
      </c>
      <c r="E59" s="544"/>
      <c r="F59" s="546"/>
      <c r="G59" s="546"/>
      <c r="H59" s="543"/>
      <c r="I59" s="542"/>
      <c r="J59" s="541"/>
      <c r="K59" s="541"/>
      <c r="L59" s="541"/>
      <c r="M59" s="541"/>
      <c r="N59" s="541"/>
    </row>
    <row r="60" spans="1:14" s="540" customFormat="1" ht="14">
      <c r="A60" s="1632">
        <v>21</v>
      </c>
      <c r="B60" s="1637" t="s">
        <v>1027</v>
      </c>
      <c r="C60" s="536">
        <v>13.1</v>
      </c>
      <c r="D60" s="536">
        <v>2</v>
      </c>
      <c r="E60" s="544"/>
      <c r="F60" s="546"/>
      <c r="G60" s="546"/>
      <c r="H60" s="543"/>
      <c r="I60" s="542"/>
      <c r="J60" s="541"/>
      <c r="K60" s="541"/>
      <c r="L60" s="541"/>
      <c r="M60" s="541"/>
      <c r="N60" s="541"/>
    </row>
    <row r="61" spans="1:14" s="540" customFormat="1" ht="14">
      <c r="A61" s="1632"/>
      <c r="B61" s="1637"/>
      <c r="C61" s="536">
        <v>12.3</v>
      </c>
      <c r="D61" s="536">
        <v>4</v>
      </c>
      <c r="E61" s="544"/>
      <c r="F61" s="546"/>
      <c r="G61" s="546"/>
      <c r="H61" s="543"/>
      <c r="I61" s="542"/>
      <c r="J61" s="541"/>
      <c r="K61" s="541"/>
      <c r="L61" s="541"/>
      <c r="M61" s="541"/>
      <c r="N61" s="541"/>
    </row>
    <row r="62" spans="1:14" s="529" customFormat="1" ht="14">
      <c r="A62" s="530"/>
      <c r="B62" s="530"/>
      <c r="C62" s="530"/>
      <c r="D62" s="535"/>
      <c r="E62" s="611"/>
    </row>
    <row r="63" spans="1:14" s="529" customFormat="1" ht="14">
      <c r="A63" s="530"/>
      <c r="B63" s="530"/>
      <c r="C63" s="530"/>
      <c r="D63" s="535"/>
      <c r="E63" s="611"/>
    </row>
    <row r="64" spans="1:14" s="529" customFormat="1" ht="14">
      <c r="A64" s="547"/>
      <c r="B64" s="530"/>
      <c r="C64" s="580"/>
      <c r="D64" s="611"/>
      <c r="E64" s="611"/>
      <c r="F64" s="535"/>
      <c r="G64" s="611"/>
    </row>
    <row r="65" spans="1:19" s="530" customFormat="1" ht="14">
      <c r="A65" s="562" t="s">
        <v>106</v>
      </c>
      <c r="B65" s="565" t="s">
        <v>107</v>
      </c>
      <c r="C65" s="564" t="s">
        <v>4</v>
      </c>
      <c r="D65" s="563" t="s">
        <v>108</v>
      </c>
      <c r="E65" s="563" t="s">
        <v>109</v>
      </c>
      <c r="F65" s="562" t="s">
        <v>411</v>
      </c>
      <c r="G65" s="561" t="s">
        <v>950</v>
      </c>
      <c r="H65" s="561" t="s">
        <v>110</v>
      </c>
      <c r="I65" s="561" t="s">
        <v>276</v>
      </c>
      <c r="J65" s="561" t="s">
        <v>117</v>
      </c>
      <c r="K65" s="561" t="s">
        <v>275</v>
      </c>
      <c r="L65" s="562" t="s">
        <v>111</v>
      </c>
      <c r="M65" s="561" t="s">
        <v>949</v>
      </c>
      <c r="N65" s="561" t="s">
        <v>948</v>
      </c>
      <c r="O65" s="561" t="s">
        <v>129</v>
      </c>
      <c r="P65" s="561" t="s">
        <v>220</v>
      </c>
      <c r="Q65" s="537" t="s">
        <v>947</v>
      </c>
      <c r="R65" s="537" t="s">
        <v>946</v>
      </c>
      <c r="S65" s="560" t="s">
        <v>945</v>
      </c>
    </row>
    <row r="66" spans="1:19" s="547" customFormat="1" ht="16" customHeight="1">
      <c r="A66" s="1627">
        <v>215</v>
      </c>
      <c r="B66" s="1650" t="s">
        <v>787</v>
      </c>
      <c r="C66" s="1650" t="s">
        <v>788</v>
      </c>
      <c r="D66" s="1647">
        <v>29</v>
      </c>
      <c r="E66" s="1647">
        <v>26.0506665672</v>
      </c>
      <c r="F66" s="557" t="s">
        <v>1026</v>
      </c>
      <c r="G66" s="555">
        <v>3.07</v>
      </c>
      <c r="H66" s="555">
        <v>2.64</v>
      </c>
      <c r="I66" s="555">
        <f>H66/G66</f>
        <v>0.85993485342019549</v>
      </c>
      <c r="J66" s="555">
        <v>2.64</v>
      </c>
      <c r="K66" s="555">
        <f>J66/G66</f>
        <v>0.85993485342019549</v>
      </c>
      <c r="L66" s="554">
        <v>4</v>
      </c>
      <c r="M66" s="566">
        <v>43019</v>
      </c>
      <c r="N66" s="555">
        <v>3.2</v>
      </c>
      <c r="O66" s="555">
        <f>(N66*(1+Q66/10)+R66/10)/J66</f>
        <v>1.2121212121212122</v>
      </c>
      <c r="P66" s="553" t="s">
        <v>223</v>
      </c>
      <c r="Q66" s="554">
        <f>IFERROR(MID(P66,FIND("转",P66)+1,FIND("股",P66)-(FIND("转",P66)+1)),0)</f>
        <v>0</v>
      </c>
      <c r="R66" s="554">
        <f>IFERROR(MID(P66,FIND("派",P66)+1,FIND("元",P66)-FIND("派",P66)-1),0)</f>
        <v>0</v>
      </c>
      <c r="S66" s="553"/>
    </row>
    <row r="67" spans="1:19" s="547" customFormat="1" ht="16" customHeight="1">
      <c r="A67" s="1629"/>
      <c r="B67" s="1652"/>
      <c r="C67" s="1652"/>
      <c r="D67" s="1648"/>
      <c r="E67" s="1648"/>
      <c r="F67" s="557" t="s">
        <v>1025</v>
      </c>
      <c r="G67" s="555">
        <v>3.06</v>
      </c>
      <c r="H67" s="555">
        <v>2.64</v>
      </c>
      <c r="I67" s="555">
        <f>H67/G67</f>
        <v>0.86274509803921573</v>
      </c>
      <c r="J67" s="555">
        <v>2.64</v>
      </c>
      <c r="K67" s="555">
        <f>J67/G67</f>
        <v>0.86274509803921573</v>
      </c>
      <c r="L67" s="554">
        <v>3</v>
      </c>
      <c r="M67" s="566">
        <v>43019</v>
      </c>
      <c r="N67" s="555">
        <v>3.2</v>
      </c>
      <c r="O67" s="555">
        <f>(N67*(1+Q67/10)+R67/10)/J67</f>
        <v>1.2121212121212122</v>
      </c>
      <c r="P67" s="553" t="s">
        <v>223</v>
      </c>
      <c r="Q67" s="554">
        <f>IFERROR(MID(P67,FIND("转",P67)+1,FIND("股",P67)-(FIND("转",P67)+1)),0)</f>
        <v>0</v>
      </c>
      <c r="R67" s="554">
        <f>IFERROR(MID(P67,FIND("派",P67)+1,FIND("元",P67)-FIND("派",P67)-1),0)</f>
        <v>0</v>
      </c>
      <c r="S67" s="553"/>
    </row>
    <row r="68" spans="1:19" s="540" customFormat="1" ht="14">
      <c r="A68" s="547"/>
      <c r="B68" s="551" t="s">
        <v>1024</v>
      </c>
      <c r="C68" s="551" t="s">
        <v>113</v>
      </c>
      <c r="D68" s="551" t="s">
        <v>943</v>
      </c>
      <c r="E68" s="552" t="s">
        <v>411</v>
      </c>
      <c r="F68" s="552" t="s">
        <v>942</v>
      </c>
      <c r="G68" s="551" t="s">
        <v>231</v>
      </c>
      <c r="H68" s="551" t="s">
        <v>941</v>
      </c>
      <c r="I68" s="549">
        <f>SUM(G69:G88)</f>
        <v>26.050666567199997</v>
      </c>
      <c r="J68" s="548"/>
      <c r="K68" s="548"/>
      <c r="L68" s="548"/>
      <c r="M68" s="548"/>
      <c r="N68" s="548"/>
    </row>
    <row r="69" spans="1:19" s="540" customFormat="1" ht="14">
      <c r="A69" s="1634">
        <v>1</v>
      </c>
      <c r="B69" s="1619" t="s">
        <v>314</v>
      </c>
      <c r="C69" s="577">
        <v>2.87</v>
      </c>
      <c r="D69" s="577">
        <v>4.7590000000000003</v>
      </c>
      <c r="E69" s="578"/>
      <c r="F69" s="1641">
        <v>18034.090899999999</v>
      </c>
      <c r="G69" s="1644">
        <f>F69*$J$66/10000</f>
        <v>4.7609999975999999</v>
      </c>
      <c r="H69" s="543" t="s">
        <v>126</v>
      </c>
      <c r="I69" s="138" t="s">
        <v>1023</v>
      </c>
      <c r="J69" s="541"/>
      <c r="K69" s="541"/>
      <c r="L69" s="541"/>
      <c r="M69" s="541"/>
      <c r="N69" s="541"/>
    </row>
    <row r="70" spans="1:19" s="540" customFormat="1" ht="14">
      <c r="A70" s="1634"/>
      <c r="B70" s="1622"/>
      <c r="C70" s="577">
        <v>2.67</v>
      </c>
      <c r="D70" s="577">
        <v>4.76</v>
      </c>
      <c r="E70" s="578"/>
      <c r="F70" s="1642"/>
      <c r="G70" s="1645"/>
      <c r="H70" s="543"/>
      <c r="I70" s="140"/>
      <c r="J70" s="541"/>
      <c r="K70" s="541"/>
      <c r="L70" s="541"/>
      <c r="M70" s="541"/>
      <c r="N70" s="541"/>
    </row>
    <row r="71" spans="1:19" s="540" customFormat="1" ht="14">
      <c r="A71" s="1634"/>
      <c r="B71" s="1620"/>
      <c r="C71" s="577">
        <v>2.64</v>
      </c>
      <c r="D71" s="577">
        <v>4.7610000000000001</v>
      </c>
      <c r="E71" s="578"/>
      <c r="F71" s="1643"/>
      <c r="G71" s="1646"/>
      <c r="H71" s="543"/>
      <c r="I71" s="140"/>
      <c r="J71" s="541"/>
      <c r="K71" s="541"/>
      <c r="L71" s="541"/>
      <c r="M71" s="541"/>
      <c r="N71" s="541"/>
    </row>
    <row r="72" spans="1:19" s="540" customFormat="1" ht="14">
      <c r="A72" s="1634">
        <v>2</v>
      </c>
      <c r="B72" s="1619" t="s">
        <v>1022</v>
      </c>
      <c r="C72" s="577">
        <v>2.7</v>
      </c>
      <c r="D72" s="577">
        <v>3.5489999999999999</v>
      </c>
      <c r="E72" s="578"/>
      <c r="F72" s="1638">
        <v>13450.7575</v>
      </c>
      <c r="G72" s="1644">
        <f>F72*$J$66/10000</f>
        <v>3.5509999799999998</v>
      </c>
      <c r="H72" s="543"/>
      <c r="I72" s="542"/>
      <c r="J72" s="541"/>
      <c r="K72" s="541"/>
      <c r="L72" s="541"/>
      <c r="M72" s="541"/>
      <c r="N72" s="541"/>
    </row>
    <row r="73" spans="1:19" s="540" customFormat="1" ht="14">
      <c r="A73" s="1634"/>
      <c r="B73" s="1622"/>
      <c r="C73" s="577">
        <v>2.66</v>
      </c>
      <c r="D73" s="577">
        <v>3.55</v>
      </c>
      <c r="E73" s="578"/>
      <c r="F73" s="1639"/>
      <c r="G73" s="1645"/>
      <c r="H73" s="543"/>
      <c r="I73" s="542"/>
      <c r="J73" s="541"/>
      <c r="K73" s="541"/>
      <c r="L73" s="541"/>
      <c r="M73" s="541"/>
      <c r="N73" s="541"/>
    </row>
    <row r="74" spans="1:19" s="540" customFormat="1" ht="14">
      <c r="A74" s="1634"/>
      <c r="B74" s="1620"/>
      <c r="C74" s="577">
        <v>2.64</v>
      </c>
      <c r="D74" s="577">
        <v>3.5510000000000002</v>
      </c>
      <c r="E74" s="578"/>
      <c r="F74" s="1640"/>
      <c r="G74" s="1646"/>
      <c r="H74" s="543"/>
      <c r="I74" s="542"/>
      <c r="J74" s="541"/>
      <c r="K74" s="541"/>
      <c r="L74" s="541"/>
      <c r="M74" s="541"/>
      <c r="N74" s="541"/>
    </row>
    <row r="75" spans="1:19" s="540" customFormat="1" ht="14">
      <c r="A75" s="1634">
        <v>3</v>
      </c>
      <c r="B75" s="1619" t="s">
        <v>629</v>
      </c>
      <c r="C75" s="577">
        <v>2.7</v>
      </c>
      <c r="D75" s="577">
        <v>3.472</v>
      </c>
      <c r="E75" s="578"/>
      <c r="F75" s="1638">
        <v>13159.090899999999</v>
      </c>
      <c r="G75" s="1644">
        <f>F75*$J$66/10000</f>
        <v>3.4739999976</v>
      </c>
      <c r="H75" s="543"/>
      <c r="I75" s="542"/>
      <c r="J75" s="541"/>
      <c r="K75" s="541"/>
      <c r="L75" s="541"/>
      <c r="M75" s="541"/>
      <c r="N75" s="541"/>
    </row>
    <row r="76" spans="1:19" s="540" customFormat="1" ht="14">
      <c r="A76" s="1634"/>
      <c r="B76" s="1622"/>
      <c r="C76" s="577">
        <v>2.65</v>
      </c>
      <c r="D76" s="577">
        <v>3.4729999999999999</v>
      </c>
      <c r="E76" s="578"/>
      <c r="F76" s="1639"/>
      <c r="G76" s="1645"/>
      <c r="H76" s="543"/>
      <c r="I76" s="542"/>
      <c r="J76" s="541"/>
      <c r="K76" s="541"/>
      <c r="L76" s="541"/>
      <c r="M76" s="541"/>
      <c r="N76" s="541"/>
    </row>
    <row r="77" spans="1:19" s="540" customFormat="1" ht="14">
      <c r="A77" s="1634"/>
      <c r="B77" s="1620"/>
      <c r="C77" s="577">
        <v>2.64</v>
      </c>
      <c r="D77" s="577">
        <v>3.4740000000000002</v>
      </c>
      <c r="E77" s="578"/>
      <c r="F77" s="1640"/>
      <c r="G77" s="1646"/>
      <c r="H77" s="543"/>
      <c r="I77" s="542"/>
      <c r="J77" s="541"/>
      <c r="K77" s="541"/>
      <c r="L77" s="541"/>
      <c r="M77" s="541"/>
      <c r="N77" s="541"/>
    </row>
    <row r="78" spans="1:19" s="540" customFormat="1" ht="14">
      <c r="A78" s="1634">
        <v>4</v>
      </c>
      <c r="B78" s="1619" t="s">
        <v>144</v>
      </c>
      <c r="C78" s="574">
        <v>2.93</v>
      </c>
      <c r="D78" s="539">
        <v>2.9670000000000001</v>
      </c>
      <c r="E78" s="578"/>
      <c r="F78" s="1638">
        <v>11246.212100000001</v>
      </c>
      <c r="G78" s="1644">
        <f>F78*$J$66/10000</f>
        <v>2.9689999944000003</v>
      </c>
      <c r="H78" s="543"/>
      <c r="I78" s="542"/>
      <c r="J78" s="541"/>
      <c r="K78" s="541"/>
      <c r="L78" s="541"/>
      <c r="M78" s="541"/>
      <c r="N78" s="541"/>
    </row>
    <row r="79" spans="1:19" s="540" customFormat="1" ht="14">
      <c r="A79" s="1634"/>
      <c r="B79" s="1622"/>
      <c r="C79" s="574">
        <v>2.72</v>
      </c>
      <c r="D79" s="539">
        <v>2.968</v>
      </c>
      <c r="E79" s="578"/>
      <c r="F79" s="1639"/>
      <c r="G79" s="1645"/>
      <c r="H79" s="543"/>
      <c r="I79" s="542"/>
      <c r="J79" s="541"/>
      <c r="K79" s="541"/>
      <c r="L79" s="541"/>
      <c r="M79" s="541"/>
      <c r="N79" s="541"/>
    </row>
    <row r="80" spans="1:19" s="540" customFormat="1" ht="14">
      <c r="A80" s="1634"/>
      <c r="B80" s="1620"/>
      <c r="C80" s="574">
        <v>2.64</v>
      </c>
      <c r="D80" s="539">
        <v>2.9689999999999999</v>
      </c>
      <c r="E80" s="578"/>
      <c r="F80" s="1640"/>
      <c r="G80" s="1646"/>
      <c r="H80" s="543"/>
      <c r="I80" s="542"/>
      <c r="J80" s="541"/>
      <c r="K80" s="541"/>
      <c r="L80" s="541"/>
      <c r="M80" s="541"/>
      <c r="N80" s="541"/>
    </row>
    <row r="81" spans="1:19" s="529" customFormat="1" ht="14">
      <c r="A81" s="530"/>
      <c r="B81" s="530"/>
      <c r="C81" s="530"/>
      <c r="D81" s="535"/>
      <c r="E81" s="580"/>
    </row>
    <row r="82" spans="1:19" s="529" customFormat="1" ht="14">
      <c r="A82" s="530"/>
      <c r="B82" s="551" t="s">
        <v>1021</v>
      </c>
      <c r="C82" s="551" t="s">
        <v>113</v>
      </c>
      <c r="D82" s="551" t="s">
        <v>943</v>
      </c>
      <c r="E82" s="552" t="s">
        <v>411</v>
      </c>
      <c r="F82" s="552" t="s">
        <v>942</v>
      </c>
      <c r="G82" s="551" t="s">
        <v>231</v>
      </c>
    </row>
    <row r="83" spans="1:19" s="529" customFormat="1" ht="14">
      <c r="A83" s="530">
        <v>5</v>
      </c>
      <c r="B83" s="537" t="s">
        <v>960</v>
      </c>
      <c r="C83" s="539">
        <v>2.64</v>
      </c>
      <c r="D83" s="539">
        <v>1.9</v>
      </c>
      <c r="E83" s="610"/>
      <c r="F83" s="609">
        <v>7196.9696000000004</v>
      </c>
      <c r="G83" s="577">
        <f>F83*$J$66/10000</f>
        <v>1.8999999744</v>
      </c>
    </row>
    <row r="84" spans="1:19" s="529" customFormat="1" ht="14">
      <c r="A84" s="530">
        <v>6</v>
      </c>
      <c r="B84" s="537" t="s">
        <v>279</v>
      </c>
      <c r="C84" s="539">
        <v>2.64</v>
      </c>
      <c r="D84" s="539">
        <v>1.4830000000000001</v>
      </c>
      <c r="E84" s="539"/>
      <c r="F84" s="609">
        <v>5617.4242000000004</v>
      </c>
      <c r="G84" s="577">
        <f>F84*$J$66/10000</f>
        <v>1.4829999888000003</v>
      </c>
    </row>
    <row r="85" spans="1:19" s="529" customFormat="1" ht="14">
      <c r="A85" s="530">
        <v>7</v>
      </c>
      <c r="B85" s="537" t="s">
        <v>115</v>
      </c>
      <c r="C85" s="539">
        <v>2.64</v>
      </c>
      <c r="D85" s="539">
        <v>1.4</v>
      </c>
      <c r="E85" s="576"/>
      <c r="F85" s="609">
        <v>5303.0303000000004</v>
      </c>
      <c r="G85" s="577">
        <f>F85*$J$66/10000</f>
        <v>1.3999999992000001</v>
      </c>
    </row>
    <row r="86" spans="1:19" s="529" customFormat="1" ht="14">
      <c r="A86" s="530"/>
      <c r="B86" s="530"/>
      <c r="C86" s="530"/>
      <c r="D86" s="535"/>
      <c r="E86" s="533"/>
    </row>
    <row r="87" spans="1:19" s="529" customFormat="1" ht="14">
      <c r="A87" s="530"/>
      <c r="B87" s="551" t="s">
        <v>1020</v>
      </c>
      <c r="C87" s="551" t="s">
        <v>113</v>
      </c>
      <c r="D87" s="551" t="s">
        <v>943</v>
      </c>
      <c r="E87" s="552" t="s">
        <v>411</v>
      </c>
      <c r="F87" s="552" t="s">
        <v>942</v>
      </c>
      <c r="G87" s="551" t="s">
        <v>231</v>
      </c>
    </row>
    <row r="88" spans="1:19" s="529" customFormat="1" ht="14">
      <c r="A88" s="530">
        <v>8</v>
      </c>
      <c r="B88" s="554" t="s">
        <v>1019</v>
      </c>
      <c r="C88" s="1653" t="s">
        <v>989</v>
      </c>
      <c r="D88" s="1654"/>
      <c r="E88" s="608"/>
      <c r="F88" s="607">
        <f>246691918/10000</f>
        <v>24669.191800000001</v>
      </c>
      <c r="G88" s="577">
        <f>F88*$J$66/10000</f>
        <v>6.5126666352000004</v>
      </c>
    </row>
    <row r="89" spans="1:19" s="529" customFormat="1" ht="14">
      <c r="A89" s="530"/>
      <c r="B89" s="530"/>
      <c r="C89" s="530"/>
      <c r="D89" s="535"/>
      <c r="E89" s="533"/>
    </row>
    <row r="90" spans="1:19" s="529" customFormat="1" ht="14">
      <c r="A90" s="530"/>
      <c r="B90" s="530"/>
      <c r="C90" s="530"/>
      <c r="D90" s="535"/>
      <c r="E90" s="533"/>
    </row>
    <row r="91" spans="1:19" s="529" customFormat="1" ht="14">
      <c r="A91" s="530"/>
      <c r="B91" s="530"/>
      <c r="C91" s="530"/>
      <c r="D91" s="535"/>
      <c r="E91" s="533"/>
    </row>
    <row r="92" spans="1:19" s="530" customFormat="1" ht="14">
      <c r="A92" s="562" t="s">
        <v>106</v>
      </c>
      <c r="B92" s="565" t="s">
        <v>107</v>
      </c>
      <c r="C92" s="564" t="s">
        <v>4</v>
      </c>
      <c r="D92" s="563" t="s">
        <v>108</v>
      </c>
      <c r="E92" s="563" t="s">
        <v>109</v>
      </c>
      <c r="F92" s="562" t="s">
        <v>411</v>
      </c>
      <c r="G92" s="561" t="s">
        <v>950</v>
      </c>
      <c r="H92" s="561" t="s">
        <v>110</v>
      </c>
      <c r="I92" s="561" t="s">
        <v>276</v>
      </c>
      <c r="J92" s="561" t="s">
        <v>117</v>
      </c>
      <c r="K92" s="561" t="s">
        <v>275</v>
      </c>
      <c r="L92" s="562" t="s">
        <v>111</v>
      </c>
      <c r="M92" s="561" t="s">
        <v>949</v>
      </c>
      <c r="N92" s="561" t="s">
        <v>948</v>
      </c>
      <c r="O92" s="561" t="s">
        <v>129</v>
      </c>
      <c r="P92" s="561" t="s">
        <v>220</v>
      </c>
      <c r="Q92" s="537" t="s">
        <v>947</v>
      </c>
      <c r="R92" s="537" t="s">
        <v>946</v>
      </c>
      <c r="S92" s="560" t="s">
        <v>945</v>
      </c>
    </row>
    <row r="93" spans="1:19" s="547" customFormat="1" ht="14">
      <c r="A93" s="554">
        <v>216</v>
      </c>
      <c r="B93" s="559" t="s">
        <v>789</v>
      </c>
      <c r="C93" s="558" t="s">
        <v>790</v>
      </c>
      <c r="D93" s="555">
        <v>30</v>
      </c>
      <c r="E93" s="555">
        <v>29.999999890000002</v>
      </c>
      <c r="F93" s="557" t="s">
        <v>1018</v>
      </c>
      <c r="G93" s="555">
        <v>8.59</v>
      </c>
      <c r="H93" s="555">
        <v>6.58</v>
      </c>
      <c r="I93" s="555">
        <f>H93/G93</f>
        <v>0.7660069848661234</v>
      </c>
      <c r="J93" s="555">
        <v>6.58</v>
      </c>
      <c r="K93" s="555">
        <f>J93/G93</f>
        <v>0.7660069848661234</v>
      </c>
      <c r="L93" s="554">
        <v>7</v>
      </c>
      <c r="M93" s="566">
        <v>43017</v>
      </c>
      <c r="N93" s="555">
        <v>17.23</v>
      </c>
      <c r="O93" s="555">
        <f>(N93*(1+Q93/10)+R93/10)/J93</f>
        <v>2.6489361702127661</v>
      </c>
      <c r="P93" s="553" t="s">
        <v>268</v>
      </c>
      <c r="Q93" s="554">
        <f>IFERROR(MID(P93,FIND("转",P93)+1,FIND("股",P93)-(FIND("转",P93)+1)),0)</f>
        <v>0</v>
      </c>
      <c r="R93" s="554" t="str">
        <f>IFERROR(MID(P93,FIND("派",P93)+1,FIND("元",P93)-FIND("派",P93)-1),0)</f>
        <v>2.00</v>
      </c>
      <c r="S93" s="553" t="s">
        <v>791</v>
      </c>
    </row>
    <row r="94" spans="1:19" s="540" customFormat="1" ht="14">
      <c r="A94" s="547"/>
      <c r="B94" s="551" t="s">
        <v>112</v>
      </c>
      <c r="C94" s="551" t="s">
        <v>113</v>
      </c>
      <c r="D94" s="551" t="s">
        <v>943</v>
      </c>
      <c r="E94" s="552" t="s">
        <v>411</v>
      </c>
      <c r="F94" s="552" t="s">
        <v>942</v>
      </c>
      <c r="G94" s="551" t="s">
        <v>231</v>
      </c>
      <c r="H94" s="551" t="s">
        <v>941</v>
      </c>
      <c r="I94" s="549">
        <f>SUM(G95:G107)</f>
        <v>29.999999890000002</v>
      </c>
      <c r="J94" s="548"/>
      <c r="K94" s="548"/>
      <c r="L94" s="548"/>
      <c r="M94" s="548"/>
      <c r="N94" s="548"/>
    </row>
    <row r="95" spans="1:19" s="540" customFormat="1" ht="14">
      <c r="A95" s="530">
        <v>1</v>
      </c>
      <c r="B95" s="537" t="s">
        <v>1017</v>
      </c>
      <c r="C95" s="574">
        <v>6.85</v>
      </c>
      <c r="D95" s="577">
        <v>3</v>
      </c>
      <c r="E95" s="544"/>
      <c r="F95" s="546">
        <v>4559.2704999999996</v>
      </c>
      <c r="G95" s="546">
        <v>2.999999989</v>
      </c>
      <c r="H95" s="543" t="s">
        <v>126</v>
      </c>
      <c r="I95" s="138" t="s">
        <v>1016</v>
      </c>
      <c r="J95" s="541"/>
      <c r="K95" s="541"/>
      <c r="L95" s="541"/>
      <c r="M95" s="541"/>
      <c r="N95" s="541"/>
    </row>
    <row r="96" spans="1:19" s="540" customFormat="1" ht="14">
      <c r="A96" s="1633">
        <v>2</v>
      </c>
      <c r="B96" s="1619" t="s">
        <v>128</v>
      </c>
      <c r="C96" s="574">
        <v>6.81</v>
      </c>
      <c r="D96" s="577">
        <v>3</v>
      </c>
      <c r="E96" s="544"/>
      <c r="F96" s="1623">
        <v>6838.9057000000003</v>
      </c>
      <c r="G96" s="1623">
        <v>4.4999999506000004</v>
      </c>
      <c r="H96" s="543"/>
      <c r="I96" s="542"/>
      <c r="J96" s="541"/>
      <c r="K96" s="541"/>
      <c r="L96" s="541"/>
      <c r="M96" s="541"/>
      <c r="N96" s="541"/>
    </row>
    <row r="97" spans="1:19" s="540" customFormat="1" ht="14">
      <c r="A97" s="1633"/>
      <c r="B97" s="1620"/>
      <c r="C97" s="574">
        <v>6.71</v>
      </c>
      <c r="D97" s="577">
        <v>4.5</v>
      </c>
      <c r="E97" s="544"/>
      <c r="F97" s="1623"/>
      <c r="G97" s="1623"/>
      <c r="H97" s="543"/>
      <c r="I97" s="542"/>
      <c r="J97" s="541"/>
      <c r="K97" s="541"/>
      <c r="L97" s="541"/>
      <c r="M97" s="541"/>
      <c r="N97" s="541"/>
    </row>
    <row r="98" spans="1:19" s="540" customFormat="1" ht="14">
      <c r="A98" s="1633">
        <v>3</v>
      </c>
      <c r="B98" s="1619" t="s">
        <v>309</v>
      </c>
      <c r="C98" s="574">
        <v>6.63</v>
      </c>
      <c r="D98" s="577">
        <v>3</v>
      </c>
      <c r="E98" s="544"/>
      <c r="F98" s="1623">
        <v>4559.2704999999996</v>
      </c>
      <c r="G98" s="1623">
        <v>2.999999989</v>
      </c>
      <c r="H98" s="543"/>
      <c r="I98" s="542"/>
      <c r="J98" s="541"/>
      <c r="K98" s="541"/>
      <c r="L98" s="541"/>
      <c r="M98" s="541"/>
      <c r="N98" s="541"/>
    </row>
    <row r="99" spans="1:19" s="540" customFormat="1" ht="14">
      <c r="A99" s="1633"/>
      <c r="B99" s="1622"/>
      <c r="C99" s="574">
        <v>6.61</v>
      </c>
      <c r="D99" s="577">
        <v>3</v>
      </c>
      <c r="E99" s="544"/>
      <c r="F99" s="1623"/>
      <c r="G99" s="1623"/>
      <c r="H99" s="543"/>
      <c r="I99" s="542"/>
      <c r="J99" s="541"/>
      <c r="K99" s="541"/>
      <c r="L99" s="541"/>
      <c r="M99" s="541"/>
      <c r="N99" s="541"/>
    </row>
    <row r="100" spans="1:19" s="540" customFormat="1" ht="14">
      <c r="A100" s="1633"/>
      <c r="B100" s="1620"/>
      <c r="C100" s="574">
        <v>6.58</v>
      </c>
      <c r="D100" s="577">
        <v>3</v>
      </c>
      <c r="E100" s="544"/>
      <c r="F100" s="1623"/>
      <c r="G100" s="1623"/>
      <c r="H100" s="543"/>
      <c r="I100" s="542"/>
      <c r="J100" s="541"/>
      <c r="K100" s="541"/>
      <c r="L100" s="541"/>
      <c r="M100" s="541"/>
      <c r="N100" s="541"/>
    </row>
    <row r="101" spans="1:19" s="540" customFormat="1" ht="14">
      <c r="A101" s="1633">
        <v>4</v>
      </c>
      <c r="B101" s="1619" t="s">
        <v>121</v>
      </c>
      <c r="C101" s="574">
        <v>8.16</v>
      </c>
      <c r="D101" s="577">
        <v>6</v>
      </c>
      <c r="E101" s="544"/>
      <c r="F101" s="1623">
        <v>15957.4468</v>
      </c>
      <c r="G101" s="1623">
        <v>10.499999994400001</v>
      </c>
      <c r="H101" s="543"/>
      <c r="I101" s="542"/>
      <c r="J101" s="541"/>
      <c r="K101" s="541"/>
      <c r="L101" s="541"/>
      <c r="M101" s="541"/>
      <c r="N101" s="541"/>
    </row>
    <row r="102" spans="1:19" s="540" customFormat="1" ht="14">
      <c r="A102" s="1633"/>
      <c r="B102" s="1622"/>
      <c r="C102" s="574">
        <v>6.59</v>
      </c>
      <c r="D102" s="577">
        <v>10.5</v>
      </c>
      <c r="E102" s="544"/>
      <c r="F102" s="1623"/>
      <c r="G102" s="1623"/>
      <c r="H102" s="543"/>
      <c r="I102" s="542"/>
      <c r="J102" s="541"/>
      <c r="K102" s="541"/>
      <c r="L102" s="541"/>
      <c r="M102" s="541"/>
      <c r="N102" s="541"/>
    </row>
    <row r="103" spans="1:19" s="540" customFormat="1" ht="14">
      <c r="A103" s="1633"/>
      <c r="B103" s="1620"/>
      <c r="C103" s="574">
        <v>6.58</v>
      </c>
      <c r="D103" s="577">
        <v>10.5</v>
      </c>
      <c r="E103" s="544"/>
      <c r="F103" s="1623"/>
      <c r="G103" s="1623"/>
      <c r="H103" s="543"/>
      <c r="I103" s="542"/>
      <c r="J103" s="541"/>
      <c r="K103" s="541"/>
      <c r="L103" s="541"/>
      <c r="M103" s="541"/>
      <c r="N103" s="541"/>
    </row>
    <row r="104" spans="1:19" s="540" customFormat="1" ht="14">
      <c r="A104" s="530">
        <v>5</v>
      </c>
      <c r="B104" s="537" t="s">
        <v>953</v>
      </c>
      <c r="C104" s="574">
        <v>6.59</v>
      </c>
      <c r="D104" s="577">
        <v>3</v>
      </c>
      <c r="E104" s="544"/>
      <c r="F104" s="546">
        <v>4559.2704999999996</v>
      </c>
      <c r="G104" s="546">
        <v>2.999999989</v>
      </c>
      <c r="H104" s="543"/>
      <c r="I104" s="542"/>
      <c r="J104" s="541"/>
      <c r="K104" s="541"/>
      <c r="L104" s="541"/>
      <c r="M104" s="541"/>
      <c r="N104" s="541"/>
    </row>
    <row r="105" spans="1:19" s="540" customFormat="1" ht="14">
      <c r="A105" s="530">
        <v>6</v>
      </c>
      <c r="B105" s="537" t="s">
        <v>1015</v>
      </c>
      <c r="C105" s="574">
        <v>6.58</v>
      </c>
      <c r="D105" s="577">
        <v>3</v>
      </c>
      <c r="E105" s="544"/>
      <c r="F105" s="546">
        <v>4559.2704999999996</v>
      </c>
      <c r="G105" s="546">
        <v>2.999999989</v>
      </c>
      <c r="H105" s="543"/>
      <c r="I105" s="542"/>
      <c r="J105" s="541"/>
      <c r="K105" s="541"/>
      <c r="L105" s="541"/>
      <c r="M105" s="541"/>
      <c r="N105" s="541"/>
    </row>
    <row r="106" spans="1:19" s="540" customFormat="1" ht="14">
      <c r="A106" s="530">
        <v>7</v>
      </c>
      <c r="B106" s="537" t="s">
        <v>1014</v>
      </c>
      <c r="C106" s="574">
        <v>6.58</v>
      </c>
      <c r="D106" s="577">
        <v>3</v>
      </c>
      <c r="E106" s="544"/>
      <c r="F106" s="546">
        <v>4559.2704999999996</v>
      </c>
      <c r="G106" s="546">
        <v>2.999999989</v>
      </c>
      <c r="H106" s="543"/>
      <c r="I106" s="542"/>
      <c r="J106" s="541"/>
      <c r="K106" s="541"/>
      <c r="L106" s="541"/>
      <c r="M106" s="541"/>
      <c r="N106" s="541"/>
    </row>
    <row r="107" spans="1:19" s="540" customFormat="1" ht="14">
      <c r="A107" s="530">
        <v>8</v>
      </c>
      <c r="B107" s="537" t="s">
        <v>150</v>
      </c>
      <c r="C107" s="574">
        <v>6.58</v>
      </c>
      <c r="D107" s="577">
        <v>3</v>
      </c>
      <c r="E107" s="544"/>
      <c r="F107" s="546"/>
      <c r="G107" s="546"/>
      <c r="H107" s="543"/>
      <c r="I107" s="542"/>
      <c r="J107" s="541"/>
      <c r="K107" s="541"/>
      <c r="L107" s="541"/>
      <c r="M107" s="541"/>
      <c r="N107" s="541"/>
    </row>
    <row r="108" spans="1:19" s="529" customFormat="1" ht="14">
      <c r="A108" s="530"/>
      <c r="B108" s="530"/>
      <c r="C108" s="530"/>
      <c r="D108" s="535"/>
      <c r="E108" s="533"/>
    </row>
    <row r="109" spans="1:19" s="529" customFormat="1" ht="14">
      <c r="A109" s="530"/>
      <c r="B109" s="531"/>
      <c r="C109" s="530"/>
      <c r="E109" s="533"/>
      <c r="F109" s="534"/>
    </row>
    <row r="110" spans="1:19" s="529" customFormat="1" ht="14">
      <c r="A110" s="530"/>
      <c r="B110" s="530"/>
      <c r="C110" s="530"/>
    </row>
    <row r="111" spans="1:19" s="530" customFormat="1" ht="14">
      <c r="A111" s="562" t="s">
        <v>106</v>
      </c>
      <c r="B111" s="565" t="s">
        <v>107</v>
      </c>
      <c r="C111" s="564" t="s">
        <v>4</v>
      </c>
      <c r="D111" s="563" t="s">
        <v>108</v>
      </c>
      <c r="E111" s="563" t="s">
        <v>109</v>
      </c>
      <c r="F111" s="562" t="s">
        <v>411</v>
      </c>
      <c r="G111" s="561" t="s">
        <v>950</v>
      </c>
      <c r="H111" s="561" t="s">
        <v>110</v>
      </c>
      <c r="I111" s="561" t="s">
        <v>276</v>
      </c>
      <c r="J111" s="561" t="s">
        <v>117</v>
      </c>
      <c r="K111" s="561" t="s">
        <v>275</v>
      </c>
      <c r="L111" s="562" t="s">
        <v>111</v>
      </c>
      <c r="M111" s="561" t="s">
        <v>949</v>
      </c>
      <c r="N111" s="561" t="s">
        <v>948</v>
      </c>
      <c r="O111" s="561" t="s">
        <v>129</v>
      </c>
      <c r="P111" s="561" t="s">
        <v>220</v>
      </c>
      <c r="Q111" s="537" t="s">
        <v>947</v>
      </c>
      <c r="R111" s="537" t="s">
        <v>946</v>
      </c>
      <c r="S111" s="560" t="s">
        <v>945</v>
      </c>
    </row>
    <row r="112" spans="1:19" s="547" customFormat="1" ht="14">
      <c r="A112" s="1627">
        <v>217</v>
      </c>
      <c r="B112" s="1650" t="s">
        <v>792</v>
      </c>
      <c r="C112" s="1650" t="s">
        <v>793</v>
      </c>
      <c r="D112" s="1647">
        <v>50</v>
      </c>
      <c r="E112" s="1647">
        <v>49.999999949900001</v>
      </c>
      <c r="F112" s="557" t="s">
        <v>1013</v>
      </c>
      <c r="G112" s="555">
        <v>11.21</v>
      </c>
      <c r="H112" s="555">
        <v>9.43</v>
      </c>
      <c r="I112" s="555">
        <f>H112/G112</f>
        <v>0.84121320249776976</v>
      </c>
      <c r="J112" s="555">
        <v>9.43</v>
      </c>
      <c r="K112" s="555">
        <f>J112/G112</f>
        <v>0.84121320249776976</v>
      </c>
      <c r="L112" s="1627">
        <v>8</v>
      </c>
      <c r="M112" s="1655">
        <v>43017</v>
      </c>
      <c r="N112" s="606">
        <v>8.65</v>
      </c>
      <c r="O112" s="555">
        <f>(N112*(1+Q112/10)+R112/10)/J112</f>
        <v>0.92788971367974549</v>
      </c>
      <c r="P112" s="598" t="s">
        <v>242</v>
      </c>
      <c r="Q112" s="554">
        <f>IFERROR(MID(P112,FIND("转",P112)+1,FIND("股",P112)-(FIND("转",P112)+1)),0)</f>
        <v>0</v>
      </c>
      <c r="R112" s="554" t="str">
        <f>IFERROR(MID(P112,FIND("派",P112)+1,FIND("元",P112)-FIND("派",P112)-1),0)</f>
        <v>1.00</v>
      </c>
      <c r="S112" s="553"/>
    </row>
    <row r="113" spans="1:19" s="547" customFormat="1" ht="14">
      <c r="A113" s="1628"/>
      <c r="B113" s="1651"/>
      <c r="C113" s="1651"/>
      <c r="D113" s="1649"/>
      <c r="E113" s="1649"/>
      <c r="F113" s="557" t="s">
        <v>1012</v>
      </c>
      <c r="G113" s="555">
        <v>11.19</v>
      </c>
      <c r="H113" s="555">
        <v>9.43</v>
      </c>
      <c r="I113" s="555">
        <f>H113/G113</f>
        <v>0.84271671134941917</v>
      </c>
      <c r="J113" s="555">
        <v>9.43</v>
      </c>
      <c r="K113" s="555">
        <f>J113/G113</f>
        <v>0.84271671134941917</v>
      </c>
      <c r="L113" s="1628"/>
      <c r="M113" s="1656"/>
      <c r="N113" s="606">
        <v>8.65</v>
      </c>
      <c r="O113" s="555">
        <f>(N113*(1+Q113/10)+R113/10)/J113</f>
        <v>0.92788971367974549</v>
      </c>
      <c r="P113" s="598" t="s">
        <v>242</v>
      </c>
      <c r="Q113" s="554">
        <f>IFERROR(MID(P113,FIND("转",P113)+1,FIND("股",P113)-(FIND("转",P113)+1)),0)</f>
        <v>0</v>
      </c>
      <c r="R113" s="554" t="str">
        <f>IFERROR(MID(P113,FIND("派",P113)+1,FIND("元",P113)-FIND("派",P113)-1),0)</f>
        <v>1.00</v>
      </c>
      <c r="S113" s="553"/>
    </row>
    <row r="114" spans="1:19" s="547" customFormat="1" ht="14">
      <c r="A114" s="1629"/>
      <c r="B114" s="1652"/>
      <c r="C114" s="1652"/>
      <c r="D114" s="1648"/>
      <c r="E114" s="1648"/>
      <c r="F114" s="557" t="s">
        <v>1011</v>
      </c>
      <c r="G114" s="555">
        <v>11.27</v>
      </c>
      <c r="H114" s="555">
        <v>9.43</v>
      </c>
      <c r="I114" s="555">
        <f>H114/G114</f>
        <v>0.83673469387755106</v>
      </c>
      <c r="J114" s="555">
        <v>9.43</v>
      </c>
      <c r="K114" s="555">
        <f>J114/G114</f>
        <v>0.83673469387755106</v>
      </c>
      <c r="L114" s="1629"/>
      <c r="M114" s="1657"/>
      <c r="N114" s="606">
        <v>8.65</v>
      </c>
      <c r="O114" s="555">
        <f>(N114*(1+Q114/10)+R114/10)/J114</f>
        <v>0.92788971367974549</v>
      </c>
      <c r="P114" s="598" t="s">
        <v>242</v>
      </c>
      <c r="Q114" s="554">
        <f>IFERROR(MID(P114,FIND("转",P114)+1,FIND("股",P114)-(FIND("转",P114)+1)),0)</f>
        <v>0</v>
      </c>
      <c r="R114" s="554" t="str">
        <f>IFERROR(MID(P114,FIND("派",P114)+1,FIND("元",P114)-FIND("派",P114)-1),0)</f>
        <v>1.00</v>
      </c>
      <c r="S114" s="553"/>
    </row>
    <row r="115" spans="1:19" s="540" customFormat="1" ht="14">
      <c r="A115" s="547"/>
      <c r="B115" s="551" t="s">
        <v>112</v>
      </c>
      <c r="C115" s="551" t="s">
        <v>113</v>
      </c>
      <c r="D115" s="551" t="s">
        <v>943</v>
      </c>
      <c r="E115" s="552" t="s">
        <v>411</v>
      </c>
      <c r="F115" s="552" t="s">
        <v>942</v>
      </c>
      <c r="G115" s="551" t="s">
        <v>231</v>
      </c>
      <c r="H115" s="551" t="s">
        <v>941</v>
      </c>
      <c r="I115" s="549">
        <f>SUM(G116:G135)</f>
        <v>49.999999949899994</v>
      </c>
      <c r="J115" s="548"/>
      <c r="K115" s="548"/>
      <c r="L115" s="548"/>
      <c r="M115" s="548"/>
      <c r="N115" s="548"/>
    </row>
    <row r="116" spans="1:19" s="540" customFormat="1" ht="14">
      <c r="A116" s="547">
        <v>1</v>
      </c>
      <c r="B116" s="554" t="s">
        <v>1010</v>
      </c>
      <c r="C116" s="546">
        <v>10.8</v>
      </c>
      <c r="D116" s="546">
        <v>5</v>
      </c>
      <c r="E116" s="544"/>
      <c r="F116" s="546">
        <v>5302.2268999999997</v>
      </c>
      <c r="G116" s="546">
        <v>4.9999999666999999</v>
      </c>
      <c r="H116" s="543" t="s">
        <v>126</v>
      </c>
      <c r="I116" s="138" t="s">
        <v>1009</v>
      </c>
      <c r="J116" s="541"/>
      <c r="K116" s="541"/>
      <c r="L116" s="541"/>
      <c r="M116" s="541"/>
      <c r="N116" s="541"/>
    </row>
    <row r="117" spans="1:19" s="540" customFormat="1" ht="14">
      <c r="A117" s="547">
        <v>2</v>
      </c>
      <c r="B117" s="554" t="s">
        <v>119</v>
      </c>
      <c r="C117" s="546">
        <v>9.43</v>
      </c>
      <c r="D117" s="546">
        <v>5</v>
      </c>
      <c r="E117" s="544"/>
      <c r="F117" s="546">
        <v>5302.2268999999997</v>
      </c>
      <c r="G117" s="546">
        <v>4.9999999666999999</v>
      </c>
      <c r="H117" s="543"/>
      <c r="I117" s="542"/>
      <c r="J117" s="541"/>
      <c r="K117" s="541"/>
      <c r="L117" s="541"/>
      <c r="M117" s="541"/>
      <c r="N117" s="541"/>
    </row>
    <row r="118" spans="1:19" s="540" customFormat="1" ht="14">
      <c r="A118" s="547">
        <v>3</v>
      </c>
      <c r="B118" s="554" t="s">
        <v>13</v>
      </c>
      <c r="C118" s="546">
        <v>9.8800000000000008</v>
      </c>
      <c r="D118" s="546">
        <v>5.0999999999999996</v>
      </c>
      <c r="E118" s="544"/>
      <c r="F118" s="546">
        <v>5408.2713999999996</v>
      </c>
      <c r="G118" s="546">
        <v>5.0999999302000001</v>
      </c>
      <c r="H118" s="543"/>
      <c r="I118" s="542"/>
      <c r="J118" s="541"/>
      <c r="K118" s="541"/>
      <c r="L118" s="541"/>
      <c r="M118" s="541"/>
      <c r="N118" s="541"/>
    </row>
    <row r="119" spans="1:19" s="540" customFormat="1" ht="14">
      <c r="A119" s="547">
        <v>4</v>
      </c>
      <c r="B119" s="554" t="s">
        <v>522</v>
      </c>
      <c r="C119" s="546">
        <v>10.46</v>
      </c>
      <c r="D119" s="546">
        <v>5</v>
      </c>
      <c r="E119" s="544"/>
      <c r="F119" s="546">
        <v>5302.2268999999997</v>
      </c>
      <c r="G119" s="546">
        <v>4.9999999666999999</v>
      </c>
      <c r="H119" s="543"/>
      <c r="I119" s="542"/>
      <c r="J119" s="541"/>
      <c r="K119" s="541"/>
      <c r="L119" s="541"/>
      <c r="M119" s="541"/>
      <c r="N119" s="541"/>
    </row>
    <row r="120" spans="1:19" s="540" customFormat="1" ht="14">
      <c r="A120" s="1635">
        <v>5</v>
      </c>
      <c r="B120" s="1636" t="s">
        <v>173</v>
      </c>
      <c r="C120" s="546">
        <v>9.7100000000000009</v>
      </c>
      <c r="D120" s="546">
        <v>5.44</v>
      </c>
      <c r="E120" s="544"/>
      <c r="F120" s="1623">
        <v>5896.0762999999997</v>
      </c>
      <c r="G120" s="1623">
        <v>5.5599999509</v>
      </c>
      <c r="H120" s="543"/>
      <c r="I120" s="542"/>
      <c r="J120" s="541"/>
      <c r="K120" s="541"/>
      <c r="L120" s="541"/>
      <c r="M120" s="541"/>
      <c r="N120" s="541"/>
    </row>
    <row r="121" spans="1:19" s="540" customFormat="1" ht="14">
      <c r="A121" s="1635"/>
      <c r="B121" s="1636"/>
      <c r="C121" s="546">
        <v>9.44</v>
      </c>
      <c r="D121" s="546">
        <v>5.56</v>
      </c>
      <c r="E121" s="544"/>
      <c r="F121" s="1623"/>
      <c r="G121" s="1623"/>
      <c r="H121" s="543"/>
      <c r="I121" s="542"/>
      <c r="J121" s="541"/>
      <c r="K121" s="541"/>
      <c r="L121" s="541"/>
      <c r="M121" s="541"/>
      <c r="N121" s="541"/>
    </row>
    <row r="122" spans="1:19" s="540" customFormat="1" ht="14">
      <c r="A122" s="1635">
        <v>6</v>
      </c>
      <c r="B122" s="1636" t="s">
        <v>1008</v>
      </c>
      <c r="C122" s="546">
        <v>10.199999999999999</v>
      </c>
      <c r="D122" s="546">
        <v>5</v>
      </c>
      <c r="E122" s="544"/>
      <c r="F122" s="1623">
        <v>8472.9585999999999</v>
      </c>
      <c r="G122" s="1623">
        <v>7.9899999598000004</v>
      </c>
      <c r="H122" s="543"/>
      <c r="I122" s="542"/>
      <c r="J122" s="541"/>
      <c r="K122" s="541"/>
      <c r="L122" s="541"/>
      <c r="M122" s="541"/>
      <c r="N122" s="541"/>
    </row>
    <row r="123" spans="1:19" s="540" customFormat="1" ht="14">
      <c r="A123" s="1635"/>
      <c r="B123" s="1636"/>
      <c r="C123" s="546">
        <v>9.8000000000000007</v>
      </c>
      <c r="D123" s="546">
        <v>7.8</v>
      </c>
      <c r="E123" s="544"/>
      <c r="F123" s="1623"/>
      <c r="G123" s="1623"/>
      <c r="H123" s="543"/>
      <c r="I123" s="542"/>
      <c r="J123" s="541"/>
      <c r="K123" s="541"/>
      <c r="L123" s="541"/>
      <c r="M123" s="541"/>
      <c r="N123" s="541"/>
    </row>
    <row r="124" spans="1:19" s="540" customFormat="1" ht="14">
      <c r="A124" s="1635"/>
      <c r="B124" s="1636"/>
      <c r="C124" s="546">
        <v>9.67</v>
      </c>
      <c r="D124" s="546">
        <v>7.99</v>
      </c>
      <c r="E124" s="544"/>
      <c r="F124" s="1623"/>
      <c r="G124" s="1623"/>
      <c r="H124" s="543"/>
      <c r="I124" s="542"/>
      <c r="J124" s="541"/>
      <c r="K124" s="541"/>
      <c r="L124" s="541"/>
      <c r="M124" s="541"/>
      <c r="N124" s="541"/>
    </row>
    <row r="125" spans="1:19" s="529" customFormat="1" ht="14">
      <c r="A125" s="1635">
        <v>7</v>
      </c>
      <c r="B125" s="1636" t="s">
        <v>115</v>
      </c>
      <c r="C125" s="546">
        <v>9.6</v>
      </c>
      <c r="D125" s="546">
        <v>5.18</v>
      </c>
      <c r="E125" s="544"/>
      <c r="F125" s="1623">
        <v>5832.4495999999999</v>
      </c>
      <c r="G125" s="1623">
        <v>5.4999999727999995</v>
      </c>
      <c r="H125" s="543"/>
      <c r="I125" s="542"/>
      <c r="J125" s="541"/>
      <c r="K125" s="541"/>
      <c r="L125" s="541"/>
      <c r="M125" s="541"/>
      <c r="N125" s="541"/>
    </row>
    <row r="126" spans="1:19" s="529" customFormat="1" ht="14">
      <c r="A126" s="1635"/>
      <c r="B126" s="1636"/>
      <c r="C126" s="546">
        <v>9.5299999999999994</v>
      </c>
      <c r="D126" s="546">
        <v>5.5</v>
      </c>
      <c r="E126" s="544"/>
      <c r="F126" s="1623"/>
      <c r="G126" s="1623"/>
      <c r="H126" s="543"/>
      <c r="I126" s="542"/>
      <c r="J126" s="541"/>
      <c r="K126" s="541"/>
      <c r="L126" s="541"/>
      <c r="M126" s="541"/>
      <c r="N126" s="541"/>
    </row>
    <row r="127" spans="1:19" s="529" customFormat="1" ht="14">
      <c r="A127" s="547">
        <v>8</v>
      </c>
      <c r="B127" s="554" t="s">
        <v>150</v>
      </c>
      <c r="C127" s="546">
        <v>9.56</v>
      </c>
      <c r="D127" s="546">
        <v>5.0999999999999996</v>
      </c>
      <c r="E127" s="544"/>
      <c r="F127" s="546">
        <v>5408.2713999999996</v>
      </c>
      <c r="G127" s="546">
        <v>5.0999999302000001</v>
      </c>
      <c r="H127" s="543"/>
      <c r="I127" s="542"/>
      <c r="J127" s="541"/>
      <c r="K127" s="541"/>
      <c r="L127" s="541"/>
      <c r="M127" s="541"/>
      <c r="N127" s="541"/>
    </row>
    <row r="128" spans="1:19" s="529" customFormat="1" ht="14">
      <c r="A128" s="530"/>
      <c r="B128" s="530"/>
      <c r="C128" s="530"/>
    </row>
    <row r="129" spans="1:19" s="529" customFormat="1" ht="14">
      <c r="A129" s="530"/>
      <c r="B129" s="551" t="s">
        <v>1007</v>
      </c>
      <c r="C129" s="551" t="s">
        <v>113</v>
      </c>
      <c r="D129" s="551" t="s">
        <v>943</v>
      </c>
      <c r="E129" s="552" t="s">
        <v>411</v>
      </c>
      <c r="F129" s="552" t="s">
        <v>942</v>
      </c>
      <c r="G129" s="551" t="s">
        <v>231</v>
      </c>
    </row>
    <row r="130" spans="1:19" s="529" customFormat="1" ht="14">
      <c r="A130" s="547">
        <v>1</v>
      </c>
      <c r="B130" s="537" t="s">
        <v>666</v>
      </c>
      <c r="C130" s="539">
        <v>9.43</v>
      </c>
      <c r="D130" s="539">
        <v>2.6</v>
      </c>
      <c r="E130" s="538"/>
      <c r="F130" s="538"/>
      <c r="G130" s="538"/>
    </row>
    <row r="131" spans="1:19" s="529" customFormat="1" ht="14">
      <c r="A131" s="530">
        <v>2</v>
      </c>
      <c r="B131" s="537" t="s">
        <v>127</v>
      </c>
      <c r="C131" s="539">
        <v>9.43</v>
      </c>
      <c r="D131" s="539">
        <v>2.2999999999999998</v>
      </c>
      <c r="E131" s="538"/>
      <c r="F131" s="592"/>
      <c r="G131" s="592"/>
    </row>
    <row r="132" spans="1:19" s="529" customFormat="1" ht="14">
      <c r="A132" s="530">
        <v>3</v>
      </c>
      <c r="B132" s="537" t="s">
        <v>173</v>
      </c>
      <c r="C132" s="539">
        <v>9.43</v>
      </c>
      <c r="D132" s="539">
        <v>4.38</v>
      </c>
      <c r="E132" s="538"/>
      <c r="F132" s="539">
        <v>4644.7506999999996</v>
      </c>
      <c r="G132" s="539">
        <v>4.3799999100999996</v>
      </c>
      <c r="H132" s="534"/>
    </row>
    <row r="133" spans="1:19" s="529" customFormat="1" ht="14">
      <c r="A133" s="530">
        <v>4</v>
      </c>
      <c r="B133" s="537" t="s">
        <v>115</v>
      </c>
      <c r="C133" s="539">
        <v>9.43</v>
      </c>
      <c r="D133" s="539">
        <v>2.38</v>
      </c>
      <c r="E133" s="538"/>
      <c r="F133" s="539">
        <v>1452.8105999999998</v>
      </c>
      <c r="G133" s="539">
        <v>1.3700003958000009</v>
      </c>
      <c r="H133" s="534"/>
    </row>
    <row r="134" spans="1:19" s="529" customFormat="1" ht="14">
      <c r="A134" s="530">
        <v>5</v>
      </c>
      <c r="B134" s="537" t="s">
        <v>136</v>
      </c>
      <c r="C134" s="539">
        <v>9.43</v>
      </c>
      <c r="D134" s="539">
        <v>2.71</v>
      </c>
      <c r="E134" s="538"/>
      <c r="F134" s="592"/>
      <c r="G134" s="592"/>
    </row>
    <row r="135" spans="1:19" s="529" customFormat="1" ht="14">
      <c r="A135" s="530">
        <v>6</v>
      </c>
      <c r="B135" s="537" t="s">
        <v>150</v>
      </c>
      <c r="C135" s="539">
        <v>9.43</v>
      </c>
      <c r="D135" s="539">
        <v>2.04</v>
      </c>
      <c r="E135" s="605"/>
      <c r="F135" s="604"/>
      <c r="G135" s="604"/>
    </row>
    <row r="136" spans="1:19" s="529" customFormat="1" ht="14">
      <c r="A136" s="530"/>
      <c r="B136" s="530"/>
      <c r="C136" s="530"/>
      <c r="E136" s="534"/>
      <c r="F136" s="533"/>
    </row>
    <row r="137" spans="1:19" s="529" customFormat="1" ht="14">
      <c r="A137" s="530"/>
      <c r="B137" s="531"/>
      <c r="C137" s="530"/>
      <c r="E137" s="534"/>
      <c r="F137" s="533"/>
    </row>
    <row r="138" spans="1:19" s="529" customFormat="1" ht="14">
      <c r="A138" s="530"/>
      <c r="B138" s="530"/>
      <c r="C138" s="530"/>
      <c r="E138" s="534"/>
      <c r="F138" s="533"/>
    </row>
    <row r="139" spans="1:19" s="530" customFormat="1" ht="14">
      <c r="A139" s="562" t="s">
        <v>106</v>
      </c>
      <c r="B139" s="565" t="s">
        <v>107</v>
      </c>
      <c r="C139" s="564" t="s">
        <v>4</v>
      </c>
      <c r="D139" s="563" t="s">
        <v>108</v>
      </c>
      <c r="E139" s="563" t="s">
        <v>109</v>
      </c>
      <c r="F139" s="562" t="s">
        <v>411</v>
      </c>
      <c r="G139" s="561" t="s">
        <v>950</v>
      </c>
      <c r="H139" s="561" t="s">
        <v>110</v>
      </c>
      <c r="I139" s="561" t="s">
        <v>276</v>
      </c>
      <c r="J139" s="561" t="s">
        <v>117</v>
      </c>
      <c r="K139" s="561" t="s">
        <v>275</v>
      </c>
      <c r="L139" s="562" t="s">
        <v>111</v>
      </c>
      <c r="M139" s="561" t="s">
        <v>949</v>
      </c>
      <c r="N139" s="561" t="s">
        <v>948</v>
      </c>
      <c r="O139" s="561" t="s">
        <v>129</v>
      </c>
      <c r="P139" s="561" t="s">
        <v>220</v>
      </c>
      <c r="Q139" s="537" t="s">
        <v>947</v>
      </c>
      <c r="R139" s="537" t="s">
        <v>946</v>
      </c>
      <c r="S139" s="560" t="s">
        <v>945</v>
      </c>
    </row>
    <row r="140" spans="1:19" s="547" customFormat="1" ht="14">
      <c r="A140" s="554">
        <v>218</v>
      </c>
      <c r="B140" s="559" t="s">
        <v>794</v>
      </c>
      <c r="C140" s="558" t="s">
        <v>795</v>
      </c>
      <c r="D140" s="555">
        <v>3.4327260000000002</v>
      </c>
      <c r="E140" s="555">
        <v>3.43272573</v>
      </c>
      <c r="F140" s="557" t="s">
        <v>1006</v>
      </c>
      <c r="G140" s="555">
        <v>41.09</v>
      </c>
      <c r="H140" s="555">
        <v>34.56</v>
      </c>
      <c r="I140" s="555">
        <f>H140/G140</f>
        <v>0.8410805548795327</v>
      </c>
      <c r="J140" s="555">
        <v>43.14</v>
      </c>
      <c r="K140" s="555">
        <f>J140/G140</f>
        <v>1.0498904843027499</v>
      </c>
      <c r="L140" s="554">
        <v>3</v>
      </c>
      <c r="M140" s="556">
        <v>42643</v>
      </c>
      <c r="N140" s="555">
        <v>46.3</v>
      </c>
      <c r="O140" s="555">
        <f>(N140*(1+Q140/10)+R140/10)/J140</f>
        <v>1.0732498840982845</v>
      </c>
      <c r="P140" s="553" t="s">
        <v>223</v>
      </c>
      <c r="Q140" s="554">
        <f>IFERROR(MID(P140,FIND("转",P140)+1,FIND("股",P140)-(FIND("转",P140)+1)),0)</f>
        <v>0</v>
      </c>
      <c r="R140" s="554">
        <f>IFERROR(MID(P140,FIND("派",P140)+1,FIND("元",P140)-FIND("派",P140)-1),0)</f>
        <v>0</v>
      </c>
      <c r="S140" s="553" t="s">
        <v>796</v>
      </c>
    </row>
    <row r="141" spans="1:19" s="540" customFormat="1" ht="14">
      <c r="A141" s="547"/>
      <c r="B141" s="551" t="s">
        <v>112</v>
      </c>
      <c r="C141" s="551" t="s">
        <v>113</v>
      </c>
      <c r="D141" s="551" t="s">
        <v>943</v>
      </c>
      <c r="E141" s="552" t="s">
        <v>411</v>
      </c>
      <c r="F141" s="552" t="s">
        <v>942</v>
      </c>
      <c r="G141" s="551" t="s">
        <v>231</v>
      </c>
      <c r="H141" s="551" t="s">
        <v>941</v>
      </c>
      <c r="I141" s="549">
        <f>SUM(G142:G163)</f>
        <v>3.43272573</v>
      </c>
      <c r="J141" s="548"/>
      <c r="K141" s="548"/>
      <c r="L141" s="548"/>
      <c r="M141" s="548"/>
      <c r="N141" s="548"/>
    </row>
    <row r="142" spans="1:19" s="540" customFormat="1" ht="14">
      <c r="A142" s="1634">
        <v>1</v>
      </c>
      <c r="B142" s="1627" t="s">
        <v>1005</v>
      </c>
      <c r="C142" s="546">
        <v>44</v>
      </c>
      <c r="D142" s="546">
        <v>0.88</v>
      </c>
      <c r="E142" s="544"/>
      <c r="F142" s="1624">
        <v>210</v>
      </c>
      <c r="G142" s="1624">
        <v>0.90593999999999997</v>
      </c>
      <c r="H142" s="543" t="s">
        <v>126</v>
      </c>
      <c r="I142" s="138" t="s">
        <v>1004</v>
      </c>
      <c r="J142" s="541"/>
      <c r="K142" s="541"/>
      <c r="L142" s="541"/>
      <c r="M142" s="541"/>
      <c r="N142" s="541"/>
    </row>
    <row r="143" spans="1:19" s="540" customFormat="1" ht="14">
      <c r="A143" s="1634"/>
      <c r="B143" s="1628"/>
      <c r="C143" s="546">
        <v>43.65</v>
      </c>
      <c r="D143" s="546">
        <v>0.91664999999999996</v>
      </c>
      <c r="E143" s="544"/>
      <c r="F143" s="1625"/>
      <c r="G143" s="1625"/>
      <c r="H143" s="543"/>
      <c r="I143" s="542"/>
      <c r="J143" s="541"/>
      <c r="K143" s="541"/>
      <c r="L143" s="541"/>
      <c r="M143" s="541"/>
      <c r="N143" s="541"/>
    </row>
    <row r="144" spans="1:19" s="540" customFormat="1" ht="14">
      <c r="A144" s="1634"/>
      <c r="B144" s="1629"/>
      <c r="C144" s="546">
        <v>39.659999999999997</v>
      </c>
      <c r="D144" s="546">
        <v>0.87252000000000007</v>
      </c>
      <c r="E144" s="544"/>
      <c r="F144" s="546"/>
      <c r="G144" s="546"/>
      <c r="H144" s="543"/>
      <c r="I144" s="542"/>
      <c r="J144" s="541"/>
      <c r="K144" s="541"/>
      <c r="L144" s="541"/>
      <c r="M144" s="541"/>
      <c r="N144" s="541"/>
    </row>
    <row r="145" spans="1:14" s="540" customFormat="1" ht="14">
      <c r="A145" s="547">
        <v>2</v>
      </c>
      <c r="B145" s="603" t="s">
        <v>1003</v>
      </c>
      <c r="C145" s="546">
        <v>43.14</v>
      </c>
      <c r="D145" s="546">
        <v>0.86280000000000001</v>
      </c>
      <c r="E145" s="544"/>
      <c r="F145" s="546">
        <v>185.7176</v>
      </c>
      <c r="G145" s="546">
        <v>0.80118573000000004</v>
      </c>
      <c r="H145" s="543"/>
      <c r="I145" s="542"/>
      <c r="J145" s="541"/>
      <c r="K145" s="541"/>
      <c r="L145" s="541"/>
      <c r="M145" s="541"/>
      <c r="N145" s="541"/>
    </row>
    <row r="146" spans="1:14" s="540" customFormat="1" ht="14">
      <c r="A146" s="547">
        <v>3</v>
      </c>
      <c r="B146" s="554" t="s">
        <v>955</v>
      </c>
      <c r="C146" s="546">
        <v>34.61</v>
      </c>
      <c r="D146" s="546">
        <v>0.69220000000000004</v>
      </c>
      <c r="E146" s="544"/>
      <c r="F146" s="546"/>
      <c r="G146" s="546"/>
      <c r="H146" s="543"/>
      <c r="I146" s="542"/>
      <c r="J146" s="541"/>
      <c r="K146" s="541"/>
      <c r="L146" s="541"/>
      <c r="M146" s="541"/>
      <c r="N146" s="541"/>
    </row>
    <row r="147" spans="1:14" s="540" customFormat="1" ht="14">
      <c r="A147" s="547">
        <v>4</v>
      </c>
      <c r="B147" s="554" t="s">
        <v>173</v>
      </c>
      <c r="C147" s="546">
        <v>37.81</v>
      </c>
      <c r="D147" s="546">
        <v>0.83182000000000011</v>
      </c>
      <c r="E147" s="544"/>
      <c r="F147" s="546"/>
      <c r="G147" s="546"/>
      <c r="H147" s="543"/>
      <c r="I147" s="542"/>
      <c r="J147" s="541"/>
      <c r="K147" s="541"/>
      <c r="L147" s="541"/>
      <c r="M147" s="541"/>
      <c r="N147" s="541"/>
    </row>
    <row r="148" spans="1:14" s="540" customFormat="1" ht="14">
      <c r="A148" s="547">
        <v>5</v>
      </c>
      <c r="B148" s="554" t="s">
        <v>300</v>
      </c>
      <c r="C148" s="546">
        <v>35.75</v>
      </c>
      <c r="D148" s="546">
        <v>0.75075000000000003</v>
      </c>
      <c r="E148" s="544"/>
      <c r="F148" s="546"/>
      <c r="G148" s="546"/>
      <c r="H148" s="543"/>
      <c r="I148" s="542"/>
      <c r="J148" s="541"/>
      <c r="K148" s="541"/>
      <c r="L148" s="541"/>
      <c r="M148" s="541"/>
      <c r="N148" s="541"/>
    </row>
    <row r="149" spans="1:14" s="540" customFormat="1" ht="14">
      <c r="A149" s="547">
        <v>6</v>
      </c>
      <c r="B149" s="554" t="s">
        <v>128</v>
      </c>
      <c r="C149" s="546">
        <v>34.57</v>
      </c>
      <c r="D149" s="546">
        <v>0.69140000000000001</v>
      </c>
      <c r="E149" s="544"/>
      <c r="F149" s="546"/>
      <c r="G149" s="546"/>
      <c r="H149" s="543"/>
      <c r="I149" s="542"/>
      <c r="J149" s="541"/>
      <c r="K149" s="541"/>
      <c r="L149" s="541"/>
      <c r="M149" s="541"/>
      <c r="N149" s="541"/>
    </row>
    <row r="150" spans="1:14" s="540" customFormat="1" ht="14">
      <c r="A150" s="1634">
        <v>7</v>
      </c>
      <c r="B150" s="1627" t="s">
        <v>115</v>
      </c>
      <c r="C150" s="546">
        <v>42</v>
      </c>
      <c r="D150" s="546">
        <v>1.05</v>
      </c>
      <c r="E150" s="544"/>
      <c r="F150" s="546"/>
      <c r="G150" s="546"/>
      <c r="H150" s="543"/>
      <c r="I150" s="542"/>
      <c r="J150" s="541"/>
      <c r="K150" s="541"/>
      <c r="L150" s="541"/>
      <c r="M150" s="541"/>
      <c r="N150" s="541"/>
    </row>
    <row r="151" spans="1:14" s="540" customFormat="1" ht="14">
      <c r="A151" s="1634"/>
      <c r="B151" s="1628"/>
      <c r="C151" s="546">
        <v>39.04</v>
      </c>
      <c r="D151" s="546">
        <v>1.3273600000000001</v>
      </c>
      <c r="E151" s="544"/>
      <c r="F151" s="546"/>
      <c r="G151" s="546"/>
      <c r="H151" s="543"/>
      <c r="I151" s="542"/>
      <c r="J151" s="541"/>
      <c r="K151" s="541"/>
      <c r="L151" s="541"/>
      <c r="M151" s="541"/>
      <c r="N151" s="541"/>
    </row>
    <row r="152" spans="1:14" s="540" customFormat="1" ht="14">
      <c r="A152" s="1634"/>
      <c r="B152" s="1629"/>
      <c r="C152" s="546">
        <v>36.15</v>
      </c>
      <c r="D152" s="546">
        <v>2.2051500000000002</v>
      </c>
      <c r="E152" s="544"/>
      <c r="F152" s="546"/>
      <c r="G152" s="546"/>
      <c r="H152" s="543"/>
      <c r="I152" s="542"/>
      <c r="J152" s="541"/>
      <c r="K152" s="541"/>
      <c r="L152" s="541"/>
      <c r="M152" s="541"/>
      <c r="N152" s="541"/>
    </row>
    <row r="153" spans="1:14" s="540" customFormat="1" ht="14">
      <c r="A153" s="547">
        <v>8</v>
      </c>
      <c r="B153" s="554" t="s">
        <v>127</v>
      </c>
      <c r="C153" s="546">
        <v>37.11</v>
      </c>
      <c r="D153" s="546">
        <v>1.4843999999999999</v>
      </c>
      <c r="E153" s="544"/>
      <c r="F153" s="546"/>
      <c r="G153" s="546"/>
      <c r="H153" s="543"/>
      <c r="I153" s="542"/>
      <c r="J153" s="541"/>
      <c r="K153" s="541"/>
      <c r="L153" s="541"/>
      <c r="M153" s="541"/>
      <c r="N153" s="541"/>
    </row>
    <row r="154" spans="1:14" s="540" customFormat="1" ht="14">
      <c r="A154" s="1634">
        <v>9</v>
      </c>
      <c r="B154" s="1627" t="s">
        <v>1002</v>
      </c>
      <c r="C154" s="546">
        <v>38</v>
      </c>
      <c r="D154" s="546">
        <v>0.76</v>
      </c>
      <c r="E154" s="544"/>
      <c r="F154" s="546"/>
      <c r="G154" s="546"/>
      <c r="H154" s="543"/>
      <c r="I154" s="542"/>
      <c r="J154" s="541"/>
      <c r="K154" s="541"/>
      <c r="L154" s="541"/>
      <c r="M154" s="541"/>
      <c r="N154" s="541"/>
    </row>
    <row r="155" spans="1:14" s="540" customFormat="1" ht="14">
      <c r="A155" s="1634"/>
      <c r="B155" s="1628"/>
      <c r="C155" s="546">
        <v>35</v>
      </c>
      <c r="D155" s="546">
        <v>0.7</v>
      </c>
      <c r="E155" s="544"/>
      <c r="F155" s="546"/>
      <c r="G155" s="546"/>
      <c r="H155" s="543"/>
      <c r="I155" s="542"/>
      <c r="J155" s="541"/>
      <c r="K155" s="541"/>
      <c r="L155" s="541"/>
      <c r="M155" s="541"/>
      <c r="N155" s="541"/>
    </row>
    <row r="156" spans="1:14" s="540" customFormat="1" ht="14">
      <c r="A156" s="1634"/>
      <c r="B156" s="1629"/>
      <c r="C156" s="546">
        <v>34.56</v>
      </c>
      <c r="D156" s="546">
        <v>0.69120000000000004</v>
      </c>
      <c r="E156" s="544"/>
      <c r="F156" s="546"/>
      <c r="G156" s="546"/>
      <c r="H156" s="543"/>
      <c r="I156" s="542"/>
      <c r="J156" s="541"/>
      <c r="K156" s="541"/>
      <c r="L156" s="541"/>
      <c r="M156" s="541"/>
      <c r="N156" s="541"/>
    </row>
    <row r="157" spans="1:14" s="540" customFormat="1" ht="14">
      <c r="A157" s="547">
        <v>10</v>
      </c>
      <c r="B157" s="554" t="s">
        <v>147</v>
      </c>
      <c r="C157" s="546">
        <v>35.020000000000003</v>
      </c>
      <c r="D157" s="546">
        <v>1.1556600000000001</v>
      </c>
      <c r="E157" s="544"/>
      <c r="F157" s="546"/>
      <c r="G157" s="546"/>
      <c r="H157" s="543"/>
      <c r="I157" s="542"/>
      <c r="J157" s="541"/>
      <c r="K157" s="541"/>
      <c r="L157" s="541"/>
      <c r="M157" s="541"/>
      <c r="N157" s="541"/>
    </row>
    <row r="158" spans="1:14" s="540" customFormat="1" ht="14">
      <c r="A158" s="1634">
        <v>11</v>
      </c>
      <c r="B158" s="1627" t="s">
        <v>158</v>
      </c>
      <c r="C158" s="546">
        <v>37.5</v>
      </c>
      <c r="D158" s="546">
        <v>0.75</v>
      </c>
      <c r="E158" s="544"/>
      <c r="F158" s="546"/>
      <c r="G158" s="546"/>
      <c r="H158" s="543"/>
      <c r="I158" s="542"/>
      <c r="J158" s="541"/>
      <c r="K158" s="541"/>
      <c r="L158" s="541"/>
      <c r="M158" s="541"/>
      <c r="N158" s="541"/>
    </row>
    <row r="159" spans="1:14" s="540" customFormat="1" ht="14">
      <c r="A159" s="1634"/>
      <c r="B159" s="1629"/>
      <c r="C159" s="546">
        <v>35.71</v>
      </c>
      <c r="D159" s="546">
        <v>0.74991000000000008</v>
      </c>
      <c r="E159" s="544"/>
      <c r="F159" s="546"/>
      <c r="G159" s="546"/>
      <c r="H159" s="543"/>
      <c r="I159" s="542"/>
      <c r="J159" s="541"/>
      <c r="K159" s="541"/>
      <c r="L159" s="541"/>
      <c r="M159" s="541"/>
      <c r="N159" s="541"/>
    </row>
    <row r="160" spans="1:14" s="540" customFormat="1" ht="14">
      <c r="A160" s="1634">
        <v>12</v>
      </c>
      <c r="B160" s="1627" t="s">
        <v>146</v>
      </c>
      <c r="C160" s="546">
        <v>35.85</v>
      </c>
      <c r="D160" s="546">
        <v>0.71699999999999997</v>
      </c>
      <c r="E160" s="544"/>
      <c r="F160" s="546"/>
      <c r="G160" s="546"/>
      <c r="H160" s="543"/>
      <c r="I160" s="542"/>
      <c r="J160" s="541"/>
      <c r="K160" s="541"/>
      <c r="L160" s="541"/>
      <c r="M160" s="541"/>
      <c r="N160" s="541"/>
    </row>
    <row r="161" spans="1:19" s="540" customFormat="1" ht="14">
      <c r="A161" s="1634"/>
      <c r="B161" s="1629"/>
      <c r="C161" s="546">
        <v>35.1</v>
      </c>
      <c r="D161" s="546">
        <v>0.91259999999999997</v>
      </c>
      <c r="E161" s="544"/>
      <c r="F161" s="546"/>
      <c r="G161" s="546"/>
      <c r="H161" s="543"/>
      <c r="I161" s="542"/>
      <c r="J161" s="541"/>
      <c r="K161" s="541"/>
      <c r="L161" s="541"/>
      <c r="M161" s="541"/>
      <c r="N161" s="541"/>
    </row>
    <row r="162" spans="1:19" s="540" customFormat="1" ht="14">
      <c r="A162" s="1634">
        <v>13</v>
      </c>
      <c r="B162" s="1627" t="s">
        <v>1001</v>
      </c>
      <c r="C162" s="546">
        <v>44.1</v>
      </c>
      <c r="D162" s="546">
        <v>1.764</v>
      </c>
      <c r="E162" s="544"/>
      <c r="F162" s="546">
        <v>400</v>
      </c>
      <c r="G162" s="546">
        <v>1.7256</v>
      </c>
      <c r="H162" s="543"/>
      <c r="I162" s="542"/>
      <c r="J162" s="541"/>
      <c r="K162" s="541"/>
      <c r="L162" s="541"/>
      <c r="M162" s="541"/>
      <c r="N162" s="541"/>
    </row>
    <row r="163" spans="1:19" s="540" customFormat="1" ht="14">
      <c r="A163" s="1634"/>
      <c r="B163" s="1629"/>
      <c r="C163" s="546">
        <v>43.1</v>
      </c>
      <c r="D163" s="546">
        <v>1.724</v>
      </c>
      <c r="E163" s="544"/>
      <c r="F163" s="546"/>
      <c r="G163" s="546"/>
      <c r="H163" s="543"/>
      <c r="I163" s="542"/>
      <c r="J163" s="541"/>
      <c r="K163" s="541"/>
      <c r="L163" s="541"/>
      <c r="M163" s="541"/>
      <c r="N163" s="541"/>
    </row>
    <row r="164" spans="1:19" s="540" customFormat="1" ht="14">
      <c r="A164" s="547"/>
      <c r="B164" s="547"/>
      <c r="C164" s="567"/>
      <c r="D164" s="567"/>
      <c r="E164" s="568"/>
      <c r="F164" s="567"/>
      <c r="G164" s="567"/>
      <c r="H164" s="543"/>
      <c r="I164" s="542"/>
      <c r="J164" s="541"/>
      <c r="K164" s="541"/>
      <c r="L164" s="541"/>
      <c r="M164" s="541"/>
      <c r="N164" s="541"/>
    </row>
    <row r="165" spans="1:19" s="540" customFormat="1" ht="14">
      <c r="A165" s="547"/>
      <c r="B165" s="547"/>
      <c r="C165" s="567"/>
      <c r="D165" s="567"/>
      <c r="E165" s="568"/>
      <c r="F165" s="567"/>
      <c r="G165" s="567"/>
      <c r="H165" s="543"/>
      <c r="I165" s="542"/>
      <c r="J165" s="541"/>
      <c r="K165" s="541"/>
      <c r="L165" s="541"/>
      <c r="M165" s="541"/>
      <c r="N165" s="541"/>
    </row>
    <row r="166" spans="1:19" s="540" customFormat="1" ht="14">
      <c r="A166" s="547"/>
      <c r="B166" s="547"/>
      <c r="C166" s="567"/>
      <c r="D166" s="567"/>
      <c r="E166" s="568"/>
      <c r="F166" s="567"/>
      <c r="G166" s="567"/>
      <c r="H166" s="543"/>
      <c r="I166" s="542"/>
      <c r="J166" s="541"/>
      <c r="K166" s="541"/>
      <c r="L166" s="541"/>
      <c r="M166" s="541"/>
      <c r="N166" s="541"/>
    </row>
    <row r="167" spans="1:19" s="530" customFormat="1" ht="14">
      <c r="A167" s="562" t="s">
        <v>106</v>
      </c>
      <c r="B167" s="565" t="s">
        <v>107</v>
      </c>
      <c r="C167" s="564" t="s">
        <v>4</v>
      </c>
      <c r="D167" s="563" t="s">
        <v>108</v>
      </c>
      <c r="E167" s="563" t="s">
        <v>109</v>
      </c>
      <c r="F167" s="562" t="s">
        <v>411</v>
      </c>
      <c r="G167" s="561" t="s">
        <v>950</v>
      </c>
      <c r="H167" s="561" t="s">
        <v>110</v>
      </c>
      <c r="I167" s="561" t="s">
        <v>276</v>
      </c>
      <c r="J167" s="561" t="s">
        <v>117</v>
      </c>
      <c r="K167" s="561" t="s">
        <v>275</v>
      </c>
      <c r="L167" s="562" t="s">
        <v>111</v>
      </c>
      <c r="M167" s="561" t="s">
        <v>949</v>
      </c>
      <c r="N167" s="561" t="s">
        <v>948</v>
      </c>
      <c r="O167" s="561" t="s">
        <v>129</v>
      </c>
      <c r="P167" s="561" t="s">
        <v>220</v>
      </c>
      <c r="Q167" s="537" t="s">
        <v>947</v>
      </c>
      <c r="R167" s="537" t="s">
        <v>946</v>
      </c>
      <c r="S167" s="560" t="s">
        <v>945</v>
      </c>
    </row>
    <row r="168" spans="1:19" s="547" customFormat="1" ht="14">
      <c r="A168" s="554">
        <v>219</v>
      </c>
      <c r="B168" s="559" t="s">
        <v>797</v>
      </c>
      <c r="C168" s="558" t="s">
        <v>798</v>
      </c>
      <c r="D168" s="555">
        <v>7.3807140000000002</v>
      </c>
      <c r="E168" s="555">
        <v>6.2095439360000002</v>
      </c>
      <c r="F168" s="557" t="s">
        <v>988</v>
      </c>
      <c r="G168" s="555">
        <v>26.64</v>
      </c>
      <c r="H168" s="555">
        <v>23.08</v>
      </c>
      <c r="I168" s="555">
        <f>H168/G168</f>
        <v>0.86636636636636633</v>
      </c>
      <c r="J168" s="555">
        <v>25.6</v>
      </c>
      <c r="K168" s="555">
        <f>J168/G168</f>
        <v>0.96096096096096095</v>
      </c>
      <c r="L168" s="554">
        <v>7</v>
      </c>
      <c r="M168" s="566">
        <v>43017</v>
      </c>
      <c r="N168" s="555">
        <v>20.48</v>
      </c>
      <c r="O168" s="555">
        <f>(N168*(1+Q168/10)+R168/10)/J168</f>
        <v>0.80058593749999996</v>
      </c>
      <c r="P168" s="598" t="s">
        <v>272</v>
      </c>
      <c r="Q168" s="554">
        <f>IFERROR(MID(P168,FIND("转",P168)+1,FIND("股",P168)-(FIND("转",P168)+1)),0)</f>
        <v>0</v>
      </c>
      <c r="R168" s="554" t="str">
        <f>IFERROR(MID(P168,FIND("派",P168)+1,FIND("元",P168)-FIND("派",P168)-1),0)</f>
        <v>0.15</v>
      </c>
      <c r="S168" s="553"/>
    </row>
    <row r="169" spans="1:19" s="540" customFormat="1" ht="14">
      <c r="A169" s="547"/>
      <c r="B169" s="551" t="s">
        <v>112</v>
      </c>
      <c r="C169" s="551" t="s">
        <v>113</v>
      </c>
      <c r="D169" s="551" t="s">
        <v>943</v>
      </c>
      <c r="E169" s="552" t="s">
        <v>411</v>
      </c>
      <c r="F169" s="552" t="s">
        <v>942</v>
      </c>
      <c r="G169" s="551" t="s">
        <v>231</v>
      </c>
      <c r="H169" s="551" t="s">
        <v>941</v>
      </c>
      <c r="I169" s="549">
        <f>SUM(G170:G196)</f>
        <v>6.2095439359999993</v>
      </c>
      <c r="J169" s="548"/>
      <c r="K169" s="548"/>
      <c r="L169" s="548"/>
      <c r="M169" s="548"/>
      <c r="N169" s="548"/>
    </row>
    <row r="170" spans="1:19" s="540" customFormat="1" ht="14">
      <c r="A170" s="1634">
        <v>1</v>
      </c>
      <c r="B170" s="1627" t="s">
        <v>1000</v>
      </c>
      <c r="C170" s="546">
        <v>24.1</v>
      </c>
      <c r="D170" s="546">
        <v>0.5</v>
      </c>
      <c r="E170" s="544"/>
      <c r="F170" s="546"/>
      <c r="G170" s="546"/>
      <c r="H170" s="543" t="s">
        <v>126</v>
      </c>
      <c r="I170" s="138" t="s">
        <v>999</v>
      </c>
      <c r="J170" s="541"/>
      <c r="K170" s="541"/>
      <c r="L170" s="541"/>
      <c r="M170" s="541"/>
      <c r="N170" s="541"/>
    </row>
    <row r="171" spans="1:19" s="540" customFormat="1" ht="14">
      <c r="A171" s="1634"/>
      <c r="B171" s="1628"/>
      <c r="C171" s="546">
        <v>23.6</v>
      </c>
      <c r="D171" s="546">
        <v>1</v>
      </c>
      <c r="E171" s="544"/>
      <c r="F171" s="546"/>
      <c r="G171" s="546"/>
      <c r="H171" s="543"/>
      <c r="I171" s="542"/>
      <c r="J171" s="541"/>
      <c r="K171" s="541"/>
      <c r="L171" s="541"/>
      <c r="M171" s="541"/>
      <c r="N171" s="541"/>
    </row>
    <row r="172" spans="1:19" s="540" customFormat="1" ht="14">
      <c r="A172" s="1634"/>
      <c r="B172" s="1629"/>
      <c r="C172" s="546">
        <v>23.1</v>
      </c>
      <c r="D172" s="546">
        <v>1.5</v>
      </c>
      <c r="E172" s="544"/>
      <c r="F172" s="546"/>
      <c r="G172" s="546"/>
      <c r="H172" s="543"/>
      <c r="I172" s="542"/>
      <c r="J172" s="541"/>
      <c r="K172" s="541"/>
      <c r="L172" s="541"/>
      <c r="M172" s="541"/>
      <c r="N172" s="541"/>
    </row>
    <row r="173" spans="1:19" s="540" customFormat="1" ht="14">
      <c r="A173" s="547">
        <v>2</v>
      </c>
      <c r="B173" s="554" t="s">
        <v>955</v>
      </c>
      <c r="C173" s="546">
        <v>23.18</v>
      </c>
      <c r="D173" s="546">
        <v>0.5</v>
      </c>
      <c r="E173" s="544"/>
      <c r="F173" s="546"/>
      <c r="G173" s="546"/>
      <c r="H173" s="543"/>
      <c r="I173" s="542"/>
      <c r="J173" s="541"/>
      <c r="K173" s="541"/>
      <c r="L173" s="541"/>
      <c r="M173" s="541"/>
      <c r="N173" s="541"/>
    </row>
    <row r="174" spans="1:19" s="540" customFormat="1" ht="14">
      <c r="A174" s="1634">
        <v>3</v>
      </c>
      <c r="B174" s="1627" t="s">
        <v>279</v>
      </c>
      <c r="C174" s="546">
        <v>26.26</v>
      </c>
      <c r="D174" s="546">
        <v>0.5</v>
      </c>
      <c r="E174" s="544"/>
      <c r="F174" s="1624">
        <v>195.3125</v>
      </c>
      <c r="G174" s="1624">
        <v>0.5</v>
      </c>
      <c r="H174" s="543"/>
      <c r="I174" s="542"/>
      <c r="J174" s="541"/>
      <c r="K174" s="541"/>
      <c r="L174" s="541"/>
      <c r="M174" s="541"/>
      <c r="N174" s="541"/>
    </row>
    <row r="175" spans="1:19" s="540" customFormat="1" ht="14">
      <c r="A175" s="1634"/>
      <c r="B175" s="1629"/>
      <c r="C175" s="546">
        <v>25.49</v>
      </c>
      <c r="D175" s="546">
        <v>0.76</v>
      </c>
      <c r="E175" s="544"/>
      <c r="F175" s="1625"/>
      <c r="G175" s="1625"/>
      <c r="H175" s="543"/>
      <c r="I175" s="542"/>
      <c r="J175" s="541"/>
      <c r="K175" s="541"/>
      <c r="L175" s="541"/>
      <c r="M175" s="541"/>
      <c r="N175" s="541"/>
    </row>
    <row r="176" spans="1:19" s="540" customFormat="1" ht="14">
      <c r="A176" s="1634">
        <v>4</v>
      </c>
      <c r="B176" s="1627" t="s">
        <v>115</v>
      </c>
      <c r="C176" s="546">
        <v>24.84</v>
      </c>
      <c r="D176" s="546">
        <v>0.57999999999999996</v>
      </c>
      <c r="E176" s="544"/>
      <c r="F176" s="546"/>
      <c r="G176" s="546"/>
      <c r="H176" s="543"/>
      <c r="I176" s="542"/>
      <c r="J176" s="541"/>
      <c r="K176" s="541"/>
      <c r="L176" s="541"/>
      <c r="M176" s="541"/>
      <c r="N176" s="541"/>
    </row>
    <row r="177" spans="1:14" s="540" customFormat="1" ht="14">
      <c r="A177" s="1634"/>
      <c r="B177" s="1628"/>
      <c r="C177" s="546">
        <v>24.14</v>
      </c>
      <c r="D177" s="546">
        <v>1.04</v>
      </c>
      <c r="E177" s="544"/>
      <c r="F177" s="546"/>
      <c r="G177" s="546"/>
      <c r="H177" s="543"/>
      <c r="I177" s="542"/>
      <c r="J177" s="541"/>
      <c r="K177" s="541"/>
      <c r="L177" s="541"/>
      <c r="M177" s="541"/>
      <c r="N177" s="541"/>
    </row>
    <row r="178" spans="1:14" s="540" customFormat="1" ht="14">
      <c r="A178" s="1634"/>
      <c r="B178" s="1629"/>
      <c r="C178" s="546">
        <v>23.2</v>
      </c>
      <c r="D178" s="546">
        <v>1.33</v>
      </c>
      <c r="E178" s="544"/>
      <c r="F178" s="546"/>
      <c r="G178" s="546"/>
      <c r="H178" s="543"/>
      <c r="I178" s="542"/>
      <c r="J178" s="541"/>
      <c r="K178" s="541"/>
      <c r="L178" s="541"/>
      <c r="M178" s="541"/>
      <c r="N178" s="541"/>
    </row>
    <row r="179" spans="1:14" s="540" customFormat="1" ht="14">
      <c r="A179" s="547">
        <v>5</v>
      </c>
      <c r="B179" s="554" t="s">
        <v>295</v>
      </c>
      <c r="C179" s="546">
        <v>25.6</v>
      </c>
      <c r="D179" s="546">
        <v>0.5</v>
      </c>
      <c r="E179" s="544"/>
      <c r="F179" s="546">
        <v>187.77889999999999</v>
      </c>
      <c r="G179" s="546">
        <v>0.48071398399999998</v>
      </c>
      <c r="H179" s="601"/>
      <c r="I179" s="542"/>
      <c r="J179" s="541"/>
      <c r="K179" s="541"/>
      <c r="L179" s="541"/>
      <c r="M179" s="541"/>
      <c r="N179" s="541"/>
    </row>
    <row r="180" spans="1:14" s="540" customFormat="1" ht="14">
      <c r="A180" s="547">
        <v>6</v>
      </c>
      <c r="B180" s="554" t="s">
        <v>300</v>
      </c>
      <c r="C180" s="546">
        <v>24.75</v>
      </c>
      <c r="D180" s="546">
        <v>0.5</v>
      </c>
      <c r="E180" s="544"/>
      <c r="F180" s="546"/>
      <c r="G180" s="546"/>
      <c r="H180" s="543"/>
      <c r="I180" s="542"/>
      <c r="J180" s="541"/>
      <c r="K180" s="541"/>
      <c r="L180" s="541"/>
      <c r="M180" s="541"/>
      <c r="N180" s="541"/>
    </row>
    <row r="181" spans="1:14" s="540" customFormat="1" ht="14">
      <c r="A181" s="547">
        <v>7</v>
      </c>
      <c r="B181" s="554" t="s">
        <v>233</v>
      </c>
      <c r="C181" s="546">
        <v>26</v>
      </c>
      <c r="D181" s="546">
        <v>0.5</v>
      </c>
      <c r="E181" s="544"/>
      <c r="F181" s="546">
        <v>195.3125</v>
      </c>
      <c r="G181" s="546">
        <v>0.5</v>
      </c>
      <c r="H181" s="543"/>
      <c r="I181" s="542"/>
      <c r="J181" s="541"/>
      <c r="K181" s="541"/>
      <c r="L181" s="541"/>
      <c r="M181" s="541"/>
      <c r="N181" s="541"/>
    </row>
    <row r="182" spans="1:14" s="540" customFormat="1" ht="14">
      <c r="A182" s="547">
        <v>8</v>
      </c>
      <c r="B182" s="554" t="s">
        <v>234</v>
      </c>
      <c r="C182" s="546">
        <v>24.15</v>
      </c>
      <c r="D182" s="546">
        <v>0.5</v>
      </c>
      <c r="E182" s="544"/>
      <c r="F182" s="546"/>
      <c r="G182" s="546"/>
      <c r="H182" s="543"/>
      <c r="I182" s="542"/>
      <c r="J182" s="541"/>
      <c r="K182" s="541"/>
      <c r="L182" s="541"/>
      <c r="M182" s="541"/>
      <c r="N182" s="541"/>
    </row>
    <row r="183" spans="1:14" s="540" customFormat="1" ht="14">
      <c r="A183" s="1634">
        <v>9</v>
      </c>
      <c r="B183" s="1627" t="s">
        <v>229</v>
      </c>
      <c r="C183" s="546">
        <v>26.01</v>
      </c>
      <c r="D183" s="546">
        <v>0.5</v>
      </c>
      <c r="E183" s="544"/>
      <c r="F183" s="1624">
        <v>195.3125</v>
      </c>
      <c r="G183" s="1624">
        <v>0.5</v>
      </c>
      <c r="H183" s="543"/>
      <c r="I183" s="542"/>
      <c r="J183" s="541"/>
      <c r="K183" s="541"/>
      <c r="L183" s="541"/>
      <c r="M183" s="541"/>
      <c r="N183" s="541"/>
    </row>
    <row r="184" spans="1:14" s="540" customFormat="1" ht="14">
      <c r="A184" s="1634"/>
      <c r="B184" s="1628"/>
      <c r="C184" s="546">
        <v>25.49</v>
      </c>
      <c r="D184" s="546">
        <v>0.5</v>
      </c>
      <c r="E184" s="544"/>
      <c r="F184" s="1626"/>
      <c r="G184" s="1626"/>
      <c r="H184" s="543"/>
      <c r="I184" s="542"/>
      <c r="J184" s="541"/>
      <c r="K184" s="541"/>
      <c r="L184" s="541"/>
      <c r="M184" s="541"/>
      <c r="N184" s="541"/>
    </row>
    <row r="185" spans="1:14" s="540" customFormat="1" ht="14">
      <c r="A185" s="1634"/>
      <c r="B185" s="1629"/>
      <c r="C185" s="546">
        <v>23.08</v>
      </c>
      <c r="D185" s="546">
        <v>0.5</v>
      </c>
      <c r="E185" s="544"/>
      <c r="F185" s="1625"/>
      <c r="G185" s="1625"/>
      <c r="H185" s="543"/>
      <c r="I185" s="542"/>
      <c r="J185" s="541"/>
      <c r="K185" s="541"/>
      <c r="L185" s="541"/>
      <c r="M185" s="541"/>
      <c r="N185" s="541"/>
    </row>
    <row r="186" spans="1:14" s="540" customFormat="1" ht="14">
      <c r="A186" s="547">
        <v>10</v>
      </c>
      <c r="B186" s="554" t="s">
        <v>136</v>
      </c>
      <c r="C186" s="546">
        <v>25.5</v>
      </c>
      <c r="D186" s="546">
        <v>0.82</v>
      </c>
      <c r="E186" s="544"/>
      <c r="F186" s="546"/>
      <c r="G186" s="546"/>
      <c r="H186" s="543"/>
      <c r="I186" s="542"/>
      <c r="J186" s="541"/>
      <c r="K186" s="541"/>
      <c r="L186" s="541"/>
      <c r="M186" s="541"/>
      <c r="N186" s="541"/>
    </row>
    <row r="187" spans="1:14" s="540" customFormat="1" ht="14">
      <c r="A187" s="547">
        <v>11</v>
      </c>
      <c r="B187" s="554" t="s">
        <v>147</v>
      </c>
      <c r="C187" s="546">
        <v>23.65</v>
      </c>
      <c r="D187" s="546">
        <v>0.57999999999999996</v>
      </c>
      <c r="E187" s="544"/>
      <c r="F187" s="546"/>
      <c r="G187" s="546"/>
      <c r="H187" s="543"/>
      <c r="I187" s="542"/>
      <c r="J187" s="541"/>
      <c r="K187" s="541"/>
      <c r="L187" s="541"/>
      <c r="M187" s="541"/>
      <c r="N187" s="541"/>
    </row>
    <row r="188" spans="1:14" s="540" customFormat="1" ht="14">
      <c r="A188" s="547">
        <v>12</v>
      </c>
      <c r="B188" s="554" t="s">
        <v>225</v>
      </c>
      <c r="C188" s="546">
        <v>24.98</v>
      </c>
      <c r="D188" s="546">
        <v>0.5</v>
      </c>
      <c r="E188" s="544"/>
      <c r="F188" s="546"/>
      <c r="G188" s="546"/>
      <c r="H188" s="543"/>
      <c r="I188" s="542"/>
      <c r="J188" s="541"/>
      <c r="K188" s="541"/>
      <c r="L188" s="541"/>
      <c r="M188" s="541"/>
      <c r="N188" s="541"/>
    </row>
    <row r="189" spans="1:14" s="540" customFormat="1" ht="14">
      <c r="A189" s="1634">
        <v>13</v>
      </c>
      <c r="B189" s="1627" t="s">
        <v>146</v>
      </c>
      <c r="C189" s="546">
        <v>26.8</v>
      </c>
      <c r="D189" s="546">
        <v>0.8</v>
      </c>
      <c r="E189" s="544"/>
      <c r="F189" s="1624">
        <v>351.5625</v>
      </c>
      <c r="G189" s="1624">
        <v>0.9</v>
      </c>
      <c r="H189" s="602"/>
      <c r="I189" s="542"/>
      <c r="J189" s="541"/>
      <c r="K189" s="541"/>
      <c r="L189" s="541"/>
      <c r="M189" s="541"/>
      <c r="N189" s="541"/>
    </row>
    <row r="190" spans="1:14" s="540" customFormat="1" ht="14">
      <c r="A190" s="1634"/>
      <c r="B190" s="1628"/>
      <c r="C190" s="546">
        <v>25.8</v>
      </c>
      <c r="D190" s="546">
        <v>0.9</v>
      </c>
      <c r="E190" s="544"/>
      <c r="F190" s="1626"/>
      <c r="G190" s="1626"/>
      <c r="H190" s="543"/>
      <c r="I190" s="542"/>
      <c r="J190" s="541"/>
      <c r="K190" s="541"/>
      <c r="L190" s="541"/>
      <c r="M190" s="541"/>
      <c r="N190" s="541"/>
    </row>
    <row r="191" spans="1:14" s="540" customFormat="1" ht="14">
      <c r="A191" s="1634"/>
      <c r="B191" s="1629"/>
      <c r="C191" s="546">
        <v>25</v>
      </c>
      <c r="D191" s="546">
        <v>1</v>
      </c>
      <c r="E191" s="544"/>
      <c r="F191" s="1625"/>
      <c r="G191" s="1625"/>
      <c r="H191" s="543"/>
      <c r="I191" s="542"/>
      <c r="J191" s="541"/>
      <c r="K191" s="541"/>
      <c r="L191" s="541"/>
      <c r="M191" s="541"/>
      <c r="N191" s="541"/>
    </row>
    <row r="192" spans="1:14" s="540" customFormat="1" ht="14">
      <c r="A192" s="1634">
        <v>14</v>
      </c>
      <c r="B192" s="1627" t="s">
        <v>998</v>
      </c>
      <c r="C192" s="546">
        <v>25.58</v>
      </c>
      <c r="D192" s="546">
        <v>0.6</v>
      </c>
      <c r="E192" s="544"/>
      <c r="F192" s="546"/>
      <c r="G192" s="546"/>
      <c r="H192" s="543"/>
      <c r="I192" s="542"/>
      <c r="J192" s="541"/>
      <c r="K192" s="541"/>
      <c r="L192" s="541"/>
      <c r="M192" s="541"/>
      <c r="N192" s="541"/>
    </row>
    <row r="193" spans="1:19" s="540" customFormat="1" ht="14">
      <c r="A193" s="1634"/>
      <c r="B193" s="1628"/>
      <c r="C193" s="546">
        <v>25.05</v>
      </c>
      <c r="D193" s="546">
        <v>0.65</v>
      </c>
      <c r="E193" s="544"/>
      <c r="F193" s="546"/>
      <c r="G193" s="546"/>
      <c r="H193" s="543"/>
      <c r="I193" s="542"/>
      <c r="J193" s="541"/>
      <c r="K193" s="541"/>
      <c r="L193" s="541"/>
      <c r="M193" s="541"/>
      <c r="N193" s="541"/>
    </row>
    <row r="194" spans="1:19" s="540" customFormat="1" ht="14">
      <c r="A194" s="1634"/>
      <c r="B194" s="1629"/>
      <c r="C194" s="546">
        <v>24.15</v>
      </c>
      <c r="D194" s="546">
        <v>0.7</v>
      </c>
      <c r="E194" s="544"/>
      <c r="F194" s="546"/>
      <c r="G194" s="546"/>
      <c r="H194" s="543"/>
      <c r="I194" s="542"/>
      <c r="J194" s="541"/>
      <c r="K194" s="541"/>
      <c r="L194" s="541"/>
      <c r="M194" s="541"/>
      <c r="N194" s="541"/>
    </row>
    <row r="195" spans="1:19" s="540" customFormat="1" ht="14">
      <c r="A195" s="547">
        <v>15</v>
      </c>
      <c r="B195" s="554" t="s">
        <v>997</v>
      </c>
      <c r="C195" s="1658" t="s">
        <v>995</v>
      </c>
      <c r="D195" s="1659"/>
      <c r="E195" s="544"/>
      <c r="F195" s="546">
        <v>1171.875</v>
      </c>
      <c r="G195" s="546">
        <v>3</v>
      </c>
      <c r="H195" s="543"/>
      <c r="I195" s="542"/>
      <c r="J195" s="541"/>
      <c r="K195" s="541"/>
      <c r="L195" s="541"/>
      <c r="M195" s="541"/>
      <c r="N195" s="541"/>
    </row>
    <row r="196" spans="1:19" s="540" customFormat="1" ht="14">
      <c r="A196" s="547">
        <v>16</v>
      </c>
      <c r="B196" s="554" t="s">
        <v>996</v>
      </c>
      <c r="C196" s="1658" t="s">
        <v>995</v>
      </c>
      <c r="D196" s="1659"/>
      <c r="E196" s="544"/>
      <c r="F196" s="546">
        <v>128.44919999999999</v>
      </c>
      <c r="G196" s="546">
        <v>0.32882995199999998</v>
      </c>
      <c r="H196" s="601"/>
      <c r="I196" s="542"/>
      <c r="J196" s="541"/>
      <c r="K196" s="541"/>
      <c r="L196" s="541"/>
      <c r="M196" s="541"/>
      <c r="N196" s="541"/>
    </row>
    <row r="197" spans="1:19" s="540" customFormat="1" ht="14">
      <c r="A197" s="547"/>
      <c r="B197" s="547"/>
      <c r="C197" s="567"/>
      <c r="D197" s="567"/>
      <c r="E197" s="568"/>
      <c r="F197" s="567"/>
      <c r="G197" s="567"/>
      <c r="H197" s="543"/>
      <c r="I197" s="542"/>
      <c r="J197" s="541"/>
      <c r="K197" s="541"/>
      <c r="L197" s="541"/>
      <c r="M197" s="541"/>
      <c r="N197" s="541"/>
    </row>
    <row r="198" spans="1:19" s="540" customFormat="1" ht="14">
      <c r="A198" s="547"/>
      <c r="B198" s="531"/>
      <c r="C198" s="567"/>
      <c r="D198" s="567"/>
      <c r="E198" s="568"/>
      <c r="F198" s="567"/>
      <c r="G198" s="567"/>
      <c r="H198" s="543"/>
      <c r="I198" s="542"/>
      <c r="J198" s="541"/>
      <c r="K198" s="541"/>
      <c r="L198" s="541"/>
      <c r="M198" s="541"/>
      <c r="N198" s="541"/>
    </row>
    <row r="199" spans="1:19" s="540" customFormat="1" ht="14">
      <c r="A199" s="547"/>
      <c r="B199" s="547"/>
      <c r="C199" s="567"/>
      <c r="D199" s="567"/>
      <c r="E199" s="568"/>
      <c r="F199" s="567"/>
      <c r="G199" s="567"/>
      <c r="H199" s="543"/>
      <c r="I199" s="542"/>
      <c r="J199" s="541"/>
      <c r="K199" s="541"/>
      <c r="L199" s="541"/>
      <c r="M199" s="541"/>
      <c r="N199" s="541"/>
    </row>
    <row r="200" spans="1:19" s="530" customFormat="1" ht="14">
      <c r="A200" s="562" t="s">
        <v>106</v>
      </c>
      <c r="B200" s="565" t="s">
        <v>107</v>
      </c>
      <c r="C200" s="564" t="s">
        <v>4</v>
      </c>
      <c r="D200" s="563" t="s">
        <v>108</v>
      </c>
      <c r="E200" s="563" t="s">
        <v>109</v>
      </c>
      <c r="F200" s="562" t="s">
        <v>411</v>
      </c>
      <c r="G200" s="561" t="s">
        <v>950</v>
      </c>
      <c r="H200" s="561" t="s">
        <v>110</v>
      </c>
      <c r="I200" s="561" t="s">
        <v>276</v>
      </c>
      <c r="J200" s="561" t="s">
        <v>117</v>
      </c>
      <c r="K200" s="561" t="s">
        <v>275</v>
      </c>
      <c r="L200" s="562" t="s">
        <v>111</v>
      </c>
      <c r="M200" s="561" t="s">
        <v>949</v>
      </c>
      <c r="N200" s="561" t="s">
        <v>948</v>
      </c>
      <c r="O200" s="561" t="s">
        <v>129</v>
      </c>
      <c r="P200" s="561" t="s">
        <v>220</v>
      </c>
      <c r="Q200" s="537" t="s">
        <v>947</v>
      </c>
      <c r="R200" s="537" t="s">
        <v>946</v>
      </c>
      <c r="S200" s="560" t="s">
        <v>945</v>
      </c>
    </row>
    <row r="201" spans="1:19" s="547" customFormat="1" ht="14">
      <c r="A201" s="554">
        <v>220</v>
      </c>
      <c r="B201" s="559" t="s">
        <v>799</v>
      </c>
      <c r="C201" s="558" t="s">
        <v>800</v>
      </c>
      <c r="D201" s="555">
        <v>100</v>
      </c>
      <c r="E201" s="555">
        <v>99.999999964799997</v>
      </c>
      <c r="F201" s="557" t="s">
        <v>970</v>
      </c>
      <c r="G201" s="555">
        <v>15.29</v>
      </c>
      <c r="H201" s="555">
        <v>10.5</v>
      </c>
      <c r="I201" s="555">
        <f>H201/G201</f>
        <v>0.6867233485938522</v>
      </c>
      <c r="J201" s="555">
        <v>10.53</v>
      </c>
      <c r="K201" s="555">
        <f>J201/G201</f>
        <v>0.68868541530412031</v>
      </c>
      <c r="L201" s="554">
        <v>9</v>
      </c>
      <c r="M201" s="566">
        <v>43019</v>
      </c>
      <c r="N201" s="555">
        <v>5.79</v>
      </c>
      <c r="O201" s="555">
        <f>(N201*(1+Q201/10)+R201/10)/J201</f>
        <v>0.88926875593542276</v>
      </c>
      <c r="P201" s="553" t="s">
        <v>801</v>
      </c>
      <c r="Q201" s="554" t="str">
        <f>IFERROR(MID(P201,FIND("转",P201)+1,FIND("股",P201)-(FIND("转",P201)+1)),0)</f>
        <v>6</v>
      </c>
      <c r="R201" s="554" t="str">
        <f>IFERROR(MID(P201,FIND("派",P201)+1,FIND("元",P201)-FIND("派",P201)-1),0)</f>
        <v>1</v>
      </c>
      <c r="S201" s="553"/>
    </row>
    <row r="202" spans="1:19" s="540" customFormat="1" ht="14">
      <c r="A202" s="547"/>
      <c r="B202" s="551" t="s">
        <v>112</v>
      </c>
      <c r="C202" s="551" t="s">
        <v>113</v>
      </c>
      <c r="D202" s="551" t="s">
        <v>943</v>
      </c>
      <c r="E202" s="552" t="s">
        <v>411</v>
      </c>
      <c r="F202" s="552" t="s">
        <v>942</v>
      </c>
      <c r="G202" s="551" t="s">
        <v>231</v>
      </c>
      <c r="H202" s="551" t="s">
        <v>941</v>
      </c>
      <c r="I202" s="549">
        <f>SUM(G203:G216)</f>
        <v>99.999999964799997</v>
      </c>
      <c r="J202" s="548"/>
      <c r="K202" s="548"/>
      <c r="L202" s="548"/>
      <c r="M202" s="548"/>
      <c r="N202" s="548"/>
    </row>
    <row r="203" spans="1:19" s="540" customFormat="1" ht="14">
      <c r="A203" s="1634">
        <v>1</v>
      </c>
      <c r="B203" s="1627" t="s">
        <v>135</v>
      </c>
      <c r="C203" s="546">
        <v>11.25</v>
      </c>
      <c r="D203" s="546">
        <v>6.25</v>
      </c>
      <c r="E203" s="544"/>
      <c r="F203" s="1624">
        <v>6172.8395</v>
      </c>
      <c r="G203" s="1624">
        <v>6.4999999935000004</v>
      </c>
      <c r="H203" s="543" t="s">
        <v>126</v>
      </c>
      <c r="I203" s="138" t="s">
        <v>994</v>
      </c>
      <c r="J203" s="541"/>
      <c r="K203" s="541"/>
      <c r="L203" s="541"/>
      <c r="M203" s="541"/>
      <c r="N203" s="541"/>
    </row>
    <row r="204" spans="1:19" s="540" customFormat="1" ht="14">
      <c r="A204" s="1634"/>
      <c r="B204" s="1629"/>
      <c r="C204" s="546">
        <v>10.8</v>
      </c>
      <c r="D204" s="546">
        <v>6.5</v>
      </c>
      <c r="E204" s="544"/>
      <c r="F204" s="1625"/>
      <c r="G204" s="1625"/>
      <c r="H204" s="543"/>
      <c r="I204" s="542"/>
      <c r="J204" s="541"/>
      <c r="K204" s="541"/>
      <c r="L204" s="541"/>
      <c r="M204" s="541"/>
      <c r="N204" s="541"/>
    </row>
    <row r="205" spans="1:19" s="540" customFormat="1" ht="14">
      <c r="A205" s="547">
        <v>2</v>
      </c>
      <c r="B205" s="554" t="s">
        <v>277</v>
      </c>
      <c r="C205" s="546">
        <v>11.1</v>
      </c>
      <c r="D205" s="546">
        <v>6.3</v>
      </c>
      <c r="E205" s="544"/>
      <c r="F205" s="546">
        <v>5982.9058999999997</v>
      </c>
      <c r="G205" s="546">
        <v>6.2999999126999997</v>
      </c>
      <c r="H205" s="543"/>
      <c r="I205" s="542"/>
      <c r="J205" s="541"/>
      <c r="K205" s="541"/>
      <c r="L205" s="541"/>
      <c r="M205" s="541"/>
      <c r="N205" s="541"/>
    </row>
    <row r="206" spans="1:19" s="540" customFormat="1" ht="14">
      <c r="A206" s="1634">
        <v>3</v>
      </c>
      <c r="B206" s="1627" t="s">
        <v>147</v>
      </c>
      <c r="C206" s="546">
        <v>11.02</v>
      </c>
      <c r="D206" s="546">
        <v>7.53</v>
      </c>
      <c r="E206" s="544"/>
      <c r="F206" s="546">
        <v>7150.9970999999996</v>
      </c>
      <c r="G206" s="546">
        <v>7.5299999463000002</v>
      </c>
      <c r="H206" s="543"/>
      <c r="I206" s="542"/>
      <c r="J206" s="541"/>
      <c r="K206" s="541"/>
      <c r="L206" s="541"/>
      <c r="M206" s="541"/>
      <c r="N206" s="541"/>
    </row>
    <row r="207" spans="1:19" s="540" customFormat="1" ht="14">
      <c r="A207" s="1634"/>
      <c r="B207" s="1629"/>
      <c r="C207" s="546">
        <v>10.51</v>
      </c>
      <c r="D207" s="546">
        <v>7.54</v>
      </c>
      <c r="E207" s="544"/>
      <c r="F207" s="546"/>
      <c r="G207" s="546"/>
      <c r="H207" s="543"/>
      <c r="I207" s="542"/>
      <c r="J207" s="541"/>
      <c r="K207" s="541"/>
      <c r="L207" s="541"/>
      <c r="M207" s="541"/>
      <c r="N207" s="541"/>
    </row>
    <row r="208" spans="1:19" s="540" customFormat="1" ht="14">
      <c r="A208" s="547">
        <v>4</v>
      </c>
      <c r="B208" s="554" t="s">
        <v>993</v>
      </c>
      <c r="C208" s="546">
        <v>11.02</v>
      </c>
      <c r="D208" s="546">
        <v>7.5</v>
      </c>
      <c r="E208" s="544"/>
      <c r="F208" s="546">
        <v>7122.5070999999998</v>
      </c>
      <c r="G208" s="546">
        <v>7.4999999762999998</v>
      </c>
      <c r="H208" s="543"/>
      <c r="I208" s="542"/>
      <c r="J208" s="541"/>
      <c r="K208" s="541"/>
      <c r="L208" s="541"/>
      <c r="M208" s="541"/>
      <c r="N208" s="541"/>
    </row>
    <row r="209" spans="1:19" s="540" customFormat="1" ht="14">
      <c r="A209" s="547">
        <v>5</v>
      </c>
      <c r="B209" s="554" t="s">
        <v>121</v>
      </c>
      <c r="C209" s="546">
        <v>11.01</v>
      </c>
      <c r="D209" s="546">
        <v>7.09</v>
      </c>
      <c r="E209" s="544"/>
      <c r="F209" s="546">
        <v>6733.1432999999997</v>
      </c>
      <c r="G209" s="546">
        <v>7.0899998949</v>
      </c>
      <c r="H209" s="543"/>
      <c r="I209" s="542"/>
      <c r="J209" s="541"/>
      <c r="K209" s="541"/>
      <c r="L209" s="541"/>
      <c r="M209" s="541"/>
      <c r="N209" s="541"/>
    </row>
    <row r="210" spans="1:19" s="540" customFormat="1" ht="14">
      <c r="A210" s="1634">
        <v>6</v>
      </c>
      <c r="B210" s="1627" t="s">
        <v>115</v>
      </c>
      <c r="C210" s="546">
        <v>11.69</v>
      </c>
      <c r="D210" s="546">
        <v>6.8</v>
      </c>
      <c r="E210" s="544"/>
      <c r="F210" s="1624">
        <v>8537.5118000000002</v>
      </c>
      <c r="G210" s="1624">
        <v>8.9899999253999994</v>
      </c>
      <c r="H210" s="543"/>
      <c r="I210" s="542"/>
      <c r="J210" s="541"/>
      <c r="K210" s="541"/>
      <c r="L210" s="541"/>
      <c r="M210" s="541"/>
      <c r="N210" s="541"/>
    </row>
    <row r="211" spans="1:19" s="540" customFormat="1" ht="14">
      <c r="A211" s="1634"/>
      <c r="B211" s="1628"/>
      <c r="C211" s="546">
        <v>11</v>
      </c>
      <c r="D211" s="546">
        <v>8.99</v>
      </c>
      <c r="E211" s="544"/>
      <c r="F211" s="1625"/>
      <c r="G211" s="1625"/>
      <c r="H211" s="543"/>
      <c r="I211" s="542"/>
      <c r="J211" s="541"/>
      <c r="K211" s="541"/>
      <c r="L211" s="541"/>
      <c r="M211" s="541"/>
      <c r="N211" s="541"/>
    </row>
    <row r="212" spans="1:19" s="540" customFormat="1" ht="14">
      <c r="A212" s="1634"/>
      <c r="B212" s="1629"/>
      <c r="C212" s="546">
        <v>10.51</v>
      </c>
      <c r="D212" s="546">
        <v>9.8000000000000007</v>
      </c>
      <c r="E212" s="544"/>
      <c r="F212" s="546"/>
      <c r="G212" s="546"/>
      <c r="H212" s="543"/>
      <c r="I212" s="542"/>
      <c r="J212" s="541"/>
      <c r="K212" s="541"/>
      <c r="L212" s="541"/>
      <c r="M212" s="541"/>
      <c r="N212" s="541"/>
    </row>
    <row r="213" spans="1:19" s="540" customFormat="1" ht="14">
      <c r="A213" s="547">
        <v>7</v>
      </c>
      <c r="B213" s="554" t="s">
        <v>992</v>
      </c>
      <c r="C213" s="546">
        <v>10.53</v>
      </c>
      <c r="D213" s="546">
        <v>6.26</v>
      </c>
      <c r="E213" s="544"/>
      <c r="F213" s="546">
        <v>5783.4760999999999</v>
      </c>
      <c r="G213" s="546">
        <v>6.0900003333000008</v>
      </c>
      <c r="H213" s="543"/>
      <c r="I213" s="542"/>
      <c r="J213" s="541"/>
      <c r="K213" s="541"/>
      <c r="L213" s="541"/>
      <c r="M213" s="541"/>
      <c r="N213" s="541"/>
    </row>
    <row r="214" spans="1:19" s="540" customFormat="1" ht="14">
      <c r="A214" s="547">
        <v>8</v>
      </c>
      <c r="B214" s="554" t="s">
        <v>122</v>
      </c>
      <c r="C214" s="546">
        <v>10.51</v>
      </c>
      <c r="D214" s="546">
        <v>6.3</v>
      </c>
      <c r="E214" s="544"/>
      <c r="F214" s="546"/>
      <c r="G214" s="546"/>
      <c r="H214" s="543"/>
      <c r="I214" s="542"/>
      <c r="J214" s="541"/>
      <c r="K214" s="541"/>
      <c r="L214" s="541"/>
      <c r="M214" s="541"/>
      <c r="N214" s="541"/>
    </row>
    <row r="215" spans="1:19" s="540" customFormat="1" ht="14">
      <c r="A215" s="547">
        <v>9</v>
      </c>
      <c r="B215" s="537" t="s">
        <v>991</v>
      </c>
      <c r="C215" s="1658" t="s">
        <v>989</v>
      </c>
      <c r="D215" s="1659"/>
      <c r="E215" s="544"/>
      <c r="F215" s="546">
        <v>23741.690399999999</v>
      </c>
      <c r="G215" s="546">
        <v>24.999999991199999</v>
      </c>
      <c r="H215" s="543"/>
      <c r="I215" s="542"/>
      <c r="J215" s="541"/>
      <c r="K215" s="541"/>
      <c r="L215" s="541"/>
      <c r="M215" s="541"/>
      <c r="N215" s="541"/>
    </row>
    <row r="216" spans="1:19" s="540" customFormat="1" ht="14">
      <c r="A216" s="547">
        <v>10</v>
      </c>
      <c r="B216" s="537" t="s">
        <v>990</v>
      </c>
      <c r="C216" s="1658" t="s">
        <v>989</v>
      </c>
      <c r="D216" s="1659"/>
      <c r="E216" s="544"/>
      <c r="F216" s="546">
        <v>23741.690399999999</v>
      </c>
      <c r="G216" s="546">
        <v>24.999999991199999</v>
      </c>
      <c r="H216" s="543"/>
      <c r="I216" s="542"/>
      <c r="J216" s="541"/>
      <c r="K216" s="541"/>
      <c r="L216" s="541"/>
      <c r="M216" s="541"/>
      <c r="N216" s="541"/>
    </row>
    <row r="217" spans="1:19" s="529" customFormat="1" ht="14">
      <c r="A217" s="547"/>
      <c r="B217" s="530"/>
      <c r="C217" s="534"/>
    </row>
    <row r="218" spans="1:19" s="529" customFormat="1" ht="14">
      <c r="A218" s="530"/>
      <c r="B218" s="530"/>
      <c r="C218" s="534"/>
      <c r="D218" s="532"/>
      <c r="E218" s="532"/>
      <c r="F218" s="533"/>
    </row>
    <row r="219" spans="1:19" s="529" customFormat="1" ht="14">
      <c r="A219" s="530"/>
      <c r="B219" s="530"/>
      <c r="D219" s="534"/>
      <c r="E219" s="535"/>
      <c r="F219" s="532"/>
    </row>
    <row r="220" spans="1:19" s="530" customFormat="1" ht="14">
      <c r="A220" s="562" t="s">
        <v>106</v>
      </c>
      <c r="B220" s="565" t="s">
        <v>107</v>
      </c>
      <c r="C220" s="564" t="s">
        <v>4</v>
      </c>
      <c r="D220" s="563" t="s">
        <v>108</v>
      </c>
      <c r="E220" s="563" t="s">
        <v>109</v>
      </c>
      <c r="F220" s="562" t="s">
        <v>411</v>
      </c>
      <c r="G220" s="561" t="s">
        <v>950</v>
      </c>
      <c r="H220" s="561" t="s">
        <v>110</v>
      </c>
      <c r="I220" s="561" t="s">
        <v>276</v>
      </c>
      <c r="J220" s="561" t="s">
        <v>117</v>
      </c>
      <c r="K220" s="561" t="s">
        <v>275</v>
      </c>
      <c r="L220" s="562" t="s">
        <v>111</v>
      </c>
      <c r="M220" s="561" t="s">
        <v>949</v>
      </c>
      <c r="N220" s="561" t="s">
        <v>948</v>
      </c>
      <c r="O220" s="561" t="s">
        <v>129</v>
      </c>
      <c r="P220" s="561" t="s">
        <v>220</v>
      </c>
      <c r="Q220" s="537" t="s">
        <v>947</v>
      </c>
      <c r="R220" s="537" t="s">
        <v>946</v>
      </c>
      <c r="S220" s="560" t="s">
        <v>945</v>
      </c>
    </row>
    <row r="221" spans="1:19" s="547" customFormat="1" ht="14">
      <c r="A221" s="554">
        <v>221</v>
      </c>
      <c r="B221" s="559" t="s">
        <v>802</v>
      </c>
      <c r="C221" s="558" t="s">
        <v>803</v>
      </c>
      <c r="D221" s="555">
        <v>12</v>
      </c>
      <c r="E221" s="555">
        <v>11.999999838400001</v>
      </c>
      <c r="F221" s="557" t="s">
        <v>988</v>
      </c>
      <c r="G221" s="555">
        <v>18.59</v>
      </c>
      <c r="H221" s="555">
        <v>15.45</v>
      </c>
      <c r="I221" s="555">
        <f>H221/G221</f>
        <v>0.83109198493813874</v>
      </c>
      <c r="J221" s="555">
        <v>16.48</v>
      </c>
      <c r="K221" s="555">
        <f>J221/G221</f>
        <v>0.88649811726734806</v>
      </c>
      <c r="L221" s="554">
        <v>4</v>
      </c>
      <c r="M221" s="566">
        <v>43018</v>
      </c>
      <c r="N221" s="555">
        <v>10</v>
      </c>
      <c r="O221" s="555">
        <f>(N221*(1+Q221/10)+R221/10)/J221</f>
        <v>0.91080097087378642</v>
      </c>
      <c r="P221" s="553" t="s">
        <v>804</v>
      </c>
      <c r="Q221" s="554" t="str">
        <f>IFERROR(MID(P221,FIND("转",P221)+1,FIND("股",P221)-(FIND("转",P221)+1)),0)</f>
        <v>5</v>
      </c>
      <c r="R221" s="554" t="str">
        <f>IFERROR(MID(P221,FIND("派",P221)+1,FIND("元",P221)-FIND("派",P221)-1),0)</f>
        <v>0.10</v>
      </c>
      <c r="S221" s="553" t="s">
        <v>784</v>
      </c>
    </row>
    <row r="222" spans="1:19" s="540" customFormat="1" ht="14">
      <c r="A222" s="547"/>
      <c r="B222" s="551" t="s">
        <v>112</v>
      </c>
      <c r="C222" s="551" t="s">
        <v>113</v>
      </c>
      <c r="D222" s="551" t="s">
        <v>943</v>
      </c>
      <c r="E222" s="552" t="s">
        <v>411</v>
      </c>
      <c r="F222" s="552" t="s">
        <v>942</v>
      </c>
      <c r="G222" s="551" t="s">
        <v>231</v>
      </c>
      <c r="H222" s="551" t="s">
        <v>941</v>
      </c>
      <c r="I222" s="549">
        <f>SUM(G223:G235)</f>
        <v>11.999999838399999</v>
      </c>
      <c r="J222" s="548"/>
      <c r="K222" s="548"/>
      <c r="L222" s="548"/>
      <c r="M222" s="548"/>
      <c r="N222" s="548"/>
    </row>
    <row r="223" spans="1:19" s="540" customFormat="1" ht="14">
      <c r="A223" s="1634">
        <v>1</v>
      </c>
      <c r="B223" s="1627" t="s">
        <v>987</v>
      </c>
      <c r="C223" s="546">
        <v>20.45</v>
      </c>
      <c r="D223" s="546">
        <v>3</v>
      </c>
      <c r="E223" s="544"/>
      <c r="F223" s="1624">
        <v>3033.9805000000001</v>
      </c>
      <c r="G223" s="1624">
        <v>4.9999998639999994</v>
      </c>
      <c r="H223" s="543" t="s">
        <v>126</v>
      </c>
      <c r="I223" s="138" t="s">
        <v>986</v>
      </c>
      <c r="J223" s="541"/>
      <c r="K223" s="541"/>
      <c r="L223" s="541"/>
      <c r="M223" s="541"/>
      <c r="N223" s="541"/>
    </row>
    <row r="224" spans="1:19" s="540" customFormat="1" ht="14">
      <c r="A224" s="1634"/>
      <c r="B224" s="1629"/>
      <c r="C224" s="546">
        <v>19.5</v>
      </c>
      <c r="D224" s="546">
        <v>5</v>
      </c>
      <c r="E224" s="544"/>
      <c r="F224" s="1625"/>
      <c r="G224" s="1625"/>
      <c r="H224" s="543"/>
      <c r="I224" s="542"/>
      <c r="J224" s="541"/>
      <c r="K224" s="541"/>
      <c r="L224" s="541"/>
      <c r="M224" s="541"/>
      <c r="N224" s="541"/>
    </row>
    <row r="225" spans="1:19" s="540" customFormat="1" ht="14">
      <c r="A225" s="547">
        <v>2</v>
      </c>
      <c r="B225" s="554" t="s">
        <v>225</v>
      </c>
      <c r="C225" s="546">
        <v>17.61</v>
      </c>
      <c r="D225" s="546">
        <v>2.4</v>
      </c>
      <c r="E225" s="544"/>
      <c r="F225" s="546">
        <v>1456.3106</v>
      </c>
      <c r="G225" s="546">
        <v>2.3999998688000002</v>
      </c>
      <c r="H225" s="543"/>
      <c r="I225" s="542"/>
      <c r="J225" s="541"/>
      <c r="K225" s="541"/>
      <c r="L225" s="541"/>
      <c r="M225" s="541"/>
      <c r="N225" s="541"/>
    </row>
    <row r="226" spans="1:19" s="540" customFormat="1" ht="14">
      <c r="A226" s="547">
        <v>3</v>
      </c>
      <c r="B226" s="554" t="s">
        <v>228</v>
      </c>
      <c r="C226" s="546">
        <v>16.8</v>
      </c>
      <c r="D226" s="546">
        <v>2.5</v>
      </c>
      <c r="E226" s="544"/>
      <c r="F226" s="546">
        <v>1516.9902</v>
      </c>
      <c r="G226" s="546">
        <v>2.4999998496</v>
      </c>
      <c r="H226" s="543"/>
      <c r="I226" s="542"/>
      <c r="J226" s="541"/>
      <c r="K226" s="541"/>
      <c r="L226" s="541"/>
      <c r="M226" s="541"/>
      <c r="N226" s="541"/>
    </row>
    <row r="227" spans="1:19" s="540" customFormat="1" ht="14">
      <c r="A227" s="547">
        <v>4</v>
      </c>
      <c r="B227" s="554" t="s">
        <v>971</v>
      </c>
      <c r="C227" s="546">
        <v>16.48</v>
      </c>
      <c r="D227" s="546">
        <v>2.4</v>
      </c>
      <c r="E227" s="544"/>
      <c r="F227" s="546">
        <v>1274.2719999999999</v>
      </c>
      <c r="G227" s="546">
        <v>2.100000256</v>
      </c>
      <c r="H227" s="543"/>
      <c r="I227" s="542"/>
      <c r="J227" s="541"/>
      <c r="K227" s="541"/>
      <c r="L227" s="541"/>
      <c r="M227" s="541"/>
      <c r="N227" s="541"/>
    </row>
    <row r="228" spans="1:19" s="540" customFormat="1" ht="14">
      <c r="A228" s="1634">
        <v>5</v>
      </c>
      <c r="B228" s="1627" t="s">
        <v>115</v>
      </c>
      <c r="C228" s="546">
        <v>16.350000000000001</v>
      </c>
      <c r="D228" s="546">
        <v>2.65</v>
      </c>
      <c r="E228" s="544"/>
      <c r="F228" s="546"/>
      <c r="G228" s="546"/>
      <c r="H228" s="543"/>
      <c r="I228" s="542"/>
      <c r="J228" s="541"/>
      <c r="K228" s="541"/>
      <c r="L228" s="541"/>
      <c r="M228" s="541"/>
      <c r="N228" s="541"/>
    </row>
    <row r="229" spans="1:19" s="540" customFormat="1" ht="14">
      <c r="A229" s="1634"/>
      <c r="B229" s="1628"/>
      <c r="C229" s="546">
        <v>16</v>
      </c>
      <c r="D229" s="546">
        <v>3.2</v>
      </c>
      <c r="E229" s="544"/>
      <c r="F229" s="546"/>
      <c r="G229" s="546"/>
      <c r="H229" s="543"/>
      <c r="I229" s="542"/>
      <c r="J229" s="541"/>
      <c r="K229" s="541"/>
      <c r="L229" s="541"/>
      <c r="M229" s="541"/>
      <c r="N229" s="541"/>
    </row>
    <row r="230" spans="1:19" s="540" customFormat="1" ht="14">
      <c r="A230" s="1634"/>
      <c r="B230" s="1629"/>
      <c r="C230" s="546">
        <v>15.5</v>
      </c>
      <c r="D230" s="546">
        <v>3.75</v>
      </c>
      <c r="E230" s="544"/>
      <c r="F230" s="546"/>
      <c r="G230" s="546"/>
      <c r="H230" s="543"/>
      <c r="I230" s="542"/>
      <c r="J230" s="541"/>
      <c r="K230" s="541"/>
      <c r="L230" s="541"/>
      <c r="M230" s="541"/>
      <c r="N230" s="541"/>
    </row>
    <row r="231" spans="1:19" s="540" customFormat="1" ht="14">
      <c r="A231" s="547">
        <v>6</v>
      </c>
      <c r="B231" s="554" t="s">
        <v>953</v>
      </c>
      <c r="C231" s="546">
        <v>16.13</v>
      </c>
      <c r="D231" s="546">
        <v>2.8</v>
      </c>
      <c r="E231" s="544"/>
      <c r="F231" s="546"/>
      <c r="G231" s="546"/>
      <c r="H231" s="543"/>
      <c r="I231" s="542"/>
      <c r="J231" s="541"/>
      <c r="K231" s="541"/>
      <c r="L231" s="541"/>
      <c r="M231" s="541"/>
      <c r="N231" s="541"/>
    </row>
    <row r="232" spans="1:19" s="540" customFormat="1" ht="14">
      <c r="A232" s="547">
        <v>7</v>
      </c>
      <c r="B232" s="554" t="s">
        <v>316</v>
      </c>
      <c r="C232" s="546">
        <v>16.13</v>
      </c>
      <c r="D232" s="546">
        <v>2.4</v>
      </c>
      <c r="E232" s="544"/>
      <c r="F232" s="546"/>
      <c r="G232" s="546"/>
      <c r="H232" s="543"/>
      <c r="I232" s="542"/>
      <c r="J232" s="541"/>
      <c r="K232" s="541"/>
      <c r="L232" s="541"/>
      <c r="M232" s="541"/>
      <c r="N232" s="541"/>
    </row>
    <row r="233" spans="1:19" s="540" customFormat="1" ht="14">
      <c r="A233" s="547">
        <v>8</v>
      </c>
      <c r="B233" s="554" t="s">
        <v>13</v>
      </c>
      <c r="C233" s="546">
        <v>16.079999999999998</v>
      </c>
      <c r="D233" s="546">
        <v>2.48</v>
      </c>
      <c r="E233" s="544"/>
      <c r="F233" s="546"/>
      <c r="G233" s="546"/>
      <c r="H233" s="543"/>
      <c r="I233" s="542"/>
      <c r="J233" s="541"/>
      <c r="K233" s="541"/>
      <c r="L233" s="541"/>
      <c r="M233" s="541"/>
      <c r="N233" s="541"/>
    </row>
    <row r="234" spans="1:19" s="540" customFormat="1" ht="14">
      <c r="A234" s="1634">
        <v>9</v>
      </c>
      <c r="B234" s="1627" t="s">
        <v>336</v>
      </c>
      <c r="C234" s="546">
        <v>15.95</v>
      </c>
      <c r="D234" s="546">
        <v>2.4</v>
      </c>
      <c r="E234" s="544"/>
      <c r="F234" s="546"/>
      <c r="G234" s="546"/>
      <c r="H234" s="543"/>
      <c r="I234" s="542"/>
      <c r="J234" s="541"/>
      <c r="K234" s="541"/>
      <c r="L234" s="541"/>
      <c r="M234" s="541"/>
      <c r="N234" s="541"/>
    </row>
    <row r="235" spans="1:19" s="540" customFormat="1" ht="14">
      <c r="A235" s="1634"/>
      <c r="B235" s="1629"/>
      <c r="C235" s="546">
        <v>15.46</v>
      </c>
      <c r="D235" s="546">
        <v>2.48</v>
      </c>
      <c r="E235" s="544"/>
      <c r="F235" s="546"/>
      <c r="G235" s="546"/>
      <c r="H235" s="543"/>
      <c r="I235" s="542"/>
      <c r="J235" s="541"/>
      <c r="K235" s="541"/>
      <c r="L235" s="541"/>
      <c r="M235" s="541"/>
      <c r="N235" s="541"/>
    </row>
    <row r="236" spans="1:19" s="529" customFormat="1" ht="14">
      <c r="A236" s="530"/>
      <c r="B236" s="530"/>
      <c r="D236" s="534"/>
      <c r="E236" s="535"/>
      <c r="F236" s="532"/>
    </row>
    <row r="237" spans="1:19" s="529" customFormat="1" ht="14">
      <c r="A237" s="530"/>
      <c r="B237" s="530"/>
      <c r="D237" s="535"/>
      <c r="E237" s="532"/>
    </row>
    <row r="238" spans="1:19" s="529" customFormat="1" ht="14">
      <c r="A238" s="547"/>
      <c r="B238" s="531"/>
      <c r="C238" s="533"/>
      <c r="D238" s="580"/>
      <c r="E238" s="532"/>
      <c r="F238" s="534"/>
      <c r="G238" s="534"/>
    </row>
    <row r="239" spans="1:19" s="530" customFormat="1" ht="14">
      <c r="A239" s="562" t="s">
        <v>106</v>
      </c>
      <c r="B239" s="565" t="s">
        <v>107</v>
      </c>
      <c r="C239" s="564" t="s">
        <v>4</v>
      </c>
      <c r="D239" s="563" t="s">
        <v>108</v>
      </c>
      <c r="E239" s="563" t="s">
        <v>109</v>
      </c>
      <c r="F239" s="562" t="s">
        <v>411</v>
      </c>
      <c r="G239" s="561" t="s">
        <v>950</v>
      </c>
      <c r="H239" s="561" t="s">
        <v>110</v>
      </c>
      <c r="I239" s="561" t="s">
        <v>276</v>
      </c>
      <c r="J239" s="561" t="s">
        <v>117</v>
      </c>
      <c r="K239" s="561" t="s">
        <v>275</v>
      </c>
      <c r="L239" s="562" t="s">
        <v>111</v>
      </c>
      <c r="M239" s="561" t="s">
        <v>949</v>
      </c>
      <c r="N239" s="561" t="s">
        <v>948</v>
      </c>
      <c r="O239" s="561" t="s">
        <v>129</v>
      </c>
      <c r="P239" s="561" t="s">
        <v>220</v>
      </c>
      <c r="Q239" s="537" t="s">
        <v>947</v>
      </c>
      <c r="R239" s="537" t="s">
        <v>946</v>
      </c>
      <c r="S239" s="560" t="s">
        <v>945</v>
      </c>
    </row>
    <row r="240" spans="1:19" s="547" customFormat="1" ht="14">
      <c r="A240" s="554">
        <v>222</v>
      </c>
      <c r="B240" s="559" t="s">
        <v>805</v>
      </c>
      <c r="C240" s="558" t="s">
        <v>806</v>
      </c>
      <c r="D240" s="555">
        <v>13</v>
      </c>
      <c r="E240" s="555">
        <v>1.2999998838</v>
      </c>
      <c r="F240" s="557" t="s">
        <v>985</v>
      </c>
      <c r="G240" s="555">
        <v>16.91</v>
      </c>
      <c r="H240" s="555">
        <v>14.79</v>
      </c>
      <c r="I240" s="555">
        <f>H240/G240</f>
        <v>0.87463039621525718</v>
      </c>
      <c r="J240" s="555">
        <v>14.79</v>
      </c>
      <c r="K240" s="555">
        <f>J240/G240</f>
        <v>0.87463039621525718</v>
      </c>
      <c r="L240" s="554">
        <v>1</v>
      </c>
      <c r="M240" s="566">
        <v>43018</v>
      </c>
      <c r="N240" s="555">
        <v>13.88</v>
      </c>
      <c r="O240" s="555">
        <f>(N240*(1+Q240/10)+R240/10)/J240</f>
        <v>0.93847194050033822</v>
      </c>
      <c r="P240" s="553" t="s">
        <v>223</v>
      </c>
      <c r="Q240" s="554">
        <f>IFERROR(MID(P240,FIND("转",P240)+1,FIND("股",P240)-(FIND("转",P240)+1)),0)</f>
        <v>0</v>
      </c>
      <c r="R240" s="554">
        <f>IFERROR(MID(P240,FIND("派",P240)+1,FIND("元",P240)-FIND("派",P240)-1),0)</f>
        <v>0</v>
      </c>
      <c r="S240" s="553" t="s">
        <v>807</v>
      </c>
    </row>
    <row r="241" spans="1:14" s="540" customFormat="1" ht="14">
      <c r="A241" s="547"/>
      <c r="B241" s="551" t="s">
        <v>112</v>
      </c>
      <c r="C241" s="551" t="s">
        <v>113</v>
      </c>
      <c r="D241" s="551" t="s">
        <v>943</v>
      </c>
      <c r="E241" s="552" t="s">
        <v>411</v>
      </c>
      <c r="F241" s="552" t="s">
        <v>942</v>
      </c>
      <c r="G241" s="551" t="s">
        <v>231</v>
      </c>
      <c r="H241" s="551" t="s">
        <v>941</v>
      </c>
      <c r="I241" s="549">
        <f>SUM(G242:G242)</f>
        <v>1.2999998838</v>
      </c>
      <c r="J241" s="548"/>
      <c r="K241" s="548"/>
      <c r="L241" s="548"/>
      <c r="M241" s="548"/>
      <c r="N241" s="548"/>
    </row>
    <row r="242" spans="1:14" s="540" customFormat="1" ht="14.5">
      <c r="A242" s="547">
        <v>1</v>
      </c>
      <c r="B242" s="537" t="s">
        <v>984</v>
      </c>
      <c r="C242" s="600">
        <v>14.79</v>
      </c>
      <c r="D242" s="546">
        <v>1.3</v>
      </c>
      <c r="E242" s="544"/>
      <c r="F242" s="546">
        <v>878.97220000000004</v>
      </c>
      <c r="G242" s="546">
        <v>1.2999998838</v>
      </c>
      <c r="H242" s="543" t="s">
        <v>126</v>
      </c>
      <c r="I242" s="138" t="s">
        <v>983</v>
      </c>
      <c r="J242" s="541"/>
      <c r="K242" s="541"/>
      <c r="L242" s="541"/>
      <c r="M242" s="541"/>
      <c r="N242" s="541"/>
    </row>
    <row r="243" spans="1:14" s="529" customFormat="1" ht="14">
      <c r="A243" s="530"/>
      <c r="B243" s="599"/>
    </row>
    <row r="244" spans="1:14" s="529" customFormat="1" ht="14">
      <c r="A244" s="530"/>
      <c r="B244" s="530"/>
    </row>
    <row r="245" spans="1:14" s="529" customFormat="1" ht="14">
      <c r="A245" s="530"/>
      <c r="B245" s="531"/>
      <c r="C245" s="530"/>
      <c r="E245" s="533"/>
      <c r="F245" s="532"/>
    </row>
    <row r="246" spans="1:14" s="529" customFormat="1" ht="14">
      <c r="A246" s="530"/>
      <c r="B246" s="530"/>
    </row>
  </sheetData>
  <mergeCells count="155">
    <mergeCell ref="B162:B163"/>
    <mergeCell ref="B160:B161"/>
    <mergeCell ref="B158:B159"/>
    <mergeCell ref="A162:A163"/>
    <mergeCell ref="A160:A161"/>
    <mergeCell ref="A158:A159"/>
    <mergeCell ref="A183:A185"/>
    <mergeCell ref="A176:A178"/>
    <mergeCell ref="A170:A172"/>
    <mergeCell ref="A174:A175"/>
    <mergeCell ref="B174:B175"/>
    <mergeCell ref="B170:B172"/>
    <mergeCell ref="B176:B178"/>
    <mergeCell ref="B183:B185"/>
    <mergeCell ref="A154:A156"/>
    <mergeCell ref="B154:B156"/>
    <mergeCell ref="B150:B152"/>
    <mergeCell ref="A150:A152"/>
    <mergeCell ref="A112:A114"/>
    <mergeCell ref="B112:B114"/>
    <mergeCell ref="B72:B74"/>
    <mergeCell ref="B142:B144"/>
    <mergeCell ref="A78:A80"/>
    <mergeCell ref="A75:A77"/>
    <mergeCell ref="B96:B97"/>
    <mergeCell ref="A98:A100"/>
    <mergeCell ref="B101:B103"/>
    <mergeCell ref="A101:A103"/>
    <mergeCell ref="A96:A97"/>
    <mergeCell ref="A142:A144"/>
    <mergeCell ref="A125:A126"/>
    <mergeCell ref="A122:A124"/>
    <mergeCell ref="A120:A121"/>
    <mergeCell ref="B78:B80"/>
    <mergeCell ref="B75:B77"/>
    <mergeCell ref="A234:A235"/>
    <mergeCell ref="A228:A230"/>
    <mergeCell ref="B228:B230"/>
    <mergeCell ref="B234:B235"/>
    <mergeCell ref="C216:D216"/>
    <mergeCell ref="C215:D215"/>
    <mergeCell ref="B192:B194"/>
    <mergeCell ref="A192:A194"/>
    <mergeCell ref="B189:B191"/>
    <mergeCell ref="A189:A191"/>
    <mergeCell ref="B203:B204"/>
    <mergeCell ref="B206:B207"/>
    <mergeCell ref="B210:B212"/>
    <mergeCell ref="A210:A212"/>
    <mergeCell ref="A206:A207"/>
    <mergeCell ref="A203:A204"/>
    <mergeCell ref="C195:D195"/>
    <mergeCell ref="C196:D196"/>
    <mergeCell ref="F210:F211"/>
    <mergeCell ref="G210:G211"/>
    <mergeCell ref="G203:G204"/>
    <mergeCell ref="F203:F204"/>
    <mergeCell ref="G223:G224"/>
    <mergeCell ref="F223:F224"/>
    <mergeCell ref="A223:A224"/>
    <mergeCell ref="B223:B224"/>
    <mergeCell ref="F174:F175"/>
    <mergeCell ref="G174:G175"/>
    <mergeCell ref="F183:F185"/>
    <mergeCell ref="G183:G185"/>
    <mergeCell ref="F189:F191"/>
    <mergeCell ref="G189:G191"/>
    <mergeCell ref="F96:F97"/>
    <mergeCell ref="G75:G77"/>
    <mergeCell ref="G142:G143"/>
    <mergeCell ref="F142:F143"/>
    <mergeCell ref="M112:M114"/>
    <mergeCell ref="G125:G126"/>
    <mergeCell ref="F125:F126"/>
    <mergeCell ref="F122:F124"/>
    <mergeCell ref="G120:G121"/>
    <mergeCell ref="F120:F121"/>
    <mergeCell ref="G122:G124"/>
    <mergeCell ref="L112:L114"/>
    <mergeCell ref="G69:G71"/>
    <mergeCell ref="E66:E67"/>
    <mergeCell ref="B60:B61"/>
    <mergeCell ref="B55:B57"/>
    <mergeCell ref="D112:D114"/>
    <mergeCell ref="E112:E114"/>
    <mergeCell ref="C112:C114"/>
    <mergeCell ref="B125:B126"/>
    <mergeCell ref="B122:B124"/>
    <mergeCell ref="B120:B121"/>
    <mergeCell ref="D66:D67"/>
    <mergeCell ref="G78:G80"/>
    <mergeCell ref="B66:B67"/>
    <mergeCell ref="C66:C67"/>
    <mergeCell ref="G96:G97"/>
    <mergeCell ref="F98:F100"/>
    <mergeCell ref="G101:G103"/>
    <mergeCell ref="F101:F103"/>
    <mergeCell ref="B98:B100"/>
    <mergeCell ref="G98:G100"/>
    <mergeCell ref="F78:F80"/>
    <mergeCell ref="F75:F77"/>
    <mergeCell ref="C88:D88"/>
    <mergeCell ref="G72:G74"/>
    <mergeCell ref="F72:F74"/>
    <mergeCell ref="A55:A57"/>
    <mergeCell ref="A60:A61"/>
    <mergeCell ref="A35:A36"/>
    <mergeCell ref="F69:F71"/>
    <mergeCell ref="B51:B52"/>
    <mergeCell ref="B18:B19"/>
    <mergeCell ref="B35:B36"/>
    <mergeCell ref="A28:A30"/>
    <mergeCell ref="B28:B30"/>
    <mergeCell ref="A18:A19"/>
    <mergeCell ref="A45:A47"/>
    <mergeCell ref="A49:A50"/>
    <mergeCell ref="A66:A67"/>
    <mergeCell ref="A51:A52"/>
    <mergeCell ref="B45:B47"/>
    <mergeCell ref="B43:B44"/>
    <mergeCell ref="B49:B50"/>
    <mergeCell ref="F40:F41"/>
    <mergeCell ref="B69:B71"/>
    <mergeCell ref="F35:F36"/>
    <mergeCell ref="F37:F39"/>
    <mergeCell ref="A72:A74"/>
    <mergeCell ref="A69:A71"/>
    <mergeCell ref="G18:G19"/>
    <mergeCell ref="F28:F30"/>
    <mergeCell ref="A43:A44"/>
    <mergeCell ref="A40:A41"/>
    <mergeCell ref="B40:B41"/>
    <mergeCell ref="B37:B39"/>
    <mergeCell ref="A37:A39"/>
    <mergeCell ref="G28:G30"/>
    <mergeCell ref="F18:F19"/>
    <mergeCell ref="G35:G36"/>
    <mergeCell ref="G37:G39"/>
    <mergeCell ref="G40:G41"/>
    <mergeCell ref="G15:G17"/>
    <mergeCell ref="A11:A12"/>
    <mergeCell ref="A6:A8"/>
    <mergeCell ref="F15:F17"/>
    <mergeCell ref="B15:B17"/>
    <mergeCell ref="B13:B14"/>
    <mergeCell ref="B11:B12"/>
    <mergeCell ref="B6:B8"/>
    <mergeCell ref="G6:G8"/>
    <mergeCell ref="F6:F8"/>
    <mergeCell ref="G13:G14"/>
    <mergeCell ref="G11:G12"/>
    <mergeCell ref="F13:F14"/>
    <mergeCell ref="F11:F12"/>
    <mergeCell ref="A15:A17"/>
    <mergeCell ref="A13:A14"/>
  </mergeCells>
  <phoneticPr fontId="139" type="noConversion"/>
  <hyperlinks>
    <hyperlink ref="I6" r:id="rId1" xr:uid="{00000000-0004-0000-0900-000000000000}"/>
    <hyperlink ref="I27" r:id="rId2" xr:uid="{00000000-0004-0000-0900-000001000000}"/>
    <hyperlink ref="I69" r:id="rId3" xr:uid="{00000000-0004-0000-0900-000002000000}"/>
    <hyperlink ref="I95" r:id="rId4" xr:uid="{00000000-0004-0000-0900-000003000000}"/>
    <hyperlink ref="I116" r:id="rId5" xr:uid="{00000000-0004-0000-0900-000004000000}"/>
    <hyperlink ref="I142" r:id="rId6" xr:uid="{00000000-0004-0000-0900-000005000000}"/>
    <hyperlink ref="I170" r:id="rId7" xr:uid="{00000000-0004-0000-0900-000006000000}"/>
    <hyperlink ref="I203" r:id="rId8" xr:uid="{00000000-0004-0000-0900-000007000000}"/>
    <hyperlink ref="I223" r:id="rId9" xr:uid="{00000000-0004-0000-0900-000008000000}"/>
    <hyperlink ref="I242" r:id="rId10" xr:uid="{00000000-0004-0000-0900-000009000000}"/>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252"/>
  <sheetViews>
    <sheetView workbookViewId="0">
      <selection activeCell="B225" sqref="B225:B227"/>
    </sheetView>
  </sheetViews>
  <sheetFormatPr defaultColWidth="10.83203125" defaultRowHeight="15.5"/>
  <cols>
    <col min="1" max="1" width="10.5" style="528" customWidth="1"/>
    <col min="2" max="2" width="34.83203125" style="528" bestFit="1" customWidth="1"/>
    <col min="3" max="3" width="10.83203125" style="528"/>
    <col min="4" max="4" width="15.83203125" style="528" bestFit="1" customWidth="1"/>
    <col min="5" max="5" width="14" style="528" bestFit="1" customWidth="1"/>
    <col min="6" max="6" width="22.5" style="528" bestFit="1" customWidth="1"/>
    <col min="7" max="7" width="15.83203125" style="528" bestFit="1" customWidth="1"/>
    <col min="8" max="8" width="14" style="528" bestFit="1" customWidth="1"/>
    <col min="9" max="11" width="10.83203125" style="528"/>
    <col min="12" max="12" width="12.1640625" style="528" bestFit="1" customWidth="1"/>
    <col min="13" max="15" width="10.83203125" style="528"/>
    <col min="16" max="16" width="19" style="528" customWidth="1"/>
    <col min="17" max="19" width="0" style="528" hidden="1" customWidth="1"/>
    <col min="20" max="16384" width="10.83203125" style="528"/>
  </cols>
  <sheetData>
    <row r="1" spans="1:19" s="24" customFormat="1" ht="14">
      <c r="B1" s="24" t="s">
        <v>1281</v>
      </c>
    </row>
    <row r="2" spans="1:19" s="24" customFormat="1" ht="14"/>
    <row r="3" spans="1:19" s="530" customFormat="1" ht="14">
      <c r="A3" s="562" t="s">
        <v>106</v>
      </c>
      <c r="B3" s="565" t="s">
        <v>107</v>
      </c>
      <c r="C3" s="564" t="s">
        <v>4</v>
      </c>
      <c r="D3" s="563" t="s">
        <v>108</v>
      </c>
      <c r="E3" s="563" t="s">
        <v>109</v>
      </c>
      <c r="F3" s="562" t="s">
        <v>411</v>
      </c>
      <c r="G3" s="561" t="s">
        <v>950</v>
      </c>
      <c r="H3" s="561" t="s">
        <v>110</v>
      </c>
      <c r="I3" s="561" t="s">
        <v>276</v>
      </c>
      <c r="J3" s="561" t="s">
        <v>117</v>
      </c>
      <c r="K3" s="561" t="s">
        <v>275</v>
      </c>
      <c r="L3" s="562" t="s">
        <v>111</v>
      </c>
      <c r="M3" s="561" t="s">
        <v>949</v>
      </c>
      <c r="N3" s="561" t="s">
        <v>948</v>
      </c>
      <c r="O3" s="561" t="s">
        <v>129</v>
      </c>
      <c r="P3" s="561" t="s">
        <v>220</v>
      </c>
      <c r="Q3" s="537" t="s">
        <v>947</v>
      </c>
      <c r="R3" s="537" t="s">
        <v>946</v>
      </c>
      <c r="S3" s="560" t="s">
        <v>945</v>
      </c>
    </row>
    <row r="4" spans="1:19" s="547" customFormat="1" ht="14">
      <c r="A4" s="554">
        <v>223</v>
      </c>
      <c r="B4" s="559" t="s">
        <v>808</v>
      </c>
      <c r="C4" s="558" t="s">
        <v>809</v>
      </c>
      <c r="D4" s="555">
        <v>24.2</v>
      </c>
      <c r="E4" s="555">
        <v>24.199999924</v>
      </c>
      <c r="F4" s="557" t="s">
        <v>1091</v>
      </c>
      <c r="G4" s="555">
        <v>12.2</v>
      </c>
      <c r="H4" s="555">
        <v>11.51</v>
      </c>
      <c r="I4" s="555">
        <f>H4/G4</f>
        <v>0.94344262295081971</v>
      </c>
      <c r="J4" s="555">
        <v>11.6</v>
      </c>
      <c r="K4" s="555">
        <f>J4/G4</f>
        <v>0.9508196721311476</v>
      </c>
      <c r="L4" s="554">
        <v>5</v>
      </c>
      <c r="M4" s="566">
        <v>43020</v>
      </c>
      <c r="N4" s="555">
        <v>11.22</v>
      </c>
      <c r="O4" s="555">
        <f>(N4*(1+Q4/10)+R4/10)/J4</f>
        <v>0.96982758620689657</v>
      </c>
      <c r="P4" s="553" t="s">
        <v>236</v>
      </c>
      <c r="Q4" s="554">
        <f>IFERROR(MID(P4,FIND("转",P4)+1,FIND("股",P4)-(FIND("转",P4)+1)),0)</f>
        <v>0</v>
      </c>
      <c r="R4" s="554" t="str">
        <f>IFERROR(MID(P4,FIND("派",P4)+1,FIND("元",P4)-FIND("派",P4)-1),0)</f>
        <v>0.30</v>
      </c>
      <c r="S4" s="553"/>
    </row>
    <row r="5" spans="1:19" s="540" customFormat="1" ht="14">
      <c r="A5" s="547"/>
      <c r="B5" s="551" t="s">
        <v>112</v>
      </c>
      <c r="C5" s="551" t="s">
        <v>113</v>
      </c>
      <c r="D5" s="551" t="s">
        <v>943</v>
      </c>
      <c r="E5" s="552" t="s">
        <v>411</v>
      </c>
      <c r="F5" s="552" t="s">
        <v>942</v>
      </c>
      <c r="G5" s="551" t="s">
        <v>231</v>
      </c>
      <c r="H5" s="551" t="s">
        <v>941</v>
      </c>
      <c r="I5" s="549">
        <f>SUM(G6:G10)</f>
        <v>24.199999924</v>
      </c>
      <c r="J5" s="548"/>
      <c r="K5" s="548"/>
      <c r="L5" s="548"/>
      <c r="M5" s="548"/>
      <c r="N5" s="548"/>
    </row>
    <row r="6" spans="1:19" s="540" customFormat="1" ht="14">
      <c r="A6" s="547">
        <v>1</v>
      </c>
      <c r="B6" s="554" t="s">
        <v>130</v>
      </c>
      <c r="C6" s="546">
        <v>12.2</v>
      </c>
      <c r="D6" s="546">
        <v>4.84</v>
      </c>
      <c r="E6" s="544"/>
      <c r="F6" s="546">
        <v>4172.4137000000001</v>
      </c>
      <c r="G6" s="546">
        <v>4.8399998919999998</v>
      </c>
      <c r="H6" s="543" t="s">
        <v>126</v>
      </c>
      <c r="I6" s="138" t="s">
        <v>1090</v>
      </c>
      <c r="J6" s="541"/>
      <c r="K6" s="541"/>
      <c r="L6" s="541"/>
      <c r="M6" s="541"/>
      <c r="N6" s="541"/>
    </row>
    <row r="7" spans="1:19" s="540" customFormat="1" ht="14">
      <c r="A7" s="547">
        <v>2</v>
      </c>
      <c r="B7" s="554" t="s">
        <v>358</v>
      </c>
      <c r="C7" s="546">
        <v>12.02</v>
      </c>
      <c r="D7" s="546">
        <v>4.84</v>
      </c>
      <c r="E7" s="544"/>
      <c r="F7" s="546">
        <v>4172.4137000000001</v>
      </c>
      <c r="G7" s="546">
        <v>4.8399998919999998</v>
      </c>
      <c r="H7" s="543"/>
      <c r="I7" s="542"/>
      <c r="J7" s="541"/>
      <c r="K7" s="541"/>
      <c r="L7" s="541"/>
      <c r="M7" s="541"/>
      <c r="N7" s="541"/>
    </row>
    <row r="8" spans="1:19" s="540" customFormat="1" ht="14">
      <c r="A8" s="547">
        <v>3</v>
      </c>
      <c r="B8" s="554" t="s">
        <v>960</v>
      </c>
      <c r="C8" s="546">
        <v>11.6</v>
      </c>
      <c r="D8" s="546">
        <v>4.8499999999999996</v>
      </c>
      <c r="E8" s="544"/>
      <c r="F8" s="546">
        <v>2086.2071000000001</v>
      </c>
      <c r="G8" s="546">
        <v>2.4200002359999999</v>
      </c>
      <c r="H8" s="543"/>
      <c r="I8" s="542"/>
      <c r="J8" s="541"/>
      <c r="K8" s="541"/>
      <c r="L8" s="541"/>
      <c r="M8" s="541"/>
      <c r="N8" s="541"/>
    </row>
    <row r="9" spans="1:19" s="540" customFormat="1" ht="14">
      <c r="A9" s="547">
        <v>4</v>
      </c>
      <c r="B9" s="554" t="s">
        <v>965</v>
      </c>
      <c r="C9" s="546">
        <v>12.55</v>
      </c>
      <c r="D9" s="546">
        <v>6.05</v>
      </c>
      <c r="E9" s="544"/>
      <c r="F9" s="546">
        <v>5215.5172000000002</v>
      </c>
      <c r="G9" s="546">
        <v>6.0499999520000003</v>
      </c>
      <c r="H9" s="543"/>
      <c r="I9" s="542"/>
      <c r="J9" s="541"/>
      <c r="K9" s="541"/>
      <c r="L9" s="541"/>
      <c r="M9" s="541"/>
      <c r="N9" s="541"/>
    </row>
    <row r="10" spans="1:19" s="540" customFormat="1" ht="14">
      <c r="A10" s="547">
        <v>5</v>
      </c>
      <c r="B10" s="554" t="s">
        <v>1089</v>
      </c>
      <c r="C10" s="546">
        <v>12.3</v>
      </c>
      <c r="D10" s="546">
        <v>6.05</v>
      </c>
      <c r="E10" s="544"/>
      <c r="F10" s="546">
        <v>5215.5172000000002</v>
      </c>
      <c r="G10" s="546">
        <v>6.0499999520000003</v>
      </c>
      <c r="H10" s="543"/>
      <c r="I10" s="542"/>
      <c r="J10" s="541"/>
      <c r="K10" s="541"/>
      <c r="L10" s="541"/>
      <c r="M10" s="541"/>
      <c r="N10" s="541"/>
    </row>
    <row r="11" spans="1:19" s="529" customFormat="1" ht="14">
      <c r="A11" s="530"/>
      <c r="B11" s="530"/>
    </row>
    <row r="12" spans="1:19" s="529" customFormat="1" ht="14">
      <c r="A12" s="547"/>
      <c r="B12" s="530"/>
      <c r="C12" s="530"/>
      <c r="D12" s="534"/>
      <c r="E12" s="534"/>
      <c r="F12" s="534"/>
      <c r="G12" s="534"/>
      <c r="H12" s="533"/>
      <c r="I12" s="533"/>
      <c r="J12" s="532"/>
    </row>
    <row r="13" spans="1:19" s="529" customFormat="1" ht="14">
      <c r="A13" s="530"/>
      <c r="B13" s="530"/>
      <c r="C13" s="530"/>
      <c r="D13" s="534"/>
      <c r="E13" s="534"/>
      <c r="F13" s="534"/>
      <c r="G13" s="534"/>
      <c r="H13" s="580"/>
      <c r="I13" s="533"/>
      <c r="J13" s="532"/>
    </row>
    <row r="14" spans="1:19" s="530" customFormat="1" ht="14">
      <c r="A14" s="562" t="s">
        <v>106</v>
      </c>
      <c r="B14" s="565" t="s">
        <v>107</v>
      </c>
      <c r="C14" s="564" t="s">
        <v>4</v>
      </c>
      <c r="D14" s="563" t="s">
        <v>108</v>
      </c>
      <c r="E14" s="563" t="s">
        <v>109</v>
      </c>
      <c r="F14" s="562" t="s">
        <v>411</v>
      </c>
      <c r="G14" s="561" t="s">
        <v>950</v>
      </c>
      <c r="H14" s="561" t="s">
        <v>110</v>
      </c>
      <c r="I14" s="561" t="s">
        <v>276</v>
      </c>
      <c r="J14" s="561" t="s">
        <v>117</v>
      </c>
      <c r="K14" s="561" t="s">
        <v>275</v>
      </c>
      <c r="L14" s="562" t="s">
        <v>111</v>
      </c>
      <c r="M14" s="561" t="s">
        <v>949</v>
      </c>
      <c r="N14" s="561" t="s">
        <v>948</v>
      </c>
      <c r="O14" s="561" t="s">
        <v>129</v>
      </c>
      <c r="P14" s="561" t="s">
        <v>220</v>
      </c>
      <c r="Q14" s="537" t="s">
        <v>947</v>
      </c>
      <c r="R14" s="537" t="s">
        <v>946</v>
      </c>
      <c r="S14" s="560" t="s">
        <v>945</v>
      </c>
    </row>
    <row r="15" spans="1:19" s="547" customFormat="1" ht="14">
      <c r="A15" s="554">
        <v>224</v>
      </c>
      <c r="B15" s="559" t="s">
        <v>811</v>
      </c>
      <c r="C15" s="558" t="s">
        <v>812</v>
      </c>
      <c r="D15" s="555">
        <v>39.310099999999998</v>
      </c>
      <c r="E15" s="555">
        <v>39.310099975999997</v>
      </c>
      <c r="F15" s="557" t="s">
        <v>1088</v>
      </c>
      <c r="G15" s="555">
        <v>5.6</v>
      </c>
      <c r="H15" s="555">
        <v>5.6</v>
      </c>
      <c r="I15" s="555">
        <f>H15/G15</f>
        <v>1</v>
      </c>
      <c r="J15" s="555">
        <v>5.6</v>
      </c>
      <c r="K15" s="555">
        <f>J15/G15</f>
        <v>1</v>
      </c>
      <c r="L15" s="554">
        <v>4</v>
      </c>
      <c r="M15" s="566">
        <v>43020</v>
      </c>
      <c r="N15" s="555">
        <v>2.34</v>
      </c>
      <c r="O15" s="555">
        <f>(N15*(1+Q15/10)+R15/10)/J15</f>
        <v>0.92107142857142854</v>
      </c>
      <c r="P15" s="553" t="s">
        <v>813</v>
      </c>
      <c r="Q15" s="554">
        <v>12</v>
      </c>
      <c r="R15" s="554" t="str">
        <f>IFERROR(MID(P15,FIND("派",P15)+1,FIND("元",P15)-FIND("派",P15)-1),0)</f>
        <v>0.1</v>
      </c>
      <c r="S15" s="553"/>
    </row>
    <row r="16" spans="1:19" s="540" customFormat="1" ht="14">
      <c r="A16" s="547"/>
      <c r="B16" s="551" t="s">
        <v>112</v>
      </c>
      <c r="C16" s="551" t="s">
        <v>113</v>
      </c>
      <c r="D16" s="551" t="s">
        <v>943</v>
      </c>
      <c r="E16" s="552" t="s">
        <v>411</v>
      </c>
      <c r="F16" s="552" t="s">
        <v>942</v>
      </c>
      <c r="G16" s="551" t="s">
        <v>231</v>
      </c>
      <c r="H16" s="551" t="s">
        <v>941</v>
      </c>
      <c r="I16" s="549">
        <f>SUM(G17:G22)</f>
        <v>39.310099975999997</v>
      </c>
      <c r="J16" s="548"/>
      <c r="K16" s="548"/>
      <c r="L16" s="548"/>
      <c r="M16" s="548"/>
      <c r="N16" s="548"/>
    </row>
    <row r="17" spans="1:19" s="540" customFormat="1" ht="14">
      <c r="A17" s="1634">
        <v>1</v>
      </c>
      <c r="B17" s="1627" t="s">
        <v>1087</v>
      </c>
      <c r="C17" s="546">
        <v>5.76</v>
      </c>
      <c r="D17" s="546">
        <v>4</v>
      </c>
      <c r="E17" s="544"/>
      <c r="F17" s="1624">
        <v>7142.8571000000002</v>
      </c>
      <c r="G17" s="1624">
        <v>3.9999999760000002</v>
      </c>
      <c r="H17" s="543" t="s">
        <v>126</v>
      </c>
      <c r="I17" s="138" t="s">
        <v>810</v>
      </c>
      <c r="J17" s="541"/>
      <c r="K17" s="541"/>
      <c r="L17" s="541"/>
      <c r="M17" s="541"/>
      <c r="N17" s="541"/>
    </row>
    <row r="18" spans="1:19" s="540" customFormat="1" ht="14">
      <c r="A18" s="1634"/>
      <c r="B18" s="1628"/>
      <c r="C18" s="546">
        <v>5.68</v>
      </c>
      <c r="D18" s="546">
        <v>4</v>
      </c>
      <c r="E18" s="544"/>
      <c r="F18" s="1626"/>
      <c r="G18" s="1626"/>
      <c r="H18" s="543"/>
      <c r="I18" s="542"/>
      <c r="J18" s="541"/>
      <c r="K18" s="541"/>
      <c r="L18" s="541"/>
      <c r="M18" s="541"/>
      <c r="N18" s="541"/>
    </row>
    <row r="19" spans="1:19" s="540" customFormat="1" ht="14">
      <c r="A19" s="1634"/>
      <c r="B19" s="1629"/>
      <c r="C19" s="546">
        <v>5.6</v>
      </c>
      <c r="D19" s="546">
        <v>4</v>
      </c>
      <c r="E19" s="544"/>
      <c r="F19" s="1625"/>
      <c r="G19" s="1625"/>
      <c r="H19" s="543"/>
      <c r="I19" s="542"/>
      <c r="J19" s="541"/>
      <c r="K19" s="541"/>
      <c r="L19" s="541"/>
      <c r="M19" s="541"/>
      <c r="N19" s="541"/>
    </row>
    <row r="20" spans="1:19" s="540" customFormat="1" ht="14">
      <c r="A20" s="547">
        <v>2</v>
      </c>
      <c r="B20" s="554" t="s">
        <v>336</v>
      </c>
      <c r="C20" s="546">
        <v>5.69</v>
      </c>
      <c r="D20" s="546">
        <v>6.3757000000000001</v>
      </c>
      <c r="E20" s="544"/>
      <c r="F20" s="546">
        <v>11385.1785</v>
      </c>
      <c r="G20" s="546">
        <v>6.3756999600000004</v>
      </c>
      <c r="H20" s="543"/>
      <c r="I20" s="542"/>
      <c r="J20" s="541"/>
      <c r="K20" s="541"/>
      <c r="L20" s="541"/>
      <c r="M20" s="541"/>
      <c r="N20" s="541"/>
    </row>
    <row r="21" spans="1:19" s="540" customFormat="1" ht="14">
      <c r="A21" s="547">
        <v>3</v>
      </c>
      <c r="B21" s="554" t="s">
        <v>1029</v>
      </c>
      <c r="C21" s="546">
        <v>5.65</v>
      </c>
      <c r="D21" s="546">
        <v>21.717199999999998</v>
      </c>
      <c r="E21" s="544"/>
      <c r="F21" s="546">
        <v>38780.714200000002</v>
      </c>
      <c r="G21" s="546">
        <v>21.717199951999998</v>
      </c>
      <c r="H21" s="543"/>
      <c r="I21" s="542"/>
      <c r="J21" s="541"/>
      <c r="K21" s="541"/>
      <c r="L21" s="541"/>
      <c r="M21" s="541"/>
      <c r="N21" s="541"/>
    </row>
    <row r="22" spans="1:19" s="540" customFormat="1" ht="14">
      <c r="A22" s="547">
        <v>4</v>
      </c>
      <c r="B22" s="554" t="s">
        <v>130</v>
      </c>
      <c r="C22" s="546">
        <v>5.6</v>
      </c>
      <c r="D22" s="546">
        <v>11.2172</v>
      </c>
      <c r="E22" s="544"/>
      <c r="F22" s="546">
        <v>12887.8573</v>
      </c>
      <c r="G22" s="546">
        <v>7.2172000879999993</v>
      </c>
      <c r="H22" s="543"/>
      <c r="I22" s="542"/>
      <c r="J22" s="541"/>
      <c r="K22" s="541"/>
      <c r="L22" s="541"/>
      <c r="M22" s="541"/>
      <c r="N22" s="541"/>
    </row>
    <row r="23" spans="1:19" s="529" customFormat="1" ht="14">
      <c r="A23" s="530"/>
      <c r="B23" s="530"/>
    </row>
    <row r="24" spans="1:19" s="529" customFormat="1" ht="14">
      <c r="A24" s="530"/>
      <c r="B24" s="530"/>
      <c r="H24" s="533"/>
      <c r="I24" s="532"/>
    </row>
    <row r="25" spans="1:19" s="529" customFormat="1" ht="14">
      <c r="A25" s="530"/>
      <c r="B25" s="530"/>
      <c r="H25" s="533"/>
      <c r="I25" s="532"/>
    </row>
    <row r="26" spans="1:19" s="530" customFormat="1" ht="14">
      <c r="A26" s="562" t="s">
        <v>106</v>
      </c>
      <c r="B26" s="565" t="s">
        <v>107</v>
      </c>
      <c r="C26" s="564" t="s">
        <v>4</v>
      </c>
      <c r="D26" s="563" t="s">
        <v>108</v>
      </c>
      <c r="E26" s="563" t="s">
        <v>109</v>
      </c>
      <c r="F26" s="562" t="s">
        <v>411</v>
      </c>
      <c r="G26" s="561" t="s">
        <v>950</v>
      </c>
      <c r="H26" s="561" t="s">
        <v>110</v>
      </c>
      <c r="I26" s="561" t="s">
        <v>276</v>
      </c>
      <c r="J26" s="561" t="s">
        <v>117</v>
      </c>
      <c r="K26" s="561" t="s">
        <v>275</v>
      </c>
      <c r="L26" s="562" t="s">
        <v>111</v>
      </c>
      <c r="M26" s="561" t="s">
        <v>949</v>
      </c>
      <c r="N26" s="561" t="s">
        <v>948</v>
      </c>
      <c r="O26" s="561" t="s">
        <v>129</v>
      </c>
      <c r="P26" s="561" t="s">
        <v>220</v>
      </c>
      <c r="Q26" s="537" t="s">
        <v>947</v>
      </c>
      <c r="R26" s="537" t="s">
        <v>946</v>
      </c>
      <c r="S26" s="560" t="s">
        <v>945</v>
      </c>
    </row>
    <row r="27" spans="1:19" s="547" customFormat="1" ht="14">
      <c r="A27" s="554">
        <v>225</v>
      </c>
      <c r="B27" s="559" t="s">
        <v>815</v>
      </c>
      <c r="C27" s="558" t="s">
        <v>816</v>
      </c>
      <c r="D27" s="555">
        <v>80</v>
      </c>
      <c r="E27" s="555">
        <v>47.769999581699999</v>
      </c>
      <c r="F27" s="557" t="s">
        <v>1086</v>
      </c>
      <c r="G27" s="555">
        <v>21.76</v>
      </c>
      <c r="H27" s="555">
        <v>18.809999999999999</v>
      </c>
      <c r="I27" s="555">
        <f>H27/G27</f>
        <v>0.86443014705882337</v>
      </c>
      <c r="J27" s="555">
        <v>18.809999999999999</v>
      </c>
      <c r="K27" s="555">
        <f>J27/G27</f>
        <v>0.86443014705882337</v>
      </c>
      <c r="L27" s="554">
        <v>4</v>
      </c>
      <c r="M27" s="566">
        <v>43025</v>
      </c>
      <c r="N27" s="555">
        <v>17.5</v>
      </c>
      <c r="O27" s="555">
        <f>(N27*(1+Q27/10)+R27/10)/J27</f>
        <v>0.93833067517278046</v>
      </c>
      <c r="P27" s="598" t="s">
        <v>239</v>
      </c>
      <c r="Q27" s="554">
        <f>IFERROR(MID(P27,FIND("转",P27)+1,FIND("股",P27)-(FIND("转",P27)+1)),0)</f>
        <v>0</v>
      </c>
      <c r="R27" s="554" t="str">
        <f>IFERROR(MID(P27,FIND("派",P27)+1,FIND("元",P27)-FIND("派",P27)-1),0)</f>
        <v>1.50</v>
      </c>
      <c r="S27" s="553"/>
    </row>
    <row r="28" spans="1:19" s="540" customFormat="1" ht="14">
      <c r="A28" s="547"/>
      <c r="B28" s="551" t="s">
        <v>112</v>
      </c>
      <c r="C28" s="551" t="s">
        <v>113</v>
      </c>
      <c r="D28" s="551" t="s">
        <v>943</v>
      </c>
      <c r="E28" s="552" t="s">
        <v>411</v>
      </c>
      <c r="F28" s="552" t="s">
        <v>942</v>
      </c>
      <c r="G28" s="551" t="s">
        <v>231</v>
      </c>
      <c r="H28" s="551" t="s">
        <v>941</v>
      </c>
      <c r="I28" s="549">
        <f>SUM(G29:G32)</f>
        <v>47.769999581699999</v>
      </c>
      <c r="J28" s="548"/>
      <c r="K28" s="548"/>
      <c r="L28" s="548"/>
      <c r="M28" s="548"/>
      <c r="N28" s="548"/>
    </row>
    <row r="29" spans="1:19" s="540" customFormat="1" ht="14">
      <c r="A29" s="547">
        <v>1</v>
      </c>
      <c r="B29" s="554" t="s">
        <v>1085</v>
      </c>
      <c r="C29" s="546">
        <v>18.809999999999999</v>
      </c>
      <c r="D29" s="546">
        <v>22.57</v>
      </c>
      <c r="E29" s="544"/>
      <c r="F29" s="546">
        <v>11998.9367</v>
      </c>
      <c r="G29" s="546">
        <f>F29*18.81/10000</f>
        <v>22.5699999327</v>
      </c>
      <c r="H29" s="543" t="s">
        <v>126</v>
      </c>
      <c r="I29" s="138" t="s">
        <v>814</v>
      </c>
      <c r="J29" s="541"/>
      <c r="K29" s="541"/>
      <c r="L29" s="541"/>
      <c r="M29" s="541"/>
      <c r="N29" s="541"/>
    </row>
    <row r="30" spans="1:19" s="540" customFormat="1" ht="14">
      <c r="A30" s="547">
        <v>2</v>
      </c>
      <c r="B30" s="554" t="s">
        <v>316</v>
      </c>
      <c r="C30" s="546">
        <v>18.98</v>
      </c>
      <c r="D30" s="546">
        <v>9.1999999999999993</v>
      </c>
      <c r="E30" s="544"/>
      <c r="F30" s="546">
        <v>4891.0154000000002</v>
      </c>
      <c r="G30" s="546">
        <f>F30*18.81/10000</f>
        <v>9.1999999673999984</v>
      </c>
      <c r="H30" s="543"/>
      <c r="I30" s="542"/>
      <c r="J30" s="541"/>
      <c r="K30" s="541"/>
      <c r="L30" s="541"/>
      <c r="M30" s="541"/>
      <c r="N30" s="541"/>
    </row>
    <row r="31" spans="1:19" s="540" customFormat="1" ht="14">
      <c r="A31" s="547">
        <v>3</v>
      </c>
      <c r="B31" s="554" t="s">
        <v>1084</v>
      </c>
      <c r="C31" s="546">
        <v>18.809999999999999</v>
      </c>
      <c r="D31" s="546">
        <v>8</v>
      </c>
      <c r="E31" s="544"/>
      <c r="F31" s="546">
        <v>4253.0568000000003</v>
      </c>
      <c r="G31" s="546">
        <f>F31*18.81/10000</f>
        <v>7.9999998408000002</v>
      </c>
      <c r="H31" s="543"/>
      <c r="I31" s="542"/>
      <c r="J31" s="541"/>
      <c r="K31" s="541"/>
      <c r="L31" s="541"/>
      <c r="M31" s="541"/>
      <c r="N31" s="541"/>
    </row>
    <row r="32" spans="1:19" s="540" customFormat="1" ht="14">
      <c r="A32" s="547">
        <v>4</v>
      </c>
      <c r="B32" s="554" t="s">
        <v>1083</v>
      </c>
      <c r="C32" s="546">
        <v>18.809999999999999</v>
      </c>
      <c r="D32" s="546">
        <v>8</v>
      </c>
      <c r="E32" s="544"/>
      <c r="F32" s="546">
        <v>4253.0568000000003</v>
      </c>
      <c r="G32" s="546">
        <f>F32*18.81/10000</f>
        <v>7.9999998408000002</v>
      </c>
      <c r="H32" s="543"/>
      <c r="I32" s="542"/>
      <c r="J32" s="541"/>
      <c r="K32" s="541"/>
      <c r="L32" s="541"/>
      <c r="M32" s="541"/>
      <c r="N32" s="541"/>
    </row>
    <row r="33" spans="1:19" s="529" customFormat="1" ht="14">
      <c r="A33" s="530"/>
      <c r="B33" s="530"/>
      <c r="C33" s="530"/>
    </row>
    <row r="34" spans="1:19" s="529" customFormat="1" ht="14">
      <c r="A34" s="530"/>
      <c r="B34" s="530"/>
      <c r="C34" s="530"/>
    </row>
    <row r="35" spans="1:19" s="529" customFormat="1" ht="14">
      <c r="A35" s="530"/>
      <c r="B35" s="530"/>
      <c r="C35" s="530"/>
    </row>
    <row r="36" spans="1:19" s="530" customFormat="1" ht="14">
      <c r="A36" s="562" t="s">
        <v>106</v>
      </c>
      <c r="B36" s="565" t="s">
        <v>107</v>
      </c>
      <c r="C36" s="564" t="s">
        <v>4</v>
      </c>
      <c r="D36" s="563" t="s">
        <v>108</v>
      </c>
      <c r="E36" s="563" t="s">
        <v>109</v>
      </c>
      <c r="F36" s="562" t="s">
        <v>411</v>
      </c>
      <c r="G36" s="561" t="s">
        <v>950</v>
      </c>
      <c r="H36" s="561" t="s">
        <v>110</v>
      </c>
      <c r="I36" s="561" t="s">
        <v>276</v>
      </c>
      <c r="J36" s="561" t="s">
        <v>117</v>
      </c>
      <c r="K36" s="561" t="s">
        <v>275</v>
      </c>
      <c r="L36" s="562" t="s">
        <v>111</v>
      </c>
      <c r="M36" s="561" t="s">
        <v>949</v>
      </c>
      <c r="N36" s="561" t="s">
        <v>948</v>
      </c>
      <c r="O36" s="561" t="s">
        <v>129</v>
      </c>
      <c r="P36" s="561" t="s">
        <v>220</v>
      </c>
      <c r="Q36" s="537" t="s">
        <v>947</v>
      </c>
      <c r="R36" s="537" t="s">
        <v>946</v>
      </c>
      <c r="S36" s="560" t="s">
        <v>945</v>
      </c>
    </row>
    <row r="37" spans="1:19" s="547" customFormat="1" ht="14">
      <c r="A37" s="554">
        <v>226</v>
      </c>
      <c r="B37" s="559" t="s">
        <v>817</v>
      </c>
      <c r="C37" s="558" t="s">
        <v>818</v>
      </c>
      <c r="D37" s="555">
        <v>10.5</v>
      </c>
      <c r="E37" s="555">
        <v>10.499992819999999</v>
      </c>
      <c r="F37" s="557" t="s">
        <v>972</v>
      </c>
      <c r="G37" s="555">
        <v>16.04</v>
      </c>
      <c r="H37" s="555">
        <v>12.44</v>
      </c>
      <c r="I37" s="555">
        <f>H37/G37</f>
        <v>0.77556109725685785</v>
      </c>
      <c r="J37" s="555">
        <v>14.78</v>
      </c>
      <c r="K37" s="555">
        <f>J37/G37</f>
        <v>0.92144638403990031</v>
      </c>
      <c r="L37" s="554">
        <v>9</v>
      </c>
      <c r="M37" s="566">
        <v>43021</v>
      </c>
      <c r="N37" s="555">
        <v>11.23</v>
      </c>
      <c r="O37" s="555">
        <f>(N37*(1+Q37/10)+R37/10)/J37</f>
        <v>0.76251691474966166</v>
      </c>
      <c r="P37" s="553" t="s">
        <v>819</v>
      </c>
      <c r="Q37" s="554">
        <f>IFERROR(MID(P37,FIND("转",P37)+1,FIND("股",P37)-(FIND("转",P37)+1)),0)</f>
        <v>0</v>
      </c>
      <c r="R37" s="554" t="str">
        <f>IFERROR(MID(P37,FIND("派",P37)+1,FIND("元",P37)-FIND("派",P37)-1),0)</f>
        <v>0.40</v>
      </c>
      <c r="S37" s="553"/>
    </row>
    <row r="38" spans="1:19" s="540" customFormat="1" ht="14">
      <c r="A38" s="547"/>
      <c r="B38" s="551" t="s">
        <v>112</v>
      </c>
      <c r="C38" s="551" t="s">
        <v>113</v>
      </c>
      <c r="D38" s="551" t="s">
        <v>943</v>
      </c>
      <c r="E38" s="552" t="s">
        <v>411</v>
      </c>
      <c r="F38" s="552" t="s">
        <v>942</v>
      </c>
      <c r="G38" s="551" t="s">
        <v>231</v>
      </c>
      <c r="H38" s="551" t="s">
        <v>941</v>
      </c>
      <c r="I38" s="549">
        <f>SUM(G39:G74)</f>
        <v>10.499992820000001</v>
      </c>
      <c r="J38" s="548"/>
      <c r="K38" s="548"/>
      <c r="L38" s="548"/>
      <c r="M38" s="548"/>
      <c r="N38" s="548"/>
    </row>
    <row r="39" spans="1:19" s="540" customFormat="1" ht="14">
      <c r="A39" s="1634">
        <v>1</v>
      </c>
      <c r="B39" s="1627" t="s">
        <v>142</v>
      </c>
      <c r="C39" s="546">
        <v>16.510000000000002</v>
      </c>
      <c r="D39" s="546">
        <v>1.05</v>
      </c>
      <c r="E39" s="544"/>
      <c r="F39" s="1624">
        <v>859.26</v>
      </c>
      <c r="G39" s="1624">
        <v>1.2699862799999999</v>
      </c>
      <c r="H39" s="543" t="s">
        <v>126</v>
      </c>
      <c r="I39" s="138" t="s">
        <v>1082</v>
      </c>
      <c r="J39" s="541"/>
      <c r="K39" s="541"/>
      <c r="L39" s="541"/>
      <c r="M39" s="541"/>
      <c r="N39" s="541"/>
    </row>
    <row r="40" spans="1:19" s="540" customFormat="1" ht="14">
      <c r="A40" s="1634"/>
      <c r="B40" s="1628"/>
      <c r="C40" s="546">
        <v>15.33</v>
      </c>
      <c r="D40" s="546">
        <v>1.27</v>
      </c>
      <c r="E40" s="544"/>
      <c r="F40" s="1625"/>
      <c r="G40" s="1625"/>
      <c r="H40" s="543"/>
      <c r="I40" s="542"/>
      <c r="J40" s="541"/>
      <c r="K40" s="541"/>
      <c r="L40" s="541"/>
      <c r="M40" s="541"/>
      <c r="N40" s="541"/>
    </row>
    <row r="41" spans="1:19" s="540" customFormat="1" ht="14">
      <c r="A41" s="1634"/>
      <c r="B41" s="1629"/>
      <c r="C41" s="546">
        <v>13.72</v>
      </c>
      <c r="D41" s="546">
        <v>1.36</v>
      </c>
      <c r="E41" s="544"/>
      <c r="F41" s="546"/>
      <c r="G41" s="546"/>
      <c r="H41" s="543"/>
      <c r="I41" s="542"/>
      <c r="J41" s="541"/>
      <c r="K41" s="541"/>
      <c r="L41" s="541"/>
      <c r="M41" s="541"/>
      <c r="N41" s="541"/>
    </row>
    <row r="42" spans="1:19" s="540" customFormat="1" ht="14">
      <c r="A42" s="530">
        <v>2</v>
      </c>
      <c r="B42" s="554" t="s">
        <v>1081</v>
      </c>
      <c r="C42" s="546">
        <v>16.05</v>
      </c>
      <c r="D42" s="546">
        <v>1.05</v>
      </c>
      <c r="E42" s="544"/>
      <c r="F42" s="546">
        <v>710.41</v>
      </c>
      <c r="G42" s="546">
        <v>1.04998598</v>
      </c>
      <c r="H42" s="543"/>
      <c r="I42" s="542"/>
      <c r="J42" s="541"/>
      <c r="K42" s="541"/>
      <c r="L42" s="541"/>
      <c r="M42" s="541"/>
      <c r="N42" s="541"/>
    </row>
    <row r="43" spans="1:19" s="540" customFormat="1" ht="14">
      <c r="A43" s="1633">
        <v>3</v>
      </c>
      <c r="B43" s="1627" t="s">
        <v>1080</v>
      </c>
      <c r="C43" s="546">
        <v>15.8</v>
      </c>
      <c r="D43" s="546">
        <v>1.5</v>
      </c>
      <c r="E43" s="544"/>
      <c r="F43" s="1624">
        <v>1014.88</v>
      </c>
      <c r="G43" s="1624">
        <v>1.4999926400000001</v>
      </c>
      <c r="H43" s="543"/>
      <c r="I43" s="542"/>
      <c r="J43" s="541"/>
      <c r="K43" s="541"/>
      <c r="L43" s="541"/>
      <c r="M43" s="541"/>
      <c r="N43" s="541"/>
    </row>
    <row r="44" spans="1:19" s="540" customFormat="1" ht="14">
      <c r="A44" s="1633"/>
      <c r="B44" s="1628"/>
      <c r="C44" s="546">
        <v>15.31</v>
      </c>
      <c r="D44" s="546">
        <v>1.5</v>
      </c>
      <c r="E44" s="544"/>
      <c r="F44" s="1626"/>
      <c r="G44" s="1626"/>
      <c r="H44" s="543"/>
      <c r="I44" s="542"/>
      <c r="J44" s="541"/>
      <c r="K44" s="541"/>
      <c r="L44" s="541"/>
      <c r="M44" s="541"/>
      <c r="N44" s="541"/>
    </row>
    <row r="45" spans="1:19" s="540" customFormat="1" ht="14">
      <c r="A45" s="1633"/>
      <c r="B45" s="1629"/>
      <c r="C45" s="546">
        <v>15.01</v>
      </c>
      <c r="D45" s="546">
        <v>1.5</v>
      </c>
      <c r="E45" s="544"/>
      <c r="F45" s="1625"/>
      <c r="G45" s="1625"/>
      <c r="H45" s="543"/>
      <c r="I45" s="542"/>
      <c r="J45" s="541"/>
      <c r="K45" s="541"/>
      <c r="L45" s="541"/>
      <c r="M45" s="541"/>
      <c r="N45" s="541"/>
    </row>
    <row r="46" spans="1:19" s="540" customFormat="1" ht="14">
      <c r="A46" s="530">
        <v>4</v>
      </c>
      <c r="B46" s="554" t="s">
        <v>336</v>
      </c>
      <c r="C46" s="546">
        <v>15.36</v>
      </c>
      <c r="D46" s="546">
        <v>1.0900000000000001</v>
      </c>
      <c r="E46" s="544"/>
      <c r="F46" s="546">
        <v>737.48</v>
      </c>
      <c r="G46" s="546">
        <v>1.08999544</v>
      </c>
      <c r="H46" s="543"/>
      <c r="I46" s="542"/>
      <c r="J46" s="541"/>
      <c r="K46" s="541"/>
      <c r="L46" s="541"/>
      <c r="M46" s="541"/>
      <c r="N46" s="541"/>
    </row>
    <row r="47" spans="1:19" s="540" customFormat="1" ht="14">
      <c r="A47" s="1633">
        <v>5</v>
      </c>
      <c r="B47" s="1627" t="s">
        <v>146</v>
      </c>
      <c r="C47" s="546">
        <v>15.24</v>
      </c>
      <c r="D47" s="546">
        <v>1.07</v>
      </c>
      <c r="E47" s="544"/>
      <c r="F47" s="546">
        <v>723.95</v>
      </c>
      <c r="G47" s="546">
        <v>1.0699981000000001</v>
      </c>
      <c r="H47" s="543"/>
      <c r="I47" s="542"/>
      <c r="J47" s="541"/>
      <c r="K47" s="541"/>
      <c r="L47" s="541"/>
      <c r="M47" s="541"/>
      <c r="N47" s="541"/>
    </row>
    <row r="48" spans="1:19" s="540" customFormat="1" ht="14">
      <c r="A48" s="1633"/>
      <c r="B48" s="1629"/>
      <c r="C48" s="546">
        <v>14.44</v>
      </c>
      <c r="D48" s="546">
        <v>1.1200000000000001</v>
      </c>
      <c r="E48" s="544"/>
      <c r="F48" s="546"/>
      <c r="G48" s="546"/>
      <c r="H48" s="543"/>
      <c r="I48" s="542"/>
      <c r="J48" s="541"/>
      <c r="K48" s="541"/>
      <c r="L48" s="541"/>
      <c r="M48" s="541"/>
      <c r="N48" s="541"/>
    </row>
    <row r="49" spans="1:14" s="540" customFormat="1" ht="14">
      <c r="A49" s="1633">
        <v>6</v>
      </c>
      <c r="B49" s="1627" t="s">
        <v>115</v>
      </c>
      <c r="C49" s="546">
        <v>15.1</v>
      </c>
      <c r="D49" s="546">
        <v>1.42</v>
      </c>
      <c r="E49" s="544"/>
      <c r="F49" s="546">
        <v>960.75</v>
      </c>
      <c r="G49" s="546">
        <v>1.4199885000000001</v>
      </c>
      <c r="H49" s="543"/>
      <c r="I49" s="542"/>
      <c r="J49" s="541"/>
      <c r="K49" s="541"/>
      <c r="L49" s="541"/>
      <c r="M49" s="541"/>
      <c r="N49" s="541"/>
    </row>
    <row r="50" spans="1:14" s="540" customFormat="1" ht="14">
      <c r="A50" s="1633"/>
      <c r="B50" s="1628"/>
      <c r="C50" s="546">
        <v>14.4</v>
      </c>
      <c r="D50" s="546">
        <v>3.23</v>
      </c>
      <c r="E50" s="544"/>
      <c r="F50" s="546"/>
      <c r="G50" s="546"/>
      <c r="H50" s="543"/>
      <c r="I50" s="542"/>
      <c r="J50" s="541"/>
      <c r="K50" s="541"/>
      <c r="L50" s="541"/>
      <c r="M50" s="541"/>
      <c r="N50" s="541"/>
    </row>
    <row r="51" spans="1:14" s="540" customFormat="1" ht="14">
      <c r="A51" s="1633"/>
      <c r="B51" s="1629"/>
      <c r="C51" s="546">
        <v>13.5</v>
      </c>
      <c r="D51" s="546">
        <v>4.7</v>
      </c>
      <c r="E51" s="544"/>
      <c r="F51" s="546"/>
      <c r="G51" s="546"/>
      <c r="H51" s="543"/>
      <c r="I51" s="542"/>
      <c r="J51" s="541"/>
      <c r="K51" s="541"/>
      <c r="L51" s="541"/>
      <c r="M51" s="541"/>
      <c r="N51" s="541"/>
    </row>
    <row r="52" spans="1:14" s="540" customFormat="1" ht="14">
      <c r="A52" s="1633">
        <v>7</v>
      </c>
      <c r="B52" s="1627" t="s">
        <v>148</v>
      </c>
      <c r="C52" s="546">
        <v>15</v>
      </c>
      <c r="D52" s="546">
        <v>1.1549</v>
      </c>
      <c r="E52" s="544"/>
      <c r="F52" s="546">
        <v>781.39</v>
      </c>
      <c r="G52" s="546">
        <v>1.15489442</v>
      </c>
      <c r="H52" s="543"/>
      <c r="I52" s="542"/>
      <c r="J52" s="541"/>
      <c r="K52" s="541"/>
      <c r="L52" s="541"/>
      <c r="M52" s="541"/>
      <c r="N52" s="541"/>
    </row>
    <row r="53" spans="1:14" s="540" customFormat="1" ht="14">
      <c r="A53" s="1633"/>
      <c r="B53" s="1628"/>
      <c r="C53" s="546">
        <v>14.76</v>
      </c>
      <c r="D53" s="546">
        <v>1.1649</v>
      </c>
      <c r="E53" s="544"/>
      <c r="F53" s="546"/>
      <c r="G53" s="546"/>
      <c r="H53" s="543"/>
      <c r="I53" s="542"/>
      <c r="J53" s="541"/>
      <c r="K53" s="541"/>
      <c r="L53" s="541"/>
      <c r="M53" s="541"/>
      <c r="N53" s="541"/>
    </row>
    <row r="54" spans="1:14" s="540" customFormat="1" ht="14">
      <c r="A54" s="1633"/>
      <c r="B54" s="1629"/>
      <c r="C54" s="546">
        <v>14.45</v>
      </c>
      <c r="D54" s="546">
        <v>1.1798999999999999</v>
      </c>
      <c r="E54" s="544"/>
      <c r="F54" s="546"/>
      <c r="G54" s="546"/>
      <c r="H54" s="543"/>
      <c r="I54" s="542"/>
      <c r="J54" s="541"/>
      <c r="K54" s="541"/>
      <c r="L54" s="541"/>
      <c r="M54" s="541"/>
      <c r="N54" s="541"/>
    </row>
    <row r="55" spans="1:14" s="540" customFormat="1" ht="14">
      <c r="A55" s="530">
        <v>8</v>
      </c>
      <c r="B55" s="554" t="s">
        <v>1079</v>
      </c>
      <c r="C55" s="546">
        <v>14.81</v>
      </c>
      <c r="D55" s="546">
        <v>1.1000000000000001</v>
      </c>
      <c r="E55" s="544"/>
      <c r="F55" s="546">
        <v>744.24</v>
      </c>
      <c r="G55" s="546">
        <v>1.09998672</v>
      </c>
      <c r="H55" s="543"/>
      <c r="I55" s="542"/>
      <c r="J55" s="541"/>
      <c r="K55" s="541"/>
      <c r="L55" s="541"/>
      <c r="M55" s="541"/>
      <c r="N55" s="541"/>
    </row>
    <row r="56" spans="1:14" s="540" customFormat="1" ht="14">
      <c r="A56" s="1633">
        <v>9</v>
      </c>
      <c r="B56" s="1627" t="s">
        <v>173</v>
      </c>
      <c r="C56" s="546">
        <v>14.78</v>
      </c>
      <c r="D56" s="546">
        <v>1.1299999999999999</v>
      </c>
      <c r="E56" s="544"/>
      <c r="F56" s="546">
        <v>571.83000000000004</v>
      </c>
      <c r="G56" s="546">
        <v>0.84516473999999997</v>
      </c>
      <c r="H56" s="543"/>
      <c r="I56" s="542"/>
      <c r="J56" s="541"/>
      <c r="K56" s="541"/>
      <c r="L56" s="541"/>
      <c r="M56" s="541"/>
      <c r="N56" s="541"/>
    </row>
    <row r="57" spans="1:14" s="540" customFormat="1" ht="14">
      <c r="A57" s="1633"/>
      <c r="B57" s="1628"/>
      <c r="C57" s="546">
        <v>14.44</v>
      </c>
      <c r="D57" s="546">
        <v>1.84</v>
      </c>
      <c r="E57" s="544"/>
      <c r="F57" s="546"/>
      <c r="G57" s="546"/>
      <c r="H57" s="543"/>
      <c r="I57" s="542"/>
      <c r="J57" s="541"/>
      <c r="K57" s="541"/>
      <c r="L57" s="541"/>
      <c r="M57" s="541"/>
      <c r="N57" s="541"/>
    </row>
    <row r="58" spans="1:14" s="540" customFormat="1" ht="14">
      <c r="A58" s="1633"/>
      <c r="B58" s="1629"/>
      <c r="C58" s="546">
        <v>13.96</v>
      </c>
      <c r="D58" s="546">
        <v>2.67</v>
      </c>
      <c r="E58" s="544"/>
      <c r="F58" s="546"/>
      <c r="G58" s="546"/>
      <c r="H58" s="543"/>
      <c r="I58" s="542"/>
      <c r="J58" s="541"/>
      <c r="K58" s="541"/>
      <c r="L58" s="541"/>
      <c r="M58" s="541"/>
      <c r="N58" s="541"/>
    </row>
    <row r="59" spans="1:14" s="540" customFormat="1" ht="14">
      <c r="A59" s="1633">
        <v>10</v>
      </c>
      <c r="B59" s="1627" t="s">
        <v>1078</v>
      </c>
      <c r="C59" s="546">
        <v>14.59</v>
      </c>
      <c r="D59" s="546">
        <v>1.05</v>
      </c>
      <c r="E59" s="544"/>
      <c r="F59" s="546"/>
      <c r="G59" s="546"/>
      <c r="H59" s="543"/>
      <c r="I59" s="542"/>
      <c r="J59" s="541"/>
      <c r="K59" s="541"/>
      <c r="L59" s="541"/>
      <c r="M59" s="541"/>
      <c r="N59" s="541"/>
    </row>
    <row r="60" spans="1:14" s="540" customFormat="1" ht="14">
      <c r="A60" s="1633"/>
      <c r="B60" s="1628"/>
      <c r="C60" s="546">
        <v>13.81</v>
      </c>
      <c r="D60" s="546">
        <v>1.05</v>
      </c>
      <c r="E60" s="544"/>
      <c r="F60" s="546"/>
      <c r="G60" s="546"/>
      <c r="H60" s="543"/>
      <c r="I60" s="542"/>
      <c r="J60" s="541"/>
      <c r="K60" s="541"/>
      <c r="L60" s="541"/>
      <c r="M60" s="541"/>
      <c r="N60" s="541"/>
    </row>
    <row r="61" spans="1:14" s="540" customFormat="1" ht="14">
      <c r="A61" s="1633"/>
      <c r="B61" s="1629"/>
      <c r="C61" s="546">
        <v>12.81</v>
      </c>
      <c r="D61" s="546">
        <v>1.05</v>
      </c>
      <c r="E61" s="544"/>
      <c r="F61" s="546"/>
      <c r="G61" s="546"/>
      <c r="H61" s="543"/>
      <c r="I61" s="542"/>
      <c r="J61" s="541"/>
      <c r="K61" s="541"/>
      <c r="L61" s="541"/>
      <c r="M61" s="541"/>
      <c r="N61" s="541"/>
    </row>
    <row r="62" spans="1:14" s="540" customFormat="1" ht="14">
      <c r="A62" s="530">
        <v>11</v>
      </c>
      <c r="B62" s="554" t="s">
        <v>300</v>
      </c>
      <c r="C62" s="546">
        <v>14.51</v>
      </c>
      <c r="D62" s="546">
        <v>1.05</v>
      </c>
      <c r="E62" s="544"/>
      <c r="F62" s="546"/>
      <c r="G62" s="546"/>
      <c r="H62" s="543"/>
      <c r="I62" s="542"/>
      <c r="J62" s="541"/>
      <c r="K62" s="541"/>
      <c r="L62" s="541"/>
      <c r="M62" s="541"/>
      <c r="N62" s="541"/>
    </row>
    <row r="63" spans="1:14" s="540" customFormat="1" ht="14">
      <c r="A63" s="530">
        <v>12</v>
      </c>
      <c r="B63" s="554" t="s">
        <v>136</v>
      </c>
      <c r="C63" s="546">
        <v>14.28</v>
      </c>
      <c r="D63" s="546">
        <v>1.05</v>
      </c>
      <c r="E63" s="544"/>
      <c r="F63" s="546"/>
      <c r="G63" s="546"/>
      <c r="H63" s="543"/>
      <c r="I63" s="542"/>
      <c r="J63" s="541"/>
      <c r="K63" s="541"/>
      <c r="L63" s="541"/>
      <c r="M63" s="541"/>
      <c r="N63" s="541"/>
    </row>
    <row r="64" spans="1:14" s="540" customFormat="1" ht="14">
      <c r="A64" s="530">
        <v>13</v>
      </c>
      <c r="B64" s="554" t="s">
        <v>666</v>
      </c>
      <c r="C64" s="546">
        <v>14.13</v>
      </c>
      <c r="D64" s="546">
        <v>1.07</v>
      </c>
      <c r="E64" s="544"/>
      <c r="F64" s="546"/>
      <c r="G64" s="546"/>
      <c r="H64" s="543"/>
      <c r="I64" s="542"/>
      <c r="J64" s="541"/>
      <c r="K64" s="541"/>
      <c r="L64" s="541"/>
      <c r="M64" s="541"/>
      <c r="N64" s="541"/>
    </row>
    <row r="65" spans="1:19" s="540" customFormat="1" ht="14">
      <c r="A65" s="1633">
        <v>14</v>
      </c>
      <c r="B65" s="1627" t="s">
        <v>951</v>
      </c>
      <c r="C65" s="546">
        <v>14.08</v>
      </c>
      <c r="D65" s="546">
        <v>1.05</v>
      </c>
      <c r="E65" s="544"/>
      <c r="F65" s="546"/>
      <c r="G65" s="546"/>
      <c r="H65" s="543"/>
      <c r="I65" s="542"/>
      <c r="J65" s="541"/>
      <c r="K65" s="541"/>
      <c r="L65" s="541"/>
      <c r="M65" s="541"/>
      <c r="N65" s="541"/>
    </row>
    <row r="66" spans="1:19" s="540" customFormat="1" ht="14">
      <c r="A66" s="1633"/>
      <c r="B66" s="1629"/>
      <c r="C66" s="546">
        <v>12.8</v>
      </c>
      <c r="D66" s="546">
        <v>2.1</v>
      </c>
      <c r="E66" s="544"/>
      <c r="F66" s="546"/>
      <c r="G66" s="546"/>
      <c r="H66" s="543"/>
      <c r="I66" s="542"/>
      <c r="J66" s="541"/>
      <c r="K66" s="541"/>
      <c r="L66" s="541"/>
      <c r="M66" s="541"/>
      <c r="N66" s="541"/>
    </row>
    <row r="67" spans="1:19" s="540" customFormat="1" ht="14">
      <c r="A67" s="530">
        <v>15</v>
      </c>
      <c r="B67" s="554" t="s">
        <v>953</v>
      </c>
      <c r="C67" s="546">
        <v>13.83</v>
      </c>
      <c r="D67" s="546">
        <v>1.3</v>
      </c>
      <c r="E67" s="544"/>
      <c r="F67" s="546"/>
      <c r="G67" s="546"/>
      <c r="H67" s="543"/>
      <c r="I67" s="542"/>
      <c r="J67" s="541"/>
      <c r="K67" s="541"/>
      <c r="L67" s="541"/>
      <c r="M67" s="541"/>
      <c r="N67" s="541"/>
    </row>
    <row r="68" spans="1:19" s="540" customFormat="1" ht="14">
      <c r="A68" s="1633">
        <v>16</v>
      </c>
      <c r="B68" s="1627" t="s">
        <v>127</v>
      </c>
      <c r="C68" s="546">
        <v>13.66</v>
      </c>
      <c r="D68" s="546">
        <v>1.1000000000000001</v>
      </c>
      <c r="E68" s="544"/>
      <c r="F68" s="546"/>
      <c r="G68" s="546"/>
      <c r="H68" s="543"/>
      <c r="I68" s="542"/>
      <c r="J68" s="541"/>
      <c r="K68" s="541"/>
      <c r="L68" s="541"/>
      <c r="M68" s="541"/>
      <c r="N68" s="541"/>
    </row>
    <row r="69" spans="1:19" s="540" customFormat="1" ht="14">
      <c r="A69" s="1633"/>
      <c r="B69" s="1629"/>
      <c r="C69" s="546">
        <v>12.53</v>
      </c>
      <c r="D69" s="546">
        <v>2.1</v>
      </c>
      <c r="E69" s="544"/>
      <c r="F69" s="546"/>
      <c r="G69" s="546"/>
      <c r="H69" s="543"/>
      <c r="I69" s="542"/>
      <c r="J69" s="541"/>
      <c r="K69" s="541"/>
      <c r="L69" s="541"/>
      <c r="M69" s="541"/>
      <c r="N69" s="541"/>
    </row>
    <row r="70" spans="1:19" s="540" customFormat="1" ht="14">
      <c r="A70" s="530">
        <v>17</v>
      </c>
      <c r="B70" s="554" t="s">
        <v>147</v>
      </c>
      <c r="C70" s="546">
        <v>13.36</v>
      </c>
      <c r="D70" s="546">
        <v>1.99</v>
      </c>
      <c r="E70" s="544"/>
      <c r="F70" s="546"/>
      <c r="G70" s="546"/>
      <c r="H70" s="543"/>
      <c r="I70" s="542"/>
      <c r="J70" s="541"/>
      <c r="K70" s="541"/>
      <c r="L70" s="541"/>
      <c r="M70" s="541"/>
      <c r="N70" s="541"/>
    </row>
    <row r="71" spans="1:19" s="540" customFormat="1" ht="14">
      <c r="A71" s="530">
        <v>18</v>
      </c>
      <c r="B71" s="554" t="s">
        <v>121</v>
      </c>
      <c r="C71" s="546">
        <v>13.01</v>
      </c>
      <c r="D71" s="546">
        <v>1.35</v>
      </c>
      <c r="E71" s="544"/>
      <c r="F71" s="546"/>
      <c r="G71" s="546"/>
      <c r="H71" s="543"/>
      <c r="I71" s="542"/>
      <c r="J71" s="541"/>
      <c r="K71" s="541"/>
      <c r="L71" s="541"/>
      <c r="M71" s="541"/>
      <c r="N71" s="541"/>
    </row>
    <row r="72" spans="1:19" s="540" customFormat="1" ht="14">
      <c r="A72" s="530">
        <v>19</v>
      </c>
      <c r="B72" s="554" t="s">
        <v>128</v>
      </c>
      <c r="C72" s="546">
        <v>13.01</v>
      </c>
      <c r="D72" s="546">
        <v>1.0513380999999999</v>
      </c>
      <c r="E72" s="544"/>
      <c r="F72" s="546"/>
      <c r="G72" s="546"/>
      <c r="H72" s="543"/>
      <c r="I72" s="542"/>
      <c r="J72" s="541"/>
      <c r="K72" s="541"/>
      <c r="L72" s="541"/>
      <c r="M72" s="541"/>
      <c r="N72" s="541"/>
    </row>
    <row r="73" spans="1:19" s="540" customFormat="1" ht="14">
      <c r="A73" s="530">
        <v>20</v>
      </c>
      <c r="B73" s="554" t="s">
        <v>1077</v>
      </c>
      <c r="C73" s="546">
        <v>12.88</v>
      </c>
      <c r="D73" s="546">
        <v>1.05</v>
      </c>
      <c r="E73" s="544"/>
      <c r="F73" s="546"/>
      <c r="G73" s="546"/>
      <c r="H73" s="543"/>
      <c r="I73" s="542"/>
      <c r="J73" s="541"/>
      <c r="K73" s="541"/>
      <c r="L73" s="541"/>
      <c r="M73" s="541"/>
      <c r="N73" s="541"/>
    </row>
    <row r="74" spans="1:19" s="540" customFormat="1" ht="14">
      <c r="A74" s="530">
        <v>21</v>
      </c>
      <c r="B74" s="554" t="s">
        <v>1076</v>
      </c>
      <c r="C74" s="546">
        <v>12.51</v>
      </c>
      <c r="D74" s="546">
        <v>1.05</v>
      </c>
      <c r="E74" s="544"/>
      <c r="F74" s="546"/>
      <c r="G74" s="546"/>
      <c r="H74" s="543"/>
      <c r="I74" s="542"/>
      <c r="J74" s="541"/>
      <c r="K74" s="541"/>
      <c r="L74" s="541"/>
      <c r="M74" s="541"/>
      <c r="N74" s="541"/>
    </row>
    <row r="75" spans="1:19" s="529" customFormat="1" ht="14">
      <c r="A75" s="530"/>
      <c r="B75" s="530"/>
      <c r="C75" s="530"/>
    </row>
    <row r="76" spans="1:19" s="529" customFormat="1" ht="14">
      <c r="A76" s="530"/>
      <c r="B76" s="530"/>
      <c r="C76" s="530"/>
      <c r="E76" s="533"/>
    </row>
    <row r="77" spans="1:19" s="529" customFormat="1" ht="14">
      <c r="A77" s="530"/>
      <c r="B77" s="530"/>
      <c r="C77" s="530"/>
    </row>
    <row r="78" spans="1:19" s="530" customFormat="1" ht="14">
      <c r="A78" s="562" t="s">
        <v>106</v>
      </c>
      <c r="B78" s="565" t="s">
        <v>107</v>
      </c>
      <c r="C78" s="564" t="s">
        <v>4</v>
      </c>
      <c r="D78" s="563" t="s">
        <v>108</v>
      </c>
      <c r="E78" s="563" t="s">
        <v>109</v>
      </c>
      <c r="F78" s="562" t="s">
        <v>411</v>
      </c>
      <c r="G78" s="561" t="s">
        <v>950</v>
      </c>
      <c r="H78" s="561" t="s">
        <v>110</v>
      </c>
      <c r="I78" s="561" t="s">
        <v>276</v>
      </c>
      <c r="J78" s="561" t="s">
        <v>117</v>
      </c>
      <c r="K78" s="561" t="s">
        <v>275</v>
      </c>
      <c r="L78" s="562" t="s">
        <v>111</v>
      </c>
      <c r="M78" s="561" t="s">
        <v>949</v>
      </c>
      <c r="N78" s="561" t="s">
        <v>948</v>
      </c>
      <c r="O78" s="561" t="s">
        <v>129</v>
      </c>
      <c r="P78" s="561" t="s">
        <v>220</v>
      </c>
      <c r="Q78" s="537" t="s">
        <v>947</v>
      </c>
      <c r="R78" s="537" t="s">
        <v>946</v>
      </c>
      <c r="S78" s="560" t="s">
        <v>945</v>
      </c>
    </row>
    <row r="79" spans="1:19" s="547" customFormat="1" ht="14">
      <c r="A79" s="554">
        <v>227</v>
      </c>
      <c r="B79" s="559" t="s">
        <v>820</v>
      </c>
      <c r="C79" s="558" t="s">
        <v>821</v>
      </c>
      <c r="D79" s="555">
        <v>9.9</v>
      </c>
      <c r="E79" s="555">
        <v>9.6865799579999994</v>
      </c>
      <c r="F79" s="557" t="s">
        <v>1075</v>
      </c>
      <c r="G79" s="555">
        <v>5.0599999999999996</v>
      </c>
      <c r="H79" s="555">
        <v>3.25</v>
      </c>
      <c r="I79" s="555">
        <f>H79/G79</f>
        <v>0.64229249011857714</v>
      </c>
      <c r="J79" s="555">
        <v>4.95</v>
      </c>
      <c r="K79" s="555">
        <f>J79/G79</f>
        <v>0.97826086956521752</v>
      </c>
      <c r="L79" s="554">
        <v>7</v>
      </c>
      <c r="M79" s="566">
        <v>43021</v>
      </c>
      <c r="N79" s="555">
        <v>5.37</v>
      </c>
      <c r="O79" s="555">
        <f>(N79*(1+Q79/10)+R79/10)/J79</f>
        <v>1.0949511717171716</v>
      </c>
      <c r="P79" s="553" t="s">
        <v>822</v>
      </c>
      <c r="Q79" s="554">
        <f>IFERROR(MID(P79,FIND("转",P79)+1,FIND("股",P79)-(FIND("转",P79)+1)),0)</f>
        <v>0</v>
      </c>
      <c r="R79" s="554" t="str">
        <f>IFERROR(MID(P79,FIND("派",P79)+1,FIND("元",P79)-FIND("派",P79)-1),0)</f>
        <v>0.500083</v>
      </c>
      <c r="S79" s="553"/>
    </row>
    <row r="80" spans="1:19" s="540" customFormat="1" ht="14">
      <c r="A80" s="547"/>
      <c r="B80" s="551" t="s">
        <v>112</v>
      </c>
      <c r="C80" s="551" t="s">
        <v>113</v>
      </c>
      <c r="D80" s="551" t="s">
        <v>943</v>
      </c>
      <c r="E80" s="552" t="s">
        <v>411</v>
      </c>
      <c r="F80" s="552" t="s">
        <v>942</v>
      </c>
      <c r="G80" s="551" t="s">
        <v>231</v>
      </c>
      <c r="H80" s="551" t="s">
        <v>941</v>
      </c>
      <c r="I80" s="549">
        <f>SUM(G81:G123)</f>
        <v>9.6865799580000012</v>
      </c>
      <c r="J80" s="548"/>
      <c r="K80" s="548"/>
      <c r="L80" s="548"/>
      <c r="M80" s="548"/>
      <c r="N80" s="548"/>
    </row>
    <row r="81" spans="1:14" s="540" customFormat="1" ht="14">
      <c r="A81" s="547">
        <v>1</v>
      </c>
      <c r="B81" s="554" t="s">
        <v>417</v>
      </c>
      <c r="C81" s="546">
        <v>5.68</v>
      </c>
      <c r="D81" s="546">
        <v>0.98</v>
      </c>
      <c r="E81" s="544"/>
      <c r="F81" s="546">
        <v>1979.7979</v>
      </c>
      <c r="G81" s="618">
        <f>F81*4.95/10000</f>
        <v>0.97999996050000004</v>
      </c>
      <c r="H81" s="543" t="s">
        <v>126</v>
      </c>
      <c r="I81" s="138" t="s">
        <v>1074</v>
      </c>
      <c r="J81" s="541"/>
      <c r="K81" s="541"/>
      <c r="L81" s="541"/>
      <c r="M81" s="541"/>
      <c r="N81" s="541"/>
    </row>
    <row r="82" spans="1:14" s="540" customFormat="1" ht="14">
      <c r="A82" s="1634">
        <v>2</v>
      </c>
      <c r="B82" s="1627" t="s">
        <v>1073</v>
      </c>
      <c r="C82" s="546">
        <v>5.19</v>
      </c>
      <c r="D82" s="546">
        <v>1</v>
      </c>
      <c r="E82" s="544"/>
      <c r="F82" s="546">
        <v>2020.202</v>
      </c>
      <c r="G82" s="618">
        <f>F82*4.95/10000</f>
        <v>0.99999999000000006</v>
      </c>
      <c r="H82" s="543"/>
      <c r="I82" s="542"/>
      <c r="J82" s="541"/>
      <c r="K82" s="541"/>
      <c r="L82" s="541"/>
      <c r="M82" s="541"/>
      <c r="N82" s="541"/>
    </row>
    <row r="83" spans="1:14" s="540" customFormat="1" ht="14">
      <c r="A83" s="1634"/>
      <c r="B83" s="1628"/>
      <c r="C83" s="546">
        <v>4.82</v>
      </c>
      <c r="D83" s="546">
        <v>1</v>
      </c>
      <c r="E83" s="544"/>
      <c r="F83" s="546"/>
      <c r="G83" s="618"/>
      <c r="H83" s="543"/>
      <c r="I83" s="542"/>
      <c r="J83" s="541"/>
      <c r="K83" s="541"/>
      <c r="L83" s="541"/>
      <c r="M83" s="541"/>
      <c r="N83" s="541"/>
    </row>
    <row r="84" spans="1:14" s="540" customFormat="1" ht="14">
      <c r="A84" s="1634"/>
      <c r="B84" s="1629"/>
      <c r="C84" s="546">
        <v>4.58</v>
      </c>
      <c r="D84" s="546">
        <v>1</v>
      </c>
      <c r="E84" s="544"/>
      <c r="F84" s="546"/>
      <c r="G84" s="618"/>
      <c r="H84" s="543"/>
      <c r="I84" s="542"/>
      <c r="J84" s="541"/>
      <c r="K84" s="541"/>
      <c r="L84" s="541"/>
      <c r="M84" s="541"/>
      <c r="N84" s="541"/>
    </row>
    <row r="85" spans="1:14" s="540" customFormat="1" ht="14">
      <c r="A85" s="1634">
        <v>3</v>
      </c>
      <c r="B85" s="1627" t="s">
        <v>1072</v>
      </c>
      <c r="C85" s="546">
        <v>5.18</v>
      </c>
      <c r="D85" s="546">
        <v>1.2</v>
      </c>
      <c r="E85" s="544"/>
      <c r="F85" s="546">
        <v>3131.3130999999998</v>
      </c>
      <c r="G85" s="618">
        <f>F85*4.95/10000</f>
        <v>1.5499999845000001</v>
      </c>
      <c r="H85" s="543"/>
      <c r="I85" s="542"/>
      <c r="J85" s="541"/>
      <c r="K85" s="541"/>
      <c r="L85" s="541"/>
      <c r="M85" s="541"/>
      <c r="N85" s="541"/>
    </row>
    <row r="86" spans="1:14" s="540" customFormat="1" ht="14">
      <c r="A86" s="1634"/>
      <c r="B86" s="1629"/>
      <c r="C86" s="546">
        <v>4.9800000000000004</v>
      </c>
      <c r="D86" s="546">
        <v>1.55</v>
      </c>
      <c r="E86" s="544"/>
      <c r="F86" s="546"/>
      <c r="G86" s="618"/>
      <c r="H86" s="543"/>
      <c r="I86" s="542"/>
      <c r="J86" s="541"/>
      <c r="K86" s="541"/>
      <c r="L86" s="541"/>
      <c r="M86" s="541"/>
      <c r="N86" s="541"/>
    </row>
    <row r="87" spans="1:14" s="540" customFormat="1" ht="14">
      <c r="A87" s="1634">
        <v>4</v>
      </c>
      <c r="B87" s="1627" t="s">
        <v>1071</v>
      </c>
      <c r="C87" s="546">
        <v>5.16</v>
      </c>
      <c r="D87" s="546">
        <v>1.52</v>
      </c>
      <c r="E87" s="544"/>
      <c r="F87" s="546">
        <v>3070.7069999999999</v>
      </c>
      <c r="G87" s="618">
        <f>F87*4.95/10000</f>
        <v>1.519999965</v>
      </c>
      <c r="H87" s="543"/>
      <c r="I87" s="542"/>
      <c r="J87" s="541"/>
      <c r="K87" s="541"/>
      <c r="L87" s="541"/>
      <c r="M87" s="541"/>
      <c r="N87" s="541"/>
    </row>
    <row r="88" spans="1:14" s="540" customFormat="1" ht="14">
      <c r="A88" s="1634"/>
      <c r="B88" s="1629"/>
      <c r="C88" s="546">
        <v>4.96</v>
      </c>
      <c r="D88" s="546">
        <v>1.52</v>
      </c>
      <c r="E88" s="544"/>
      <c r="F88" s="546"/>
      <c r="G88" s="618"/>
      <c r="H88" s="543"/>
      <c r="I88" s="542"/>
      <c r="J88" s="541"/>
      <c r="K88" s="541"/>
      <c r="L88" s="541"/>
      <c r="M88" s="541"/>
      <c r="N88" s="541"/>
    </row>
    <row r="89" spans="1:14" s="540" customFormat="1" ht="14">
      <c r="A89" s="547">
        <v>5</v>
      </c>
      <c r="B89" s="554" t="s">
        <v>134</v>
      </c>
      <c r="C89" s="546">
        <v>5.0199999999999996</v>
      </c>
      <c r="D89" s="546">
        <v>3</v>
      </c>
      <c r="E89" s="544"/>
      <c r="F89" s="546">
        <v>6060.6059999999998</v>
      </c>
      <c r="G89" s="618">
        <f>F89*4.95/10000</f>
        <v>2.9999999700000002</v>
      </c>
      <c r="H89" s="543"/>
      <c r="I89" s="542"/>
      <c r="J89" s="541"/>
      <c r="K89" s="541"/>
      <c r="L89" s="541"/>
      <c r="M89" s="541"/>
      <c r="N89" s="541"/>
    </row>
    <row r="90" spans="1:14" s="540" customFormat="1" ht="14">
      <c r="A90" s="547">
        <v>6</v>
      </c>
      <c r="B90" s="554" t="s">
        <v>156</v>
      </c>
      <c r="C90" s="546">
        <v>5.0199999999999996</v>
      </c>
      <c r="D90" s="546">
        <v>0.97</v>
      </c>
      <c r="E90" s="544"/>
      <c r="F90" s="546">
        <v>1959.5959</v>
      </c>
      <c r="G90" s="618">
        <f>F90*4.95/10000</f>
        <v>0.96999997049999998</v>
      </c>
      <c r="H90" s="543"/>
      <c r="I90" s="542"/>
      <c r="J90" s="541"/>
      <c r="K90" s="541"/>
      <c r="L90" s="541"/>
      <c r="M90" s="541"/>
      <c r="N90" s="541"/>
    </row>
    <row r="91" spans="1:14" s="540" customFormat="1" ht="14">
      <c r="A91" s="547">
        <v>7</v>
      </c>
      <c r="B91" s="554" t="s">
        <v>1070</v>
      </c>
      <c r="C91" s="546">
        <v>4.95</v>
      </c>
      <c r="D91" s="546">
        <v>1.98</v>
      </c>
      <c r="E91" s="544"/>
      <c r="F91" s="546">
        <v>1346.6265000000001</v>
      </c>
      <c r="G91" s="618">
        <f>F91*4.95/10000</f>
        <v>0.66658011750000001</v>
      </c>
      <c r="H91" s="543"/>
      <c r="I91" s="542"/>
      <c r="J91" s="541"/>
      <c r="K91" s="541"/>
      <c r="L91" s="541"/>
      <c r="M91" s="541"/>
      <c r="N91" s="541"/>
    </row>
    <row r="92" spans="1:14" s="540" customFormat="1" ht="14">
      <c r="A92" s="1634">
        <v>8</v>
      </c>
      <c r="B92" s="1627" t="s">
        <v>522</v>
      </c>
      <c r="C92" s="546">
        <v>4.9400000000000004</v>
      </c>
      <c r="D92" s="546">
        <v>0.99</v>
      </c>
      <c r="E92" s="544"/>
      <c r="F92" s="546"/>
      <c r="G92" s="546"/>
      <c r="H92" s="543"/>
      <c r="I92" s="542"/>
      <c r="J92" s="541"/>
      <c r="K92" s="541"/>
      <c r="L92" s="541"/>
      <c r="M92" s="541"/>
      <c r="N92" s="541"/>
    </row>
    <row r="93" spans="1:14" s="540" customFormat="1" ht="14">
      <c r="A93" s="1634"/>
      <c r="B93" s="1629"/>
      <c r="C93" s="546">
        <v>4.7</v>
      </c>
      <c r="D93" s="546">
        <v>2</v>
      </c>
      <c r="E93" s="544"/>
      <c r="F93" s="546"/>
      <c r="G93" s="546"/>
      <c r="H93" s="543"/>
      <c r="I93" s="542"/>
      <c r="J93" s="541"/>
      <c r="K93" s="541"/>
      <c r="L93" s="541"/>
      <c r="M93" s="541"/>
      <c r="N93" s="541"/>
    </row>
    <row r="94" spans="1:14" s="540" customFormat="1" ht="14">
      <c r="A94" s="547">
        <v>9</v>
      </c>
      <c r="B94" s="554" t="s">
        <v>1069</v>
      </c>
      <c r="C94" s="546">
        <v>4.9000000000000004</v>
      </c>
      <c r="D94" s="546">
        <v>1</v>
      </c>
      <c r="E94" s="544"/>
      <c r="F94" s="546"/>
      <c r="G94" s="546"/>
      <c r="H94" s="543"/>
      <c r="I94" s="542"/>
      <c r="J94" s="541"/>
      <c r="K94" s="541"/>
      <c r="L94" s="541"/>
      <c r="M94" s="541"/>
      <c r="N94" s="541"/>
    </row>
    <row r="95" spans="1:14" s="540" customFormat="1" ht="14">
      <c r="A95" s="1634">
        <v>10</v>
      </c>
      <c r="B95" s="1627" t="s">
        <v>146</v>
      </c>
      <c r="C95" s="546">
        <v>4.8499999999999996</v>
      </c>
      <c r="D95" s="546">
        <v>1.02</v>
      </c>
      <c r="E95" s="544"/>
      <c r="F95" s="546"/>
      <c r="G95" s="546"/>
      <c r="H95" s="543"/>
      <c r="I95" s="542"/>
      <c r="J95" s="541"/>
      <c r="K95" s="541"/>
      <c r="L95" s="541"/>
      <c r="M95" s="541"/>
      <c r="N95" s="541"/>
    </row>
    <row r="96" spans="1:14" s="540" customFormat="1" ht="14">
      <c r="A96" s="1634"/>
      <c r="B96" s="1628"/>
      <c r="C96" s="546">
        <v>4.79</v>
      </c>
      <c r="D96" s="546">
        <v>1.37</v>
      </c>
      <c r="E96" s="544"/>
      <c r="F96" s="546"/>
      <c r="G96" s="546"/>
      <c r="H96" s="543"/>
      <c r="I96" s="542"/>
      <c r="J96" s="541"/>
      <c r="K96" s="541"/>
      <c r="L96" s="541"/>
      <c r="M96" s="541"/>
      <c r="N96" s="541"/>
    </row>
    <row r="97" spans="1:14" s="540" customFormat="1" ht="14">
      <c r="A97" s="1634"/>
      <c r="B97" s="1629"/>
      <c r="C97" s="546">
        <v>4.67</v>
      </c>
      <c r="D97" s="546">
        <v>1.72</v>
      </c>
      <c r="E97" s="544"/>
      <c r="F97" s="546"/>
      <c r="G97" s="546"/>
      <c r="H97" s="543"/>
      <c r="I97" s="542"/>
      <c r="J97" s="541"/>
      <c r="K97" s="541"/>
      <c r="L97" s="541"/>
      <c r="M97" s="541"/>
      <c r="N97" s="541"/>
    </row>
    <row r="98" spans="1:14" s="540" customFormat="1" ht="14">
      <c r="A98" s="1634">
        <v>11</v>
      </c>
      <c r="B98" s="1627" t="s">
        <v>1068</v>
      </c>
      <c r="C98" s="546">
        <v>4.7300000000000004</v>
      </c>
      <c r="D98" s="546">
        <v>1</v>
      </c>
      <c r="E98" s="544"/>
      <c r="F98" s="546"/>
      <c r="G98" s="546"/>
      <c r="H98" s="543"/>
      <c r="I98" s="542"/>
      <c r="J98" s="541"/>
      <c r="K98" s="541"/>
      <c r="L98" s="541"/>
      <c r="M98" s="541"/>
      <c r="N98" s="541"/>
    </row>
    <row r="99" spans="1:14" s="540" customFormat="1" ht="14">
      <c r="A99" s="1634"/>
      <c r="B99" s="1628"/>
      <c r="C99" s="546">
        <v>4.5599999999999996</v>
      </c>
      <c r="D99" s="546">
        <v>1</v>
      </c>
      <c r="E99" s="544"/>
      <c r="F99" s="546"/>
      <c r="G99" s="546"/>
      <c r="H99" s="543"/>
      <c r="I99" s="542"/>
      <c r="J99" s="541"/>
      <c r="K99" s="541"/>
      <c r="L99" s="541"/>
      <c r="M99" s="541"/>
      <c r="N99" s="541"/>
    </row>
    <row r="100" spans="1:14" s="540" customFormat="1" ht="14">
      <c r="A100" s="1634"/>
      <c r="B100" s="1629"/>
      <c r="C100" s="546">
        <v>3.3</v>
      </c>
      <c r="D100" s="546">
        <v>1</v>
      </c>
      <c r="E100" s="544"/>
      <c r="F100" s="546"/>
      <c r="G100" s="546"/>
      <c r="H100" s="543"/>
      <c r="I100" s="542"/>
      <c r="J100" s="541"/>
      <c r="K100" s="541"/>
      <c r="L100" s="541"/>
      <c r="M100" s="541"/>
      <c r="N100" s="541"/>
    </row>
    <row r="101" spans="1:14" s="540" customFormat="1" ht="14">
      <c r="A101" s="547">
        <v>12</v>
      </c>
      <c r="B101" s="554" t="s">
        <v>371</v>
      </c>
      <c r="C101" s="546">
        <v>4.72</v>
      </c>
      <c r="D101" s="546">
        <v>1.05</v>
      </c>
      <c r="E101" s="544"/>
      <c r="F101" s="546"/>
      <c r="G101" s="546"/>
      <c r="H101" s="543"/>
      <c r="I101" s="542"/>
      <c r="J101" s="541"/>
      <c r="K101" s="541"/>
      <c r="L101" s="541"/>
      <c r="M101" s="541"/>
      <c r="N101" s="541"/>
    </row>
    <row r="102" spans="1:14" s="540" customFormat="1" ht="14">
      <c r="A102" s="1634">
        <v>13</v>
      </c>
      <c r="B102" s="1627" t="s">
        <v>115</v>
      </c>
      <c r="C102" s="546">
        <v>4.67</v>
      </c>
      <c r="D102" s="546">
        <v>1.39</v>
      </c>
      <c r="E102" s="544"/>
      <c r="F102" s="546"/>
      <c r="G102" s="546"/>
      <c r="H102" s="543"/>
      <c r="I102" s="542"/>
      <c r="J102" s="541"/>
      <c r="K102" s="541"/>
      <c r="L102" s="541"/>
      <c r="M102" s="541"/>
      <c r="N102" s="541"/>
    </row>
    <row r="103" spans="1:14" s="540" customFormat="1" ht="14">
      <c r="A103" s="1634"/>
      <c r="B103" s="1628"/>
      <c r="C103" s="546">
        <v>4.54</v>
      </c>
      <c r="D103" s="546">
        <v>1.73</v>
      </c>
      <c r="E103" s="544"/>
      <c r="F103" s="546"/>
      <c r="G103" s="546"/>
      <c r="H103" s="543"/>
      <c r="I103" s="542"/>
      <c r="J103" s="541"/>
      <c r="K103" s="541"/>
      <c r="L103" s="541"/>
      <c r="M103" s="541"/>
      <c r="N103" s="541"/>
    </row>
    <row r="104" spans="1:14" s="540" customFormat="1" ht="14">
      <c r="A104" s="1634"/>
      <c r="B104" s="1629"/>
      <c r="C104" s="546">
        <v>4.2</v>
      </c>
      <c r="D104" s="546">
        <v>2.86</v>
      </c>
      <c r="E104" s="544"/>
      <c r="F104" s="546"/>
      <c r="G104" s="546"/>
      <c r="H104" s="543"/>
      <c r="I104" s="542"/>
      <c r="J104" s="541"/>
      <c r="K104" s="541"/>
      <c r="L104" s="541"/>
      <c r="M104" s="541"/>
      <c r="N104" s="541"/>
    </row>
    <row r="105" spans="1:14" s="540" customFormat="1" ht="14">
      <c r="A105" s="1634">
        <v>14</v>
      </c>
      <c r="B105" s="1627" t="s">
        <v>148</v>
      </c>
      <c r="C105" s="546">
        <v>4.51</v>
      </c>
      <c r="D105" s="546">
        <v>1.1499999999999999</v>
      </c>
      <c r="E105" s="544"/>
      <c r="F105" s="546"/>
      <c r="G105" s="546"/>
      <c r="H105" s="543"/>
      <c r="I105" s="542"/>
      <c r="J105" s="541"/>
      <c r="K105" s="541"/>
      <c r="L105" s="541"/>
      <c r="M105" s="541"/>
      <c r="N105" s="541"/>
    </row>
    <row r="106" spans="1:14" s="540" customFormat="1" ht="14">
      <c r="A106" s="1634"/>
      <c r="B106" s="1629"/>
      <c r="C106" s="546">
        <v>4.29</v>
      </c>
      <c r="D106" s="546">
        <v>1.22</v>
      </c>
      <c r="E106" s="544"/>
      <c r="F106" s="546"/>
      <c r="G106" s="546"/>
      <c r="H106" s="543"/>
      <c r="I106" s="542"/>
      <c r="J106" s="541"/>
      <c r="K106" s="541"/>
      <c r="L106" s="541"/>
      <c r="M106" s="541"/>
      <c r="N106" s="541"/>
    </row>
    <row r="107" spans="1:14" s="540" customFormat="1" ht="14">
      <c r="A107" s="1634">
        <v>15</v>
      </c>
      <c r="B107" s="1627" t="s">
        <v>666</v>
      </c>
      <c r="C107" s="546">
        <v>4.4000000000000004</v>
      </c>
      <c r="D107" s="546">
        <v>0.97</v>
      </c>
      <c r="E107" s="544"/>
      <c r="F107" s="546"/>
      <c r="G107" s="546"/>
      <c r="H107" s="543"/>
      <c r="I107" s="542"/>
      <c r="J107" s="541"/>
      <c r="K107" s="541"/>
      <c r="L107" s="541"/>
      <c r="M107" s="541"/>
      <c r="N107" s="541"/>
    </row>
    <row r="108" spans="1:14" s="540" customFormat="1" ht="14">
      <c r="A108" s="1634"/>
      <c r="B108" s="1629"/>
      <c r="C108" s="546">
        <v>3.9</v>
      </c>
      <c r="D108" s="546">
        <v>1.26</v>
      </c>
      <c r="E108" s="544"/>
      <c r="F108" s="546"/>
      <c r="G108" s="546"/>
      <c r="H108" s="543"/>
      <c r="I108" s="542"/>
      <c r="J108" s="541"/>
      <c r="K108" s="541"/>
      <c r="L108" s="541"/>
      <c r="M108" s="541"/>
      <c r="N108" s="541"/>
    </row>
    <row r="109" spans="1:14" s="540" customFormat="1" ht="14">
      <c r="A109" s="547">
        <v>16</v>
      </c>
      <c r="B109" s="554" t="s">
        <v>320</v>
      </c>
      <c r="C109" s="546">
        <v>4.3600000000000003</v>
      </c>
      <c r="D109" s="546">
        <v>2</v>
      </c>
      <c r="E109" s="544"/>
      <c r="F109" s="546"/>
      <c r="G109" s="546"/>
      <c r="H109" s="543"/>
      <c r="I109" s="542"/>
      <c r="J109" s="541"/>
      <c r="K109" s="541"/>
      <c r="L109" s="541"/>
      <c r="M109" s="541"/>
      <c r="N109" s="541"/>
    </row>
    <row r="110" spans="1:14" s="540" customFormat="1" ht="14">
      <c r="A110" s="547">
        <v>17</v>
      </c>
      <c r="B110" s="554" t="s">
        <v>300</v>
      </c>
      <c r="C110" s="546">
        <v>4.3099999999999996</v>
      </c>
      <c r="D110" s="546">
        <v>0.97</v>
      </c>
      <c r="E110" s="544"/>
      <c r="F110" s="546"/>
      <c r="G110" s="546"/>
      <c r="H110" s="543"/>
      <c r="I110" s="542"/>
      <c r="J110" s="541"/>
      <c r="K110" s="541"/>
      <c r="L110" s="541"/>
      <c r="M110" s="541"/>
      <c r="N110" s="541"/>
    </row>
    <row r="111" spans="1:14" s="540" customFormat="1" ht="14">
      <c r="A111" s="547">
        <v>18</v>
      </c>
      <c r="B111" s="554" t="s">
        <v>128</v>
      </c>
      <c r="C111" s="546">
        <v>4.3</v>
      </c>
      <c r="D111" s="546">
        <v>0.97</v>
      </c>
      <c r="E111" s="544"/>
      <c r="F111" s="546"/>
      <c r="G111" s="546"/>
      <c r="H111" s="543"/>
      <c r="I111" s="542"/>
      <c r="J111" s="541"/>
      <c r="K111" s="541"/>
      <c r="L111" s="541"/>
      <c r="M111" s="541"/>
      <c r="N111" s="541"/>
    </row>
    <row r="112" spans="1:14" s="540" customFormat="1" ht="14">
      <c r="A112" s="547">
        <v>19</v>
      </c>
      <c r="B112" s="554" t="s">
        <v>953</v>
      </c>
      <c r="C112" s="546">
        <v>4.28</v>
      </c>
      <c r="D112" s="546">
        <v>1.1000000000000001</v>
      </c>
      <c r="E112" s="544"/>
      <c r="F112" s="546"/>
      <c r="G112" s="546"/>
      <c r="H112" s="543"/>
      <c r="I112" s="542"/>
      <c r="J112" s="541"/>
      <c r="K112" s="541"/>
      <c r="L112" s="541"/>
      <c r="M112" s="541"/>
      <c r="N112" s="541"/>
    </row>
    <row r="113" spans="1:19" s="540" customFormat="1" ht="14">
      <c r="A113" s="1634">
        <v>20</v>
      </c>
      <c r="B113" s="1627" t="s">
        <v>1067</v>
      </c>
      <c r="C113" s="546">
        <v>4.21</v>
      </c>
      <c r="D113" s="546">
        <v>1</v>
      </c>
      <c r="E113" s="544"/>
      <c r="F113" s="546"/>
      <c r="G113" s="546"/>
      <c r="H113" s="543"/>
      <c r="I113" s="542"/>
      <c r="J113" s="541"/>
      <c r="K113" s="541"/>
      <c r="L113" s="541"/>
      <c r="M113" s="541"/>
      <c r="N113" s="541"/>
    </row>
    <row r="114" spans="1:19" s="540" customFormat="1" ht="14">
      <c r="A114" s="1634"/>
      <c r="B114" s="1628"/>
      <c r="C114" s="546">
        <v>4</v>
      </c>
      <c r="D114" s="546">
        <v>1</v>
      </c>
      <c r="E114" s="544"/>
      <c r="F114" s="546"/>
      <c r="G114" s="546"/>
      <c r="H114" s="543"/>
      <c r="I114" s="542"/>
      <c r="J114" s="541"/>
      <c r="K114" s="541"/>
      <c r="L114" s="541"/>
      <c r="M114" s="541"/>
      <c r="N114" s="541"/>
    </row>
    <row r="115" spans="1:19" s="540" customFormat="1" ht="14">
      <c r="A115" s="1634"/>
      <c r="B115" s="1629"/>
      <c r="C115" s="546">
        <v>3.91</v>
      </c>
      <c r="D115" s="546">
        <v>1</v>
      </c>
      <c r="E115" s="544"/>
      <c r="F115" s="546"/>
      <c r="G115" s="546"/>
      <c r="H115" s="543"/>
      <c r="I115" s="542"/>
      <c r="J115" s="541"/>
      <c r="K115" s="541"/>
      <c r="L115" s="541"/>
      <c r="M115" s="541"/>
      <c r="N115" s="541"/>
    </row>
    <row r="116" spans="1:19" s="540" customFormat="1" ht="14">
      <c r="A116" s="1634">
        <v>21</v>
      </c>
      <c r="B116" s="1627" t="s">
        <v>336</v>
      </c>
      <c r="C116" s="546">
        <v>4.0999999999999996</v>
      </c>
      <c r="D116" s="546">
        <v>0.97</v>
      </c>
      <c r="E116" s="544"/>
      <c r="F116" s="546"/>
      <c r="G116" s="546"/>
      <c r="H116" s="543"/>
      <c r="I116" s="542"/>
      <c r="J116" s="541"/>
      <c r="K116" s="541"/>
      <c r="L116" s="541"/>
      <c r="M116" s="541"/>
      <c r="N116" s="541"/>
    </row>
    <row r="117" spans="1:19" s="540" customFormat="1" ht="14">
      <c r="A117" s="1634"/>
      <c r="B117" s="1629"/>
      <c r="C117" s="546">
        <v>3.41</v>
      </c>
      <c r="D117" s="546">
        <v>1.97</v>
      </c>
      <c r="E117" s="544"/>
      <c r="F117" s="546"/>
      <c r="G117" s="546"/>
      <c r="H117" s="543"/>
      <c r="I117" s="542"/>
      <c r="J117" s="541"/>
      <c r="K117" s="541"/>
      <c r="L117" s="541"/>
      <c r="M117" s="541"/>
      <c r="N117" s="541"/>
    </row>
    <row r="118" spans="1:19" s="540" customFormat="1" ht="14">
      <c r="A118" s="547">
        <v>22</v>
      </c>
      <c r="B118" s="554" t="s">
        <v>351</v>
      </c>
      <c r="C118" s="546">
        <v>3.91</v>
      </c>
      <c r="D118" s="546">
        <v>9.6999999999999993</v>
      </c>
      <c r="E118" s="544"/>
      <c r="F118" s="546"/>
      <c r="G118" s="546"/>
      <c r="H118" s="543"/>
      <c r="I118" s="542"/>
      <c r="J118" s="541"/>
      <c r="K118" s="541"/>
      <c r="L118" s="541"/>
      <c r="M118" s="541"/>
      <c r="N118" s="541"/>
    </row>
    <row r="119" spans="1:19" s="540" customFormat="1" ht="14">
      <c r="A119" s="547">
        <v>23</v>
      </c>
      <c r="B119" s="554" t="s">
        <v>147</v>
      </c>
      <c r="C119" s="546">
        <v>3.89</v>
      </c>
      <c r="D119" s="546">
        <v>1.86</v>
      </c>
      <c r="E119" s="544"/>
      <c r="F119" s="546"/>
      <c r="G119" s="546"/>
      <c r="H119" s="543"/>
      <c r="I119" s="542"/>
      <c r="J119" s="541"/>
      <c r="K119" s="541"/>
      <c r="L119" s="541"/>
      <c r="M119" s="541"/>
      <c r="N119" s="541"/>
    </row>
    <row r="120" spans="1:19" s="540" customFormat="1" ht="14">
      <c r="A120" s="1634">
        <v>24</v>
      </c>
      <c r="B120" s="1627" t="s">
        <v>131</v>
      </c>
      <c r="C120" s="546">
        <v>3.62</v>
      </c>
      <c r="D120" s="546">
        <v>1.67</v>
      </c>
      <c r="E120" s="544"/>
      <c r="F120" s="546"/>
      <c r="G120" s="546"/>
      <c r="H120" s="543"/>
      <c r="I120" s="542"/>
      <c r="J120" s="541"/>
      <c r="K120" s="541"/>
      <c r="L120" s="541"/>
      <c r="M120" s="541"/>
      <c r="N120" s="541"/>
    </row>
    <row r="121" spans="1:19" s="540" customFormat="1" ht="14">
      <c r="A121" s="1634"/>
      <c r="B121" s="1629"/>
      <c r="C121" s="546">
        <v>3.27</v>
      </c>
      <c r="D121" s="546">
        <v>2.09</v>
      </c>
      <c r="E121" s="544"/>
      <c r="F121" s="546"/>
      <c r="G121" s="546"/>
      <c r="H121" s="543"/>
      <c r="I121" s="542"/>
      <c r="J121" s="541"/>
      <c r="K121" s="541"/>
      <c r="L121" s="541"/>
      <c r="M121" s="541"/>
      <c r="N121" s="541"/>
    </row>
    <row r="122" spans="1:19" s="540" customFormat="1" ht="14">
      <c r="A122" s="547">
        <v>25</v>
      </c>
      <c r="B122" s="554" t="s">
        <v>706</v>
      </c>
      <c r="C122" s="546">
        <v>3.6</v>
      </c>
      <c r="D122" s="546">
        <v>1</v>
      </c>
      <c r="E122" s="544"/>
      <c r="F122" s="546"/>
      <c r="G122" s="546"/>
      <c r="H122" s="543"/>
      <c r="I122" s="542"/>
      <c r="J122" s="541"/>
      <c r="K122" s="541"/>
      <c r="L122" s="541"/>
      <c r="M122" s="541"/>
      <c r="N122" s="541"/>
    </row>
    <row r="123" spans="1:19" s="540" customFormat="1" ht="14">
      <c r="A123" s="547">
        <v>26</v>
      </c>
      <c r="B123" s="554" t="s">
        <v>955</v>
      </c>
      <c r="C123" s="546">
        <v>3.35</v>
      </c>
      <c r="D123" s="546">
        <v>0.97</v>
      </c>
      <c r="E123" s="544"/>
      <c r="F123" s="546"/>
      <c r="G123" s="546"/>
      <c r="H123" s="543"/>
      <c r="I123" s="542"/>
      <c r="J123" s="541"/>
      <c r="K123" s="541"/>
      <c r="L123" s="541"/>
      <c r="M123" s="541"/>
      <c r="N123" s="541"/>
    </row>
    <row r="124" spans="1:19" s="529" customFormat="1" ht="14">
      <c r="A124" s="530"/>
      <c r="B124" s="530"/>
      <c r="E124" s="580"/>
      <c r="F124" s="533"/>
    </row>
    <row r="125" spans="1:19" s="529" customFormat="1" ht="14">
      <c r="A125" s="530"/>
      <c r="B125" s="530"/>
      <c r="E125" s="580"/>
      <c r="F125" s="533"/>
    </row>
    <row r="126" spans="1:19" s="529" customFormat="1" ht="14">
      <c r="A126" s="531"/>
      <c r="B126" s="530"/>
      <c r="C126" s="530"/>
      <c r="E126" s="533"/>
      <c r="H126" s="617"/>
      <c r="K126" s="532"/>
      <c r="L126" s="616"/>
    </row>
    <row r="127" spans="1:19" s="530" customFormat="1" ht="14">
      <c r="A127" s="562" t="s">
        <v>106</v>
      </c>
      <c r="B127" s="565" t="s">
        <v>107</v>
      </c>
      <c r="C127" s="564" t="s">
        <v>4</v>
      </c>
      <c r="D127" s="563" t="s">
        <v>108</v>
      </c>
      <c r="E127" s="563" t="s">
        <v>109</v>
      </c>
      <c r="F127" s="562" t="s">
        <v>411</v>
      </c>
      <c r="G127" s="561" t="s">
        <v>950</v>
      </c>
      <c r="H127" s="561" t="s">
        <v>110</v>
      </c>
      <c r="I127" s="561" t="s">
        <v>276</v>
      </c>
      <c r="J127" s="561" t="s">
        <v>117</v>
      </c>
      <c r="K127" s="561" t="s">
        <v>275</v>
      </c>
      <c r="L127" s="562" t="s">
        <v>111</v>
      </c>
      <c r="M127" s="561" t="s">
        <v>949</v>
      </c>
      <c r="N127" s="561" t="s">
        <v>948</v>
      </c>
      <c r="O127" s="561" t="s">
        <v>129</v>
      </c>
      <c r="P127" s="561" t="s">
        <v>220</v>
      </c>
      <c r="Q127" s="537" t="s">
        <v>947</v>
      </c>
      <c r="R127" s="537" t="s">
        <v>946</v>
      </c>
      <c r="S127" s="560" t="s">
        <v>945</v>
      </c>
    </row>
    <row r="128" spans="1:19" s="547" customFormat="1" ht="14">
      <c r="A128" s="554">
        <v>228</v>
      </c>
      <c r="B128" s="559" t="s">
        <v>823</v>
      </c>
      <c r="C128" s="558" t="s">
        <v>824</v>
      </c>
      <c r="D128" s="555">
        <v>10</v>
      </c>
      <c r="E128" s="555">
        <v>9.9999999763999998</v>
      </c>
      <c r="F128" s="557" t="s">
        <v>958</v>
      </c>
      <c r="G128" s="555">
        <v>4.3099999999999996</v>
      </c>
      <c r="H128" s="555">
        <v>4.18</v>
      </c>
      <c r="I128" s="555">
        <f>H128/G128</f>
        <v>0.96983758700696054</v>
      </c>
      <c r="J128" s="555">
        <v>4.34</v>
      </c>
      <c r="K128" s="555">
        <f>J128/G128</f>
        <v>1.0069605568445477</v>
      </c>
      <c r="L128" s="554">
        <v>4</v>
      </c>
      <c r="M128" s="566">
        <v>43026</v>
      </c>
      <c r="N128" s="555">
        <v>4.4400000000000004</v>
      </c>
      <c r="O128" s="555">
        <f>(N128*(1+Q128/10)+R128/10)/J128</f>
        <v>1.0299539170506915</v>
      </c>
      <c r="P128" s="598" t="s">
        <v>256</v>
      </c>
      <c r="Q128" s="554">
        <f>IFERROR(MID(P128,FIND("转",P128)+1,FIND("股",P128)-(FIND("转",P128)+1)),0)</f>
        <v>0</v>
      </c>
      <c r="R128" s="554" t="str">
        <f>IFERROR(MID(P128,FIND("派",P128)+1,FIND("元",P128)-FIND("派",P128)-1),0)</f>
        <v>0.3</v>
      </c>
      <c r="S128" s="553"/>
    </row>
    <row r="129" spans="1:14" s="540" customFormat="1" ht="14">
      <c r="A129" s="547"/>
      <c r="B129" s="551" t="s">
        <v>112</v>
      </c>
      <c r="C129" s="551" t="s">
        <v>113</v>
      </c>
      <c r="D129" s="551" t="s">
        <v>943</v>
      </c>
      <c r="E129" s="552" t="s">
        <v>411</v>
      </c>
      <c r="F129" s="552" t="s">
        <v>942</v>
      </c>
      <c r="G129" s="551" t="s">
        <v>231</v>
      </c>
      <c r="H129" s="551" t="s">
        <v>941</v>
      </c>
      <c r="I129" s="549">
        <f>SUM(G130:G142)</f>
        <v>9.9999999763999998</v>
      </c>
      <c r="J129" s="548"/>
      <c r="K129" s="548"/>
      <c r="L129" s="548"/>
      <c r="M129" s="548"/>
      <c r="N129" s="548"/>
    </row>
    <row r="130" spans="1:14" s="540" customFormat="1" ht="14">
      <c r="A130" s="547">
        <v>1</v>
      </c>
      <c r="B130" s="554" t="s">
        <v>1052</v>
      </c>
      <c r="C130" s="546">
        <v>4.28</v>
      </c>
      <c r="D130" s="546">
        <v>1.486</v>
      </c>
      <c r="E130" s="544"/>
      <c r="F130" s="577"/>
      <c r="G130" s="577"/>
      <c r="H130" s="543" t="s">
        <v>126</v>
      </c>
      <c r="I130" s="138" t="s">
        <v>1066</v>
      </c>
      <c r="J130" s="541"/>
      <c r="K130" s="541"/>
      <c r="L130" s="541"/>
      <c r="M130" s="541"/>
      <c r="N130" s="541"/>
    </row>
    <row r="131" spans="1:14" s="540" customFormat="1" ht="14">
      <c r="A131" s="547">
        <v>2</v>
      </c>
      <c r="B131" s="554" t="s">
        <v>1065</v>
      </c>
      <c r="C131" s="546">
        <v>4.3099999999999996</v>
      </c>
      <c r="D131" s="546">
        <v>3.5</v>
      </c>
      <c r="E131" s="544"/>
      <c r="F131" s="577"/>
      <c r="G131" s="577"/>
      <c r="H131" s="543"/>
      <c r="I131" s="542"/>
      <c r="J131" s="541"/>
      <c r="K131" s="541"/>
      <c r="L131" s="541"/>
      <c r="M131" s="541"/>
      <c r="N131" s="541"/>
    </row>
    <row r="132" spans="1:14" s="540" customFormat="1" ht="14">
      <c r="A132" s="1634">
        <v>3</v>
      </c>
      <c r="B132" s="1627" t="s">
        <v>285</v>
      </c>
      <c r="C132" s="546">
        <v>4.4000000000000004</v>
      </c>
      <c r="D132" s="546">
        <v>0.999</v>
      </c>
      <c r="E132" s="544"/>
      <c r="F132" s="577">
        <v>2301.8433</v>
      </c>
      <c r="G132" s="577">
        <v>0.99899999220000002</v>
      </c>
      <c r="H132" s="543"/>
      <c r="I132" s="542"/>
      <c r="J132" s="541"/>
      <c r="K132" s="541"/>
      <c r="L132" s="541"/>
      <c r="M132" s="541"/>
      <c r="N132" s="541"/>
    </row>
    <row r="133" spans="1:14" s="540" customFormat="1" ht="14">
      <c r="A133" s="1634"/>
      <c r="B133" s="1628"/>
      <c r="C133" s="546">
        <v>4.3099999999999996</v>
      </c>
      <c r="D133" s="546">
        <v>0.999</v>
      </c>
      <c r="E133" s="544"/>
      <c r="F133" s="577"/>
      <c r="G133" s="577"/>
      <c r="H133" s="543"/>
      <c r="I133" s="542"/>
      <c r="J133" s="541"/>
      <c r="K133" s="541"/>
      <c r="L133" s="541"/>
      <c r="M133" s="541"/>
      <c r="N133" s="541"/>
    </row>
    <row r="134" spans="1:14" s="540" customFormat="1" ht="14">
      <c r="A134" s="1634"/>
      <c r="B134" s="1629"/>
      <c r="C134" s="546">
        <v>4.29</v>
      </c>
      <c r="D134" s="546">
        <v>0.999</v>
      </c>
      <c r="E134" s="544"/>
      <c r="F134" s="577"/>
      <c r="G134" s="577"/>
      <c r="H134" s="543"/>
      <c r="I134" s="542"/>
      <c r="J134" s="541"/>
      <c r="K134" s="541"/>
      <c r="L134" s="541"/>
      <c r="M134" s="541"/>
      <c r="N134" s="541"/>
    </row>
    <row r="135" spans="1:14" s="540" customFormat="1" ht="14">
      <c r="A135" s="1634">
        <v>4</v>
      </c>
      <c r="B135" s="1627" t="s">
        <v>1064</v>
      </c>
      <c r="C135" s="546">
        <v>4.34</v>
      </c>
      <c r="D135" s="546">
        <v>3.597</v>
      </c>
      <c r="E135" s="544"/>
      <c r="F135" s="577">
        <v>6000.0001000000002</v>
      </c>
      <c r="G135" s="577">
        <v>2.6040000434000001</v>
      </c>
      <c r="H135" s="543"/>
      <c r="I135" s="542"/>
      <c r="J135" s="541"/>
      <c r="K135" s="541"/>
      <c r="L135" s="541"/>
      <c r="M135" s="541"/>
      <c r="N135" s="541"/>
    </row>
    <row r="136" spans="1:14" s="540" customFormat="1" ht="14">
      <c r="A136" s="1634"/>
      <c r="B136" s="1628"/>
      <c r="C136" s="546">
        <v>4.32</v>
      </c>
      <c r="D136" s="546">
        <v>3.5979999999999999</v>
      </c>
      <c r="E136" s="544"/>
      <c r="F136" s="577"/>
      <c r="G136" s="577"/>
      <c r="H136" s="543"/>
      <c r="I136" s="542"/>
      <c r="J136" s="541"/>
      <c r="K136" s="541"/>
      <c r="L136" s="541"/>
      <c r="M136" s="541"/>
      <c r="N136" s="541"/>
    </row>
    <row r="137" spans="1:14" s="540" customFormat="1" ht="14">
      <c r="A137" s="1634"/>
      <c r="B137" s="1629"/>
      <c r="C137" s="546">
        <v>4.3099999999999996</v>
      </c>
      <c r="D137" s="546">
        <v>3.5990000000000002</v>
      </c>
      <c r="E137" s="544"/>
      <c r="F137" s="577"/>
      <c r="G137" s="577"/>
      <c r="H137" s="543"/>
      <c r="I137" s="542"/>
      <c r="J137" s="541"/>
      <c r="K137" s="541"/>
      <c r="L137" s="541"/>
      <c r="M137" s="541"/>
      <c r="N137" s="541"/>
    </row>
    <row r="138" spans="1:14" s="540" customFormat="1" ht="14">
      <c r="A138" s="1634">
        <v>5</v>
      </c>
      <c r="B138" s="1627" t="s">
        <v>1063</v>
      </c>
      <c r="C138" s="546">
        <v>4.34</v>
      </c>
      <c r="D138" s="546">
        <v>4.7969999999999997</v>
      </c>
      <c r="E138" s="544"/>
      <c r="F138" s="577">
        <v>11052.9953</v>
      </c>
      <c r="G138" s="577">
        <v>4.7969999602</v>
      </c>
      <c r="H138" s="543"/>
      <c r="I138" s="542"/>
      <c r="J138" s="541"/>
      <c r="K138" s="541"/>
      <c r="L138" s="541"/>
      <c r="M138" s="541"/>
      <c r="N138" s="541"/>
    </row>
    <row r="139" spans="1:14" s="540" customFormat="1" ht="14">
      <c r="A139" s="1634"/>
      <c r="B139" s="1628"/>
      <c r="C139" s="546">
        <v>4.33</v>
      </c>
      <c r="D139" s="546">
        <v>4.798</v>
      </c>
      <c r="E139" s="544"/>
      <c r="F139" s="577"/>
      <c r="G139" s="577"/>
      <c r="H139" s="543"/>
      <c r="I139" s="542"/>
      <c r="J139" s="541"/>
      <c r="K139" s="541"/>
      <c r="L139" s="541"/>
      <c r="M139" s="541"/>
      <c r="N139" s="541"/>
    </row>
    <row r="140" spans="1:14" s="540" customFormat="1" ht="14">
      <c r="A140" s="1634"/>
      <c r="B140" s="1629"/>
      <c r="C140" s="546">
        <v>4.32</v>
      </c>
      <c r="D140" s="546">
        <v>4.7990000000000004</v>
      </c>
      <c r="E140" s="544"/>
      <c r="F140" s="577"/>
      <c r="G140" s="577"/>
      <c r="H140" s="543"/>
      <c r="I140" s="542"/>
      <c r="J140" s="541"/>
      <c r="K140" s="541"/>
      <c r="L140" s="541"/>
      <c r="M140" s="541"/>
      <c r="N140" s="541"/>
    </row>
    <row r="141" spans="1:14" s="540" customFormat="1" ht="14">
      <c r="A141" s="547">
        <v>6</v>
      </c>
      <c r="B141" s="554" t="s">
        <v>1062</v>
      </c>
      <c r="C141" s="546">
        <v>4.32</v>
      </c>
      <c r="D141" s="546">
        <v>1</v>
      </c>
      <c r="E141" s="544"/>
      <c r="F141" s="577"/>
      <c r="G141" s="577"/>
      <c r="H141" s="543"/>
      <c r="I141" s="542"/>
      <c r="J141" s="541"/>
      <c r="K141" s="541"/>
      <c r="L141" s="541"/>
      <c r="M141" s="541"/>
      <c r="N141" s="541"/>
    </row>
    <row r="142" spans="1:14" s="540" customFormat="1" ht="14">
      <c r="A142" s="547">
        <v>7</v>
      </c>
      <c r="B142" s="537" t="s">
        <v>1061</v>
      </c>
      <c r="C142" s="1658" t="s">
        <v>327</v>
      </c>
      <c r="D142" s="1659"/>
      <c r="E142" s="544"/>
      <c r="F142" s="539">
        <v>3686.6359000000002</v>
      </c>
      <c r="G142" s="539">
        <v>1.5999999806</v>
      </c>
      <c r="H142" s="543"/>
      <c r="I142" s="542"/>
      <c r="J142" s="541"/>
      <c r="K142" s="541"/>
      <c r="L142" s="541"/>
      <c r="M142" s="541"/>
      <c r="N142" s="541"/>
    </row>
    <row r="143" spans="1:14" s="529" customFormat="1" ht="14">
      <c r="A143" s="531"/>
      <c r="B143" s="530"/>
      <c r="C143" s="530"/>
      <c r="E143" s="533"/>
      <c r="H143" s="617"/>
      <c r="K143" s="532"/>
      <c r="L143" s="616"/>
    </row>
    <row r="144" spans="1:14" s="529" customFormat="1" ht="14">
      <c r="A144" s="531"/>
      <c r="B144" s="530"/>
      <c r="C144" s="530"/>
      <c r="E144" s="533"/>
      <c r="K144" s="532"/>
    </row>
    <row r="145" spans="1:19" s="529" customFormat="1" ht="14">
      <c r="A145" s="530"/>
      <c r="B145" s="580"/>
      <c r="C145" s="530"/>
      <c r="E145" s="533"/>
      <c r="K145" s="532"/>
      <c r="L145" s="616"/>
    </row>
    <row r="146" spans="1:19" s="530" customFormat="1" ht="14">
      <c r="A146" s="562" t="s">
        <v>106</v>
      </c>
      <c r="B146" s="565" t="s">
        <v>107</v>
      </c>
      <c r="C146" s="564" t="s">
        <v>4</v>
      </c>
      <c r="D146" s="563" t="s">
        <v>108</v>
      </c>
      <c r="E146" s="563" t="s">
        <v>109</v>
      </c>
      <c r="F146" s="562" t="s">
        <v>411</v>
      </c>
      <c r="G146" s="561" t="s">
        <v>950</v>
      </c>
      <c r="H146" s="561" t="s">
        <v>110</v>
      </c>
      <c r="I146" s="561" t="s">
        <v>276</v>
      </c>
      <c r="J146" s="561" t="s">
        <v>117</v>
      </c>
      <c r="K146" s="561" t="s">
        <v>275</v>
      </c>
      <c r="L146" s="562" t="s">
        <v>111</v>
      </c>
      <c r="M146" s="561" t="s">
        <v>949</v>
      </c>
      <c r="N146" s="561" t="s">
        <v>948</v>
      </c>
      <c r="O146" s="561" t="s">
        <v>129</v>
      </c>
      <c r="P146" s="561" t="s">
        <v>220</v>
      </c>
      <c r="Q146" s="537" t="s">
        <v>947</v>
      </c>
      <c r="R146" s="537" t="s">
        <v>946</v>
      </c>
      <c r="S146" s="560" t="s">
        <v>945</v>
      </c>
    </row>
    <row r="147" spans="1:19" s="547" customFormat="1" ht="14">
      <c r="A147" s="554">
        <v>229</v>
      </c>
      <c r="B147" s="559" t="s">
        <v>825</v>
      </c>
      <c r="C147" s="558" t="s">
        <v>826</v>
      </c>
      <c r="D147" s="555">
        <v>15.167999999999999</v>
      </c>
      <c r="E147" s="555">
        <v>15.167999925</v>
      </c>
      <c r="F147" s="557" t="s">
        <v>1060</v>
      </c>
      <c r="G147" s="555">
        <v>21.3</v>
      </c>
      <c r="H147" s="555">
        <v>14.42</v>
      </c>
      <c r="I147" s="555">
        <f>H147/G147</f>
        <v>0.67699530516431927</v>
      </c>
      <c r="J147" s="555">
        <v>19.5</v>
      </c>
      <c r="K147" s="555">
        <f>J147/G147</f>
        <v>0.91549295774647887</v>
      </c>
      <c r="L147" s="554">
        <v>9</v>
      </c>
      <c r="M147" s="566">
        <v>43021</v>
      </c>
      <c r="N147" s="555">
        <v>6.93</v>
      </c>
      <c r="O147" s="555">
        <f>(N147*(1+Q147/10)+R147/10)/J147</f>
        <v>0.72</v>
      </c>
      <c r="P147" s="553" t="s">
        <v>827</v>
      </c>
      <c r="Q147" s="554" t="str">
        <f>IFERROR(MID(P147,FIND("转",P147)+1,FIND("股",P147)-(FIND("转",P147)+1)),0)</f>
        <v>10</v>
      </c>
      <c r="R147" s="554" t="str">
        <f>IFERROR(MID(P147,FIND("派",P147)+1,FIND("元",P147)-FIND("派",P147)-1),0)</f>
        <v>1.80</v>
      </c>
      <c r="S147" s="553"/>
    </row>
    <row r="148" spans="1:19" s="540" customFormat="1" ht="14">
      <c r="A148" s="547"/>
      <c r="B148" s="551" t="s">
        <v>112</v>
      </c>
      <c r="C148" s="551" t="s">
        <v>113</v>
      </c>
      <c r="D148" s="551" t="s">
        <v>943</v>
      </c>
      <c r="E148" s="552" t="s">
        <v>411</v>
      </c>
      <c r="F148" s="552" t="s">
        <v>942</v>
      </c>
      <c r="G148" s="551" t="s">
        <v>231</v>
      </c>
      <c r="H148" s="551" t="s">
        <v>941</v>
      </c>
      <c r="I148" s="549">
        <f>SUM(G149:G184)</f>
        <v>15.167999925</v>
      </c>
      <c r="J148" s="548"/>
      <c r="K148" s="548"/>
      <c r="L148" s="548"/>
      <c r="M148" s="548"/>
      <c r="N148" s="548"/>
    </row>
    <row r="149" spans="1:19" s="540" customFormat="1" ht="14">
      <c r="A149" s="1634">
        <v>1</v>
      </c>
      <c r="B149" s="1627" t="s">
        <v>1059</v>
      </c>
      <c r="C149" s="570">
        <v>19.09</v>
      </c>
      <c r="D149" s="546">
        <v>2.6</v>
      </c>
      <c r="E149" s="544"/>
      <c r="F149" s="1624"/>
      <c r="G149" s="1624" t="s">
        <v>232</v>
      </c>
      <c r="H149" s="543" t="s">
        <v>126</v>
      </c>
      <c r="I149" s="138" t="s">
        <v>1058</v>
      </c>
      <c r="J149" s="541"/>
      <c r="K149" s="541"/>
      <c r="L149" s="541"/>
      <c r="M149" s="541"/>
      <c r="N149" s="541"/>
    </row>
    <row r="150" spans="1:19" s="540" customFormat="1" ht="14">
      <c r="A150" s="1634"/>
      <c r="B150" s="1628"/>
      <c r="C150" s="570">
        <v>16</v>
      </c>
      <c r="D150" s="546">
        <v>2.6</v>
      </c>
      <c r="E150" s="544"/>
      <c r="F150" s="1626"/>
      <c r="G150" s="1626"/>
      <c r="H150" s="543"/>
      <c r="I150" s="542"/>
      <c r="J150" s="541"/>
      <c r="K150" s="541"/>
      <c r="L150" s="541"/>
      <c r="M150" s="541"/>
      <c r="N150" s="541"/>
    </row>
    <row r="151" spans="1:19" s="540" customFormat="1" ht="14">
      <c r="A151" s="1634"/>
      <c r="B151" s="1629"/>
      <c r="C151" s="570">
        <v>14.5</v>
      </c>
      <c r="D151" s="546">
        <v>2.6</v>
      </c>
      <c r="E151" s="544"/>
      <c r="F151" s="1625"/>
      <c r="G151" s="1625"/>
      <c r="H151" s="543"/>
      <c r="I151" s="542"/>
      <c r="J151" s="541"/>
      <c r="K151" s="541"/>
      <c r="L151" s="541"/>
      <c r="M151" s="541"/>
      <c r="N151" s="541"/>
    </row>
    <row r="152" spans="1:19" s="540" customFormat="1" ht="14">
      <c r="A152" s="547">
        <v>2</v>
      </c>
      <c r="B152" s="554" t="s">
        <v>1057</v>
      </c>
      <c r="C152" s="570">
        <v>20.57</v>
      </c>
      <c r="D152" s="546">
        <v>1.6</v>
      </c>
      <c r="E152" s="544"/>
      <c r="F152" s="546">
        <v>820.51279999999997</v>
      </c>
      <c r="G152" s="546">
        <v>1.5999999600000001</v>
      </c>
      <c r="H152" s="543"/>
      <c r="I152" s="542"/>
      <c r="J152" s="541"/>
      <c r="K152" s="541"/>
      <c r="L152" s="541"/>
      <c r="M152" s="541"/>
      <c r="N152" s="541"/>
    </row>
    <row r="153" spans="1:19" s="540" customFormat="1" ht="14">
      <c r="A153" s="547">
        <v>3</v>
      </c>
      <c r="B153" s="554" t="s">
        <v>1056</v>
      </c>
      <c r="C153" s="570">
        <v>19.079999999999998</v>
      </c>
      <c r="D153" s="546">
        <v>1.65</v>
      </c>
      <c r="E153" s="544"/>
      <c r="F153" s="546"/>
      <c r="G153" s="546" t="s">
        <v>232</v>
      </c>
      <c r="H153" s="543"/>
      <c r="I153" s="542"/>
      <c r="J153" s="541"/>
      <c r="K153" s="541"/>
      <c r="L153" s="541"/>
      <c r="M153" s="541"/>
      <c r="N153" s="541"/>
    </row>
    <row r="154" spans="1:19" s="540" customFormat="1" ht="14">
      <c r="A154" s="547">
        <v>4</v>
      </c>
      <c r="B154" s="554" t="s">
        <v>1055</v>
      </c>
      <c r="C154" s="570">
        <v>20.6</v>
      </c>
      <c r="D154" s="546">
        <v>1.6</v>
      </c>
      <c r="E154" s="544"/>
      <c r="F154" s="546">
        <v>820.51279999999997</v>
      </c>
      <c r="G154" s="546">
        <v>1.5999999600000001</v>
      </c>
      <c r="H154" s="543"/>
      <c r="I154" s="542"/>
      <c r="J154" s="541"/>
      <c r="K154" s="541"/>
      <c r="L154" s="541"/>
      <c r="M154" s="541"/>
      <c r="N154" s="541"/>
    </row>
    <row r="155" spans="1:19" s="540" customFormat="1" ht="14">
      <c r="A155" s="547">
        <v>5</v>
      </c>
      <c r="B155" s="554" t="s">
        <v>228</v>
      </c>
      <c r="C155" s="570">
        <v>20.2</v>
      </c>
      <c r="D155" s="546">
        <v>2.2999999999999998</v>
      </c>
      <c r="E155" s="544"/>
      <c r="F155" s="546">
        <v>1179.4871000000001</v>
      </c>
      <c r="G155" s="546">
        <v>2.2999998449999999</v>
      </c>
      <c r="H155" s="543"/>
      <c r="I155" s="542"/>
      <c r="J155" s="541"/>
      <c r="K155" s="541"/>
      <c r="L155" s="541"/>
      <c r="M155" s="541"/>
      <c r="N155" s="541"/>
    </row>
    <row r="156" spans="1:19" s="540" customFormat="1" ht="14">
      <c r="A156" s="547">
        <v>6</v>
      </c>
      <c r="B156" s="554" t="s">
        <v>1054</v>
      </c>
      <c r="C156" s="570">
        <v>20.100000000000001</v>
      </c>
      <c r="D156" s="546">
        <v>1.6</v>
      </c>
      <c r="E156" s="544"/>
      <c r="F156" s="546">
        <v>820.51279999999997</v>
      </c>
      <c r="G156" s="546">
        <v>1.5999999600000001</v>
      </c>
      <c r="H156" s="543"/>
      <c r="I156" s="542"/>
      <c r="J156" s="541"/>
      <c r="K156" s="541"/>
      <c r="L156" s="541"/>
      <c r="M156" s="541"/>
      <c r="N156" s="541"/>
    </row>
    <row r="157" spans="1:19" s="540" customFormat="1" ht="14">
      <c r="A157" s="547">
        <v>7</v>
      </c>
      <c r="B157" s="554" t="s">
        <v>351</v>
      </c>
      <c r="C157" s="570">
        <v>17.600000000000001</v>
      </c>
      <c r="D157" s="546">
        <v>1.6</v>
      </c>
      <c r="E157" s="544"/>
      <c r="F157" s="546"/>
      <c r="G157" s="546" t="s">
        <v>232</v>
      </c>
      <c r="H157" s="543"/>
      <c r="I157" s="542"/>
      <c r="J157" s="541"/>
      <c r="K157" s="541"/>
      <c r="L157" s="541"/>
      <c r="M157" s="541"/>
      <c r="N157" s="541"/>
    </row>
    <row r="158" spans="1:19" s="540" customFormat="1" ht="14">
      <c r="A158" s="1634">
        <v>8</v>
      </c>
      <c r="B158" s="1627" t="s">
        <v>143</v>
      </c>
      <c r="C158" s="570">
        <v>20.43</v>
      </c>
      <c r="D158" s="546">
        <v>1.97</v>
      </c>
      <c r="E158" s="544"/>
      <c r="F158" s="1624">
        <v>1010.2564</v>
      </c>
      <c r="G158" s="1624">
        <v>1.9699999800000001</v>
      </c>
      <c r="H158" s="543"/>
      <c r="I158" s="542"/>
      <c r="J158" s="541"/>
      <c r="K158" s="541"/>
      <c r="L158" s="541"/>
      <c r="M158" s="541"/>
      <c r="N158" s="541"/>
    </row>
    <row r="159" spans="1:19" s="540" customFormat="1" ht="14">
      <c r="A159" s="1634"/>
      <c r="B159" s="1628"/>
      <c r="C159" s="570">
        <v>19.68</v>
      </c>
      <c r="D159" s="546">
        <v>1.97</v>
      </c>
      <c r="E159" s="544"/>
      <c r="F159" s="1626"/>
      <c r="G159" s="1626"/>
      <c r="H159" s="543"/>
      <c r="I159" s="542"/>
      <c r="J159" s="541"/>
      <c r="K159" s="541"/>
      <c r="L159" s="541"/>
      <c r="M159" s="541"/>
      <c r="N159" s="541"/>
    </row>
    <row r="160" spans="1:19" s="540" customFormat="1" ht="14">
      <c r="A160" s="1634"/>
      <c r="B160" s="1629"/>
      <c r="C160" s="570">
        <v>19.190000000000001</v>
      </c>
      <c r="D160" s="546">
        <v>1.97</v>
      </c>
      <c r="E160" s="544"/>
      <c r="F160" s="1625"/>
      <c r="G160" s="1625"/>
      <c r="H160" s="543"/>
      <c r="I160" s="542"/>
      <c r="J160" s="541"/>
      <c r="K160" s="541"/>
      <c r="L160" s="541"/>
      <c r="M160" s="541"/>
      <c r="N160" s="541"/>
    </row>
    <row r="161" spans="1:14" s="540" customFormat="1" ht="14">
      <c r="A161" s="547">
        <v>9</v>
      </c>
      <c r="B161" s="554" t="s">
        <v>128</v>
      </c>
      <c r="C161" s="570">
        <v>19.010000000000002</v>
      </c>
      <c r="D161" s="546">
        <v>1.6</v>
      </c>
      <c r="E161" s="544"/>
      <c r="F161" s="546"/>
      <c r="G161" s="546" t="s">
        <v>232</v>
      </c>
      <c r="H161" s="543"/>
      <c r="I161" s="542"/>
      <c r="J161" s="541"/>
      <c r="K161" s="541"/>
      <c r="L161" s="541"/>
      <c r="M161" s="541"/>
      <c r="N161" s="541"/>
    </row>
    <row r="162" spans="1:14" s="540" customFormat="1" ht="14">
      <c r="A162" s="547">
        <v>10</v>
      </c>
      <c r="B162" s="554" t="s">
        <v>505</v>
      </c>
      <c r="C162" s="570">
        <v>16.96</v>
      </c>
      <c r="D162" s="546">
        <v>1.8</v>
      </c>
      <c r="E162" s="544"/>
      <c r="F162" s="546"/>
      <c r="G162" s="546" t="s">
        <v>232</v>
      </c>
      <c r="H162" s="543"/>
      <c r="I162" s="542"/>
      <c r="J162" s="541"/>
      <c r="K162" s="541"/>
      <c r="L162" s="541"/>
      <c r="M162" s="541"/>
      <c r="N162" s="541"/>
    </row>
    <row r="163" spans="1:14" s="540" customFormat="1" ht="14">
      <c r="A163" s="1634">
        <v>11</v>
      </c>
      <c r="B163" s="1627" t="s">
        <v>131</v>
      </c>
      <c r="C163" s="570">
        <v>17.02</v>
      </c>
      <c r="D163" s="546">
        <v>2.89</v>
      </c>
      <c r="E163" s="544"/>
      <c r="F163" s="546"/>
      <c r="G163" s="546" t="s">
        <v>232</v>
      </c>
      <c r="H163" s="543"/>
      <c r="I163" s="542"/>
      <c r="J163" s="541"/>
      <c r="K163" s="541"/>
      <c r="L163" s="541"/>
      <c r="M163" s="541"/>
      <c r="N163" s="541"/>
    </row>
    <row r="164" spans="1:14" s="540" customFormat="1" ht="14">
      <c r="A164" s="1634"/>
      <c r="B164" s="1629"/>
      <c r="C164" s="570">
        <v>14.52</v>
      </c>
      <c r="D164" s="546">
        <v>3.2</v>
      </c>
      <c r="E164" s="544"/>
      <c r="F164" s="546"/>
      <c r="G164" s="546" t="s">
        <v>232</v>
      </c>
      <c r="H164" s="543"/>
      <c r="I164" s="542"/>
      <c r="J164" s="541"/>
      <c r="K164" s="541"/>
      <c r="L164" s="541"/>
      <c r="M164" s="541"/>
      <c r="N164" s="541"/>
    </row>
    <row r="165" spans="1:14" s="540" customFormat="1" ht="14">
      <c r="A165" s="1634">
        <v>12</v>
      </c>
      <c r="B165" s="1627" t="s">
        <v>173</v>
      </c>
      <c r="C165" s="570">
        <v>19.079999999999998</v>
      </c>
      <c r="D165" s="546">
        <v>1.6</v>
      </c>
      <c r="E165" s="544"/>
      <c r="F165" s="546"/>
      <c r="G165" s="546" t="s">
        <v>232</v>
      </c>
      <c r="H165" s="543"/>
      <c r="I165" s="542"/>
      <c r="J165" s="541"/>
      <c r="K165" s="541"/>
      <c r="L165" s="541"/>
      <c r="M165" s="541"/>
      <c r="N165" s="541"/>
    </row>
    <row r="166" spans="1:14" s="540" customFormat="1" ht="14">
      <c r="A166" s="1634"/>
      <c r="B166" s="1629"/>
      <c r="C166" s="570">
        <v>18.02</v>
      </c>
      <c r="D166" s="546">
        <v>2.4900000000000002</v>
      </c>
      <c r="E166" s="544"/>
      <c r="F166" s="546"/>
      <c r="G166" s="546" t="s">
        <v>232</v>
      </c>
      <c r="H166" s="543"/>
      <c r="I166" s="542"/>
      <c r="J166" s="541"/>
      <c r="K166" s="541"/>
      <c r="L166" s="541"/>
      <c r="M166" s="541"/>
      <c r="N166" s="541"/>
    </row>
    <row r="167" spans="1:14" s="540" customFormat="1" ht="14">
      <c r="A167" s="547">
        <v>13</v>
      </c>
      <c r="B167" s="554" t="s">
        <v>139</v>
      </c>
      <c r="C167" s="570">
        <v>19.100000000000001</v>
      </c>
      <c r="D167" s="546">
        <v>1.62</v>
      </c>
      <c r="E167" s="544"/>
      <c r="F167" s="546"/>
      <c r="G167" s="546" t="s">
        <v>232</v>
      </c>
      <c r="H167" s="543"/>
      <c r="I167" s="542"/>
      <c r="J167" s="541"/>
      <c r="K167" s="541"/>
      <c r="L167" s="541"/>
      <c r="M167" s="541"/>
      <c r="N167" s="541"/>
    </row>
    <row r="168" spans="1:14" s="540" customFormat="1" ht="14">
      <c r="A168" s="547">
        <v>14</v>
      </c>
      <c r="B168" s="554" t="s">
        <v>506</v>
      </c>
      <c r="C168" s="570">
        <v>20.14</v>
      </c>
      <c r="D168" s="546">
        <v>1.6</v>
      </c>
      <c r="E168" s="544"/>
      <c r="F168" s="546">
        <v>820.51279999999997</v>
      </c>
      <c r="G168" s="546">
        <v>1.5999999600000001</v>
      </c>
      <c r="H168" s="543"/>
      <c r="I168" s="542"/>
      <c r="J168" s="541"/>
      <c r="K168" s="541"/>
      <c r="L168" s="541"/>
      <c r="M168" s="541"/>
      <c r="N168" s="541"/>
    </row>
    <row r="169" spans="1:14" s="540" customFormat="1" ht="14">
      <c r="A169" s="547">
        <v>15</v>
      </c>
      <c r="B169" s="554" t="s">
        <v>121</v>
      </c>
      <c r="C169" s="570">
        <v>17.11</v>
      </c>
      <c r="D169" s="546">
        <v>1.8</v>
      </c>
      <c r="E169" s="544"/>
      <c r="F169" s="546"/>
      <c r="G169" s="546" t="s">
        <v>232</v>
      </c>
      <c r="H169" s="543"/>
      <c r="I169" s="542"/>
      <c r="J169" s="541"/>
      <c r="K169" s="541"/>
      <c r="L169" s="541"/>
      <c r="M169" s="541"/>
      <c r="N169" s="541"/>
    </row>
    <row r="170" spans="1:14" s="540" customFormat="1" ht="14">
      <c r="A170" s="547">
        <v>16</v>
      </c>
      <c r="B170" s="554" t="s">
        <v>145</v>
      </c>
      <c r="C170" s="570">
        <v>20</v>
      </c>
      <c r="D170" s="546">
        <v>1.6</v>
      </c>
      <c r="E170" s="544"/>
      <c r="F170" s="546">
        <v>820.51279999999997</v>
      </c>
      <c r="G170" s="546">
        <v>1.5999999600000001</v>
      </c>
      <c r="H170" s="543"/>
      <c r="I170" s="542"/>
      <c r="J170" s="541"/>
      <c r="K170" s="541"/>
      <c r="L170" s="541"/>
      <c r="M170" s="541"/>
      <c r="N170" s="541"/>
    </row>
    <row r="171" spans="1:14" s="540" customFormat="1" ht="14">
      <c r="A171" s="547">
        <v>17</v>
      </c>
      <c r="B171" s="554" t="s">
        <v>459</v>
      </c>
      <c r="C171" s="570">
        <v>17</v>
      </c>
      <c r="D171" s="546">
        <v>1.6</v>
      </c>
      <c r="E171" s="544"/>
      <c r="F171" s="546"/>
      <c r="G171" s="546" t="s">
        <v>232</v>
      </c>
      <c r="H171" s="543"/>
      <c r="I171" s="542"/>
      <c r="J171" s="541"/>
      <c r="K171" s="541"/>
      <c r="L171" s="541"/>
      <c r="M171" s="541"/>
      <c r="N171" s="541"/>
    </row>
    <row r="172" spans="1:14" s="540" customFormat="1" ht="14">
      <c r="A172" s="1634">
        <v>18</v>
      </c>
      <c r="B172" s="1627" t="s">
        <v>1053</v>
      </c>
      <c r="C172" s="570">
        <v>16.899999999999999</v>
      </c>
      <c r="D172" s="546">
        <v>1.6</v>
      </c>
      <c r="E172" s="544"/>
      <c r="F172" s="546"/>
      <c r="G172" s="546" t="s">
        <v>232</v>
      </c>
      <c r="H172" s="543"/>
      <c r="I172" s="542"/>
      <c r="J172" s="541"/>
      <c r="K172" s="541"/>
      <c r="L172" s="541"/>
      <c r="M172" s="541"/>
      <c r="N172" s="541"/>
    </row>
    <row r="173" spans="1:14" s="540" customFormat="1" ht="14">
      <c r="A173" s="1634"/>
      <c r="B173" s="1629"/>
      <c r="C173" s="570">
        <v>15.84</v>
      </c>
      <c r="D173" s="546">
        <v>3.2</v>
      </c>
      <c r="E173" s="544"/>
      <c r="F173" s="546"/>
      <c r="G173" s="546" t="s">
        <v>232</v>
      </c>
      <c r="H173" s="543"/>
      <c r="I173" s="542"/>
      <c r="J173" s="541"/>
      <c r="K173" s="541"/>
      <c r="L173" s="541"/>
      <c r="M173" s="541"/>
      <c r="N173" s="541"/>
    </row>
    <row r="174" spans="1:14" s="540" customFormat="1" ht="14">
      <c r="A174" s="1634">
        <v>19</v>
      </c>
      <c r="B174" s="1627" t="s">
        <v>300</v>
      </c>
      <c r="C174" s="570">
        <v>19.59</v>
      </c>
      <c r="D174" s="546">
        <v>1.73</v>
      </c>
      <c r="E174" s="544"/>
      <c r="F174" s="1624">
        <v>887.17939999999999</v>
      </c>
      <c r="G174" s="1624">
        <v>1.7299998299999999</v>
      </c>
      <c r="H174" s="543"/>
      <c r="I174" s="542"/>
      <c r="J174" s="541"/>
      <c r="K174" s="541"/>
      <c r="L174" s="541"/>
      <c r="M174" s="541"/>
      <c r="N174" s="541"/>
    </row>
    <row r="175" spans="1:14" s="540" customFormat="1" ht="14">
      <c r="A175" s="1634"/>
      <c r="B175" s="1629"/>
      <c r="C175" s="570">
        <v>19.16</v>
      </c>
      <c r="D175" s="546">
        <v>2.5299999999999998</v>
      </c>
      <c r="E175" s="544"/>
      <c r="F175" s="1625"/>
      <c r="G175" s="1625"/>
      <c r="H175" s="543"/>
      <c r="I175" s="542"/>
      <c r="J175" s="541"/>
      <c r="K175" s="541"/>
      <c r="L175" s="541"/>
      <c r="M175" s="541"/>
      <c r="N175" s="541"/>
    </row>
    <row r="176" spans="1:14" s="540" customFormat="1" ht="14">
      <c r="A176" s="547">
        <v>20</v>
      </c>
      <c r="B176" s="554" t="s">
        <v>146</v>
      </c>
      <c r="C176" s="570">
        <v>19.079999999999998</v>
      </c>
      <c r="D176" s="546">
        <v>1.64</v>
      </c>
      <c r="E176" s="544"/>
      <c r="F176" s="546"/>
      <c r="G176" s="546" t="s">
        <v>232</v>
      </c>
      <c r="H176" s="543"/>
      <c r="I176" s="542"/>
      <c r="J176" s="541"/>
      <c r="K176" s="541"/>
      <c r="L176" s="541"/>
      <c r="M176" s="541"/>
      <c r="N176" s="541"/>
    </row>
    <row r="177" spans="1:19" s="540" customFormat="1" ht="14">
      <c r="A177" s="547">
        <v>21</v>
      </c>
      <c r="B177" s="554" t="s">
        <v>114</v>
      </c>
      <c r="C177" s="570">
        <v>16</v>
      </c>
      <c r="D177" s="546">
        <v>1.6</v>
      </c>
      <c r="E177" s="544"/>
      <c r="F177" s="546"/>
      <c r="G177" s="546" t="s">
        <v>232</v>
      </c>
      <c r="H177" s="543"/>
      <c r="I177" s="542"/>
      <c r="J177" s="541"/>
      <c r="K177" s="541"/>
      <c r="L177" s="541"/>
      <c r="M177" s="541"/>
      <c r="N177" s="541"/>
    </row>
    <row r="178" spans="1:19" s="540" customFormat="1" ht="14">
      <c r="A178" s="547">
        <v>22</v>
      </c>
      <c r="B178" s="554" t="s">
        <v>1052</v>
      </c>
      <c r="C178" s="570">
        <v>19.329999999999998</v>
      </c>
      <c r="D178" s="546">
        <v>1.52</v>
      </c>
      <c r="E178" s="544"/>
      <c r="F178" s="546"/>
      <c r="G178" s="546" t="s">
        <v>232</v>
      </c>
      <c r="H178" s="543"/>
      <c r="I178" s="542"/>
      <c r="J178" s="541"/>
      <c r="K178" s="541"/>
      <c r="L178" s="541"/>
      <c r="M178" s="541"/>
      <c r="N178" s="541"/>
    </row>
    <row r="179" spans="1:19" s="540" customFormat="1" ht="14">
      <c r="A179" s="547">
        <v>23</v>
      </c>
      <c r="B179" s="554" t="s">
        <v>136</v>
      </c>
      <c r="C179" s="570">
        <v>19.079999999999998</v>
      </c>
      <c r="D179" s="546">
        <v>1.62</v>
      </c>
      <c r="E179" s="544"/>
      <c r="F179" s="546"/>
      <c r="G179" s="546" t="s">
        <v>232</v>
      </c>
      <c r="H179" s="543"/>
      <c r="I179" s="542"/>
      <c r="J179" s="541"/>
      <c r="K179" s="541"/>
      <c r="L179" s="541"/>
      <c r="M179" s="541"/>
      <c r="N179" s="541"/>
    </row>
    <row r="180" spans="1:19" s="540" customFormat="1" ht="14">
      <c r="A180" s="547">
        <v>24</v>
      </c>
      <c r="B180" s="554" t="s">
        <v>336</v>
      </c>
      <c r="C180" s="570">
        <v>17.21</v>
      </c>
      <c r="D180" s="546">
        <v>2.41</v>
      </c>
      <c r="E180" s="544"/>
      <c r="F180" s="546"/>
      <c r="G180" s="546" t="s">
        <v>232</v>
      </c>
      <c r="H180" s="543"/>
      <c r="I180" s="542"/>
      <c r="J180" s="541"/>
      <c r="K180" s="541"/>
      <c r="L180" s="541"/>
      <c r="M180" s="541"/>
      <c r="N180" s="541"/>
    </row>
    <row r="181" spans="1:19" s="540" customFormat="1" ht="14">
      <c r="A181" s="547">
        <v>25</v>
      </c>
      <c r="B181" s="554" t="s">
        <v>147</v>
      </c>
      <c r="C181" s="570">
        <v>15.35</v>
      </c>
      <c r="D181" s="546">
        <v>2.8</v>
      </c>
      <c r="E181" s="544"/>
      <c r="F181" s="546"/>
      <c r="G181" s="546" t="s">
        <v>232</v>
      </c>
      <c r="H181" s="543"/>
      <c r="I181" s="542"/>
      <c r="J181" s="541"/>
      <c r="K181" s="541"/>
      <c r="L181" s="541"/>
      <c r="M181" s="541"/>
      <c r="N181" s="541"/>
    </row>
    <row r="182" spans="1:19" s="540" customFormat="1" ht="14">
      <c r="A182" s="1634">
        <v>26</v>
      </c>
      <c r="B182" s="1627" t="s">
        <v>115</v>
      </c>
      <c r="C182" s="570">
        <v>19.5</v>
      </c>
      <c r="D182" s="546">
        <v>2.14</v>
      </c>
      <c r="E182" s="544"/>
      <c r="F182" s="1624">
        <v>598.97460000000001</v>
      </c>
      <c r="G182" s="1624">
        <v>1.16800047</v>
      </c>
      <c r="H182" s="543"/>
      <c r="I182" s="542"/>
      <c r="J182" s="541"/>
      <c r="K182" s="541"/>
      <c r="L182" s="541"/>
      <c r="M182" s="541"/>
      <c r="N182" s="541"/>
    </row>
    <row r="183" spans="1:19" s="540" customFormat="1" ht="14">
      <c r="A183" s="1634"/>
      <c r="B183" s="1629"/>
      <c r="C183" s="570">
        <v>18.02</v>
      </c>
      <c r="D183" s="546">
        <v>3.2</v>
      </c>
      <c r="E183" s="544"/>
      <c r="F183" s="1625"/>
      <c r="G183" s="1625"/>
      <c r="H183" s="543"/>
      <c r="I183" s="542"/>
      <c r="J183" s="541"/>
      <c r="K183" s="541"/>
      <c r="L183" s="541"/>
      <c r="M183" s="541"/>
      <c r="N183" s="541"/>
    </row>
    <row r="184" spans="1:19" s="540" customFormat="1" ht="14">
      <c r="A184" s="547">
        <v>27</v>
      </c>
      <c r="B184" s="554" t="s">
        <v>456</v>
      </c>
      <c r="C184" s="570">
        <v>18.28</v>
      </c>
      <c r="D184" s="546">
        <v>2.36</v>
      </c>
      <c r="E184" s="544"/>
      <c r="F184" s="546"/>
      <c r="G184" s="546" t="s">
        <v>232</v>
      </c>
      <c r="H184" s="543"/>
      <c r="I184" s="542"/>
      <c r="J184" s="541"/>
      <c r="K184" s="541"/>
      <c r="L184" s="541"/>
      <c r="M184" s="541"/>
      <c r="N184" s="541"/>
    </row>
    <row r="185" spans="1:19" s="529" customFormat="1" ht="14">
      <c r="A185" s="530"/>
      <c r="B185" s="580"/>
      <c r="C185" s="530"/>
      <c r="E185" s="142"/>
      <c r="K185" s="532"/>
      <c r="L185" s="616"/>
    </row>
    <row r="186" spans="1:19" s="529" customFormat="1" ht="14">
      <c r="A186" s="531"/>
      <c r="B186" s="530"/>
      <c r="C186" s="530"/>
      <c r="D186" s="580"/>
      <c r="E186" s="580"/>
      <c r="K186" s="532"/>
      <c r="L186" s="616"/>
    </row>
    <row r="187" spans="1:19" s="529" customFormat="1" ht="14">
      <c r="A187" s="530"/>
      <c r="B187" s="530"/>
      <c r="C187" s="530"/>
      <c r="D187" s="533"/>
      <c r="E187" s="580"/>
      <c r="K187" s="532"/>
      <c r="L187" s="616"/>
    </row>
    <row r="188" spans="1:19" s="530" customFormat="1" ht="14">
      <c r="A188" s="562" t="s">
        <v>106</v>
      </c>
      <c r="B188" s="565" t="s">
        <v>107</v>
      </c>
      <c r="C188" s="564" t="s">
        <v>4</v>
      </c>
      <c r="D188" s="563" t="s">
        <v>108</v>
      </c>
      <c r="E188" s="563" t="s">
        <v>109</v>
      </c>
      <c r="F188" s="562" t="s">
        <v>411</v>
      </c>
      <c r="G188" s="561" t="s">
        <v>950</v>
      </c>
      <c r="H188" s="561" t="s">
        <v>110</v>
      </c>
      <c r="I188" s="561" t="s">
        <v>276</v>
      </c>
      <c r="J188" s="561" t="s">
        <v>117</v>
      </c>
      <c r="K188" s="561" t="s">
        <v>275</v>
      </c>
      <c r="L188" s="562" t="s">
        <v>111</v>
      </c>
      <c r="M188" s="561" t="s">
        <v>949</v>
      </c>
      <c r="N188" s="561" t="s">
        <v>948</v>
      </c>
      <c r="O188" s="561" t="s">
        <v>129</v>
      </c>
      <c r="P188" s="561" t="s">
        <v>220</v>
      </c>
      <c r="Q188" s="537" t="s">
        <v>947</v>
      </c>
      <c r="R188" s="537" t="s">
        <v>946</v>
      </c>
      <c r="S188" s="560" t="s">
        <v>945</v>
      </c>
    </row>
    <row r="189" spans="1:19" s="547" customFormat="1" ht="14">
      <c r="A189" s="554">
        <v>230</v>
      </c>
      <c r="B189" s="559" t="s">
        <v>828</v>
      </c>
      <c r="C189" s="558" t="s">
        <v>829</v>
      </c>
      <c r="D189" s="555">
        <v>6</v>
      </c>
      <c r="E189" s="555">
        <v>5.9999969699999998</v>
      </c>
      <c r="F189" s="557" t="s">
        <v>1051</v>
      </c>
      <c r="G189" s="555">
        <v>19.62</v>
      </c>
      <c r="H189" s="555">
        <v>17.48</v>
      </c>
      <c r="I189" s="555">
        <f>H189/G189</f>
        <v>0.89092762487257893</v>
      </c>
      <c r="J189" s="555">
        <v>17.489999999999998</v>
      </c>
      <c r="K189" s="555">
        <f>J189/G189</f>
        <v>0.89143730886850137</v>
      </c>
      <c r="L189" s="554">
        <v>6</v>
      </c>
      <c r="M189" s="566">
        <v>43024</v>
      </c>
      <c r="N189" s="555">
        <v>13.72</v>
      </c>
      <c r="O189" s="555">
        <f>(N189*(1+Q189/10)+R189/10)/J189</f>
        <v>0.78616352201257866</v>
      </c>
      <c r="P189" s="553" t="s">
        <v>256</v>
      </c>
      <c r="Q189" s="554">
        <f>IFERROR(MID(P189,FIND("转",P189)+1,FIND("股",P189)-(FIND("转",P189)+1)),0)</f>
        <v>0</v>
      </c>
      <c r="R189" s="554" t="str">
        <f>IFERROR(MID(P189,FIND("派",P189)+1,FIND("元",P189)-FIND("派",P189)-1),0)</f>
        <v>0.3</v>
      </c>
      <c r="S189" s="553"/>
    </row>
    <row r="190" spans="1:19" s="540" customFormat="1" ht="14">
      <c r="A190" s="547"/>
      <c r="B190" s="551" t="s">
        <v>112</v>
      </c>
      <c r="C190" s="551" t="s">
        <v>113</v>
      </c>
      <c r="D190" s="551" t="s">
        <v>943</v>
      </c>
      <c r="E190" s="552" t="s">
        <v>411</v>
      </c>
      <c r="F190" s="552" t="s">
        <v>942</v>
      </c>
      <c r="G190" s="551" t="s">
        <v>231</v>
      </c>
      <c r="H190" s="551" t="s">
        <v>941</v>
      </c>
      <c r="I190" s="549">
        <f>SUM(G191:G200)</f>
        <v>5.9999969699999989</v>
      </c>
      <c r="J190" s="548"/>
      <c r="K190" s="548"/>
      <c r="L190" s="548"/>
      <c r="M190" s="548"/>
      <c r="N190" s="548"/>
    </row>
    <row r="191" spans="1:19" s="540" customFormat="1" ht="14">
      <c r="A191" s="547">
        <v>1</v>
      </c>
      <c r="B191" s="554" t="s">
        <v>300</v>
      </c>
      <c r="C191" s="546">
        <v>17.489999999999998</v>
      </c>
      <c r="D191" s="546">
        <v>0.6</v>
      </c>
      <c r="E191" s="544"/>
      <c r="F191" s="546">
        <v>343.05309999999997</v>
      </c>
      <c r="G191" s="546">
        <v>0.59999987189999993</v>
      </c>
      <c r="H191" s="543" t="s">
        <v>126</v>
      </c>
      <c r="I191" s="615" t="s">
        <v>3175</v>
      </c>
      <c r="J191" s="541"/>
      <c r="K191" s="541"/>
      <c r="L191" s="541"/>
      <c r="M191" s="541"/>
      <c r="N191" s="541"/>
    </row>
    <row r="192" spans="1:19" s="540" customFormat="1" ht="14">
      <c r="A192" s="1634">
        <v>2</v>
      </c>
      <c r="B192" s="1627" t="s">
        <v>115</v>
      </c>
      <c r="C192" s="546">
        <v>17.8</v>
      </c>
      <c r="D192" s="546">
        <v>0.66</v>
      </c>
      <c r="E192" s="544"/>
      <c r="F192" s="1624">
        <v>1092.0513000000001</v>
      </c>
      <c r="G192" s="1624">
        <v>1.9099977237000001</v>
      </c>
      <c r="H192" s="543"/>
      <c r="I192" s="542"/>
      <c r="J192" s="541"/>
      <c r="K192" s="541"/>
      <c r="L192" s="541"/>
      <c r="M192" s="541"/>
      <c r="N192" s="541"/>
    </row>
    <row r="193" spans="1:19" s="540" customFormat="1" ht="14">
      <c r="A193" s="1634"/>
      <c r="B193" s="1628"/>
      <c r="C193" s="546">
        <v>17.600000000000001</v>
      </c>
      <c r="D193" s="546">
        <v>0.71</v>
      </c>
      <c r="E193" s="544"/>
      <c r="F193" s="1626"/>
      <c r="G193" s="1626"/>
      <c r="H193" s="543"/>
      <c r="I193" s="542"/>
      <c r="J193" s="541"/>
      <c r="K193" s="541"/>
      <c r="L193" s="541"/>
      <c r="M193" s="541"/>
      <c r="N193" s="541"/>
    </row>
    <row r="194" spans="1:19" s="540" customFormat="1" ht="14">
      <c r="A194" s="1634"/>
      <c r="B194" s="1628"/>
      <c r="C194" s="546">
        <v>17.5</v>
      </c>
      <c r="D194" s="546">
        <v>0.71</v>
      </c>
      <c r="E194" s="544"/>
      <c r="F194" s="1626"/>
      <c r="G194" s="1626"/>
      <c r="H194" s="543"/>
      <c r="I194" s="542"/>
      <c r="J194" s="541"/>
      <c r="K194" s="541"/>
      <c r="L194" s="541"/>
      <c r="M194" s="541"/>
      <c r="N194" s="541"/>
    </row>
    <row r="195" spans="1:19" s="540" customFormat="1" ht="14">
      <c r="A195" s="1634"/>
      <c r="B195" s="1629"/>
      <c r="C195" s="546">
        <v>17.489999999999998</v>
      </c>
      <c r="D195" s="546">
        <v>1.2</v>
      </c>
      <c r="E195" s="544"/>
      <c r="F195" s="1625"/>
      <c r="G195" s="1625"/>
      <c r="H195" s="543"/>
      <c r="I195" s="542"/>
      <c r="J195" s="541"/>
      <c r="K195" s="541"/>
      <c r="L195" s="541"/>
      <c r="M195" s="541"/>
      <c r="N195" s="541"/>
    </row>
    <row r="196" spans="1:19" s="540" customFormat="1" ht="14">
      <c r="A196" s="547">
        <v>3</v>
      </c>
      <c r="B196" s="554" t="s">
        <v>1050</v>
      </c>
      <c r="C196" s="546">
        <v>17.489999999999998</v>
      </c>
      <c r="D196" s="546">
        <v>2</v>
      </c>
      <c r="E196" s="544"/>
      <c r="F196" s="546">
        <v>1143.5105000000001</v>
      </c>
      <c r="G196" s="546">
        <v>1.9999998644999999</v>
      </c>
      <c r="H196" s="543"/>
      <c r="I196" s="542"/>
      <c r="J196" s="541"/>
      <c r="K196" s="541"/>
      <c r="L196" s="541"/>
      <c r="M196" s="541"/>
      <c r="N196" s="541"/>
    </row>
    <row r="197" spans="1:19" s="540" customFormat="1" ht="14">
      <c r="A197" s="547">
        <v>4</v>
      </c>
      <c r="B197" s="554" t="s">
        <v>1049</v>
      </c>
      <c r="C197" s="546">
        <v>17.489999999999998</v>
      </c>
      <c r="D197" s="546">
        <v>0.9</v>
      </c>
      <c r="E197" s="544"/>
      <c r="F197" s="546">
        <v>514.5797</v>
      </c>
      <c r="G197" s="546">
        <v>0.89999989530000002</v>
      </c>
      <c r="H197" s="543"/>
      <c r="I197" s="542"/>
      <c r="J197" s="541"/>
      <c r="K197" s="541"/>
      <c r="L197" s="541"/>
      <c r="M197" s="541"/>
      <c r="N197" s="541"/>
    </row>
    <row r="198" spans="1:19" s="540" customFormat="1" ht="14">
      <c r="A198" s="547">
        <v>5</v>
      </c>
      <c r="B198" s="554" t="s">
        <v>279</v>
      </c>
      <c r="C198" s="546">
        <v>17.489999999999998</v>
      </c>
      <c r="D198" s="546">
        <v>0.37</v>
      </c>
      <c r="E198" s="544"/>
      <c r="F198" s="546">
        <v>211.54929999999999</v>
      </c>
      <c r="G198" s="546">
        <v>0.3699997257</v>
      </c>
      <c r="H198" s="543"/>
      <c r="I198" s="542"/>
      <c r="J198" s="541"/>
      <c r="K198" s="541"/>
      <c r="L198" s="541"/>
      <c r="M198" s="541"/>
      <c r="N198" s="541"/>
    </row>
    <row r="199" spans="1:19" s="540" customFormat="1" ht="14">
      <c r="A199" s="547">
        <v>6</v>
      </c>
      <c r="B199" s="554" t="s">
        <v>148</v>
      </c>
      <c r="C199" s="546">
        <v>17.489999999999998</v>
      </c>
      <c r="D199" s="546">
        <v>0.24</v>
      </c>
      <c r="E199" s="544"/>
      <c r="F199" s="546">
        <v>125.7861</v>
      </c>
      <c r="G199" s="546">
        <v>0.2199998889</v>
      </c>
      <c r="H199" s="543"/>
      <c r="I199" s="542"/>
      <c r="J199" s="541"/>
      <c r="K199" s="541"/>
      <c r="L199" s="541"/>
      <c r="M199" s="541"/>
      <c r="N199" s="541"/>
    </row>
    <row r="200" spans="1:19" s="540" customFormat="1" ht="14">
      <c r="A200" s="547">
        <v>7</v>
      </c>
      <c r="B200" s="554" t="s">
        <v>146</v>
      </c>
      <c r="C200" s="546">
        <v>17.489999999999998</v>
      </c>
      <c r="D200" s="546">
        <v>0.03</v>
      </c>
      <c r="E200" s="544"/>
      <c r="F200" s="546"/>
      <c r="G200" s="546"/>
      <c r="H200" s="543"/>
      <c r="I200" s="542"/>
      <c r="J200" s="541"/>
      <c r="K200" s="541"/>
      <c r="L200" s="541"/>
      <c r="M200" s="541"/>
      <c r="N200" s="541"/>
    </row>
    <row r="201" spans="1:19" s="529" customFormat="1" ht="14">
      <c r="A201" s="530"/>
      <c r="B201" s="530"/>
      <c r="C201" s="530"/>
      <c r="D201" s="580"/>
      <c r="E201" s="580"/>
    </row>
    <row r="202" spans="1:19" s="529" customFormat="1" ht="14">
      <c r="A202" s="530"/>
      <c r="B202" s="530"/>
      <c r="C202" s="530"/>
      <c r="D202" s="580"/>
      <c r="E202" s="580"/>
    </row>
    <row r="203" spans="1:19" s="529" customFormat="1" ht="14">
      <c r="A203" s="530"/>
      <c r="B203" s="530"/>
      <c r="D203" s="533"/>
      <c r="E203" s="580"/>
      <c r="F203" s="533"/>
    </row>
    <row r="204" spans="1:19" s="530" customFormat="1" ht="14">
      <c r="A204" s="562" t="s">
        <v>106</v>
      </c>
      <c r="B204" s="565" t="s">
        <v>107</v>
      </c>
      <c r="C204" s="564" t="s">
        <v>4</v>
      </c>
      <c r="D204" s="563" t="s">
        <v>108</v>
      </c>
      <c r="E204" s="563" t="s">
        <v>109</v>
      </c>
      <c r="F204" s="562" t="s">
        <v>411</v>
      </c>
      <c r="G204" s="561" t="s">
        <v>950</v>
      </c>
      <c r="H204" s="561" t="s">
        <v>110</v>
      </c>
      <c r="I204" s="561" t="s">
        <v>276</v>
      </c>
      <c r="J204" s="561" t="s">
        <v>117</v>
      </c>
      <c r="K204" s="561" t="s">
        <v>275</v>
      </c>
      <c r="L204" s="562" t="s">
        <v>111</v>
      </c>
      <c r="M204" s="561" t="s">
        <v>949</v>
      </c>
      <c r="N204" s="561" t="s">
        <v>948</v>
      </c>
      <c r="O204" s="561" t="s">
        <v>129</v>
      </c>
      <c r="P204" s="561" t="s">
        <v>220</v>
      </c>
      <c r="Q204" s="537" t="s">
        <v>947</v>
      </c>
      <c r="R204" s="537" t="s">
        <v>946</v>
      </c>
      <c r="S204" s="560" t="s">
        <v>945</v>
      </c>
    </row>
    <row r="205" spans="1:19" s="547" customFormat="1" ht="14">
      <c r="A205" s="554">
        <v>231</v>
      </c>
      <c r="B205" s="559" t="s">
        <v>830</v>
      </c>
      <c r="C205" s="558" t="s">
        <v>831</v>
      </c>
      <c r="D205" s="555">
        <v>5.98</v>
      </c>
      <c r="E205" s="555">
        <v>5.9799999844</v>
      </c>
      <c r="F205" s="557" t="s">
        <v>1048</v>
      </c>
      <c r="G205" s="555">
        <v>10.89</v>
      </c>
      <c r="H205" s="555">
        <v>8.9</v>
      </c>
      <c r="I205" s="555">
        <f>H205/G205</f>
        <v>0.81726354453627181</v>
      </c>
      <c r="J205" s="555">
        <v>9.2200000000000006</v>
      </c>
      <c r="K205" s="555">
        <f>J205/G205</f>
        <v>0.84664830119375578</v>
      </c>
      <c r="L205" s="554">
        <v>3</v>
      </c>
      <c r="M205" s="566">
        <v>43024</v>
      </c>
      <c r="N205" s="555">
        <v>16.75</v>
      </c>
      <c r="O205" s="555">
        <f>(N205*(1+Q205/10)+R205/10)/J205</f>
        <v>1.816702819956616</v>
      </c>
      <c r="P205" s="553" t="s">
        <v>223</v>
      </c>
      <c r="Q205" s="554">
        <f>IFERROR(MID(P205,FIND("转",P205)+1,FIND("股",P205)-(FIND("转",P205)+1)),0)</f>
        <v>0</v>
      </c>
      <c r="R205" s="554">
        <f>IFERROR(MID(P205,FIND("派",P205)+1,FIND("元",P205)-FIND("派",P205)-1),0)</f>
        <v>0</v>
      </c>
      <c r="S205" s="553" t="s">
        <v>832</v>
      </c>
    </row>
    <row r="206" spans="1:19" s="540" customFormat="1" ht="14">
      <c r="A206" s="547"/>
      <c r="B206" s="551" t="s">
        <v>112</v>
      </c>
      <c r="C206" s="551" t="s">
        <v>113</v>
      </c>
      <c r="D206" s="551" t="s">
        <v>943</v>
      </c>
      <c r="E206" s="552" t="s">
        <v>411</v>
      </c>
      <c r="F206" s="552" t="s">
        <v>942</v>
      </c>
      <c r="G206" s="551" t="s">
        <v>231</v>
      </c>
      <c r="H206" s="551" t="s">
        <v>941</v>
      </c>
      <c r="I206" s="549">
        <f>SUM(G207:G212)</f>
        <v>5.9799999844</v>
      </c>
      <c r="J206" s="548"/>
      <c r="K206" s="548"/>
      <c r="L206" s="548"/>
      <c r="M206" s="548"/>
      <c r="N206" s="548"/>
    </row>
    <row r="207" spans="1:19" s="540" customFormat="1" ht="14">
      <c r="A207" s="1634">
        <v>1</v>
      </c>
      <c r="B207" s="1627" t="s">
        <v>1047</v>
      </c>
      <c r="C207" s="546">
        <v>9.1999999999999993</v>
      </c>
      <c r="D207" s="546">
        <v>1.5249999999999999</v>
      </c>
      <c r="E207" s="544"/>
      <c r="F207" s="1623"/>
      <c r="G207" s="1623"/>
      <c r="H207" s="543" t="s">
        <v>126</v>
      </c>
      <c r="I207" s="138" t="s">
        <v>1046</v>
      </c>
      <c r="J207" s="541"/>
      <c r="K207" s="541"/>
      <c r="L207" s="541"/>
      <c r="M207" s="541"/>
      <c r="N207" s="541"/>
    </row>
    <row r="208" spans="1:19" s="540" customFormat="1" ht="14">
      <c r="A208" s="1634"/>
      <c r="B208" s="1629"/>
      <c r="C208" s="546">
        <v>8.9</v>
      </c>
      <c r="D208" s="546">
        <v>2.1549999999999998</v>
      </c>
      <c r="E208" s="544"/>
      <c r="F208" s="1623"/>
      <c r="G208" s="1623"/>
      <c r="H208" s="543"/>
      <c r="I208" s="542"/>
      <c r="J208" s="541"/>
      <c r="K208" s="541"/>
      <c r="L208" s="541"/>
      <c r="M208" s="541"/>
      <c r="N208" s="541"/>
    </row>
    <row r="209" spans="1:19" s="540" customFormat="1" ht="14">
      <c r="A209" s="547">
        <v>2</v>
      </c>
      <c r="B209" s="554" t="s">
        <v>1045</v>
      </c>
      <c r="C209" s="546">
        <v>9.2200000000000006</v>
      </c>
      <c r="D209" s="546">
        <v>1.3080000000000001</v>
      </c>
      <c r="E209" s="544"/>
      <c r="F209" s="546">
        <v>1297.1802</v>
      </c>
      <c r="G209" s="546">
        <v>1.1960001443999999</v>
      </c>
      <c r="H209" s="543"/>
      <c r="I209" s="542"/>
      <c r="J209" s="541"/>
      <c r="K209" s="541"/>
      <c r="L209" s="541"/>
      <c r="M209" s="541"/>
      <c r="N209" s="541"/>
    </row>
    <row r="210" spans="1:19" s="540" customFormat="1" ht="14">
      <c r="A210" s="547">
        <v>3</v>
      </c>
      <c r="B210" s="554" t="s">
        <v>147</v>
      </c>
      <c r="C210" s="546">
        <v>9.02</v>
      </c>
      <c r="D210" s="546">
        <v>1.196</v>
      </c>
      <c r="E210" s="544"/>
      <c r="F210" s="545"/>
      <c r="G210" s="545"/>
      <c r="H210" s="543"/>
      <c r="I210" s="542"/>
      <c r="J210" s="541"/>
      <c r="K210" s="541"/>
      <c r="L210" s="541"/>
      <c r="M210" s="541"/>
      <c r="N210" s="541"/>
    </row>
    <row r="211" spans="1:19" s="540" customFormat="1" ht="14">
      <c r="A211" s="547">
        <v>4</v>
      </c>
      <c r="B211" s="554" t="s">
        <v>235</v>
      </c>
      <c r="C211" s="546">
        <v>9.26</v>
      </c>
      <c r="D211" s="546">
        <v>2.3919999999999999</v>
      </c>
      <c r="E211" s="544"/>
      <c r="F211" s="546">
        <v>2594.36</v>
      </c>
      <c r="G211" s="546">
        <v>2.3919999199999999</v>
      </c>
      <c r="H211" s="543"/>
      <c r="I211" s="542"/>
      <c r="J211" s="541"/>
      <c r="K211" s="541"/>
      <c r="L211" s="541"/>
      <c r="M211" s="541"/>
      <c r="N211" s="541"/>
    </row>
    <row r="212" spans="1:19" s="540" customFormat="1" ht="14">
      <c r="A212" s="547">
        <v>5</v>
      </c>
      <c r="B212" s="554" t="s">
        <v>1044</v>
      </c>
      <c r="C212" s="546">
        <v>9.27</v>
      </c>
      <c r="D212" s="546">
        <v>2.3919999999999999</v>
      </c>
      <c r="E212" s="544"/>
      <c r="F212" s="546">
        <v>2594.36</v>
      </c>
      <c r="G212" s="546">
        <v>2.3919999199999999</v>
      </c>
      <c r="H212" s="543"/>
      <c r="I212" s="542"/>
      <c r="J212" s="541"/>
      <c r="K212" s="541"/>
      <c r="L212" s="541"/>
      <c r="M212" s="541"/>
      <c r="N212" s="541"/>
    </row>
    <row r="213" spans="1:19" s="529" customFormat="1" ht="14">
      <c r="A213" s="530"/>
      <c r="B213" s="530"/>
      <c r="D213" s="533"/>
      <c r="E213" s="580"/>
    </row>
    <row r="214" spans="1:19" s="529" customFormat="1" ht="14">
      <c r="A214" s="614"/>
      <c r="B214" s="530"/>
      <c r="D214" s="533"/>
      <c r="E214" s="580"/>
      <c r="F214" s="533"/>
    </row>
    <row r="215" spans="1:19" s="529" customFormat="1" ht="14">
      <c r="A215" s="614"/>
      <c r="B215" s="530"/>
      <c r="D215" s="533"/>
      <c r="E215" s="580"/>
      <c r="F215" s="533"/>
    </row>
    <row r="216" spans="1:19" s="530" customFormat="1" ht="14">
      <c r="A216" s="562" t="s">
        <v>106</v>
      </c>
      <c r="B216" s="565" t="s">
        <v>107</v>
      </c>
      <c r="C216" s="564" t="s">
        <v>4</v>
      </c>
      <c r="D216" s="563" t="s">
        <v>108</v>
      </c>
      <c r="E216" s="563" t="s">
        <v>109</v>
      </c>
      <c r="F216" s="562" t="s">
        <v>411</v>
      </c>
      <c r="G216" s="561" t="s">
        <v>950</v>
      </c>
      <c r="H216" s="561" t="s">
        <v>110</v>
      </c>
      <c r="I216" s="561" t="s">
        <v>276</v>
      </c>
      <c r="J216" s="561" t="s">
        <v>117</v>
      </c>
      <c r="K216" s="561" t="s">
        <v>275</v>
      </c>
      <c r="L216" s="562" t="s">
        <v>111</v>
      </c>
      <c r="M216" s="561" t="s">
        <v>949</v>
      </c>
      <c r="N216" s="561" t="s">
        <v>948</v>
      </c>
      <c r="O216" s="561" t="s">
        <v>129</v>
      </c>
      <c r="P216" s="561" t="s">
        <v>220</v>
      </c>
      <c r="Q216" s="537" t="s">
        <v>947</v>
      </c>
      <c r="R216" s="537" t="s">
        <v>946</v>
      </c>
      <c r="S216" s="560" t="s">
        <v>945</v>
      </c>
    </row>
    <row r="217" spans="1:19" s="547" customFormat="1" ht="14">
      <c r="A217" s="554">
        <v>232</v>
      </c>
      <c r="B217" s="559" t="s">
        <v>833</v>
      </c>
      <c r="C217" s="558" t="s">
        <v>834</v>
      </c>
      <c r="D217" s="555">
        <v>15.7</v>
      </c>
      <c r="E217" s="555">
        <v>15.6999999884</v>
      </c>
      <c r="F217" s="557" t="s">
        <v>988</v>
      </c>
      <c r="G217" s="555">
        <v>6.45</v>
      </c>
      <c r="H217" s="555">
        <v>4.7</v>
      </c>
      <c r="I217" s="555">
        <f>H217/G217</f>
        <v>0.72868217054263562</v>
      </c>
      <c r="J217" s="555">
        <v>5.59</v>
      </c>
      <c r="K217" s="555">
        <f>J217/G217</f>
        <v>0.86666666666666659</v>
      </c>
      <c r="L217" s="554">
        <v>7</v>
      </c>
      <c r="M217" s="566">
        <v>43024</v>
      </c>
      <c r="N217" s="555">
        <v>5.81</v>
      </c>
      <c r="O217" s="555">
        <f>(N217*(1+Q217/10)+R217/10)/J217</f>
        <v>1.0500894454382825</v>
      </c>
      <c r="P217" s="553" t="s">
        <v>241</v>
      </c>
      <c r="Q217" s="554">
        <f>IFERROR(MID(P217,FIND("转",P217)+1,FIND("股",P217)-(FIND("转",P217)+1)),0)</f>
        <v>0</v>
      </c>
      <c r="R217" s="554" t="str">
        <f>IFERROR(MID(P217,FIND("派",P217)+1,FIND("元",P217)-FIND("派",P217)-1),0)</f>
        <v>0.6</v>
      </c>
      <c r="S217" s="553"/>
    </row>
    <row r="218" spans="1:19" s="540" customFormat="1" ht="14">
      <c r="A218" s="547"/>
      <c r="B218" s="551" t="s">
        <v>112</v>
      </c>
      <c r="C218" s="551" t="s">
        <v>113</v>
      </c>
      <c r="D218" s="551" t="s">
        <v>943</v>
      </c>
      <c r="E218" s="552" t="s">
        <v>411</v>
      </c>
      <c r="F218" s="552" t="s">
        <v>942</v>
      </c>
      <c r="G218" s="551" t="s">
        <v>231</v>
      </c>
      <c r="H218" s="551" t="s">
        <v>941</v>
      </c>
      <c r="I218" s="549">
        <f>SUM(G219:G249)</f>
        <v>15.699999988400002</v>
      </c>
      <c r="J218" s="548"/>
      <c r="K218" s="548"/>
      <c r="L218" s="548"/>
      <c r="M218" s="548"/>
      <c r="N218" s="548"/>
    </row>
    <row r="219" spans="1:19" s="540" customFormat="1" ht="14">
      <c r="A219" s="1634">
        <v>1</v>
      </c>
      <c r="B219" s="1627" t="s">
        <v>278</v>
      </c>
      <c r="C219" s="546">
        <v>6.21</v>
      </c>
      <c r="D219" s="546">
        <v>1.32</v>
      </c>
      <c r="E219" s="544"/>
      <c r="F219" s="546">
        <v>2361.3595</v>
      </c>
      <c r="G219" s="546">
        <v>1.3199999604999999</v>
      </c>
      <c r="H219" s="543" t="s">
        <v>126</v>
      </c>
      <c r="I219" s="138" t="s">
        <v>1043</v>
      </c>
      <c r="J219" s="541"/>
      <c r="K219" s="541"/>
      <c r="L219" s="541"/>
      <c r="M219" s="541"/>
      <c r="N219" s="541"/>
    </row>
    <row r="220" spans="1:19" s="540" customFormat="1" ht="14">
      <c r="A220" s="1634"/>
      <c r="B220" s="1628"/>
      <c r="C220" s="546">
        <v>5.5</v>
      </c>
      <c r="D220" s="546">
        <v>1.82</v>
      </c>
      <c r="E220" s="544"/>
      <c r="F220" s="546"/>
      <c r="G220" s="546"/>
      <c r="H220" s="543"/>
      <c r="I220" s="542"/>
      <c r="J220" s="541"/>
      <c r="K220" s="541"/>
      <c r="L220" s="541"/>
      <c r="M220" s="541"/>
      <c r="N220" s="541"/>
    </row>
    <row r="221" spans="1:19" s="540" customFormat="1" ht="14">
      <c r="A221" s="1634"/>
      <c r="B221" s="1629"/>
      <c r="C221" s="546">
        <v>5.2</v>
      </c>
      <c r="D221" s="546">
        <v>2.02</v>
      </c>
      <c r="E221" s="544"/>
      <c r="F221" s="546"/>
      <c r="G221" s="546"/>
      <c r="H221" s="543"/>
      <c r="I221" s="542"/>
      <c r="J221" s="541"/>
      <c r="K221" s="541"/>
      <c r="L221" s="541"/>
      <c r="M221" s="541"/>
      <c r="N221" s="541"/>
    </row>
    <row r="222" spans="1:19" s="540" customFormat="1" ht="14">
      <c r="A222" s="547">
        <v>2</v>
      </c>
      <c r="B222" s="554" t="s">
        <v>1042</v>
      </c>
      <c r="C222" s="546">
        <v>6.03</v>
      </c>
      <c r="D222" s="546">
        <v>1.32</v>
      </c>
      <c r="E222" s="544"/>
      <c r="F222" s="546">
        <v>2361.3595</v>
      </c>
      <c r="G222" s="546">
        <v>1.3199999604999999</v>
      </c>
      <c r="H222" s="543"/>
      <c r="I222" s="542"/>
      <c r="J222" s="541"/>
      <c r="K222" s="541"/>
      <c r="L222" s="541"/>
      <c r="M222" s="541"/>
      <c r="N222" s="541"/>
    </row>
    <row r="223" spans="1:19" s="540" customFormat="1" ht="14">
      <c r="A223" s="1634">
        <v>3</v>
      </c>
      <c r="B223" s="1627" t="s">
        <v>228</v>
      </c>
      <c r="C223" s="546">
        <v>6.01</v>
      </c>
      <c r="D223" s="546">
        <v>1.5</v>
      </c>
      <c r="E223" s="544"/>
      <c r="F223" s="546">
        <v>3577.8175000000001</v>
      </c>
      <c r="G223" s="546">
        <v>1.9999999825000001</v>
      </c>
      <c r="H223" s="543"/>
      <c r="I223" s="542"/>
      <c r="J223" s="541"/>
      <c r="K223" s="541"/>
      <c r="L223" s="541"/>
      <c r="M223" s="541"/>
      <c r="N223" s="541"/>
    </row>
    <row r="224" spans="1:19" s="540" customFormat="1" ht="14">
      <c r="A224" s="1634"/>
      <c r="B224" s="1629"/>
      <c r="C224" s="546">
        <v>5.81</v>
      </c>
      <c r="D224" s="546">
        <v>2</v>
      </c>
      <c r="E224" s="544"/>
      <c r="F224" s="546"/>
      <c r="G224" s="546"/>
      <c r="H224" s="543"/>
      <c r="I224" s="542"/>
      <c r="J224" s="541"/>
      <c r="K224" s="541"/>
      <c r="L224" s="541"/>
      <c r="M224" s="541"/>
      <c r="N224" s="541"/>
    </row>
    <row r="225" spans="1:14" s="540" customFormat="1" ht="14">
      <c r="A225" s="1634">
        <v>4</v>
      </c>
      <c r="B225" s="1627" t="s">
        <v>115</v>
      </c>
      <c r="C225" s="546">
        <v>5.95</v>
      </c>
      <c r="D225" s="546">
        <v>1.33</v>
      </c>
      <c r="E225" s="544"/>
      <c r="F225" s="546">
        <v>9516.9946</v>
      </c>
      <c r="G225" s="546">
        <v>5.3199999813999996</v>
      </c>
      <c r="H225" s="543"/>
      <c r="I225" s="542"/>
      <c r="J225" s="541"/>
      <c r="K225" s="541"/>
      <c r="L225" s="541"/>
      <c r="M225" s="541"/>
      <c r="N225" s="541"/>
    </row>
    <row r="226" spans="1:14" s="540" customFormat="1" ht="14">
      <c r="A226" s="1634"/>
      <c r="B226" s="1628"/>
      <c r="C226" s="546">
        <v>5.6</v>
      </c>
      <c r="D226" s="546">
        <v>5.32</v>
      </c>
      <c r="E226" s="544"/>
      <c r="F226" s="546"/>
      <c r="G226" s="546"/>
      <c r="H226" s="543"/>
      <c r="I226" s="542"/>
      <c r="J226" s="541"/>
      <c r="K226" s="541"/>
      <c r="L226" s="541"/>
      <c r="M226" s="541"/>
      <c r="N226" s="541"/>
    </row>
    <row r="227" spans="1:14" s="540" customFormat="1" ht="14">
      <c r="A227" s="1634"/>
      <c r="B227" s="1629"/>
      <c r="C227" s="546">
        <v>5.25</v>
      </c>
      <c r="D227" s="546">
        <v>6.91</v>
      </c>
      <c r="E227" s="544"/>
      <c r="F227" s="546"/>
      <c r="G227" s="546"/>
      <c r="H227" s="543"/>
      <c r="I227" s="542"/>
      <c r="J227" s="541"/>
      <c r="K227" s="541"/>
      <c r="L227" s="541"/>
      <c r="M227" s="541"/>
      <c r="N227" s="541"/>
    </row>
    <row r="228" spans="1:14" s="540" customFormat="1" ht="14">
      <c r="A228" s="547">
        <v>5</v>
      </c>
      <c r="B228" s="554" t="s">
        <v>146</v>
      </c>
      <c r="C228" s="546">
        <v>5.85</v>
      </c>
      <c r="D228" s="546">
        <v>1.4</v>
      </c>
      <c r="E228" s="544"/>
      <c r="F228" s="546">
        <v>2504.4722000000002</v>
      </c>
      <c r="G228" s="546">
        <v>1.3999999597999999</v>
      </c>
      <c r="H228" s="543"/>
      <c r="I228" s="542"/>
      <c r="J228" s="541"/>
      <c r="K228" s="541"/>
      <c r="L228" s="541"/>
      <c r="M228" s="541"/>
      <c r="N228" s="541"/>
    </row>
    <row r="229" spans="1:14" s="540" customFormat="1" ht="14">
      <c r="A229" s="547">
        <v>6</v>
      </c>
      <c r="B229" s="554" t="s">
        <v>966</v>
      </c>
      <c r="C229" s="546">
        <v>5.59</v>
      </c>
      <c r="D229" s="546">
        <v>1.32</v>
      </c>
      <c r="E229" s="544"/>
      <c r="F229" s="546">
        <v>776.10050000000001</v>
      </c>
      <c r="G229" s="546">
        <v>0.43384017950000003</v>
      </c>
      <c r="H229" s="543"/>
      <c r="I229" s="542"/>
      <c r="J229" s="541"/>
      <c r="K229" s="541"/>
      <c r="L229" s="541"/>
      <c r="M229" s="541"/>
      <c r="N229" s="541"/>
    </row>
    <row r="230" spans="1:14" s="540" customFormat="1" ht="14">
      <c r="A230" s="547">
        <v>7</v>
      </c>
      <c r="B230" s="554" t="s">
        <v>173</v>
      </c>
      <c r="C230" s="546">
        <v>5.53</v>
      </c>
      <c r="D230" s="546">
        <v>1.6</v>
      </c>
      <c r="E230" s="544"/>
      <c r="F230" s="546"/>
      <c r="G230" s="546"/>
      <c r="H230" s="543"/>
      <c r="I230" s="542"/>
      <c r="J230" s="541"/>
      <c r="K230" s="541"/>
      <c r="L230" s="541"/>
      <c r="M230" s="541"/>
      <c r="N230" s="541"/>
    </row>
    <row r="231" spans="1:14" s="540" customFormat="1" ht="14">
      <c r="A231" s="547">
        <v>8</v>
      </c>
      <c r="B231" s="554" t="s">
        <v>982</v>
      </c>
      <c r="C231" s="546">
        <v>5.53</v>
      </c>
      <c r="D231" s="546">
        <v>1.32</v>
      </c>
      <c r="E231" s="544"/>
      <c r="F231" s="546"/>
      <c r="G231" s="546"/>
      <c r="H231" s="543"/>
      <c r="I231" s="542"/>
      <c r="J231" s="541"/>
      <c r="K231" s="541"/>
      <c r="L231" s="541"/>
      <c r="M231" s="541"/>
      <c r="N231" s="541"/>
    </row>
    <row r="232" spans="1:14" s="540" customFormat="1" ht="14">
      <c r="A232" s="547">
        <v>9</v>
      </c>
      <c r="B232" s="554" t="s">
        <v>1041</v>
      </c>
      <c r="C232" s="546">
        <v>5.52</v>
      </c>
      <c r="D232" s="546">
        <v>2.64</v>
      </c>
      <c r="E232" s="544"/>
      <c r="F232" s="546"/>
      <c r="G232" s="546"/>
      <c r="H232" s="543"/>
      <c r="I232" s="542"/>
      <c r="J232" s="541"/>
      <c r="K232" s="541"/>
      <c r="L232" s="541"/>
      <c r="M232" s="541"/>
      <c r="N232" s="541"/>
    </row>
    <row r="233" spans="1:14" s="540" customFormat="1" ht="14">
      <c r="A233" s="547">
        <v>10</v>
      </c>
      <c r="B233" s="554" t="s">
        <v>955</v>
      </c>
      <c r="C233" s="546">
        <v>5.52</v>
      </c>
      <c r="D233" s="546">
        <v>1.32</v>
      </c>
      <c r="E233" s="544"/>
      <c r="F233" s="546"/>
      <c r="G233" s="546"/>
      <c r="H233" s="543"/>
      <c r="I233" s="542"/>
      <c r="J233" s="541"/>
      <c r="K233" s="541"/>
      <c r="L233" s="541"/>
      <c r="M233" s="541"/>
      <c r="N233" s="541"/>
    </row>
    <row r="234" spans="1:14" s="540" customFormat="1" ht="14">
      <c r="A234" s="547">
        <v>11</v>
      </c>
      <c r="B234" s="554" t="s">
        <v>128</v>
      </c>
      <c r="C234" s="546">
        <v>5.51</v>
      </c>
      <c r="D234" s="546">
        <v>1.6</v>
      </c>
      <c r="E234" s="544"/>
      <c r="F234" s="546"/>
      <c r="G234" s="546"/>
      <c r="H234" s="543"/>
      <c r="I234" s="542"/>
      <c r="J234" s="541"/>
      <c r="K234" s="541"/>
      <c r="L234" s="541"/>
      <c r="M234" s="541"/>
      <c r="N234" s="541"/>
    </row>
    <row r="235" spans="1:14" s="540" customFormat="1" ht="14">
      <c r="A235" s="1634">
        <v>12</v>
      </c>
      <c r="B235" s="1627" t="s">
        <v>122</v>
      </c>
      <c r="C235" s="546">
        <v>5.51</v>
      </c>
      <c r="D235" s="546">
        <v>1.6</v>
      </c>
      <c r="E235" s="544"/>
      <c r="F235" s="546"/>
      <c r="G235" s="546"/>
      <c r="H235" s="543"/>
      <c r="I235" s="542"/>
      <c r="J235" s="541"/>
      <c r="K235" s="541"/>
      <c r="L235" s="541"/>
      <c r="M235" s="541"/>
      <c r="N235" s="541"/>
    </row>
    <row r="236" spans="1:14" s="540" customFormat="1" ht="14">
      <c r="A236" s="1634"/>
      <c r="B236" s="1629"/>
      <c r="C236" s="546">
        <v>4.7300000000000004</v>
      </c>
      <c r="D236" s="546">
        <v>2.57</v>
      </c>
      <c r="E236" s="544"/>
      <c r="F236" s="546"/>
      <c r="G236" s="546"/>
      <c r="H236" s="543"/>
      <c r="I236" s="542"/>
      <c r="J236" s="541"/>
      <c r="K236" s="541"/>
      <c r="L236" s="541"/>
      <c r="M236" s="541"/>
      <c r="N236" s="541"/>
    </row>
    <row r="237" spans="1:14" s="540" customFormat="1" ht="14">
      <c r="A237" s="1634">
        <v>13</v>
      </c>
      <c r="B237" s="1627" t="s">
        <v>300</v>
      </c>
      <c r="C237" s="546">
        <v>5.5</v>
      </c>
      <c r="D237" s="546">
        <v>1.33</v>
      </c>
      <c r="E237" s="544"/>
      <c r="F237" s="546"/>
      <c r="G237" s="546"/>
      <c r="H237" s="543"/>
      <c r="I237" s="542"/>
      <c r="J237" s="541"/>
      <c r="K237" s="541"/>
      <c r="L237" s="541"/>
      <c r="M237" s="541"/>
      <c r="N237" s="541"/>
    </row>
    <row r="238" spans="1:14" s="540" customFormat="1" ht="14">
      <c r="A238" s="1634"/>
      <c r="B238" s="1629"/>
      <c r="C238" s="546">
        <v>5</v>
      </c>
      <c r="D238" s="546">
        <v>1.63</v>
      </c>
      <c r="E238" s="544"/>
      <c r="F238" s="546"/>
      <c r="G238" s="546"/>
      <c r="H238" s="543"/>
      <c r="I238" s="542"/>
      <c r="J238" s="541"/>
      <c r="K238" s="541"/>
      <c r="L238" s="541"/>
      <c r="M238" s="541"/>
      <c r="N238" s="541"/>
    </row>
    <row r="239" spans="1:14" s="540" customFormat="1" ht="14">
      <c r="A239" s="547">
        <v>14</v>
      </c>
      <c r="B239" s="554" t="s">
        <v>351</v>
      </c>
      <c r="C239" s="546">
        <v>5.36</v>
      </c>
      <c r="D239" s="546">
        <v>1.32</v>
      </c>
      <c r="E239" s="544"/>
      <c r="F239" s="546"/>
      <c r="G239" s="546"/>
      <c r="H239" s="543"/>
      <c r="I239" s="542"/>
      <c r="J239" s="541"/>
      <c r="K239" s="541"/>
      <c r="L239" s="541"/>
      <c r="M239" s="541"/>
      <c r="N239" s="541"/>
    </row>
    <row r="240" spans="1:14" s="540" customFormat="1" ht="14">
      <c r="A240" s="547">
        <v>15</v>
      </c>
      <c r="B240" s="554" t="s">
        <v>975</v>
      </c>
      <c r="C240" s="546">
        <v>5.35</v>
      </c>
      <c r="D240" s="546">
        <v>1.32</v>
      </c>
      <c r="E240" s="544"/>
      <c r="F240" s="546"/>
      <c r="G240" s="546"/>
      <c r="H240" s="543"/>
      <c r="I240" s="542"/>
      <c r="J240" s="541"/>
      <c r="K240" s="541"/>
      <c r="L240" s="541"/>
      <c r="M240" s="541"/>
      <c r="N240" s="541"/>
    </row>
    <row r="241" spans="1:14" s="540" customFormat="1" ht="14">
      <c r="A241" s="547">
        <v>16</v>
      </c>
      <c r="B241" s="554" t="s">
        <v>147</v>
      </c>
      <c r="C241" s="546">
        <v>5.31</v>
      </c>
      <c r="D241" s="546">
        <v>2.13</v>
      </c>
      <c r="E241" s="544"/>
      <c r="F241" s="546"/>
      <c r="G241" s="546"/>
      <c r="H241" s="543"/>
      <c r="I241" s="542"/>
      <c r="J241" s="541"/>
      <c r="K241" s="541"/>
      <c r="L241" s="541"/>
      <c r="M241" s="541"/>
      <c r="N241" s="541"/>
    </row>
    <row r="242" spans="1:14" s="540" customFormat="1" ht="14">
      <c r="A242" s="547">
        <v>17</v>
      </c>
      <c r="B242" s="554" t="s">
        <v>127</v>
      </c>
      <c r="C242" s="546">
        <v>5.23</v>
      </c>
      <c r="D242" s="546">
        <v>1.8</v>
      </c>
      <c r="E242" s="544"/>
      <c r="F242" s="546"/>
      <c r="G242" s="546"/>
      <c r="H242" s="543"/>
      <c r="I242" s="542"/>
      <c r="J242" s="541"/>
      <c r="K242" s="541"/>
      <c r="L242" s="541"/>
      <c r="M242" s="541"/>
      <c r="N242" s="541"/>
    </row>
    <row r="243" spans="1:14" s="540" customFormat="1" ht="14">
      <c r="A243" s="547">
        <v>18</v>
      </c>
      <c r="B243" s="554" t="s">
        <v>157</v>
      </c>
      <c r="C243" s="546">
        <v>5.22</v>
      </c>
      <c r="D243" s="546">
        <v>1.32</v>
      </c>
      <c r="E243" s="544"/>
      <c r="F243" s="546"/>
      <c r="G243" s="546"/>
      <c r="H243" s="543"/>
      <c r="I243" s="542"/>
      <c r="J243" s="541"/>
      <c r="K243" s="541"/>
      <c r="L243" s="541"/>
      <c r="M243" s="541"/>
      <c r="N243" s="541"/>
    </row>
    <row r="244" spans="1:14" s="540" customFormat="1" ht="14">
      <c r="A244" s="547">
        <v>19</v>
      </c>
      <c r="B244" s="554" t="s">
        <v>6</v>
      </c>
      <c r="C244" s="546">
        <v>5.1100000000000003</v>
      </c>
      <c r="D244" s="546">
        <v>1.32</v>
      </c>
      <c r="E244" s="544"/>
      <c r="F244" s="546"/>
      <c r="G244" s="546"/>
      <c r="H244" s="543"/>
      <c r="I244" s="542"/>
      <c r="J244" s="541"/>
      <c r="K244" s="541"/>
      <c r="L244" s="541"/>
      <c r="M244" s="541"/>
      <c r="N244" s="541"/>
    </row>
    <row r="245" spans="1:14" s="540" customFormat="1" ht="14">
      <c r="A245" s="547">
        <v>20</v>
      </c>
      <c r="B245" s="554" t="s">
        <v>321</v>
      </c>
      <c r="C245" s="546">
        <v>5.01</v>
      </c>
      <c r="D245" s="546">
        <v>2.6011000000000002</v>
      </c>
      <c r="E245" s="544"/>
      <c r="F245" s="546"/>
      <c r="G245" s="546"/>
      <c r="H245" s="543"/>
      <c r="I245" s="542"/>
      <c r="J245" s="541"/>
      <c r="K245" s="541"/>
      <c r="L245" s="541"/>
      <c r="M245" s="541"/>
      <c r="N245" s="541"/>
    </row>
    <row r="246" spans="1:14" s="540" customFormat="1" ht="14">
      <c r="A246" s="547">
        <v>21</v>
      </c>
      <c r="B246" s="554" t="s">
        <v>1040</v>
      </c>
      <c r="C246" s="546">
        <v>5</v>
      </c>
      <c r="D246" s="546">
        <v>1.32</v>
      </c>
      <c r="E246" s="544"/>
      <c r="F246" s="546"/>
      <c r="G246" s="546"/>
      <c r="H246" s="543"/>
      <c r="I246" s="542"/>
      <c r="J246" s="541"/>
      <c r="K246" s="541"/>
      <c r="L246" s="541"/>
      <c r="M246" s="541"/>
      <c r="N246" s="541"/>
    </row>
    <row r="247" spans="1:14" s="540" customFormat="1" ht="14">
      <c r="A247" s="547">
        <v>22</v>
      </c>
      <c r="B247" s="554" t="s">
        <v>120</v>
      </c>
      <c r="C247" s="546">
        <v>4.99</v>
      </c>
      <c r="D247" s="546">
        <v>1.32</v>
      </c>
      <c r="E247" s="544"/>
      <c r="F247" s="546"/>
      <c r="G247" s="546"/>
      <c r="H247" s="543"/>
      <c r="I247" s="542"/>
      <c r="J247" s="541"/>
      <c r="K247" s="541"/>
      <c r="L247" s="541"/>
      <c r="M247" s="541"/>
      <c r="N247" s="541"/>
    </row>
    <row r="248" spans="1:14" s="540" customFormat="1" ht="14">
      <c r="A248" s="547">
        <v>23</v>
      </c>
      <c r="B248" s="554" t="s">
        <v>131</v>
      </c>
      <c r="C248" s="546">
        <v>4.72</v>
      </c>
      <c r="D248" s="546">
        <v>2.93</v>
      </c>
      <c r="E248" s="544"/>
      <c r="F248" s="546"/>
      <c r="G248" s="546"/>
      <c r="H248" s="543"/>
      <c r="I248" s="542"/>
      <c r="J248" s="541"/>
      <c r="K248" s="541"/>
      <c r="L248" s="541"/>
      <c r="M248" s="541"/>
      <c r="N248" s="541"/>
    </row>
    <row r="249" spans="1:14" s="540" customFormat="1" ht="14">
      <c r="A249" s="547">
        <v>24</v>
      </c>
      <c r="B249" s="537" t="s">
        <v>1039</v>
      </c>
      <c r="C249" s="1623" t="s">
        <v>380</v>
      </c>
      <c r="D249" s="1623"/>
      <c r="E249" s="544"/>
      <c r="F249" s="546">
        <v>6987.7637999999997</v>
      </c>
      <c r="G249" s="546">
        <v>3.9061599642</v>
      </c>
      <c r="H249" s="543"/>
      <c r="I249" s="542"/>
      <c r="J249" s="541"/>
      <c r="K249" s="541"/>
      <c r="L249" s="541"/>
      <c r="M249" s="541"/>
      <c r="N249" s="541"/>
    </row>
    <row r="250" spans="1:14" s="529" customFormat="1" ht="14">
      <c r="A250" s="530"/>
      <c r="B250" s="530"/>
      <c r="C250" s="530"/>
      <c r="E250" s="580"/>
      <c r="F250" s="533"/>
      <c r="G250" s="613"/>
    </row>
    <row r="251" spans="1:14" s="529" customFormat="1" ht="14">
      <c r="A251" s="530"/>
      <c r="B251" s="530"/>
      <c r="C251" s="530"/>
      <c r="E251" s="580"/>
      <c r="F251" s="611"/>
    </row>
    <row r="252" spans="1:14" s="529" customFormat="1" ht="14">
      <c r="A252" s="531"/>
      <c r="B252" s="530"/>
      <c r="C252" s="530"/>
      <c r="D252" s="530"/>
      <c r="E252" s="533"/>
      <c r="F252" s="580"/>
      <c r="G252" s="580"/>
      <c r="H252" s="580"/>
      <c r="I252" s="532"/>
      <c r="J252" s="533"/>
      <c r="K252" s="532"/>
    </row>
  </sheetData>
  <mergeCells count="98">
    <mergeCell ref="F17:F19"/>
    <mergeCell ref="G17:G19"/>
    <mergeCell ref="B17:B19"/>
    <mergeCell ref="A17:A19"/>
    <mergeCell ref="B47:B48"/>
    <mergeCell ref="A47:A48"/>
    <mergeCell ref="A43:A45"/>
    <mergeCell ref="G39:G40"/>
    <mergeCell ref="F43:F45"/>
    <mergeCell ref="F39:F40"/>
    <mergeCell ref="G43:G45"/>
    <mergeCell ref="A39:A41"/>
    <mergeCell ref="B43:B45"/>
    <mergeCell ref="B39:B41"/>
    <mergeCell ref="B49:B51"/>
    <mergeCell ref="A49:A51"/>
    <mergeCell ref="A52:A54"/>
    <mergeCell ref="B52:B54"/>
    <mergeCell ref="A102:A104"/>
    <mergeCell ref="A98:A100"/>
    <mergeCell ref="B98:B100"/>
    <mergeCell ref="B95:B97"/>
    <mergeCell ref="A95:A97"/>
    <mergeCell ref="A68:A69"/>
    <mergeCell ref="A65:A66"/>
    <mergeCell ref="B68:B69"/>
    <mergeCell ref="B65:B66"/>
    <mergeCell ref="A59:A61"/>
    <mergeCell ref="B59:B61"/>
    <mergeCell ref="B102:B104"/>
    <mergeCell ref="A113:A115"/>
    <mergeCell ref="B113:B115"/>
    <mergeCell ref="A56:A58"/>
    <mergeCell ref="B56:B58"/>
    <mergeCell ref="A92:A93"/>
    <mergeCell ref="A82:A84"/>
    <mergeCell ref="A107:A108"/>
    <mergeCell ref="A105:A106"/>
    <mergeCell ref="B82:B84"/>
    <mergeCell ref="B85:B86"/>
    <mergeCell ref="A85:A86"/>
    <mergeCell ref="A87:A88"/>
    <mergeCell ref="B87:B88"/>
    <mergeCell ref="B92:B93"/>
    <mergeCell ref="B105:B106"/>
    <mergeCell ref="B107:B108"/>
    <mergeCell ref="A149:A151"/>
    <mergeCell ref="A158:A160"/>
    <mergeCell ref="A120:A121"/>
    <mergeCell ref="B120:B121"/>
    <mergeCell ref="B116:B117"/>
    <mergeCell ref="A116:A117"/>
    <mergeCell ref="A132:A134"/>
    <mergeCell ref="B132:B134"/>
    <mergeCell ref="B135:B137"/>
    <mergeCell ref="A135:A137"/>
    <mergeCell ref="A138:A140"/>
    <mergeCell ref="B138:B140"/>
    <mergeCell ref="B149:B151"/>
    <mergeCell ref="B158:B160"/>
    <mergeCell ref="C142:D142"/>
    <mergeCell ref="G149:G151"/>
    <mergeCell ref="F149:F151"/>
    <mergeCell ref="B207:B208"/>
    <mergeCell ref="A192:A195"/>
    <mergeCell ref="G182:G183"/>
    <mergeCell ref="B192:B195"/>
    <mergeCell ref="G158:G160"/>
    <mergeCell ref="F158:F160"/>
    <mergeCell ref="A163:A164"/>
    <mergeCell ref="A165:A166"/>
    <mergeCell ref="B165:B166"/>
    <mergeCell ref="B163:B164"/>
    <mergeCell ref="A172:A173"/>
    <mergeCell ref="B172:B173"/>
    <mergeCell ref="G174:G175"/>
    <mergeCell ref="F174:F175"/>
    <mergeCell ref="F182:F183"/>
    <mergeCell ref="A182:A183"/>
    <mergeCell ref="B182:B183"/>
    <mergeCell ref="B174:B175"/>
    <mergeCell ref="A174:A175"/>
    <mergeCell ref="G192:G195"/>
    <mergeCell ref="F192:F195"/>
    <mergeCell ref="C249:D249"/>
    <mergeCell ref="A225:A227"/>
    <mergeCell ref="B225:B227"/>
    <mergeCell ref="B223:B224"/>
    <mergeCell ref="A223:A224"/>
    <mergeCell ref="A237:A238"/>
    <mergeCell ref="A235:A236"/>
    <mergeCell ref="B237:B238"/>
    <mergeCell ref="B235:B236"/>
    <mergeCell ref="A219:A221"/>
    <mergeCell ref="B219:B221"/>
    <mergeCell ref="G207:G208"/>
    <mergeCell ref="F207:F208"/>
    <mergeCell ref="A207:A208"/>
  </mergeCells>
  <phoneticPr fontId="139" type="noConversion"/>
  <hyperlinks>
    <hyperlink ref="I6" r:id="rId1" xr:uid="{00000000-0004-0000-0A00-000000000000}"/>
    <hyperlink ref="I17" r:id="rId2" xr:uid="{00000000-0004-0000-0A00-000001000000}"/>
    <hyperlink ref="I29" r:id="rId3" xr:uid="{00000000-0004-0000-0A00-000002000000}"/>
    <hyperlink ref="I39" r:id="rId4" xr:uid="{00000000-0004-0000-0A00-000003000000}"/>
    <hyperlink ref="I81" r:id="rId5" xr:uid="{00000000-0004-0000-0A00-000004000000}"/>
    <hyperlink ref="I130" r:id="rId6" xr:uid="{00000000-0004-0000-0A00-000005000000}"/>
    <hyperlink ref="I149" r:id="rId7" xr:uid="{00000000-0004-0000-0A00-000006000000}"/>
    <hyperlink ref="I191" r:id="rId8" xr:uid="{00000000-0004-0000-0A00-000007000000}"/>
    <hyperlink ref="I207" r:id="rId9" xr:uid="{00000000-0004-0000-0A00-000008000000}"/>
    <hyperlink ref="I219" r:id="rId10" xr:uid="{00000000-0004-0000-0A00-000009000000}"/>
  </hyperlink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263"/>
  <sheetViews>
    <sheetView topLeftCell="A235" workbookViewId="0">
      <selection activeCell="B270" sqref="B270"/>
    </sheetView>
  </sheetViews>
  <sheetFormatPr defaultColWidth="10.83203125" defaultRowHeight="15.5"/>
  <cols>
    <col min="1" max="1" width="10.83203125" style="528"/>
    <col min="2" max="2" width="36.33203125" style="528" customWidth="1"/>
    <col min="3" max="3" width="10.83203125" style="528"/>
    <col min="4" max="4" width="15.83203125" style="528" bestFit="1" customWidth="1"/>
    <col min="5" max="5" width="14" style="528" bestFit="1" customWidth="1"/>
    <col min="6" max="6" width="22" style="528" customWidth="1"/>
    <col min="7" max="7" width="15.83203125" style="528" bestFit="1" customWidth="1"/>
    <col min="8" max="8" width="14" style="528" bestFit="1" customWidth="1"/>
    <col min="9" max="11" width="10.83203125" style="528"/>
    <col min="12" max="12" width="12.1640625" style="528" bestFit="1" customWidth="1"/>
    <col min="13" max="15" width="10.83203125" style="528"/>
    <col min="16" max="16" width="25.5" style="528" bestFit="1" customWidth="1"/>
    <col min="17" max="19" width="0" style="528" hidden="1" customWidth="1"/>
    <col min="20" max="16384" width="10.83203125" style="528"/>
  </cols>
  <sheetData>
    <row r="1" spans="1:19" s="24" customFormat="1" ht="14">
      <c r="B1" s="24" t="s">
        <v>1281</v>
      </c>
    </row>
    <row r="2" spans="1:19" s="24" customFormat="1" ht="14"/>
    <row r="3" spans="1:19" s="530" customFormat="1" ht="14">
      <c r="A3" s="562" t="s">
        <v>106</v>
      </c>
      <c r="B3" s="565" t="s">
        <v>107</v>
      </c>
      <c r="C3" s="564" t="s">
        <v>4</v>
      </c>
      <c r="D3" s="563" t="s">
        <v>108</v>
      </c>
      <c r="E3" s="563" t="s">
        <v>109</v>
      </c>
      <c r="F3" s="562" t="s">
        <v>411</v>
      </c>
      <c r="G3" s="561" t="s">
        <v>950</v>
      </c>
      <c r="H3" s="561" t="s">
        <v>110</v>
      </c>
      <c r="I3" s="561" t="s">
        <v>276</v>
      </c>
      <c r="J3" s="561" t="s">
        <v>117</v>
      </c>
      <c r="K3" s="561" t="s">
        <v>275</v>
      </c>
      <c r="L3" s="562" t="s">
        <v>111</v>
      </c>
      <c r="M3" s="561" t="s">
        <v>949</v>
      </c>
      <c r="N3" s="561" t="s">
        <v>948</v>
      </c>
      <c r="O3" s="561" t="s">
        <v>129</v>
      </c>
      <c r="P3" s="561" t="s">
        <v>220</v>
      </c>
      <c r="Q3" s="537" t="s">
        <v>947</v>
      </c>
      <c r="R3" s="537" t="s">
        <v>946</v>
      </c>
      <c r="S3" s="560" t="s">
        <v>945</v>
      </c>
    </row>
    <row r="4" spans="1:19" s="547" customFormat="1" ht="14">
      <c r="A4" s="554">
        <v>233</v>
      </c>
      <c r="B4" s="559" t="s">
        <v>835</v>
      </c>
      <c r="C4" s="558" t="s">
        <v>836</v>
      </c>
      <c r="D4" s="555">
        <v>6.72</v>
      </c>
      <c r="E4" s="555">
        <v>6.7199998819999998</v>
      </c>
      <c r="F4" s="557" t="s">
        <v>972</v>
      </c>
      <c r="G4" s="555">
        <v>17.579999999999998</v>
      </c>
      <c r="H4" s="555">
        <v>14.7</v>
      </c>
      <c r="I4" s="555">
        <f>H4/G4</f>
        <v>0.83617747440273038</v>
      </c>
      <c r="J4" s="555">
        <v>16.600000000000001</v>
      </c>
      <c r="K4" s="555">
        <f>J4/G4</f>
        <v>0.94425483503981811</v>
      </c>
      <c r="L4" s="554">
        <v>7</v>
      </c>
      <c r="M4" s="566">
        <v>43025</v>
      </c>
      <c r="N4" s="555">
        <v>14.92</v>
      </c>
      <c r="O4" s="555">
        <f>(N4*(1+Q4/10)+R4/10)/J4</f>
        <v>0.91084337349397582</v>
      </c>
      <c r="P4" s="553" t="s">
        <v>268</v>
      </c>
      <c r="Q4" s="554">
        <f>IFERROR(MID(P4,FIND("转",P4)+1,FIND("股",P4)-(FIND("转",P4)+1)),0)</f>
        <v>0</v>
      </c>
      <c r="R4" s="554" t="str">
        <f>IFERROR(MID(P4,FIND("派",P4)+1,FIND("元",P4)-FIND("派",P4)-1),0)</f>
        <v>2.00</v>
      </c>
      <c r="S4" s="553"/>
    </row>
    <row r="5" spans="1:19" s="540" customFormat="1" ht="14">
      <c r="A5" s="547"/>
      <c r="B5" s="551" t="s">
        <v>112</v>
      </c>
      <c r="C5" s="551" t="s">
        <v>113</v>
      </c>
      <c r="D5" s="551" t="s">
        <v>943</v>
      </c>
      <c r="E5" s="552" t="s">
        <v>411</v>
      </c>
      <c r="F5" s="552" t="s">
        <v>942</v>
      </c>
      <c r="G5" s="551" t="s">
        <v>231</v>
      </c>
      <c r="H5" s="551" t="s">
        <v>941</v>
      </c>
      <c r="I5" s="549">
        <f>SUM(G6:G40)</f>
        <v>6.7199998819999998</v>
      </c>
      <c r="J5" s="548"/>
      <c r="K5" s="548"/>
      <c r="L5" s="548"/>
      <c r="M5" s="548"/>
      <c r="N5" s="548"/>
    </row>
    <row r="6" spans="1:19" s="540" customFormat="1" ht="14">
      <c r="A6" s="1634">
        <v>1</v>
      </c>
      <c r="B6" s="1627" t="s">
        <v>547</v>
      </c>
      <c r="C6" s="546">
        <v>15.78</v>
      </c>
      <c r="D6" s="546">
        <v>0.67</v>
      </c>
      <c r="E6" s="544"/>
      <c r="F6" s="546"/>
      <c r="G6" s="546"/>
      <c r="H6" s="543" t="s">
        <v>126</v>
      </c>
      <c r="I6" s="138" t="s">
        <v>1141</v>
      </c>
      <c r="J6" s="541"/>
      <c r="K6" s="541"/>
      <c r="L6" s="541"/>
      <c r="M6" s="541"/>
      <c r="N6" s="541"/>
    </row>
    <row r="7" spans="1:19" s="540" customFormat="1" ht="14">
      <c r="A7" s="1634"/>
      <c r="B7" s="1628"/>
      <c r="C7" s="546">
        <v>15.5</v>
      </c>
      <c r="D7" s="546">
        <v>0.67</v>
      </c>
      <c r="E7" s="544"/>
      <c r="F7" s="546"/>
      <c r="G7" s="546"/>
      <c r="H7" s="543"/>
      <c r="I7" s="542"/>
      <c r="J7" s="541"/>
      <c r="K7" s="541"/>
      <c r="L7" s="541"/>
      <c r="M7" s="541"/>
      <c r="N7" s="541"/>
    </row>
    <row r="8" spans="1:19" s="540" customFormat="1" ht="14">
      <c r="A8" s="1634"/>
      <c r="B8" s="1629"/>
      <c r="C8" s="546">
        <v>15.21</v>
      </c>
      <c r="D8" s="546">
        <v>0.67</v>
      </c>
      <c r="E8" s="544"/>
      <c r="F8" s="546"/>
      <c r="G8" s="546"/>
      <c r="H8" s="543"/>
      <c r="I8" s="542"/>
      <c r="J8" s="541"/>
      <c r="K8" s="541"/>
      <c r="L8" s="541"/>
      <c r="M8" s="541"/>
      <c r="N8" s="541"/>
    </row>
    <row r="9" spans="1:19" s="540" customFormat="1" ht="14">
      <c r="A9" s="1634">
        <v>2</v>
      </c>
      <c r="B9" s="1627" t="s">
        <v>155</v>
      </c>
      <c r="C9" s="546">
        <v>15.11</v>
      </c>
      <c r="D9" s="546">
        <v>0.5</v>
      </c>
      <c r="E9" s="544"/>
      <c r="F9" s="546"/>
      <c r="G9" s="546"/>
      <c r="H9" s="543"/>
      <c r="I9" s="542"/>
      <c r="J9" s="541"/>
      <c r="K9" s="541"/>
      <c r="L9" s="541"/>
      <c r="M9" s="541"/>
      <c r="N9" s="541"/>
    </row>
    <row r="10" spans="1:19" s="540" customFormat="1" ht="14">
      <c r="A10" s="1634"/>
      <c r="B10" s="1629"/>
      <c r="C10" s="546">
        <v>14.75</v>
      </c>
      <c r="D10" s="546">
        <v>0.8</v>
      </c>
      <c r="E10" s="544"/>
      <c r="F10" s="546"/>
      <c r="G10" s="546"/>
      <c r="H10" s="543"/>
      <c r="I10" s="542"/>
      <c r="J10" s="541"/>
      <c r="K10" s="541"/>
      <c r="L10" s="541"/>
      <c r="M10" s="541"/>
      <c r="N10" s="541"/>
    </row>
    <row r="11" spans="1:19" s="540" customFormat="1" ht="14">
      <c r="A11" s="547">
        <v>3</v>
      </c>
      <c r="B11" s="554" t="s">
        <v>1140</v>
      </c>
      <c r="C11" s="546">
        <v>15.44</v>
      </c>
      <c r="D11" s="546">
        <v>0.45</v>
      </c>
      <c r="E11" s="544"/>
      <c r="F11" s="546"/>
      <c r="G11" s="546"/>
      <c r="H11" s="543"/>
      <c r="I11" s="542"/>
      <c r="J11" s="541"/>
      <c r="K11" s="541"/>
      <c r="L11" s="541"/>
      <c r="M11" s="541"/>
      <c r="N11" s="541"/>
    </row>
    <row r="12" spans="1:19" s="540" customFormat="1" ht="14">
      <c r="A12" s="1634">
        <v>4</v>
      </c>
      <c r="B12" s="1627" t="s">
        <v>316</v>
      </c>
      <c r="C12" s="546">
        <v>15.8</v>
      </c>
      <c r="D12" s="546">
        <v>0.49</v>
      </c>
      <c r="E12" s="544"/>
      <c r="F12" s="546"/>
      <c r="G12" s="546"/>
      <c r="H12" s="543"/>
      <c r="I12" s="542"/>
      <c r="J12" s="541"/>
      <c r="K12" s="541"/>
      <c r="L12" s="541"/>
      <c r="M12" s="541"/>
      <c r="N12" s="541"/>
    </row>
    <row r="13" spans="1:19" s="540" customFormat="1" ht="14">
      <c r="A13" s="1634"/>
      <c r="B13" s="1629"/>
      <c r="C13" s="546">
        <v>15.6</v>
      </c>
      <c r="D13" s="546">
        <v>0.97</v>
      </c>
      <c r="E13" s="544"/>
      <c r="F13" s="546"/>
      <c r="G13" s="546"/>
      <c r="H13" s="543"/>
      <c r="I13" s="542"/>
      <c r="J13" s="541"/>
      <c r="K13" s="541"/>
      <c r="L13" s="541"/>
      <c r="M13" s="541"/>
      <c r="N13" s="541"/>
    </row>
    <row r="14" spans="1:19" s="540" customFormat="1" ht="14">
      <c r="A14" s="1634">
        <v>5</v>
      </c>
      <c r="B14" s="1627" t="s">
        <v>982</v>
      </c>
      <c r="C14" s="546">
        <v>15.7</v>
      </c>
      <c r="D14" s="546">
        <v>0.45</v>
      </c>
      <c r="E14" s="544"/>
      <c r="F14" s="546"/>
      <c r="G14" s="546"/>
      <c r="H14" s="543"/>
      <c r="I14" s="542"/>
      <c r="J14" s="541"/>
      <c r="K14" s="541"/>
      <c r="L14" s="541"/>
      <c r="M14" s="541"/>
      <c r="N14" s="541"/>
    </row>
    <row r="15" spans="1:19" s="540" customFormat="1" ht="14">
      <c r="A15" s="1634"/>
      <c r="B15" s="1628"/>
      <c r="C15" s="546">
        <v>15.46</v>
      </c>
      <c r="D15" s="546">
        <v>0.9</v>
      </c>
      <c r="E15" s="544"/>
      <c r="F15" s="546"/>
      <c r="G15" s="546"/>
      <c r="H15" s="543"/>
      <c r="I15" s="542"/>
      <c r="J15" s="541"/>
      <c r="K15" s="541"/>
      <c r="L15" s="541"/>
      <c r="M15" s="541"/>
      <c r="N15" s="541"/>
    </row>
    <row r="16" spans="1:19" s="540" customFormat="1" ht="14">
      <c r="A16" s="1634"/>
      <c r="B16" s="1629"/>
      <c r="C16" s="546">
        <v>14.81</v>
      </c>
      <c r="D16" s="546">
        <v>1.35</v>
      </c>
      <c r="E16" s="544"/>
      <c r="F16" s="546"/>
      <c r="G16" s="546"/>
      <c r="H16" s="543"/>
      <c r="I16" s="542"/>
      <c r="J16" s="541"/>
      <c r="K16" s="541"/>
      <c r="L16" s="541"/>
      <c r="M16" s="541"/>
      <c r="N16" s="541"/>
    </row>
    <row r="17" spans="1:14" s="540" customFormat="1" ht="14">
      <c r="A17" s="547">
        <v>6</v>
      </c>
      <c r="B17" s="554" t="s">
        <v>131</v>
      </c>
      <c r="C17" s="546">
        <v>14.72</v>
      </c>
      <c r="D17" s="546">
        <v>0.63</v>
      </c>
      <c r="E17" s="544"/>
      <c r="F17" s="546"/>
      <c r="G17" s="546"/>
      <c r="H17" s="543"/>
      <c r="I17" s="542"/>
      <c r="J17" s="541"/>
      <c r="K17" s="541"/>
      <c r="L17" s="541"/>
      <c r="M17" s="541"/>
      <c r="N17" s="541"/>
    </row>
    <row r="18" spans="1:14" s="540" customFormat="1" ht="14">
      <c r="A18" s="1634">
        <v>7</v>
      </c>
      <c r="B18" s="1627" t="s">
        <v>115</v>
      </c>
      <c r="C18" s="546">
        <v>15.6</v>
      </c>
      <c r="D18" s="546">
        <v>0.5</v>
      </c>
      <c r="E18" s="544"/>
      <c r="F18" s="546"/>
      <c r="G18" s="546"/>
      <c r="H18" s="543"/>
      <c r="I18" s="542"/>
      <c r="J18" s="541"/>
      <c r="K18" s="541"/>
      <c r="L18" s="541"/>
      <c r="M18" s="541"/>
      <c r="N18" s="541"/>
    </row>
    <row r="19" spans="1:14" s="540" customFormat="1" ht="14">
      <c r="A19" s="1634"/>
      <c r="B19" s="1628"/>
      <c r="C19" s="546">
        <v>14.75</v>
      </c>
      <c r="D19" s="546">
        <v>0.9</v>
      </c>
      <c r="E19" s="544"/>
      <c r="F19" s="546"/>
      <c r="G19" s="546"/>
      <c r="H19" s="543"/>
      <c r="I19" s="542"/>
      <c r="J19" s="541"/>
      <c r="K19" s="541"/>
      <c r="L19" s="541"/>
      <c r="M19" s="541"/>
      <c r="N19" s="541"/>
    </row>
    <row r="20" spans="1:14" s="540" customFormat="1" ht="14">
      <c r="A20" s="1634"/>
      <c r="B20" s="1629"/>
      <c r="C20" s="546">
        <v>14.7</v>
      </c>
      <c r="D20" s="546">
        <v>0.96</v>
      </c>
      <c r="E20" s="544"/>
      <c r="F20" s="546"/>
      <c r="G20" s="546"/>
      <c r="H20" s="543"/>
      <c r="I20" s="542"/>
      <c r="J20" s="541"/>
      <c r="K20" s="541"/>
      <c r="L20" s="541"/>
      <c r="M20" s="541"/>
      <c r="N20" s="541"/>
    </row>
    <row r="21" spans="1:14" s="540" customFormat="1" ht="14">
      <c r="A21" s="547">
        <v>8</v>
      </c>
      <c r="B21" s="554" t="s">
        <v>310</v>
      </c>
      <c r="C21" s="546">
        <v>15.28</v>
      </c>
      <c r="D21" s="546">
        <v>0.45</v>
      </c>
      <c r="E21" s="544"/>
      <c r="F21" s="546"/>
      <c r="G21" s="546"/>
      <c r="H21" s="543"/>
      <c r="I21" s="542"/>
      <c r="J21" s="541"/>
      <c r="K21" s="541"/>
      <c r="L21" s="541"/>
      <c r="M21" s="541"/>
      <c r="N21" s="541"/>
    </row>
    <row r="22" spans="1:14" s="540" customFormat="1" ht="14">
      <c r="A22" s="1634">
        <v>9</v>
      </c>
      <c r="B22" s="1627" t="s">
        <v>1031</v>
      </c>
      <c r="C22" s="546">
        <v>16.600000000000001</v>
      </c>
      <c r="D22" s="546">
        <v>0.5</v>
      </c>
      <c r="E22" s="544"/>
      <c r="F22" s="546">
        <v>42.168799999999997</v>
      </c>
      <c r="G22" s="546">
        <v>7.0000207999999994E-2</v>
      </c>
      <c r="H22" s="543"/>
      <c r="I22" s="542"/>
      <c r="J22" s="541"/>
      <c r="K22" s="541"/>
      <c r="L22" s="541"/>
      <c r="M22" s="541"/>
      <c r="N22" s="541"/>
    </row>
    <row r="23" spans="1:14" s="540" customFormat="1" ht="14">
      <c r="A23" s="1634"/>
      <c r="B23" s="1628"/>
      <c r="C23" s="546">
        <v>16</v>
      </c>
      <c r="D23" s="546">
        <v>0.6</v>
      </c>
      <c r="E23" s="544"/>
      <c r="F23" s="546"/>
      <c r="G23" s="546"/>
      <c r="H23" s="543"/>
      <c r="I23" s="542"/>
      <c r="J23" s="541"/>
      <c r="K23" s="541"/>
      <c r="L23" s="541"/>
      <c r="M23" s="541"/>
      <c r="N23" s="541"/>
    </row>
    <row r="24" spans="1:14" s="540" customFormat="1" ht="14">
      <c r="A24" s="1634"/>
      <c r="B24" s="1629"/>
      <c r="C24" s="546">
        <v>15</v>
      </c>
      <c r="D24" s="546">
        <v>0.7</v>
      </c>
      <c r="E24" s="544"/>
      <c r="F24" s="546"/>
      <c r="G24" s="546"/>
      <c r="H24" s="543"/>
      <c r="I24" s="542"/>
      <c r="J24" s="541"/>
      <c r="K24" s="541"/>
      <c r="L24" s="541"/>
      <c r="M24" s="541"/>
      <c r="N24" s="541"/>
    </row>
    <row r="25" spans="1:14" s="540" customFormat="1" ht="14">
      <c r="A25" s="547">
        <v>10</v>
      </c>
      <c r="B25" s="554" t="s">
        <v>1139</v>
      </c>
      <c r="C25" s="546">
        <v>15.1</v>
      </c>
      <c r="D25" s="546">
        <v>0.45</v>
      </c>
      <c r="E25" s="544"/>
      <c r="F25" s="546"/>
      <c r="G25" s="546"/>
      <c r="H25" s="543"/>
      <c r="I25" s="542"/>
      <c r="J25" s="541"/>
      <c r="K25" s="541"/>
      <c r="L25" s="541"/>
      <c r="M25" s="541"/>
      <c r="N25" s="541"/>
    </row>
    <row r="26" spans="1:14" s="540" customFormat="1" ht="14">
      <c r="A26" s="1634">
        <v>11</v>
      </c>
      <c r="B26" s="1627" t="s">
        <v>955</v>
      </c>
      <c r="C26" s="546">
        <v>17.5</v>
      </c>
      <c r="D26" s="546">
        <v>0.45</v>
      </c>
      <c r="E26" s="544"/>
      <c r="F26" s="546">
        <v>271.08429999999998</v>
      </c>
      <c r="G26" s="546">
        <v>0.44999993799999999</v>
      </c>
      <c r="H26" s="543"/>
      <c r="I26" s="542"/>
      <c r="J26" s="541"/>
      <c r="K26" s="541"/>
      <c r="L26" s="541"/>
      <c r="M26" s="541"/>
      <c r="N26" s="541"/>
    </row>
    <row r="27" spans="1:14" s="540" customFormat="1" ht="14">
      <c r="A27" s="1634"/>
      <c r="B27" s="1628"/>
      <c r="C27" s="546">
        <v>16.600000000000001</v>
      </c>
      <c r="D27" s="546">
        <v>0.5</v>
      </c>
      <c r="E27" s="544"/>
      <c r="F27" s="546"/>
      <c r="G27" s="546"/>
      <c r="H27" s="543"/>
      <c r="I27" s="542"/>
      <c r="J27" s="541"/>
      <c r="K27" s="541"/>
      <c r="L27" s="541"/>
      <c r="M27" s="541"/>
      <c r="N27" s="541"/>
    </row>
    <row r="28" spans="1:14" s="540" customFormat="1" ht="14">
      <c r="A28" s="1634"/>
      <c r="B28" s="1629"/>
      <c r="C28" s="546">
        <v>15.28</v>
      </c>
      <c r="D28" s="546">
        <v>0.6</v>
      </c>
      <c r="E28" s="544"/>
      <c r="F28" s="546"/>
      <c r="G28" s="546"/>
      <c r="H28" s="543"/>
      <c r="I28" s="542"/>
      <c r="J28" s="541"/>
      <c r="K28" s="541"/>
      <c r="L28" s="541"/>
      <c r="M28" s="541"/>
      <c r="N28" s="541"/>
    </row>
    <row r="29" spans="1:14" s="540" customFormat="1" ht="14">
      <c r="A29" s="547">
        <v>12</v>
      </c>
      <c r="B29" s="554" t="s">
        <v>336</v>
      </c>
      <c r="C29" s="546">
        <v>17</v>
      </c>
      <c r="D29" s="546">
        <v>1.35</v>
      </c>
      <c r="E29" s="544"/>
      <c r="F29" s="546">
        <v>813.25300000000004</v>
      </c>
      <c r="G29" s="546">
        <v>1.34999998</v>
      </c>
      <c r="H29" s="543"/>
      <c r="I29" s="542"/>
      <c r="J29" s="541"/>
      <c r="K29" s="541"/>
      <c r="L29" s="541"/>
      <c r="M29" s="541"/>
      <c r="N29" s="541"/>
    </row>
    <row r="30" spans="1:14" s="540" customFormat="1" ht="14">
      <c r="A30" s="547">
        <v>13</v>
      </c>
      <c r="B30" s="603" t="s">
        <v>1138</v>
      </c>
      <c r="C30" s="546">
        <v>17.05</v>
      </c>
      <c r="D30" s="546">
        <v>0.5</v>
      </c>
      <c r="E30" s="544"/>
      <c r="F30" s="546">
        <v>301.20479999999998</v>
      </c>
      <c r="G30" s="546">
        <v>0.49999996799999996</v>
      </c>
      <c r="H30" s="543"/>
      <c r="I30" s="542"/>
      <c r="J30" s="541"/>
      <c r="K30" s="541"/>
      <c r="L30" s="541"/>
      <c r="M30" s="541"/>
      <c r="N30" s="541"/>
    </row>
    <row r="31" spans="1:14" s="540" customFormat="1" ht="14">
      <c r="A31" s="1634">
        <v>14</v>
      </c>
      <c r="B31" s="1627" t="s">
        <v>300</v>
      </c>
      <c r="C31" s="546">
        <v>15.82</v>
      </c>
      <c r="D31" s="546">
        <v>0.45</v>
      </c>
      <c r="E31" s="544"/>
      <c r="F31" s="546"/>
      <c r="G31" s="546"/>
      <c r="H31" s="543"/>
      <c r="I31" s="542"/>
      <c r="J31" s="541"/>
      <c r="K31" s="541"/>
      <c r="L31" s="541"/>
      <c r="M31" s="541"/>
      <c r="N31" s="541"/>
    </row>
    <row r="32" spans="1:14" s="540" customFormat="1" ht="14">
      <c r="A32" s="1634"/>
      <c r="B32" s="1629"/>
      <c r="C32" s="546">
        <v>15</v>
      </c>
      <c r="D32" s="546">
        <v>0.75</v>
      </c>
      <c r="E32" s="544"/>
      <c r="F32" s="546"/>
      <c r="G32" s="546"/>
      <c r="H32" s="543"/>
      <c r="I32" s="542"/>
      <c r="J32" s="541"/>
      <c r="K32" s="541"/>
      <c r="L32" s="541"/>
      <c r="M32" s="541"/>
      <c r="N32" s="541"/>
    </row>
    <row r="33" spans="1:19" s="540" customFormat="1" ht="14">
      <c r="A33" s="1634">
        <v>15</v>
      </c>
      <c r="B33" s="1627" t="s">
        <v>229</v>
      </c>
      <c r="C33" s="546">
        <v>17.25</v>
      </c>
      <c r="D33" s="546">
        <v>0.45</v>
      </c>
      <c r="E33" s="544"/>
      <c r="F33" s="546">
        <v>271.08429999999998</v>
      </c>
      <c r="G33" s="546">
        <v>0.44999993799999999</v>
      </c>
      <c r="H33" s="543"/>
      <c r="I33" s="542"/>
      <c r="J33" s="541"/>
      <c r="K33" s="541"/>
      <c r="L33" s="541"/>
      <c r="M33" s="541"/>
      <c r="N33" s="541"/>
    </row>
    <row r="34" spans="1:19" s="540" customFormat="1" ht="14">
      <c r="A34" s="1634"/>
      <c r="B34" s="1628"/>
      <c r="C34" s="546">
        <v>16.71</v>
      </c>
      <c r="D34" s="546">
        <v>0.45</v>
      </c>
      <c r="E34" s="544"/>
      <c r="F34" s="546"/>
      <c r="G34" s="546"/>
      <c r="H34" s="543"/>
      <c r="I34" s="542"/>
      <c r="J34" s="541"/>
      <c r="K34" s="541"/>
      <c r="L34" s="541"/>
      <c r="M34" s="541"/>
      <c r="N34" s="541"/>
    </row>
    <row r="35" spans="1:19" s="540" customFormat="1" ht="14">
      <c r="A35" s="1634"/>
      <c r="B35" s="1629"/>
      <c r="C35" s="546">
        <v>16.18</v>
      </c>
      <c r="D35" s="546">
        <v>0.45</v>
      </c>
      <c r="E35" s="544"/>
      <c r="F35" s="546"/>
      <c r="G35" s="546"/>
      <c r="H35" s="543"/>
      <c r="I35" s="542"/>
      <c r="J35" s="541"/>
      <c r="K35" s="541"/>
      <c r="L35" s="541"/>
      <c r="M35" s="541"/>
      <c r="N35" s="541"/>
    </row>
    <row r="36" spans="1:19" s="540" customFormat="1" ht="14">
      <c r="A36" s="547">
        <v>16</v>
      </c>
      <c r="B36" s="554" t="s">
        <v>133</v>
      </c>
      <c r="C36" s="546">
        <v>16.16</v>
      </c>
      <c r="D36" s="546">
        <v>2</v>
      </c>
      <c r="E36" s="544"/>
      <c r="F36" s="546"/>
      <c r="G36" s="546"/>
      <c r="H36" s="543"/>
      <c r="I36" s="542"/>
      <c r="J36" s="541"/>
      <c r="K36" s="541"/>
      <c r="L36" s="541"/>
      <c r="M36" s="541"/>
      <c r="N36" s="541"/>
    </row>
    <row r="37" spans="1:19" s="540" customFormat="1" ht="14">
      <c r="A37" s="1634">
        <v>17</v>
      </c>
      <c r="B37" s="1627" t="s">
        <v>1137</v>
      </c>
      <c r="C37" s="546">
        <v>18.28</v>
      </c>
      <c r="D37" s="546">
        <v>0.63</v>
      </c>
      <c r="E37" s="544"/>
      <c r="F37" s="546">
        <v>722.89149999999995</v>
      </c>
      <c r="G37" s="546">
        <v>1.19999989</v>
      </c>
      <c r="H37" s="543"/>
      <c r="I37" s="542"/>
      <c r="J37" s="541"/>
      <c r="K37" s="541"/>
      <c r="L37" s="541"/>
      <c r="M37" s="541"/>
      <c r="N37" s="541"/>
    </row>
    <row r="38" spans="1:19" s="540" customFormat="1" ht="14">
      <c r="A38" s="1634"/>
      <c r="B38" s="1628"/>
      <c r="C38" s="546">
        <v>17.440000000000001</v>
      </c>
      <c r="D38" s="546">
        <v>0.7</v>
      </c>
      <c r="E38" s="544"/>
      <c r="F38" s="546"/>
      <c r="G38" s="546"/>
      <c r="H38" s="543"/>
      <c r="I38" s="542"/>
      <c r="J38" s="541"/>
      <c r="K38" s="541"/>
      <c r="L38" s="541"/>
      <c r="M38" s="541"/>
      <c r="N38" s="541"/>
    </row>
    <row r="39" spans="1:19" s="540" customFormat="1" ht="14">
      <c r="A39" s="1634"/>
      <c r="B39" s="1629"/>
      <c r="C39" s="546">
        <v>16.61</v>
      </c>
      <c r="D39" s="546">
        <v>1.2</v>
      </c>
      <c r="E39" s="544"/>
      <c r="F39" s="546"/>
      <c r="G39" s="546"/>
      <c r="H39" s="543"/>
      <c r="I39" s="542"/>
      <c r="J39" s="541"/>
      <c r="K39" s="541"/>
      <c r="L39" s="541"/>
      <c r="M39" s="541"/>
      <c r="N39" s="541"/>
    </row>
    <row r="40" spans="1:19" s="540" customFormat="1" ht="14">
      <c r="A40" s="547">
        <v>18</v>
      </c>
      <c r="B40" s="554" t="s">
        <v>1136</v>
      </c>
      <c r="C40" s="1658" t="s">
        <v>327</v>
      </c>
      <c r="D40" s="1659"/>
      <c r="E40" s="544"/>
      <c r="F40" s="546">
        <v>1626.5060000000001</v>
      </c>
      <c r="G40" s="546">
        <v>2.69999996</v>
      </c>
      <c r="H40" s="543"/>
      <c r="I40" s="542"/>
      <c r="J40" s="541"/>
      <c r="K40" s="541"/>
      <c r="L40" s="541"/>
      <c r="M40" s="541"/>
      <c r="N40" s="541"/>
    </row>
    <row r="41" spans="1:19" s="529" customFormat="1" ht="14">
      <c r="A41" s="530"/>
      <c r="B41" s="530"/>
      <c r="C41" s="530"/>
      <c r="D41" s="530"/>
      <c r="E41" s="580"/>
      <c r="F41" s="580"/>
      <c r="G41" s="580"/>
    </row>
    <row r="42" spans="1:19" s="529" customFormat="1" ht="14">
      <c r="A42" s="530"/>
      <c r="B42" s="530"/>
      <c r="C42" s="530"/>
      <c r="D42" s="530"/>
      <c r="E42" s="580"/>
      <c r="F42" s="580"/>
      <c r="G42" s="580"/>
    </row>
    <row r="43" spans="1:19" s="529" customFormat="1" ht="14">
      <c r="A43" s="531"/>
      <c r="B43" s="530"/>
      <c r="C43" s="530"/>
      <c r="E43" s="580"/>
      <c r="F43" s="580"/>
      <c r="G43" s="580"/>
    </row>
    <row r="44" spans="1:19" s="530" customFormat="1" ht="14">
      <c r="A44" s="562" t="s">
        <v>106</v>
      </c>
      <c r="B44" s="565" t="s">
        <v>107</v>
      </c>
      <c r="C44" s="564" t="s">
        <v>4</v>
      </c>
      <c r="D44" s="563" t="s">
        <v>108</v>
      </c>
      <c r="E44" s="563" t="s">
        <v>109</v>
      </c>
      <c r="F44" s="562" t="s">
        <v>411</v>
      </c>
      <c r="G44" s="561" t="s">
        <v>950</v>
      </c>
      <c r="H44" s="561" t="s">
        <v>110</v>
      </c>
      <c r="I44" s="561" t="s">
        <v>276</v>
      </c>
      <c r="J44" s="561" t="s">
        <v>117</v>
      </c>
      <c r="K44" s="561" t="s">
        <v>275</v>
      </c>
      <c r="L44" s="562" t="s">
        <v>111</v>
      </c>
      <c r="M44" s="561" t="s">
        <v>949</v>
      </c>
      <c r="N44" s="561" t="s">
        <v>948</v>
      </c>
      <c r="O44" s="561" t="s">
        <v>129</v>
      </c>
      <c r="P44" s="561" t="s">
        <v>220</v>
      </c>
      <c r="Q44" s="537" t="s">
        <v>947</v>
      </c>
      <c r="R44" s="537" t="s">
        <v>946</v>
      </c>
      <c r="S44" s="560" t="s">
        <v>945</v>
      </c>
    </row>
    <row r="45" spans="1:19" s="547" customFormat="1" ht="14">
      <c r="A45" s="554">
        <v>234</v>
      </c>
      <c r="B45" s="559" t="s">
        <v>837</v>
      </c>
      <c r="C45" s="558" t="s">
        <v>838</v>
      </c>
      <c r="D45" s="555">
        <v>7.8</v>
      </c>
      <c r="E45" s="555">
        <v>7.7217999099999997</v>
      </c>
      <c r="F45" s="557" t="s">
        <v>1135</v>
      </c>
      <c r="G45" s="555">
        <v>12.18</v>
      </c>
      <c r="H45" s="555">
        <v>10.7</v>
      </c>
      <c r="I45" s="555">
        <f>H45/G45</f>
        <v>0.87848932676518876</v>
      </c>
      <c r="J45" s="555">
        <v>11</v>
      </c>
      <c r="K45" s="555">
        <f>J45/G45</f>
        <v>0.90311986863711002</v>
      </c>
      <c r="L45" s="554">
        <v>5</v>
      </c>
      <c r="M45" s="566">
        <v>43026</v>
      </c>
      <c r="N45" s="555">
        <v>10.34</v>
      </c>
      <c r="O45" s="555">
        <f>(N45*(1+Q45/10)+R45/10)/J45</f>
        <v>0.94272727272727264</v>
      </c>
      <c r="P45" s="598" t="s">
        <v>236</v>
      </c>
      <c r="Q45" s="554">
        <f>IFERROR(MID(P45,FIND("转",P45)+1,FIND("股",P45)-(FIND("转",P45)+1)),0)</f>
        <v>0</v>
      </c>
      <c r="R45" s="554" t="str">
        <f>IFERROR(MID(P45,FIND("派",P45)+1,FIND("元",P45)-FIND("派",P45)-1),0)</f>
        <v>0.30</v>
      </c>
      <c r="S45" s="553" t="s">
        <v>839</v>
      </c>
    </row>
    <row r="46" spans="1:19" s="540" customFormat="1" ht="14">
      <c r="A46" s="547"/>
      <c r="B46" s="551" t="s">
        <v>112</v>
      </c>
      <c r="C46" s="551" t="s">
        <v>113</v>
      </c>
      <c r="D46" s="551" t="s">
        <v>943</v>
      </c>
      <c r="E46" s="552" t="s">
        <v>411</v>
      </c>
      <c r="F46" s="552" t="s">
        <v>942</v>
      </c>
      <c r="G46" s="551" t="s">
        <v>231</v>
      </c>
      <c r="H46" s="551" t="s">
        <v>941</v>
      </c>
      <c r="I46" s="549">
        <f>SUM(G47:G57)</f>
        <v>7.7217999099999997</v>
      </c>
      <c r="J46" s="548"/>
      <c r="K46" s="548"/>
      <c r="L46" s="548"/>
      <c r="M46" s="548"/>
      <c r="N46" s="548"/>
    </row>
    <row r="47" spans="1:19" s="540" customFormat="1" ht="14">
      <c r="A47" s="1634">
        <v>1</v>
      </c>
      <c r="B47" s="1627" t="s">
        <v>358</v>
      </c>
      <c r="C47" s="546">
        <v>11.8</v>
      </c>
      <c r="D47" s="546">
        <v>1.56</v>
      </c>
      <c r="E47" s="544"/>
      <c r="F47" s="546">
        <v>1418.1818000000001</v>
      </c>
      <c r="G47" s="546">
        <v>1.5599999800000002</v>
      </c>
      <c r="H47" s="543" t="s">
        <v>126</v>
      </c>
      <c r="I47" s="138" t="s">
        <v>1134</v>
      </c>
      <c r="J47" s="541"/>
      <c r="K47" s="541"/>
      <c r="L47" s="541"/>
      <c r="M47" s="541"/>
      <c r="N47" s="541"/>
    </row>
    <row r="48" spans="1:19" s="540" customFormat="1" ht="14">
      <c r="A48" s="1634"/>
      <c r="B48" s="1628"/>
      <c r="C48" s="546">
        <v>11.51</v>
      </c>
      <c r="D48" s="546">
        <v>1.56</v>
      </c>
      <c r="E48" s="544"/>
      <c r="F48" s="546"/>
      <c r="G48" s="546"/>
      <c r="H48" s="543"/>
      <c r="I48" s="542"/>
      <c r="J48" s="541"/>
      <c r="K48" s="541"/>
      <c r="L48" s="541"/>
      <c r="M48" s="541"/>
      <c r="N48" s="541"/>
    </row>
    <row r="49" spans="1:19" s="540" customFormat="1" ht="14">
      <c r="A49" s="1634"/>
      <c r="B49" s="1629"/>
      <c r="C49" s="546">
        <v>11.41</v>
      </c>
      <c r="D49" s="546">
        <v>1.56</v>
      </c>
      <c r="E49" s="544"/>
      <c r="F49" s="546"/>
      <c r="G49" s="546"/>
      <c r="H49" s="543"/>
      <c r="I49" s="542"/>
      <c r="J49" s="541"/>
      <c r="K49" s="541"/>
      <c r="L49" s="541"/>
      <c r="M49" s="541"/>
      <c r="N49" s="541"/>
    </row>
    <row r="50" spans="1:19" s="540" customFormat="1" ht="14">
      <c r="A50" s="1634">
        <v>2</v>
      </c>
      <c r="B50" s="1627" t="s">
        <v>1073</v>
      </c>
      <c r="C50" s="546">
        <v>12.79</v>
      </c>
      <c r="D50" s="546">
        <v>2.5</v>
      </c>
      <c r="E50" s="544"/>
      <c r="F50" s="546">
        <v>2272.7271999999998</v>
      </c>
      <c r="G50" s="546">
        <v>2.49999992</v>
      </c>
      <c r="H50" s="543"/>
      <c r="I50" s="542"/>
      <c r="J50" s="541"/>
      <c r="K50" s="541"/>
      <c r="L50" s="541"/>
      <c r="M50" s="541"/>
      <c r="N50" s="541"/>
    </row>
    <row r="51" spans="1:19" s="540" customFormat="1" ht="14">
      <c r="A51" s="1634"/>
      <c r="B51" s="1628"/>
      <c r="C51" s="546">
        <v>11.71</v>
      </c>
      <c r="D51" s="546">
        <v>2.5</v>
      </c>
      <c r="E51" s="544"/>
      <c r="F51" s="546"/>
      <c r="G51" s="546"/>
      <c r="H51" s="543"/>
      <c r="I51" s="542"/>
      <c r="J51" s="541"/>
      <c r="K51" s="541"/>
      <c r="L51" s="541"/>
      <c r="M51" s="541"/>
      <c r="N51" s="541"/>
    </row>
    <row r="52" spans="1:19" s="540" customFormat="1" ht="14">
      <c r="A52" s="1634"/>
      <c r="B52" s="1629"/>
      <c r="C52" s="546">
        <v>11.23</v>
      </c>
      <c r="D52" s="546">
        <v>2.5</v>
      </c>
      <c r="E52" s="544"/>
      <c r="F52" s="546"/>
      <c r="G52" s="546"/>
      <c r="H52" s="543"/>
      <c r="I52" s="542"/>
      <c r="J52" s="541"/>
      <c r="K52" s="541"/>
      <c r="L52" s="541"/>
      <c r="M52" s="541"/>
      <c r="N52" s="541"/>
    </row>
    <row r="53" spans="1:19" s="540" customFormat="1" ht="14">
      <c r="A53" s="547">
        <v>3</v>
      </c>
      <c r="B53" s="554" t="s">
        <v>300</v>
      </c>
      <c r="C53" s="546">
        <v>11.01</v>
      </c>
      <c r="D53" s="546">
        <v>1.56</v>
      </c>
      <c r="E53" s="544"/>
      <c r="F53" s="546">
        <v>1418.1818000000001</v>
      </c>
      <c r="G53" s="546">
        <v>1.5599999800000002</v>
      </c>
      <c r="H53" s="543"/>
      <c r="I53" s="542"/>
      <c r="J53" s="541"/>
      <c r="K53" s="541"/>
      <c r="L53" s="541"/>
      <c r="M53" s="541"/>
      <c r="N53" s="541"/>
    </row>
    <row r="54" spans="1:19" s="540" customFormat="1" ht="14">
      <c r="A54" s="1634">
        <v>4</v>
      </c>
      <c r="B54" s="1627" t="s">
        <v>142</v>
      </c>
      <c r="C54" s="546">
        <v>11.7</v>
      </c>
      <c r="D54" s="546">
        <v>1.56</v>
      </c>
      <c r="E54" s="544"/>
      <c r="F54" s="546">
        <v>1590.9090000000001</v>
      </c>
      <c r="G54" s="546">
        <v>1.7499998999999999</v>
      </c>
      <c r="H54" s="543"/>
      <c r="I54" s="542"/>
      <c r="J54" s="541"/>
      <c r="K54" s="541"/>
      <c r="L54" s="541"/>
      <c r="M54" s="541"/>
      <c r="N54" s="541"/>
    </row>
    <row r="55" spans="1:19" s="540" customFormat="1" ht="14">
      <c r="A55" s="1634"/>
      <c r="B55" s="1628"/>
      <c r="C55" s="546">
        <v>11.6</v>
      </c>
      <c r="D55" s="546">
        <v>1.68</v>
      </c>
      <c r="E55" s="544"/>
      <c r="F55" s="546"/>
      <c r="G55" s="546"/>
      <c r="H55" s="543"/>
      <c r="I55" s="542"/>
      <c r="J55" s="541"/>
      <c r="K55" s="541"/>
      <c r="L55" s="541"/>
      <c r="M55" s="541"/>
      <c r="N55" s="541"/>
    </row>
    <row r="56" spans="1:19" s="540" customFormat="1" ht="14">
      <c r="A56" s="1634"/>
      <c r="B56" s="1629"/>
      <c r="C56" s="546">
        <v>11</v>
      </c>
      <c r="D56" s="546">
        <v>1.75</v>
      </c>
      <c r="E56" s="544"/>
      <c r="F56" s="546"/>
      <c r="G56" s="546"/>
      <c r="H56" s="543"/>
      <c r="I56" s="542"/>
      <c r="J56" s="541"/>
      <c r="K56" s="541"/>
      <c r="L56" s="541"/>
      <c r="M56" s="541"/>
      <c r="N56" s="541"/>
    </row>
    <row r="57" spans="1:19" s="540" customFormat="1" ht="14">
      <c r="A57" s="547">
        <v>5</v>
      </c>
      <c r="B57" s="554" t="s">
        <v>1133</v>
      </c>
      <c r="C57" s="546">
        <v>11</v>
      </c>
      <c r="D57" s="546">
        <v>1.58</v>
      </c>
      <c r="E57" s="544"/>
      <c r="F57" s="546">
        <v>319.81830000000002</v>
      </c>
      <c r="G57" s="546">
        <v>0.35180013000000004</v>
      </c>
      <c r="H57" s="543"/>
      <c r="I57" s="542"/>
      <c r="J57" s="541"/>
      <c r="K57" s="541"/>
      <c r="L57" s="541"/>
      <c r="M57" s="541"/>
      <c r="N57" s="541"/>
    </row>
    <row r="58" spans="1:19" s="529" customFormat="1" ht="14">
      <c r="A58" s="530"/>
      <c r="B58" s="530"/>
      <c r="I58" s="542"/>
    </row>
    <row r="59" spans="1:19" s="529" customFormat="1" ht="14">
      <c r="A59" s="531"/>
      <c r="B59" s="530"/>
      <c r="E59" s="580"/>
      <c r="F59" s="532"/>
      <c r="I59" s="542"/>
    </row>
    <row r="60" spans="1:19" s="529" customFormat="1" ht="14">
      <c r="A60" s="530"/>
      <c r="B60" s="530"/>
      <c r="E60" s="533"/>
      <c r="F60" s="532"/>
    </row>
    <row r="61" spans="1:19" s="530" customFormat="1" ht="14">
      <c r="A61" s="562" t="s">
        <v>106</v>
      </c>
      <c r="B61" s="565" t="s">
        <v>107</v>
      </c>
      <c r="C61" s="564" t="s">
        <v>4</v>
      </c>
      <c r="D61" s="563" t="s">
        <v>108</v>
      </c>
      <c r="E61" s="563" t="s">
        <v>109</v>
      </c>
      <c r="F61" s="562" t="s">
        <v>411</v>
      </c>
      <c r="G61" s="561" t="s">
        <v>950</v>
      </c>
      <c r="H61" s="561" t="s">
        <v>110</v>
      </c>
      <c r="I61" s="561" t="s">
        <v>276</v>
      </c>
      <c r="J61" s="561" t="s">
        <v>117</v>
      </c>
      <c r="K61" s="561" t="s">
        <v>275</v>
      </c>
      <c r="L61" s="562" t="s">
        <v>111</v>
      </c>
      <c r="M61" s="561" t="s">
        <v>949</v>
      </c>
      <c r="N61" s="561" t="s">
        <v>948</v>
      </c>
      <c r="O61" s="561" t="s">
        <v>129</v>
      </c>
      <c r="P61" s="561" t="s">
        <v>220</v>
      </c>
      <c r="Q61" s="537" t="s">
        <v>947</v>
      </c>
      <c r="R61" s="537" t="s">
        <v>946</v>
      </c>
      <c r="S61" s="560" t="s">
        <v>945</v>
      </c>
    </row>
    <row r="62" spans="1:19" s="547" customFormat="1" ht="14">
      <c r="A62" s="554">
        <v>235</v>
      </c>
      <c r="B62" s="559" t="s">
        <v>840</v>
      </c>
      <c r="C62" s="558" t="s">
        <v>841</v>
      </c>
      <c r="D62" s="555">
        <v>8</v>
      </c>
      <c r="E62" s="555">
        <v>7.9999999319999997</v>
      </c>
      <c r="F62" s="557" t="s">
        <v>1132</v>
      </c>
      <c r="G62" s="555">
        <v>12.48</v>
      </c>
      <c r="H62" s="555">
        <v>8.2100000000000009</v>
      </c>
      <c r="I62" s="555">
        <f>H62/G62</f>
        <v>0.6578525641025641</v>
      </c>
      <c r="J62" s="555">
        <v>11.4</v>
      </c>
      <c r="K62" s="555">
        <f>J62/G62</f>
        <v>0.91346153846153844</v>
      </c>
      <c r="L62" s="554">
        <v>5</v>
      </c>
      <c r="M62" s="566">
        <v>43026</v>
      </c>
      <c r="N62" s="555">
        <v>9.76</v>
      </c>
      <c r="O62" s="555">
        <f>(N62*(1+Q62/10)+R62/10)/J62</f>
        <v>0.86052631578947369</v>
      </c>
      <c r="P62" s="553" t="s">
        <v>246</v>
      </c>
      <c r="Q62" s="554">
        <f>IFERROR(MID(P62,FIND("转",P62)+1,FIND("股",P62)-(FIND("转",P62)+1)),0)</f>
        <v>0</v>
      </c>
      <c r="R62" s="554" t="str">
        <f>IFERROR(MID(P62,FIND("派",P62)+1,FIND("元",P62)-FIND("派",P62)-1),0)</f>
        <v>0.50</v>
      </c>
      <c r="S62" s="553"/>
    </row>
    <row r="63" spans="1:19" s="540" customFormat="1" ht="14">
      <c r="A63" s="547"/>
      <c r="B63" s="551" t="s">
        <v>112</v>
      </c>
      <c r="C63" s="551" t="s">
        <v>113</v>
      </c>
      <c r="D63" s="551" t="s">
        <v>943</v>
      </c>
      <c r="E63" s="552" t="s">
        <v>411</v>
      </c>
      <c r="F63" s="552" t="s">
        <v>942</v>
      </c>
      <c r="G63" s="551" t="s">
        <v>231</v>
      </c>
      <c r="H63" s="551" t="s">
        <v>941</v>
      </c>
      <c r="I63" s="549">
        <f>SUM(G64:G113)</f>
        <v>7.9999999319999997</v>
      </c>
      <c r="J63" s="548"/>
      <c r="K63" s="548"/>
      <c r="L63" s="548"/>
      <c r="M63" s="548"/>
      <c r="N63" s="548"/>
    </row>
    <row r="64" spans="1:19" s="540" customFormat="1" ht="14">
      <c r="A64" s="1634">
        <v>1</v>
      </c>
      <c r="B64" s="1636" t="s">
        <v>122</v>
      </c>
      <c r="C64" s="546">
        <v>11.56</v>
      </c>
      <c r="D64" s="546">
        <v>0.8</v>
      </c>
      <c r="E64" s="1662">
        <v>0.38958333333333334</v>
      </c>
      <c r="F64" s="1623">
        <v>701.75429999999994</v>
      </c>
      <c r="G64" s="1623">
        <v>0.79999990200000004</v>
      </c>
      <c r="H64" s="543" t="s">
        <v>126</v>
      </c>
      <c r="I64" s="138" t="s">
        <v>1131</v>
      </c>
      <c r="J64" s="541"/>
      <c r="K64" s="541"/>
      <c r="L64" s="541"/>
      <c r="M64" s="541"/>
      <c r="N64" s="541"/>
    </row>
    <row r="65" spans="1:14" s="540" customFormat="1" ht="14">
      <c r="A65" s="1634"/>
      <c r="B65" s="1636"/>
      <c r="C65" s="546">
        <v>11</v>
      </c>
      <c r="D65" s="546">
        <v>0.9</v>
      </c>
      <c r="E65" s="1662"/>
      <c r="F65" s="1623"/>
      <c r="G65" s="1623"/>
      <c r="H65" s="543"/>
      <c r="I65" s="542"/>
      <c r="J65" s="541"/>
      <c r="K65" s="541"/>
      <c r="L65" s="541"/>
      <c r="M65" s="541"/>
      <c r="N65" s="541"/>
    </row>
    <row r="66" spans="1:14" s="540" customFormat="1" ht="14">
      <c r="A66" s="1634"/>
      <c r="B66" s="1636"/>
      <c r="C66" s="546">
        <v>10.029999999999999</v>
      </c>
      <c r="D66" s="546">
        <v>1</v>
      </c>
      <c r="E66" s="1662"/>
      <c r="F66" s="1623"/>
      <c r="G66" s="1623"/>
      <c r="H66" s="543"/>
      <c r="I66" s="542"/>
      <c r="J66" s="541"/>
      <c r="K66" s="541"/>
      <c r="L66" s="541"/>
      <c r="M66" s="541"/>
      <c r="N66" s="541"/>
    </row>
    <row r="67" spans="1:14" s="540" customFormat="1" ht="14">
      <c r="A67" s="547">
        <v>2</v>
      </c>
      <c r="B67" s="554" t="s">
        <v>1130</v>
      </c>
      <c r="C67" s="546">
        <v>10.3</v>
      </c>
      <c r="D67" s="546">
        <v>0.8</v>
      </c>
      <c r="E67" s="629">
        <v>0.41319444444444442</v>
      </c>
      <c r="F67" s="546"/>
      <c r="G67" s="546"/>
      <c r="H67" s="543"/>
      <c r="I67" s="542"/>
      <c r="J67" s="541"/>
      <c r="K67" s="541"/>
      <c r="L67" s="541"/>
      <c r="M67" s="541"/>
      <c r="N67" s="541"/>
    </row>
    <row r="68" spans="1:14" s="540" customFormat="1" ht="14">
      <c r="A68" s="547">
        <v>3</v>
      </c>
      <c r="B68" s="554" t="s">
        <v>128</v>
      </c>
      <c r="C68" s="546">
        <v>10.02</v>
      </c>
      <c r="D68" s="546">
        <v>0.8</v>
      </c>
      <c r="E68" s="629">
        <v>0.42708333333333331</v>
      </c>
      <c r="F68" s="546"/>
      <c r="G68" s="546"/>
      <c r="H68" s="543"/>
      <c r="I68" s="542"/>
      <c r="J68" s="541"/>
      <c r="K68" s="541"/>
      <c r="L68" s="541"/>
      <c r="M68" s="541"/>
      <c r="N68" s="541"/>
    </row>
    <row r="69" spans="1:14" s="540" customFormat="1" ht="14">
      <c r="A69" s="547">
        <v>4</v>
      </c>
      <c r="B69" s="554" t="s">
        <v>975</v>
      </c>
      <c r="C69" s="546">
        <v>11</v>
      </c>
      <c r="D69" s="546">
        <v>0.8</v>
      </c>
      <c r="E69" s="629">
        <v>0.43472222222222223</v>
      </c>
      <c r="F69" s="546"/>
      <c r="G69" s="546"/>
      <c r="H69" s="543"/>
      <c r="I69" s="542"/>
      <c r="J69" s="541"/>
      <c r="K69" s="541"/>
      <c r="L69" s="541"/>
      <c r="M69" s="541"/>
      <c r="N69" s="541"/>
    </row>
    <row r="70" spans="1:14" s="540" customFormat="1" ht="14">
      <c r="A70" s="547">
        <v>5</v>
      </c>
      <c r="B70" s="554" t="s">
        <v>1129</v>
      </c>
      <c r="C70" s="546">
        <v>8.5</v>
      </c>
      <c r="D70" s="546">
        <v>0.8</v>
      </c>
      <c r="E70" s="629">
        <v>0.43958333333333338</v>
      </c>
      <c r="F70" s="546"/>
      <c r="G70" s="546"/>
      <c r="H70" s="543"/>
      <c r="I70" s="542"/>
      <c r="J70" s="541"/>
      <c r="K70" s="541"/>
      <c r="L70" s="541"/>
      <c r="M70" s="541"/>
      <c r="N70" s="541"/>
    </row>
    <row r="71" spans="1:14" s="540" customFormat="1" ht="14">
      <c r="A71" s="547">
        <v>6</v>
      </c>
      <c r="B71" s="554" t="s">
        <v>1128</v>
      </c>
      <c r="C71" s="546">
        <v>10.5</v>
      </c>
      <c r="D71" s="546">
        <v>2</v>
      </c>
      <c r="E71" s="629">
        <v>0.44930555555555557</v>
      </c>
      <c r="F71" s="546"/>
      <c r="G71" s="546"/>
      <c r="H71" s="543"/>
      <c r="I71" s="542"/>
      <c r="J71" s="541"/>
      <c r="K71" s="541"/>
      <c r="L71" s="541"/>
      <c r="M71" s="541"/>
      <c r="N71" s="541"/>
    </row>
    <row r="72" spans="1:14" s="540" customFormat="1" ht="14">
      <c r="A72" s="547">
        <v>7</v>
      </c>
      <c r="B72" s="554" t="s">
        <v>955</v>
      </c>
      <c r="C72" s="546">
        <v>10.72</v>
      </c>
      <c r="D72" s="546">
        <v>0.8</v>
      </c>
      <c r="E72" s="629">
        <v>0.4513888888888889</v>
      </c>
      <c r="F72" s="546"/>
      <c r="G72" s="546"/>
      <c r="H72" s="543"/>
      <c r="I72" s="542"/>
      <c r="J72" s="541"/>
      <c r="K72" s="541"/>
      <c r="L72" s="541"/>
      <c r="M72" s="541"/>
      <c r="N72" s="541"/>
    </row>
    <row r="73" spans="1:14" s="540" customFormat="1" ht="14">
      <c r="A73" s="547">
        <v>8</v>
      </c>
      <c r="B73" s="554" t="s">
        <v>974</v>
      </c>
      <c r="C73" s="546">
        <v>10.01</v>
      </c>
      <c r="D73" s="546">
        <v>0.8</v>
      </c>
      <c r="E73" s="629">
        <v>0.45416666666666666</v>
      </c>
      <c r="F73" s="546"/>
      <c r="G73" s="546"/>
      <c r="H73" s="543"/>
      <c r="I73" s="542"/>
      <c r="J73" s="541"/>
      <c r="K73" s="541"/>
      <c r="L73" s="541"/>
      <c r="M73" s="541"/>
      <c r="N73" s="541"/>
    </row>
    <row r="74" spans="1:14" s="540" customFormat="1" ht="14">
      <c r="A74" s="1634">
        <v>9</v>
      </c>
      <c r="B74" s="1636" t="s">
        <v>131</v>
      </c>
      <c r="C74" s="546">
        <v>8.52</v>
      </c>
      <c r="D74" s="546">
        <v>1.06</v>
      </c>
      <c r="E74" s="1662">
        <v>0.4548611111111111</v>
      </c>
      <c r="F74" s="1623"/>
      <c r="G74" s="1623"/>
      <c r="H74" s="543"/>
      <c r="I74" s="542"/>
      <c r="J74" s="541"/>
      <c r="K74" s="541"/>
      <c r="L74" s="541"/>
      <c r="M74" s="541"/>
      <c r="N74" s="541"/>
    </row>
    <row r="75" spans="1:14" s="540" customFormat="1" ht="14">
      <c r="A75" s="1634"/>
      <c r="B75" s="1636"/>
      <c r="C75" s="546">
        <v>8.27</v>
      </c>
      <c r="D75" s="546">
        <v>1.99</v>
      </c>
      <c r="E75" s="1662"/>
      <c r="F75" s="1623"/>
      <c r="G75" s="1623"/>
      <c r="H75" s="543"/>
      <c r="I75" s="542"/>
      <c r="J75" s="541"/>
      <c r="K75" s="541"/>
      <c r="L75" s="541"/>
      <c r="M75" s="541"/>
      <c r="N75" s="541"/>
    </row>
    <row r="76" spans="1:14" s="540" customFormat="1" ht="14">
      <c r="A76" s="547">
        <v>10</v>
      </c>
      <c r="B76" s="554" t="s">
        <v>121</v>
      </c>
      <c r="C76" s="546">
        <v>9.3800000000000008</v>
      </c>
      <c r="D76" s="546">
        <v>2</v>
      </c>
      <c r="E76" s="629">
        <v>0.45833333333333331</v>
      </c>
      <c r="F76" s="546"/>
      <c r="G76" s="546"/>
      <c r="H76" s="543"/>
      <c r="I76" s="542"/>
      <c r="J76" s="541"/>
      <c r="K76" s="541"/>
      <c r="L76" s="541"/>
      <c r="M76" s="541"/>
      <c r="N76" s="541"/>
    </row>
    <row r="77" spans="1:14" s="540" customFormat="1" ht="14">
      <c r="A77" s="547">
        <v>11</v>
      </c>
      <c r="B77" s="554" t="s">
        <v>351</v>
      </c>
      <c r="C77" s="546">
        <v>9.59</v>
      </c>
      <c r="D77" s="546">
        <v>0.8</v>
      </c>
      <c r="E77" s="629">
        <v>0.4597222222222222</v>
      </c>
      <c r="F77" s="546"/>
      <c r="G77" s="546"/>
      <c r="H77" s="543"/>
      <c r="I77" s="542"/>
      <c r="J77" s="541"/>
      <c r="K77" s="541"/>
      <c r="L77" s="541"/>
      <c r="M77" s="541"/>
      <c r="N77" s="541"/>
    </row>
    <row r="78" spans="1:14" s="540" customFormat="1" ht="14">
      <c r="A78" s="547">
        <v>12</v>
      </c>
      <c r="B78" s="554" t="s">
        <v>385</v>
      </c>
      <c r="C78" s="546">
        <v>10.5</v>
      </c>
      <c r="D78" s="546">
        <v>0.8</v>
      </c>
      <c r="E78" s="629">
        <v>0.46111111111111108</v>
      </c>
      <c r="F78" s="546"/>
      <c r="G78" s="546"/>
      <c r="H78" s="543"/>
      <c r="I78" s="542"/>
      <c r="J78" s="541"/>
      <c r="K78" s="541"/>
      <c r="L78" s="541"/>
      <c r="M78" s="541"/>
      <c r="N78" s="541"/>
    </row>
    <row r="79" spans="1:14" s="540" customFormat="1" ht="14">
      <c r="A79" s="547">
        <v>13</v>
      </c>
      <c r="B79" s="554" t="s">
        <v>1052</v>
      </c>
      <c r="C79" s="546">
        <v>11.9</v>
      </c>
      <c r="D79" s="546">
        <v>0.82</v>
      </c>
      <c r="E79" s="629">
        <v>0.46458333333333335</v>
      </c>
      <c r="F79" s="546">
        <v>719.29819999999995</v>
      </c>
      <c r="G79" s="607">
        <v>0.81999994799999998</v>
      </c>
      <c r="H79" s="543"/>
      <c r="I79" s="542"/>
      <c r="J79" s="541"/>
      <c r="K79" s="541"/>
      <c r="L79" s="541"/>
      <c r="M79" s="541"/>
      <c r="N79" s="541"/>
    </row>
    <row r="80" spans="1:14" s="540" customFormat="1" ht="14">
      <c r="A80" s="547">
        <v>14</v>
      </c>
      <c r="B80" s="554" t="s">
        <v>666</v>
      </c>
      <c r="C80" s="546">
        <v>10.75</v>
      </c>
      <c r="D80" s="546">
        <v>0.8</v>
      </c>
      <c r="E80" s="629">
        <v>0.46597222222222223</v>
      </c>
      <c r="F80" s="546"/>
      <c r="G80" s="546"/>
      <c r="H80" s="543"/>
      <c r="I80" s="542"/>
      <c r="J80" s="541"/>
      <c r="K80" s="541"/>
      <c r="L80" s="541"/>
      <c r="M80" s="541"/>
      <c r="N80" s="541"/>
    </row>
    <row r="81" spans="1:14" s="540" customFormat="1" ht="14">
      <c r="A81" s="547">
        <v>15</v>
      </c>
      <c r="B81" s="554" t="s">
        <v>1127</v>
      </c>
      <c r="C81" s="546">
        <v>9.1</v>
      </c>
      <c r="D81" s="546">
        <v>0.8</v>
      </c>
      <c r="E81" s="629">
        <v>0.47152777777777777</v>
      </c>
      <c r="F81" s="546"/>
      <c r="G81" s="546"/>
      <c r="H81" s="543"/>
      <c r="I81" s="542"/>
      <c r="J81" s="541"/>
      <c r="K81" s="541"/>
      <c r="L81" s="541"/>
      <c r="M81" s="541"/>
      <c r="N81" s="541"/>
    </row>
    <row r="82" spans="1:14" s="540" customFormat="1" ht="14">
      <c r="A82" s="1634">
        <v>16</v>
      </c>
      <c r="B82" s="1636" t="s">
        <v>127</v>
      </c>
      <c r="C82" s="546">
        <v>10.78</v>
      </c>
      <c r="D82" s="546">
        <v>1</v>
      </c>
      <c r="E82" s="1662">
        <v>0.47500000000000003</v>
      </c>
      <c r="F82" s="1623"/>
      <c r="G82" s="1623"/>
      <c r="H82" s="543"/>
      <c r="I82" s="542"/>
      <c r="J82" s="541"/>
      <c r="K82" s="541"/>
      <c r="L82" s="541"/>
      <c r="M82" s="541"/>
      <c r="N82" s="541"/>
    </row>
    <row r="83" spans="1:14" s="540" customFormat="1" ht="14">
      <c r="A83" s="1634"/>
      <c r="B83" s="1636"/>
      <c r="C83" s="546">
        <v>10.119999999999999</v>
      </c>
      <c r="D83" s="546">
        <v>2</v>
      </c>
      <c r="E83" s="1662"/>
      <c r="F83" s="1623"/>
      <c r="G83" s="1623"/>
      <c r="H83" s="543"/>
      <c r="I83" s="542"/>
      <c r="J83" s="541"/>
      <c r="K83" s="541"/>
      <c r="L83" s="541"/>
      <c r="M83" s="541"/>
      <c r="N83" s="541"/>
    </row>
    <row r="84" spans="1:14" s="540" customFormat="1" ht="14">
      <c r="A84" s="1634">
        <v>17</v>
      </c>
      <c r="B84" s="1636" t="s">
        <v>1126</v>
      </c>
      <c r="C84" s="546">
        <v>10.65</v>
      </c>
      <c r="D84" s="546">
        <v>0.8</v>
      </c>
      <c r="E84" s="1662">
        <v>0.47638888888888892</v>
      </c>
      <c r="F84" s="1623"/>
      <c r="G84" s="1623"/>
      <c r="H84" s="543"/>
      <c r="I84" s="542"/>
      <c r="J84" s="541"/>
      <c r="K84" s="541"/>
      <c r="L84" s="541"/>
      <c r="M84" s="541"/>
      <c r="N84" s="541"/>
    </row>
    <row r="85" spans="1:14" s="540" customFormat="1" ht="14">
      <c r="A85" s="1634"/>
      <c r="B85" s="1636"/>
      <c r="C85" s="546">
        <v>10.3</v>
      </c>
      <c r="D85" s="546">
        <v>1.6</v>
      </c>
      <c r="E85" s="1662"/>
      <c r="F85" s="1623"/>
      <c r="G85" s="1623"/>
      <c r="H85" s="543"/>
      <c r="I85" s="542"/>
      <c r="J85" s="541"/>
      <c r="K85" s="541"/>
      <c r="L85" s="541"/>
      <c r="M85" s="541"/>
      <c r="N85" s="541"/>
    </row>
    <row r="86" spans="1:14" s="540" customFormat="1" ht="14">
      <c r="A86" s="1634"/>
      <c r="B86" s="1636"/>
      <c r="C86" s="546">
        <v>9</v>
      </c>
      <c r="D86" s="546">
        <v>4.8</v>
      </c>
      <c r="E86" s="1662"/>
      <c r="F86" s="1623"/>
      <c r="G86" s="1623"/>
      <c r="H86" s="543"/>
      <c r="I86" s="542"/>
      <c r="J86" s="541"/>
      <c r="K86" s="541"/>
      <c r="L86" s="541"/>
      <c r="M86" s="541"/>
      <c r="N86" s="541"/>
    </row>
    <row r="87" spans="1:14" s="540" customFormat="1" ht="14">
      <c r="A87" s="1634">
        <v>18</v>
      </c>
      <c r="B87" s="1636" t="s">
        <v>136</v>
      </c>
      <c r="C87" s="546">
        <v>11.4</v>
      </c>
      <c r="D87" s="546">
        <v>0.8</v>
      </c>
      <c r="E87" s="1662">
        <v>0.4770833333333333</v>
      </c>
      <c r="F87" s="1623">
        <v>508.77210000000002</v>
      </c>
      <c r="G87" s="1623">
        <v>0.58000019400000002</v>
      </c>
      <c r="H87" s="543"/>
      <c r="I87" s="542"/>
      <c r="J87" s="541"/>
      <c r="K87" s="541"/>
      <c r="L87" s="541"/>
      <c r="M87" s="541"/>
      <c r="N87" s="541"/>
    </row>
    <row r="88" spans="1:14" s="540" customFormat="1" ht="14">
      <c r="A88" s="1634"/>
      <c r="B88" s="1636"/>
      <c r="C88" s="546">
        <v>10.1</v>
      </c>
      <c r="D88" s="546">
        <v>1</v>
      </c>
      <c r="E88" s="1662"/>
      <c r="F88" s="1623"/>
      <c r="G88" s="1623"/>
      <c r="H88" s="543"/>
      <c r="I88" s="542"/>
      <c r="J88" s="541"/>
      <c r="K88" s="541"/>
      <c r="L88" s="541"/>
      <c r="M88" s="541"/>
      <c r="N88" s="541"/>
    </row>
    <row r="89" spans="1:14" s="540" customFormat="1" ht="14">
      <c r="A89" s="1634">
        <v>19</v>
      </c>
      <c r="B89" s="1636" t="s">
        <v>336</v>
      </c>
      <c r="C89" s="546">
        <v>9.02</v>
      </c>
      <c r="D89" s="546">
        <v>0.85</v>
      </c>
      <c r="E89" s="1662">
        <v>0.47916666666666669</v>
      </c>
      <c r="F89" s="1623"/>
      <c r="G89" s="1623"/>
      <c r="H89" s="543"/>
      <c r="I89" s="542"/>
      <c r="J89" s="541"/>
      <c r="K89" s="541"/>
      <c r="L89" s="541"/>
      <c r="M89" s="541"/>
      <c r="N89" s="541"/>
    </row>
    <row r="90" spans="1:14" s="540" customFormat="1" ht="14">
      <c r="A90" s="1634"/>
      <c r="B90" s="1636"/>
      <c r="C90" s="546">
        <v>8.6999999999999993</v>
      </c>
      <c r="D90" s="546">
        <v>1.1499999999999999</v>
      </c>
      <c r="E90" s="1662"/>
      <c r="F90" s="1623"/>
      <c r="G90" s="1623"/>
      <c r="H90" s="543"/>
      <c r="I90" s="542"/>
      <c r="J90" s="541"/>
      <c r="K90" s="541"/>
      <c r="L90" s="541"/>
      <c r="M90" s="541"/>
      <c r="N90" s="541"/>
    </row>
    <row r="91" spans="1:14" s="540" customFormat="1" ht="14">
      <c r="A91" s="1634"/>
      <c r="B91" s="1636"/>
      <c r="C91" s="546">
        <v>8.25</v>
      </c>
      <c r="D91" s="546">
        <v>1.46</v>
      </c>
      <c r="E91" s="1662"/>
      <c r="F91" s="1623"/>
      <c r="G91" s="1623"/>
      <c r="H91" s="543"/>
      <c r="I91" s="542"/>
      <c r="J91" s="541"/>
      <c r="K91" s="541"/>
      <c r="L91" s="541"/>
      <c r="M91" s="541"/>
      <c r="N91" s="541"/>
    </row>
    <row r="92" spans="1:14" s="540" customFormat="1" ht="14">
      <c r="A92" s="547">
        <v>20</v>
      </c>
      <c r="B92" s="554" t="s">
        <v>320</v>
      </c>
      <c r="C92" s="546">
        <v>10.7</v>
      </c>
      <c r="D92" s="546">
        <v>1</v>
      </c>
      <c r="E92" s="629">
        <v>0.4916666666666667</v>
      </c>
      <c r="F92" s="546"/>
      <c r="G92" s="546"/>
      <c r="H92" s="543"/>
      <c r="I92" s="542"/>
      <c r="J92" s="541"/>
      <c r="K92" s="541"/>
      <c r="L92" s="541"/>
      <c r="M92" s="541"/>
      <c r="N92" s="541"/>
    </row>
    <row r="93" spans="1:14" s="540" customFormat="1" ht="14">
      <c r="A93" s="1634">
        <v>21</v>
      </c>
      <c r="B93" s="1636" t="s">
        <v>115</v>
      </c>
      <c r="C93" s="546">
        <v>11</v>
      </c>
      <c r="D93" s="546">
        <v>0.87</v>
      </c>
      <c r="E93" s="1662">
        <v>0.49305555555555558</v>
      </c>
      <c r="F93" s="1623"/>
      <c r="G93" s="1623"/>
      <c r="H93" s="543"/>
      <c r="I93" s="542"/>
      <c r="J93" s="541"/>
      <c r="K93" s="541"/>
      <c r="L93" s="541"/>
      <c r="M93" s="541"/>
      <c r="N93" s="541"/>
    </row>
    <row r="94" spans="1:14" s="540" customFormat="1" ht="14">
      <c r="A94" s="1634"/>
      <c r="B94" s="1636"/>
      <c r="C94" s="546">
        <v>10.65</v>
      </c>
      <c r="D94" s="546">
        <v>1.0900000000000001</v>
      </c>
      <c r="E94" s="1662"/>
      <c r="F94" s="1623"/>
      <c r="G94" s="1623"/>
      <c r="H94" s="543"/>
      <c r="I94" s="542"/>
      <c r="J94" s="541"/>
      <c r="K94" s="541"/>
      <c r="L94" s="541"/>
      <c r="M94" s="541"/>
      <c r="N94" s="541"/>
    </row>
    <row r="95" spans="1:14" s="540" customFormat="1" ht="14">
      <c r="A95" s="1634"/>
      <c r="B95" s="1636"/>
      <c r="C95" s="546">
        <v>9.74</v>
      </c>
      <c r="D95" s="546">
        <v>2.38</v>
      </c>
      <c r="E95" s="1662"/>
      <c r="F95" s="1623"/>
      <c r="G95" s="1623"/>
      <c r="H95" s="543"/>
      <c r="I95" s="542"/>
      <c r="J95" s="541"/>
      <c r="K95" s="541"/>
      <c r="L95" s="541"/>
      <c r="M95" s="541"/>
      <c r="N95" s="541"/>
    </row>
    <row r="96" spans="1:14" s="540" customFormat="1" ht="14">
      <c r="A96" s="1634">
        <v>22</v>
      </c>
      <c r="B96" s="1636" t="s">
        <v>147</v>
      </c>
      <c r="C96" s="546">
        <v>10</v>
      </c>
      <c r="D96" s="546">
        <v>0.8</v>
      </c>
      <c r="E96" s="1662">
        <v>0.49374999999999997</v>
      </c>
      <c r="F96" s="1623"/>
      <c r="G96" s="1623"/>
      <c r="H96" s="543"/>
      <c r="I96" s="542"/>
      <c r="J96" s="541"/>
      <c r="K96" s="541"/>
      <c r="L96" s="541"/>
      <c r="M96" s="541"/>
      <c r="N96" s="541"/>
    </row>
    <row r="97" spans="1:14" s="540" customFormat="1" ht="14">
      <c r="A97" s="1634"/>
      <c r="B97" s="1636"/>
      <c r="C97" s="546">
        <v>9.2799999999999994</v>
      </c>
      <c r="D97" s="546">
        <v>0.81</v>
      </c>
      <c r="E97" s="1662"/>
      <c r="F97" s="1623"/>
      <c r="G97" s="1623"/>
      <c r="H97" s="543"/>
      <c r="I97" s="542"/>
      <c r="J97" s="541"/>
      <c r="K97" s="541"/>
      <c r="L97" s="541"/>
      <c r="M97" s="541"/>
      <c r="N97" s="541"/>
    </row>
    <row r="98" spans="1:14" s="540" customFormat="1" ht="14">
      <c r="A98" s="1634"/>
      <c r="B98" s="1636"/>
      <c r="C98" s="546">
        <v>9.27</v>
      </c>
      <c r="D98" s="546">
        <v>1.6</v>
      </c>
      <c r="E98" s="1662"/>
      <c r="F98" s="1623"/>
      <c r="G98" s="1623"/>
      <c r="H98" s="543"/>
      <c r="I98" s="542"/>
      <c r="J98" s="541"/>
      <c r="K98" s="541"/>
      <c r="L98" s="541"/>
      <c r="M98" s="541"/>
      <c r="N98" s="541"/>
    </row>
    <row r="99" spans="1:14" s="540" customFormat="1" ht="14">
      <c r="A99" s="547">
        <v>23</v>
      </c>
      <c r="B99" s="554" t="s">
        <v>1125</v>
      </c>
      <c r="C99" s="546">
        <v>10.49</v>
      </c>
      <c r="D99" s="546">
        <v>1</v>
      </c>
      <c r="E99" s="629">
        <v>0.49444444444444446</v>
      </c>
      <c r="F99" s="546"/>
      <c r="G99" s="546"/>
      <c r="H99" s="543"/>
      <c r="I99" s="542"/>
      <c r="J99" s="541"/>
      <c r="K99" s="541"/>
      <c r="L99" s="541"/>
      <c r="M99" s="541"/>
      <c r="N99" s="541"/>
    </row>
    <row r="100" spans="1:14" s="540" customFormat="1" ht="14">
      <c r="A100" s="1634">
        <v>24</v>
      </c>
      <c r="B100" s="1636" t="s">
        <v>146</v>
      </c>
      <c r="C100" s="546">
        <v>11.27</v>
      </c>
      <c r="D100" s="546">
        <v>0.87</v>
      </c>
      <c r="E100" s="1662">
        <v>0.49583333333333335</v>
      </c>
      <c r="F100" s="1623"/>
      <c r="G100" s="1623"/>
      <c r="H100" s="543"/>
      <c r="I100" s="542"/>
      <c r="J100" s="541"/>
      <c r="K100" s="541"/>
      <c r="L100" s="541"/>
      <c r="M100" s="541"/>
      <c r="N100" s="541"/>
    </row>
    <row r="101" spans="1:14" s="540" customFormat="1" ht="14">
      <c r="A101" s="1634"/>
      <c r="B101" s="1636"/>
      <c r="C101" s="546">
        <v>10.77</v>
      </c>
      <c r="D101" s="546">
        <v>1.03</v>
      </c>
      <c r="E101" s="1662"/>
      <c r="F101" s="1623"/>
      <c r="G101" s="1623"/>
      <c r="H101" s="543"/>
      <c r="I101" s="542"/>
      <c r="J101" s="541"/>
      <c r="K101" s="541"/>
      <c r="L101" s="541"/>
      <c r="M101" s="541"/>
      <c r="N101" s="541"/>
    </row>
    <row r="102" spans="1:14" s="540" customFormat="1" ht="14">
      <c r="A102" s="1634"/>
      <c r="B102" s="1636"/>
      <c r="C102" s="546">
        <v>10.27</v>
      </c>
      <c r="D102" s="546">
        <v>1.23</v>
      </c>
      <c r="E102" s="1662"/>
      <c r="F102" s="1623"/>
      <c r="G102" s="1623"/>
      <c r="H102" s="543"/>
      <c r="I102" s="542"/>
      <c r="J102" s="541"/>
      <c r="K102" s="541"/>
      <c r="L102" s="541"/>
      <c r="M102" s="541"/>
      <c r="N102" s="541"/>
    </row>
    <row r="103" spans="1:14" s="540" customFormat="1" ht="14">
      <c r="A103" s="1634">
        <v>25</v>
      </c>
      <c r="B103" s="1636" t="s">
        <v>300</v>
      </c>
      <c r="C103" s="546">
        <v>10.95</v>
      </c>
      <c r="D103" s="546">
        <v>0.81</v>
      </c>
      <c r="E103" s="1662">
        <v>0.49652777777777773</v>
      </c>
      <c r="F103" s="1623"/>
      <c r="G103" s="1623"/>
      <c r="H103" s="543"/>
      <c r="I103" s="542"/>
      <c r="J103" s="541"/>
      <c r="K103" s="541"/>
      <c r="L103" s="541"/>
      <c r="M103" s="541"/>
      <c r="N103" s="541"/>
    </row>
    <row r="104" spans="1:14" s="540" customFormat="1" ht="14">
      <c r="A104" s="1634"/>
      <c r="B104" s="1636"/>
      <c r="C104" s="546">
        <v>9.69</v>
      </c>
      <c r="D104" s="546">
        <v>1.1100000000000001</v>
      </c>
      <c r="E104" s="1662"/>
      <c r="F104" s="1623"/>
      <c r="G104" s="1623"/>
      <c r="H104" s="543"/>
      <c r="I104" s="542"/>
      <c r="J104" s="541"/>
      <c r="K104" s="541"/>
      <c r="L104" s="541"/>
      <c r="M104" s="541"/>
      <c r="N104" s="541"/>
    </row>
    <row r="105" spans="1:14" s="540" customFormat="1" ht="14">
      <c r="A105" s="547">
        <v>26</v>
      </c>
      <c r="B105" s="554" t="s">
        <v>371</v>
      </c>
      <c r="C105" s="546">
        <v>12.08</v>
      </c>
      <c r="D105" s="546">
        <v>0.8</v>
      </c>
      <c r="E105" s="629">
        <v>0.49722222222222223</v>
      </c>
      <c r="F105" s="546">
        <v>701.75429999999994</v>
      </c>
      <c r="G105" s="546">
        <v>0.79999990200000004</v>
      </c>
      <c r="H105" s="543"/>
      <c r="I105" s="542"/>
      <c r="J105" s="541"/>
      <c r="K105" s="541"/>
      <c r="L105" s="541"/>
      <c r="M105" s="541"/>
      <c r="N105" s="541"/>
    </row>
    <row r="106" spans="1:14" s="540" customFormat="1" ht="14">
      <c r="A106" s="547">
        <v>27</v>
      </c>
      <c r="B106" s="554" t="s">
        <v>953</v>
      </c>
      <c r="C106" s="546">
        <v>9.77</v>
      </c>
      <c r="D106" s="546">
        <v>1.1000000000000001</v>
      </c>
      <c r="E106" s="629">
        <v>0.49861111111111112</v>
      </c>
      <c r="F106" s="546"/>
      <c r="G106" s="546"/>
      <c r="H106" s="543"/>
      <c r="I106" s="542"/>
      <c r="J106" s="541"/>
      <c r="K106" s="541"/>
      <c r="L106" s="541"/>
      <c r="M106" s="541"/>
      <c r="N106" s="541"/>
    </row>
    <row r="107" spans="1:14" s="540" customFormat="1" ht="14">
      <c r="A107" s="547">
        <v>28</v>
      </c>
      <c r="B107" s="554" t="s">
        <v>951</v>
      </c>
      <c r="C107" s="546">
        <v>8.7799999999999994</v>
      </c>
      <c r="D107" s="546">
        <v>1.6</v>
      </c>
      <c r="E107" s="629">
        <v>0.5</v>
      </c>
      <c r="F107" s="546"/>
      <c r="G107" s="546"/>
      <c r="H107" s="543"/>
      <c r="I107" s="542"/>
      <c r="J107" s="541"/>
      <c r="K107" s="541"/>
      <c r="L107" s="541"/>
      <c r="M107" s="541"/>
      <c r="N107" s="541"/>
    </row>
    <row r="108" spans="1:14" s="540" customFormat="1" ht="14">
      <c r="A108" s="1634">
        <v>29</v>
      </c>
      <c r="B108" s="1636" t="s">
        <v>1124</v>
      </c>
      <c r="C108" s="546">
        <v>11.9</v>
      </c>
      <c r="D108" s="546">
        <v>5</v>
      </c>
      <c r="E108" s="1662">
        <v>0.5</v>
      </c>
      <c r="F108" s="1623">
        <v>4385.9648999999999</v>
      </c>
      <c r="G108" s="1623">
        <v>4.9999999859999997</v>
      </c>
      <c r="H108" s="601"/>
      <c r="I108" s="542"/>
      <c r="J108" s="541"/>
      <c r="K108" s="541"/>
      <c r="L108" s="541"/>
      <c r="M108" s="541"/>
      <c r="N108" s="541"/>
    </row>
    <row r="109" spans="1:14" s="540" customFormat="1" ht="14">
      <c r="A109" s="1634"/>
      <c r="B109" s="1636"/>
      <c r="C109" s="546">
        <v>11.6</v>
      </c>
      <c r="D109" s="546">
        <v>5</v>
      </c>
      <c r="E109" s="1662"/>
      <c r="F109" s="1623"/>
      <c r="G109" s="1623"/>
      <c r="H109" s="543"/>
      <c r="I109" s="542"/>
      <c r="J109" s="541"/>
      <c r="K109" s="541"/>
      <c r="L109" s="541"/>
      <c r="M109" s="541"/>
      <c r="N109" s="541"/>
    </row>
    <row r="110" spans="1:14" s="540" customFormat="1" ht="14">
      <c r="A110" s="1634"/>
      <c r="B110" s="1636"/>
      <c r="C110" s="546">
        <v>11.24</v>
      </c>
      <c r="D110" s="546">
        <v>5</v>
      </c>
      <c r="E110" s="1662"/>
      <c r="F110" s="1623"/>
      <c r="G110" s="1623"/>
      <c r="H110" s="543"/>
      <c r="I110" s="542"/>
      <c r="J110" s="541"/>
      <c r="K110" s="541"/>
      <c r="L110" s="541"/>
      <c r="M110" s="541"/>
      <c r="N110" s="541"/>
    </row>
    <row r="111" spans="1:14" s="540" customFormat="1" ht="14">
      <c r="A111" s="1634">
        <v>30</v>
      </c>
      <c r="B111" s="1636" t="s">
        <v>506</v>
      </c>
      <c r="C111" s="546">
        <v>11.9</v>
      </c>
      <c r="D111" s="546">
        <v>1.1000000000000001</v>
      </c>
      <c r="E111" s="1662">
        <v>0.5</v>
      </c>
      <c r="F111" s="546"/>
      <c r="G111" s="546"/>
      <c r="H111" s="543"/>
      <c r="I111" s="542"/>
      <c r="J111" s="541"/>
      <c r="K111" s="541"/>
      <c r="L111" s="541"/>
      <c r="M111" s="541"/>
      <c r="N111" s="541"/>
    </row>
    <row r="112" spans="1:14" s="540" customFormat="1" ht="14">
      <c r="A112" s="1634"/>
      <c r="B112" s="1636"/>
      <c r="C112" s="546">
        <v>11.65</v>
      </c>
      <c r="D112" s="546">
        <v>1.3</v>
      </c>
      <c r="E112" s="1662"/>
      <c r="F112" s="546"/>
      <c r="G112" s="546"/>
      <c r="H112" s="543"/>
      <c r="I112" s="542"/>
      <c r="J112" s="541"/>
      <c r="K112" s="541"/>
      <c r="L112" s="541"/>
      <c r="M112" s="541"/>
      <c r="N112" s="541"/>
    </row>
    <row r="113" spans="1:19" s="540" customFormat="1" ht="14">
      <c r="A113" s="1634"/>
      <c r="B113" s="1636"/>
      <c r="C113" s="546">
        <v>11.28</v>
      </c>
      <c r="D113" s="546">
        <v>1.5</v>
      </c>
      <c r="E113" s="1662"/>
      <c r="F113" s="546"/>
      <c r="G113" s="546"/>
      <c r="H113" s="543"/>
      <c r="I113" s="542"/>
      <c r="J113" s="541"/>
      <c r="K113" s="541"/>
      <c r="L113" s="541"/>
      <c r="M113" s="541"/>
      <c r="N113" s="541"/>
    </row>
    <row r="114" spans="1:19" s="529" customFormat="1" ht="14">
      <c r="A114" s="530"/>
      <c r="B114" s="530"/>
      <c r="C114" s="530"/>
    </row>
    <row r="115" spans="1:19" s="529" customFormat="1" ht="14">
      <c r="A115" s="531"/>
      <c r="B115" s="530"/>
      <c r="C115" s="530"/>
      <c r="D115" s="530"/>
      <c r="E115" s="611"/>
      <c r="F115" s="530"/>
      <c r="G115" s="602"/>
      <c r="H115" s="532"/>
    </row>
    <row r="116" spans="1:19" s="529" customFormat="1" ht="14">
      <c r="A116" s="530"/>
      <c r="B116" s="530"/>
      <c r="C116" s="530"/>
      <c r="D116" s="530"/>
      <c r="E116" s="611"/>
      <c r="F116" s="530"/>
    </row>
    <row r="117" spans="1:19" s="530" customFormat="1" ht="14">
      <c r="A117" s="562" t="s">
        <v>106</v>
      </c>
      <c r="B117" s="565" t="s">
        <v>107</v>
      </c>
      <c r="C117" s="564" t="s">
        <v>4</v>
      </c>
      <c r="D117" s="563" t="s">
        <v>108</v>
      </c>
      <c r="E117" s="563" t="s">
        <v>109</v>
      </c>
      <c r="F117" s="562" t="s">
        <v>411</v>
      </c>
      <c r="G117" s="561" t="s">
        <v>950</v>
      </c>
      <c r="H117" s="561" t="s">
        <v>110</v>
      </c>
      <c r="I117" s="561" t="s">
        <v>276</v>
      </c>
      <c r="J117" s="561" t="s">
        <v>117</v>
      </c>
      <c r="K117" s="561" t="s">
        <v>275</v>
      </c>
      <c r="L117" s="562" t="s">
        <v>111</v>
      </c>
      <c r="M117" s="561" t="s">
        <v>949</v>
      </c>
      <c r="N117" s="561" t="s">
        <v>948</v>
      </c>
      <c r="O117" s="561" t="s">
        <v>129</v>
      </c>
      <c r="P117" s="561" t="s">
        <v>220</v>
      </c>
      <c r="Q117" s="537" t="s">
        <v>947</v>
      </c>
      <c r="R117" s="537" t="s">
        <v>946</v>
      </c>
      <c r="S117" s="560" t="s">
        <v>945</v>
      </c>
    </row>
    <row r="118" spans="1:19" s="547" customFormat="1" ht="14">
      <c r="A118" s="554">
        <v>236</v>
      </c>
      <c r="B118" s="559" t="s">
        <v>843</v>
      </c>
      <c r="C118" s="558" t="s">
        <v>844</v>
      </c>
      <c r="D118" s="555">
        <v>19.7</v>
      </c>
      <c r="E118" s="555">
        <v>19.699999962100001</v>
      </c>
      <c r="F118" s="557" t="s">
        <v>1123</v>
      </c>
      <c r="G118" s="555">
        <v>7.03</v>
      </c>
      <c r="H118" s="555">
        <v>4.3</v>
      </c>
      <c r="I118" s="555">
        <f>H118/G118</f>
        <v>0.61166429587482218</v>
      </c>
      <c r="J118" s="555">
        <v>6.01</v>
      </c>
      <c r="K118" s="555">
        <f>J118/G118</f>
        <v>0.85490753911806538</v>
      </c>
      <c r="L118" s="554">
        <v>7</v>
      </c>
      <c r="M118" s="566">
        <v>43028</v>
      </c>
      <c r="N118" s="555">
        <v>7.06</v>
      </c>
      <c r="O118" s="555">
        <f>(N118*(1+Q118/10)+R118/10)/J118</f>
        <v>1.1747088186356074</v>
      </c>
      <c r="P118" s="553" t="s">
        <v>223</v>
      </c>
      <c r="Q118" s="554">
        <f>IFERROR(MID(P118,FIND("转",P118)+1,FIND("股",P118)-(FIND("转",P118)+1)),0)</f>
        <v>0</v>
      </c>
      <c r="R118" s="554">
        <f>IFERROR(MID(P118,FIND("派",P118)+1,FIND("元",P118)-FIND("派",P118)-1),0)</f>
        <v>0</v>
      </c>
      <c r="S118" s="553"/>
    </row>
    <row r="119" spans="1:19" s="540" customFormat="1" ht="14">
      <c r="A119" s="547"/>
      <c r="B119" s="551" t="s">
        <v>112</v>
      </c>
      <c r="C119" s="551" t="s">
        <v>113</v>
      </c>
      <c r="D119" s="551" t="s">
        <v>943</v>
      </c>
      <c r="E119" s="552" t="s">
        <v>411</v>
      </c>
      <c r="F119" s="552" t="s">
        <v>942</v>
      </c>
      <c r="G119" s="551" t="s">
        <v>231</v>
      </c>
      <c r="H119" s="551" t="s">
        <v>941</v>
      </c>
      <c r="I119" s="549">
        <f>SUM(G120:G135)</f>
        <v>19.699999962100001</v>
      </c>
      <c r="J119" s="548"/>
      <c r="K119" s="548"/>
      <c r="L119" s="548"/>
      <c r="M119" s="548"/>
      <c r="N119" s="548"/>
    </row>
    <row r="120" spans="1:19" s="540" customFormat="1">
      <c r="A120" s="547">
        <v>1</v>
      </c>
      <c r="B120" s="554" t="s">
        <v>385</v>
      </c>
      <c r="C120" s="546">
        <v>6.5</v>
      </c>
      <c r="D120" s="546">
        <v>2</v>
      </c>
      <c r="E120" s="544"/>
      <c r="F120" s="546">
        <v>3327.7869999999998</v>
      </c>
      <c r="G120" s="546">
        <v>1.9999999869999998</v>
      </c>
      <c r="H120" s="543" t="s">
        <v>126</v>
      </c>
      <c r="I120" s="139" t="s">
        <v>842</v>
      </c>
      <c r="J120" s="541"/>
      <c r="K120" s="541"/>
      <c r="L120" s="541"/>
      <c r="M120" s="541"/>
      <c r="N120" s="541"/>
    </row>
    <row r="121" spans="1:19" s="540" customFormat="1" ht="14">
      <c r="A121" s="547">
        <v>2</v>
      </c>
      <c r="B121" s="554" t="s">
        <v>130</v>
      </c>
      <c r="C121" s="546">
        <v>6.37</v>
      </c>
      <c r="D121" s="546">
        <v>3.94</v>
      </c>
      <c r="E121" s="544"/>
      <c r="F121" s="546">
        <v>6555.7403999999997</v>
      </c>
      <c r="G121" s="546">
        <v>3.9399999804000001</v>
      </c>
      <c r="H121" s="543"/>
      <c r="I121" s="140"/>
      <c r="J121" s="541"/>
      <c r="K121" s="541"/>
      <c r="L121" s="541"/>
      <c r="M121" s="541"/>
      <c r="N121" s="541"/>
    </row>
    <row r="122" spans="1:19" s="540" customFormat="1" ht="14">
      <c r="A122" s="547">
        <v>3</v>
      </c>
      <c r="B122" s="554" t="s">
        <v>336</v>
      </c>
      <c r="C122" s="546">
        <v>6.26</v>
      </c>
      <c r="D122" s="546">
        <v>3.94</v>
      </c>
      <c r="E122" s="544"/>
      <c r="F122" s="546">
        <v>6555.7403999999997</v>
      </c>
      <c r="G122" s="546">
        <v>3.9399999804000001</v>
      </c>
      <c r="H122" s="543"/>
      <c r="I122" s="140"/>
      <c r="J122" s="541"/>
      <c r="K122" s="541"/>
      <c r="L122" s="541"/>
      <c r="M122" s="541"/>
      <c r="N122" s="541"/>
    </row>
    <row r="123" spans="1:19" s="540" customFormat="1" ht="14">
      <c r="A123" s="547">
        <v>4</v>
      </c>
      <c r="B123" s="554" t="s">
        <v>128</v>
      </c>
      <c r="C123" s="546">
        <v>6.18</v>
      </c>
      <c r="D123" s="546">
        <v>3.94</v>
      </c>
      <c r="E123" s="544"/>
      <c r="F123" s="546">
        <v>6555.7103999999999</v>
      </c>
      <c r="G123" s="546">
        <v>3.9399999804000001</v>
      </c>
      <c r="H123" s="543"/>
      <c r="I123" s="542"/>
      <c r="J123" s="541"/>
      <c r="K123" s="541"/>
      <c r="L123" s="541"/>
      <c r="M123" s="541"/>
      <c r="N123" s="541"/>
    </row>
    <row r="124" spans="1:19" s="540" customFormat="1" ht="14">
      <c r="A124" s="547">
        <v>5</v>
      </c>
      <c r="B124" s="554" t="s">
        <v>300</v>
      </c>
      <c r="C124" s="546">
        <v>6.05</v>
      </c>
      <c r="D124" s="546">
        <v>1.97</v>
      </c>
      <c r="E124" s="544"/>
      <c r="F124" s="546">
        <v>3277.8701999999998</v>
      </c>
      <c r="G124" s="546">
        <v>1.9699999902000001</v>
      </c>
      <c r="H124" s="543"/>
      <c r="I124" s="542"/>
      <c r="J124" s="541"/>
      <c r="K124" s="541"/>
      <c r="L124" s="541"/>
      <c r="M124" s="541"/>
      <c r="N124" s="541"/>
    </row>
    <row r="125" spans="1:19" s="540" customFormat="1" ht="14">
      <c r="A125" s="547">
        <v>6</v>
      </c>
      <c r="B125" s="554" t="s">
        <v>332</v>
      </c>
      <c r="C125" s="546">
        <v>6.01</v>
      </c>
      <c r="D125" s="546">
        <v>2</v>
      </c>
      <c r="E125" s="544"/>
      <c r="F125" s="546">
        <v>3227.9535000000001</v>
      </c>
      <c r="G125" s="546">
        <v>1.9400000534999999</v>
      </c>
      <c r="H125" s="543"/>
      <c r="I125" s="542"/>
      <c r="J125" s="541"/>
      <c r="K125" s="541"/>
      <c r="L125" s="541"/>
      <c r="M125" s="541"/>
      <c r="N125" s="541"/>
    </row>
    <row r="126" spans="1:19" s="540" customFormat="1" ht="14">
      <c r="A126" s="547">
        <v>7</v>
      </c>
      <c r="B126" s="554" t="s">
        <v>115</v>
      </c>
      <c r="C126" s="546">
        <v>5.81</v>
      </c>
      <c r="D126" s="546">
        <v>3.46</v>
      </c>
      <c r="E126" s="544"/>
      <c r="F126" s="546"/>
      <c r="G126" s="546"/>
      <c r="H126" s="543"/>
      <c r="I126" s="542"/>
      <c r="J126" s="541"/>
      <c r="K126" s="541"/>
      <c r="L126" s="541"/>
      <c r="M126" s="541"/>
      <c r="N126" s="541"/>
    </row>
    <row r="127" spans="1:19" s="540" customFormat="1" ht="14">
      <c r="A127" s="547">
        <v>8</v>
      </c>
      <c r="B127" s="554" t="s">
        <v>1122</v>
      </c>
      <c r="C127" s="546">
        <v>5.59</v>
      </c>
      <c r="D127" s="546">
        <v>1.97</v>
      </c>
      <c r="E127" s="544"/>
      <c r="F127" s="546"/>
      <c r="G127" s="546"/>
      <c r="H127" s="543"/>
      <c r="I127" s="542"/>
      <c r="J127" s="541"/>
      <c r="K127" s="541"/>
      <c r="L127" s="541"/>
      <c r="M127" s="541"/>
      <c r="N127" s="541"/>
    </row>
    <row r="128" spans="1:19" s="540" customFormat="1" ht="14">
      <c r="A128" s="547">
        <v>9</v>
      </c>
      <c r="B128" s="554" t="s">
        <v>351</v>
      </c>
      <c r="C128" s="546">
        <v>5.43</v>
      </c>
      <c r="D128" s="546">
        <v>1.97</v>
      </c>
      <c r="E128" s="544"/>
      <c r="F128" s="546"/>
      <c r="G128" s="546"/>
      <c r="H128" s="543"/>
      <c r="I128" s="542"/>
      <c r="J128" s="541"/>
      <c r="K128" s="541"/>
      <c r="L128" s="541"/>
      <c r="M128" s="541"/>
      <c r="N128" s="541"/>
    </row>
    <row r="129" spans="1:19" s="540" customFormat="1" ht="14">
      <c r="A129" s="547">
        <v>10</v>
      </c>
      <c r="B129" s="554" t="s">
        <v>127</v>
      </c>
      <c r="C129" s="546">
        <v>5.33</v>
      </c>
      <c r="D129" s="546">
        <v>2</v>
      </c>
      <c r="E129" s="544"/>
      <c r="F129" s="546"/>
      <c r="G129" s="546"/>
      <c r="H129" s="543"/>
      <c r="I129" s="542"/>
      <c r="J129" s="541"/>
      <c r="K129" s="541"/>
      <c r="L129" s="541"/>
      <c r="M129" s="541"/>
      <c r="N129" s="541"/>
    </row>
    <row r="130" spans="1:19" s="540" customFormat="1" ht="14">
      <c r="A130" s="547">
        <v>11</v>
      </c>
      <c r="B130" s="554" t="s">
        <v>1121</v>
      </c>
      <c r="C130" s="546">
        <v>4.8099999999999996</v>
      </c>
      <c r="D130" s="546">
        <v>1.97</v>
      </c>
      <c r="E130" s="544"/>
      <c r="F130" s="546"/>
      <c r="G130" s="546"/>
      <c r="H130" s="543"/>
      <c r="I130" s="542"/>
      <c r="J130" s="541"/>
      <c r="K130" s="541"/>
      <c r="L130" s="541"/>
      <c r="M130" s="541"/>
      <c r="N130" s="541"/>
    </row>
    <row r="131" spans="1:19" s="540" customFormat="1" ht="14">
      <c r="A131" s="547">
        <v>12</v>
      </c>
      <c r="B131" s="554" t="s">
        <v>137</v>
      </c>
      <c r="C131" s="546">
        <v>4.7699999999999996</v>
      </c>
      <c r="D131" s="546">
        <v>1.9706999999999999</v>
      </c>
      <c r="E131" s="544"/>
      <c r="F131" s="546"/>
      <c r="G131" s="546"/>
      <c r="H131" s="543"/>
      <c r="I131" s="542"/>
      <c r="J131" s="541"/>
      <c r="K131" s="541"/>
      <c r="L131" s="541"/>
      <c r="M131" s="541"/>
      <c r="N131" s="541"/>
    </row>
    <row r="132" spans="1:19" s="540" customFormat="1" ht="14">
      <c r="A132" s="547">
        <v>13</v>
      </c>
      <c r="B132" s="554" t="s">
        <v>1120</v>
      </c>
      <c r="C132" s="546">
        <v>4.67</v>
      </c>
      <c r="D132" s="546">
        <v>1.97</v>
      </c>
      <c r="E132" s="544"/>
      <c r="F132" s="546"/>
      <c r="G132" s="546"/>
      <c r="H132" s="543"/>
      <c r="I132" s="542"/>
      <c r="J132" s="541"/>
      <c r="K132" s="541"/>
      <c r="L132" s="541"/>
      <c r="M132" s="541"/>
      <c r="N132" s="541"/>
    </row>
    <row r="133" spans="1:19" s="540" customFormat="1" ht="14">
      <c r="A133" s="547">
        <v>14</v>
      </c>
      <c r="B133" s="554" t="s">
        <v>666</v>
      </c>
      <c r="C133" s="546">
        <v>4.51</v>
      </c>
      <c r="D133" s="546">
        <v>2.085</v>
      </c>
      <c r="E133" s="544"/>
      <c r="F133" s="546"/>
      <c r="G133" s="546"/>
      <c r="H133" s="543"/>
      <c r="I133" s="542"/>
      <c r="J133" s="541"/>
      <c r="K133" s="541"/>
      <c r="L133" s="541"/>
      <c r="M133" s="541"/>
      <c r="N133" s="541"/>
    </row>
    <row r="134" spans="1:19" s="540" customFormat="1" ht="14">
      <c r="A134" s="547">
        <v>15</v>
      </c>
      <c r="B134" s="554" t="s">
        <v>131</v>
      </c>
      <c r="C134" s="546">
        <v>4.3499999999999996</v>
      </c>
      <c r="D134" s="546">
        <v>2.5</v>
      </c>
      <c r="E134" s="544"/>
      <c r="F134" s="546"/>
      <c r="G134" s="546"/>
      <c r="H134" s="543"/>
      <c r="I134" s="542"/>
      <c r="J134" s="541"/>
      <c r="K134" s="541"/>
      <c r="L134" s="541"/>
      <c r="M134" s="541"/>
      <c r="N134" s="541"/>
    </row>
    <row r="135" spans="1:19" s="540" customFormat="1" ht="14">
      <c r="A135" s="547">
        <v>16</v>
      </c>
      <c r="B135" s="537" t="s">
        <v>1119</v>
      </c>
      <c r="C135" s="1658" t="s">
        <v>989</v>
      </c>
      <c r="D135" s="1659"/>
      <c r="E135" s="544"/>
      <c r="F135" s="546">
        <v>3277.8701999999998</v>
      </c>
      <c r="G135" s="546">
        <v>1.9699999902000001</v>
      </c>
      <c r="H135" s="543"/>
      <c r="I135" s="542"/>
      <c r="J135" s="541"/>
      <c r="K135" s="541"/>
      <c r="L135" s="541"/>
      <c r="M135" s="541"/>
      <c r="N135" s="541"/>
    </row>
    <row r="136" spans="1:19" s="529" customFormat="1" ht="14">
      <c r="A136" s="530"/>
      <c r="B136" s="530"/>
      <c r="C136" s="530"/>
      <c r="D136" s="530"/>
      <c r="E136" s="611"/>
      <c r="F136" s="530"/>
    </row>
    <row r="137" spans="1:19" s="529" customFormat="1" ht="14">
      <c r="A137" s="530"/>
      <c r="B137" s="530"/>
      <c r="C137" s="530"/>
      <c r="D137" s="530"/>
      <c r="E137" s="611"/>
      <c r="F137" s="530"/>
    </row>
    <row r="138" spans="1:19" s="529" customFormat="1" ht="14">
      <c r="A138" s="530"/>
      <c r="B138" s="530"/>
      <c r="C138" s="530"/>
      <c r="E138" s="611"/>
      <c r="F138" s="611"/>
      <c r="G138" s="530"/>
    </row>
    <row r="139" spans="1:19" s="530" customFormat="1" ht="14">
      <c r="A139" s="562" t="s">
        <v>106</v>
      </c>
      <c r="B139" s="565" t="s">
        <v>107</v>
      </c>
      <c r="C139" s="564" t="s">
        <v>4</v>
      </c>
      <c r="D139" s="563" t="s">
        <v>108</v>
      </c>
      <c r="E139" s="563" t="s">
        <v>109</v>
      </c>
      <c r="F139" s="562" t="s">
        <v>411</v>
      </c>
      <c r="G139" s="561" t="s">
        <v>950</v>
      </c>
      <c r="H139" s="561" t="s">
        <v>110</v>
      </c>
      <c r="I139" s="561" t="s">
        <v>276</v>
      </c>
      <c r="J139" s="561" t="s">
        <v>117</v>
      </c>
      <c r="K139" s="561" t="s">
        <v>275</v>
      </c>
      <c r="L139" s="562" t="s">
        <v>111</v>
      </c>
      <c r="M139" s="561" t="s">
        <v>949</v>
      </c>
      <c r="N139" s="561" t="s">
        <v>948</v>
      </c>
      <c r="O139" s="561" t="s">
        <v>129</v>
      </c>
      <c r="P139" s="561" t="s">
        <v>220</v>
      </c>
      <c r="Q139" s="537" t="s">
        <v>947</v>
      </c>
      <c r="R139" s="537" t="s">
        <v>946</v>
      </c>
      <c r="S139" s="560" t="s">
        <v>945</v>
      </c>
    </row>
    <row r="140" spans="1:19" s="547" customFormat="1" ht="14">
      <c r="A140" s="554">
        <v>237</v>
      </c>
      <c r="B140" s="559" t="s">
        <v>845</v>
      </c>
      <c r="C140" s="558" t="s">
        <v>846</v>
      </c>
      <c r="D140" s="555">
        <v>38</v>
      </c>
      <c r="E140" s="555">
        <v>37.99999992</v>
      </c>
      <c r="F140" s="557" t="s">
        <v>3176</v>
      </c>
      <c r="G140" s="555">
        <v>12.3</v>
      </c>
      <c r="H140" s="555">
        <v>9.65</v>
      </c>
      <c r="I140" s="555">
        <f>H140/G140</f>
        <v>0.78455284552845528</v>
      </c>
      <c r="J140" s="555">
        <v>12</v>
      </c>
      <c r="K140" s="555">
        <f>J140/G140</f>
        <v>0.97560975609756095</v>
      </c>
      <c r="L140" s="554">
        <v>7</v>
      </c>
      <c r="M140" s="566">
        <v>43034</v>
      </c>
      <c r="N140" s="555">
        <v>15.81</v>
      </c>
      <c r="O140" s="555">
        <f>(N140*(1+Q140/10)+R140/10)/J140</f>
        <v>1.3258333333333334</v>
      </c>
      <c r="P140" s="553" t="s">
        <v>242</v>
      </c>
      <c r="Q140" s="554">
        <f>IFERROR(MID(P140,FIND("转",P140)+1,FIND("股",P140)-(FIND("转",P140)+1)),0)</f>
        <v>0</v>
      </c>
      <c r="R140" s="554" t="str">
        <f>IFERROR(MID(P140,FIND("派",P140)+1,FIND("元",P140)-FIND("派",P140)-1),0)</f>
        <v>1.00</v>
      </c>
      <c r="S140" s="553"/>
    </row>
    <row r="141" spans="1:19" s="540" customFormat="1" ht="14">
      <c r="A141" s="547"/>
      <c r="B141" s="551" t="s">
        <v>112</v>
      </c>
      <c r="C141" s="551" t="s">
        <v>113</v>
      </c>
      <c r="D141" s="551" t="s">
        <v>943</v>
      </c>
      <c r="E141" s="552" t="s">
        <v>411</v>
      </c>
      <c r="F141" s="552" t="s">
        <v>942</v>
      </c>
      <c r="G141" s="551" t="s">
        <v>231</v>
      </c>
      <c r="H141" s="551" t="s">
        <v>941</v>
      </c>
      <c r="I141" s="549">
        <f>SUM(G142:G164)</f>
        <v>37.999999920000008</v>
      </c>
      <c r="J141" s="548"/>
      <c r="K141" s="548"/>
      <c r="L141" s="548"/>
      <c r="M141" s="548"/>
      <c r="N141" s="548"/>
    </row>
    <row r="142" spans="1:19" s="540" customFormat="1" ht="14">
      <c r="A142" s="1634">
        <v>1</v>
      </c>
      <c r="B142" s="1627" t="s">
        <v>316</v>
      </c>
      <c r="C142" s="546">
        <v>14</v>
      </c>
      <c r="D142" s="546">
        <v>3.8</v>
      </c>
      <c r="E142" s="544"/>
      <c r="F142" s="1624">
        <v>6333.3333000000002</v>
      </c>
      <c r="G142" s="1624">
        <v>7.5999999599999999</v>
      </c>
      <c r="H142" s="543" t="s">
        <v>126</v>
      </c>
      <c r="I142" s="138" t="s">
        <v>1118</v>
      </c>
      <c r="J142" s="541"/>
      <c r="K142" s="541"/>
      <c r="L142" s="541"/>
      <c r="M142" s="541"/>
      <c r="N142" s="541"/>
    </row>
    <row r="143" spans="1:19" s="540" customFormat="1" ht="14">
      <c r="A143" s="1634"/>
      <c r="B143" s="1628"/>
      <c r="C143" s="546">
        <v>13.8</v>
      </c>
      <c r="D143" s="546">
        <v>7.6</v>
      </c>
      <c r="E143" s="544"/>
      <c r="F143" s="1626"/>
      <c r="G143" s="1626"/>
      <c r="H143" s="543"/>
      <c r="I143" s="542"/>
      <c r="J143" s="541"/>
      <c r="K143" s="541"/>
      <c r="L143" s="541"/>
      <c r="M143" s="541"/>
      <c r="N143" s="541"/>
    </row>
    <row r="144" spans="1:19" s="540" customFormat="1" ht="14">
      <c r="A144" s="1634"/>
      <c r="B144" s="1629"/>
      <c r="C144" s="546">
        <v>10.97</v>
      </c>
      <c r="D144" s="546">
        <v>9.9</v>
      </c>
      <c r="E144" s="544"/>
      <c r="F144" s="1625"/>
      <c r="G144" s="1625"/>
      <c r="H144" s="543"/>
      <c r="I144" s="542"/>
      <c r="J144" s="541"/>
      <c r="K144" s="541"/>
      <c r="L144" s="541"/>
      <c r="M144" s="541"/>
      <c r="N144" s="541"/>
    </row>
    <row r="145" spans="1:16" s="540" customFormat="1" ht="14">
      <c r="A145" s="1634">
        <v>2</v>
      </c>
      <c r="B145" s="1627" t="s">
        <v>1117</v>
      </c>
      <c r="C145" s="546">
        <v>12.51</v>
      </c>
      <c r="D145" s="546">
        <v>7.6</v>
      </c>
      <c r="E145" s="544"/>
      <c r="F145" s="1624">
        <v>6333.3333000000002</v>
      </c>
      <c r="G145" s="1623">
        <v>7.5999999599999999</v>
      </c>
      <c r="H145" s="543"/>
      <c r="I145" s="542"/>
      <c r="J145" s="541"/>
      <c r="K145" s="541"/>
      <c r="L145" s="541"/>
      <c r="M145" s="541"/>
      <c r="N145" s="541"/>
    </row>
    <row r="146" spans="1:16" s="540" customFormat="1" ht="14">
      <c r="A146" s="1634"/>
      <c r="B146" s="1628"/>
      <c r="C146" s="546">
        <v>12.35</v>
      </c>
      <c r="D146" s="546">
        <v>7.6</v>
      </c>
      <c r="E146" s="544"/>
      <c r="F146" s="1626"/>
      <c r="G146" s="1623"/>
      <c r="H146" s="543"/>
      <c r="I146" s="542"/>
      <c r="J146" s="541"/>
      <c r="K146" s="541"/>
      <c r="L146" s="541"/>
      <c r="M146" s="541"/>
      <c r="N146" s="541"/>
    </row>
    <row r="147" spans="1:16" s="540" customFormat="1" ht="14">
      <c r="A147" s="1634"/>
      <c r="B147" s="1629"/>
      <c r="C147" s="546">
        <v>12.34</v>
      </c>
      <c r="D147" s="546">
        <v>7.6</v>
      </c>
      <c r="E147" s="544"/>
      <c r="F147" s="1625"/>
      <c r="G147" s="1623"/>
      <c r="H147" s="628"/>
      <c r="I147" s="627"/>
      <c r="J147" s="626"/>
      <c r="K147" s="626"/>
      <c r="L147" s="626"/>
      <c r="M147" s="626"/>
      <c r="N147" s="626"/>
      <c r="O147" s="484"/>
      <c r="P147" s="625"/>
    </row>
    <row r="148" spans="1:16" s="540" customFormat="1" ht="14">
      <c r="A148" s="1634">
        <v>3</v>
      </c>
      <c r="B148" s="1627" t="s">
        <v>1116</v>
      </c>
      <c r="C148" s="546">
        <v>12.35</v>
      </c>
      <c r="D148" s="546">
        <v>3.8</v>
      </c>
      <c r="E148" s="544"/>
      <c r="F148" s="1624">
        <v>3166.6666</v>
      </c>
      <c r="G148" s="1624">
        <v>3.7999999199999999</v>
      </c>
      <c r="H148" s="543"/>
      <c r="I148" s="542"/>
      <c r="J148" s="541"/>
      <c r="K148" s="541"/>
      <c r="L148" s="541"/>
      <c r="M148" s="541"/>
      <c r="N148" s="541"/>
    </row>
    <row r="149" spans="1:16" s="540" customFormat="1" ht="14">
      <c r="A149" s="1634"/>
      <c r="B149" s="1628"/>
      <c r="C149" s="546">
        <v>12.18</v>
      </c>
      <c r="D149" s="546">
        <v>3.8</v>
      </c>
      <c r="E149" s="544"/>
      <c r="F149" s="1626"/>
      <c r="G149" s="1626"/>
      <c r="H149" s="543"/>
      <c r="I149" s="542"/>
      <c r="J149" s="541"/>
      <c r="K149" s="541"/>
      <c r="L149" s="541"/>
      <c r="M149" s="541"/>
      <c r="N149" s="541"/>
    </row>
    <row r="150" spans="1:16" s="540" customFormat="1" ht="14">
      <c r="A150" s="1634"/>
      <c r="B150" s="1629"/>
      <c r="C150" s="546">
        <v>11.98</v>
      </c>
      <c r="D150" s="546">
        <v>3.8</v>
      </c>
      <c r="E150" s="544"/>
      <c r="F150" s="1625"/>
      <c r="G150" s="1625"/>
      <c r="H150" s="543"/>
      <c r="I150" s="542"/>
      <c r="J150" s="541"/>
      <c r="K150" s="541"/>
      <c r="L150" s="541"/>
      <c r="M150" s="541"/>
      <c r="N150" s="541"/>
    </row>
    <row r="151" spans="1:16" s="540" customFormat="1" ht="14">
      <c r="A151" s="1634">
        <v>4</v>
      </c>
      <c r="B151" s="1627" t="s">
        <v>1115</v>
      </c>
      <c r="C151" s="546">
        <v>12.2</v>
      </c>
      <c r="D151" s="546">
        <v>3.8</v>
      </c>
      <c r="E151" s="544"/>
      <c r="F151" s="1624">
        <v>3166.6666</v>
      </c>
      <c r="G151" s="1624">
        <v>3.7999999199999999</v>
      </c>
      <c r="H151" s="543"/>
      <c r="I151" s="542"/>
      <c r="J151" s="541"/>
      <c r="K151" s="541"/>
      <c r="L151" s="541"/>
      <c r="M151" s="541"/>
      <c r="N151" s="541"/>
    </row>
    <row r="152" spans="1:16" s="540" customFormat="1" ht="14">
      <c r="A152" s="1634"/>
      <c r="B152" s="1628"/>
      <c r="C152" s="546">
        <v>10.51</v>
      </c>
      <c r="D152" s="546">
        <v>3.8</v>
      </c>
      <c r="E152" s="544"/>
      <c r="F152" s="1626"/>
      <c r="G152" s="1626"/>
      <c r="H152" s="543"/>
      <c r="I152" s="542"/>
      <c r="J152" s="541"/>
      <c r="K152" s="541"/>
      <c r="L152" s="541"/>
      <c r="M152" s="541"/>
      <c r="N152" s="541"/>
    </row>
    <row r="153" spans="1:16" s="540" customFormat="1" ht="14">
      <c r="A153" s="1634"/>
      <c r="B153" s="1629"/>
      <c r="C153" s="546">
        <v>9.65</v>
      </c>
      <c r="D153" s="546">
        <v>3.8</v>
      </c>
      <c r="E153" s="544"/>
      <c r="F153" s="1625"/>
      <c r="G153" s="1625"/>
      <c r="H153" s="543"/>
      <c r="I153" s="542"/>
      <c r="J153" s="541"/>
      <c r="K153" s="541"/>
      <c r="L153" s="541"/>
      <c r="M153" s="541"/>
      <c r="N153" s="541"/>
    </row>
    <row r="154" spans="1:16" s="540" customFormat="1" ht="14">
      <c r="A154" s="547">
        <v>5</v>
      </c>
      <c r="B154" s="554" t="s">
        <v>960</v>
      </c>
      <c r="C154" s="546">
        <v>12.2</v>
      </c>
      <c r="D154" s="546">
        <v>3.8</v>
      </c>
      <c r="E154" s="544"/>
      <c r="F154" s="546">
        <v>3166.6666</v>
      </c>
      <c r="G154" s="546">
        <v>3.7999999199999999</v>
      </c>
      <c r="H154" s="543"/>
      <c r="I154" s="542"/>
      <c r="J154" s="541"/>
      <c r="K154" s="541"/>
      <c r="L154" s="541"/>
      <c r="M154" s="541"/>
      <c r="N154" s="541"/>
    </row>
    <row r="155" spans="1:16" s="540" customFormat="1" ht="14">
      <c r="A155" s="547">
        <v>6</v>
      </c>
      <c r="B155" s="554" t="s">
        <v>309</v>
      </c>
      <c r="C155" s="546">
        <v>12.1</v>
      </c>
      <c r="D155" s="546">
        <v>3.8</v>
      </c>
      <c r="E155" s="544"/>
      <c r="F155" s="546">
        <v>3166.6666</v>
      </c>
      <c r="G155" s="546">
        <v>3.7999999199999999</v>
      </c>
      <c r="H155" s="543"/>
      <c r="I155" s="542"/>
      <c r="J155" s="541"/>
      <c r="K155" s="541"/>
      <c r="L155" s="541"/>
      <c r="M155" s="541"/>
      <c r="N155" s="541"/>
    </row>
    <row r="156" spans="1:16" s="540" customFormat="1" ht="14">
      <c r="A156" s="547">
        <v>7</v>
      </c>
      <c r="B156" s="554" t="s">
        <v>358</v>
      </c>
      <c r="C156" s="546">
        <v>12</v>
      </c>
      <c r="D156" s="546">
        <v>19</v>
      </c>
      <c r="E156" s="544"/>
      <c r="F156" s="546">
        <v>6333.3335999999999</v>
      </c>
      <c r="G156" s="546">
        <v>7.6000003200000004</v>
      </c>
      <c r="H156" s="543"/>
      <c r="I156" s="542"/>
      <c r="J156" s="541"/>
      <c r="K156" s="541"/>
      <c r="L156" s="541"/>
      <c r="M156" s="541"/>
      <c r="N156" s="541"/>
    </row>
    <row r="157" spans="1:16" s="540" customFormat="1" ht="14">
      <c r="A157" s="1634">
        <v>8</v>
      </c>
      <c r="B157" s="1627" t="s">
        <v>115</v>
      </c>
      <c r="C157" s="546">
        <v>10.36</v>
      </c>
      <c r="D157" s="546">
        <v>3.84</v>
      </c>
      <c r="E157" s="544"/>
      <c r="F157" s="546"/>
      <c r="G157" s="546"/>
      <c r="H157" s="543"/>
      <c r="I157" s="542"/>
      <c r="J157" s="541"/>
      <c r="K157" s="541"/>
      <c r="L157" s="541"/>
      <c r="M157" s="541"/>
      <c r="N157" s="541"/>
    </row>
    <row r="158" spans="1:16" s="540" customFormat="1" ht="14">
      <c r="A158" s="1634"/>
      <c r="B158" s="1628"/>
      <c r="C158" s="546">
        <v>10.199999999999999</v>
      </c>
      <c r="D158" s="546">
        <v>4.3</v>
      </c>
      <c r="E158" s="544"/>
      <c r="F158" s="546"/>
      <c r="G158" s="546"/>
      <c r="H158" s="543"/>
      <c r="I158" s="542"/>
      <c r="J158" s="541"/>
      <c r="K158" s="541"/>
      <c r="L158" s="541"/>
      <c r="M158" s="541"/>
      <c r="N158" s="541"/>
    </row>
    <row r="159" spans="1:16" s="540" customFormat="1" ht="14">
      <c r="A159" s="1634"/>
      <c r="B159" s="1629"/>
      <c r="C159" s="546">
        <v>10.01</v>
      </c>
      <c r="D159" s="546">
        <v>4.4800000000000004</v>
      </c>
      <c r="E159" s="544"/>
      <c r="F159" s="546"/>
      <c r="G159" s="546"/>
      <c r="H159" s="543"/>
      <c r="I159" s="542"/>
      <c r="J159" s="541"/>
      <c r="K159" s="541"/>
      <c r="L159" s="541"/>
      <c r="M159" s="541"/>
      <c r="N159" s="541"/>
    </row>
    <row r="160" spans="1:16" s="540" customFormat="1" ht="14">
      <c r="A160" s="1634">
        <v>9</v>
      </c>
      <c r="B160" s="1627" t="s">
        <v>121</v>
      </c>
      <c r="C160" s="546">
        <v>11.9</v>
      </c>
      <c r="D160" s="546">
        <v>3.8</v>
      </c>
      <c r="E160" s="544"/>
      <c r="F160" s="546"/>
      <c r="G160" s="546"/>
      <c r="H160" s="543"/>
      <c r="I160" s="542"/>
      <c r="J160" s="541"/>
      <c r="K160" s="541"/>
      <c r="L160" s="541"/>
      <c r="M160" s="541"/>
      <c r="N160" s="541"/>
    </row>
    <row r="161" spans="1:19" s="540" customFormat="1" ht="14">
      <c r="A161" s="1634"/>
      <c r="B161" s="1629"/>
      <c r="C161" s="546">
        <v>9.65</v>
      </c>
      <c r="D161" s="546">
        <v>3.8</v>
      </c>
      <c r="E161" s="544"/>
      <c r="F161" s="546"/>
      <c r="G161" s="546"/>
      <c r="H161" s="543"/>
      <c r="I161" s="542"/>
      <c r="J161" s="541"/>
      <c r="K161" s="541"/>
      <c r="L161" s="541"/>
      <c r="M161" s="541"/>
      <c r="N161" s="541"/>
    </row>
    <row r="162" spans="1:19" s="540" customFormat="1" ht="14">
      <c r="A162" s="547">
        <v>10</v>
      </c>
      <c r="B162" s="554" t="s">
        <v>1114</v>
      </c>
      <c r="C162" s="546">
        <v>9.92</v>
      </c>
      <c r="D162" s="546">
        <v>3.8</v>
      </c>
      <c r="E162" s="544"/>
      <c r="F162" s="546"/>
      <c r="G162" s="546"/>
      <c r="H162" s="543"/>
      <c r="I162" s="542"/>
      <c r="J162" s="541"/>
      <c r="K162" s="541"/>
      <c r="L162" s="541"/>
      <c r="M162" s="541"/>
      <c r="N162" s="541"/>
    </row>
    <row r="163" spans="1:19" s="540" customFormat="1" ht="14">
      <c r="A163" s="547">
        <v>11</v>
      </c>
      <c r="B163" s="554" t="s">
        <v>974</v>
      </c>
      <c r="C163" s="546">
        <v>10.01</v>
      </c>
      <c r="D163" s="546">
        <v>3.8</v>
      </c>
      <c r="E163" s="544"/>
      <c r="F163" s="546"/>
      <c r="G163" s="546"/>
      <c r="H163" s="543"/>
      <c r="I163" s="542"/>
      <c r="J163" s="541"/>
      <c r="K163" s="541"/>
      <c r="L163" s="541"/>
      <c r="M163" s="541"/>
      <c r="N163" s="541"/>
    </row>
    <row r="164" spans="1:19" s="540" customFormat="1" ht="14">
      <c r="A164" s="547">
        <v>12</v>
      </c>
      <c r="B164" s="554" t="s">
        <v>122</v>
      </c>
      <c r="C164" s="546">
        <v>9.67</v>
      </c>
      <c r="D164" s="546">
        <v>4</v>
      </c>
      <c r="E164" s="544"/>
      <c r="F164" s="546"/>
      <c r="G164" s="546"/>
      <c r="H164" s="543"/>
      <c r="I164" s="542"/>
      <c r="J164" s="541"/>
      <c r="K164" s="541"/>
      <c r="L164" s="541"/>
      <c r="M164" s="541"/>
      <c r="N164" s="541"/>
    </row>
    <row r="165" spans="1:19" s="529" customFormat="1" ht="14">
      <c r="A165" s="531"/>
      <c r="B165" s="530"/>
      <c r="C165" s="530"/>
      <c r="E165" s="580"/>
    </row>
    <row r="166" spans="1:19" s="529" customFormat="1" ht="14">
      <c r="A166" s="530"/>
      <c r="B166" s="530"/>
      <c r="E166" s="580"/>
    </row>
    <row r="167" spans="1:19" s="529" customFormat="1" ht="14">
      <c r="A167" s="530"/>
      <c r="B167" s="530"/>
      <c r="E167" s="580"/>
    </row>
    <row r="168" spans="1:19" s="530" customFormat="1" ht="14">
      <c r="A168" s="562" t="s">
        <v>106</v>
      </c>
      <c r="B168" s="565" t="s">
        <v>107</v>
      </c>
      <c r="C168" s="564" t="s">
        <v>4</v>
      </c>
      <c r="D168" s="563" t="s">
        <v>108</v>
      </c>
      <c r="E168" s="563" t="s">
        <v>109</v>
      </c>
      <c r="F168" s="562" t="s">
        <v>411</v>
      </c>
      <c r="G168" s="561" t="s">
        <v>950</v>
      </c>
      <c r="H168" s="561" t="s">
        <v>110</v>
      </c>
      <c r="I168" s="561" t="s">
        <v>276</v>
      </c>
      <c r="J168" s="561" t="s">
        <v>117</v>
      </c>
      <c r="K168" s="561" t="s">
        <v>275</v>
      </c>
      <c r="L168" s="562" t="s">
        <v>111</v>
      </c>
      <c r="M168" s="561" t="s">
        <v>949</v>
      </c>
      <c r="N168" s="561" t="s">
        <v>948</v>
      </c>
      <c r="O168" s="561" t="s">
        <v>129</v>
      </c>
      <c r="P168" s="561" t="s">
        <v>220</v>
      </c>
      <c r="Q168" s="537" t="s">
        <v>947</v>
      </c>
      <c r="R168" s="537" t="s">
        <v>946</v>
      </c>
      <c r="S168" s="560" t="s">
        <v>945</v>
      </c>
    </row>
    <row r="169" spans="1:19" s="547" customFormat="1" ht="14">
      <c r="A169" s="554">
        <v>238</v>
      </c>
      <c r="B169" s="559" t="s">
        <v>847</v>
      </c>
      <c r="C169" s="558" t="s">
        <v>848</v>
      </c>
      <c r="D169" s="555">
        <v>5.7</v>
      </c>
      <c r="E169" s="555">
        <v>5.6999998463999999</v>
      </c>
      <c r="F169" s="557" t="s">
        <v>1113</v>
      </c>
      <c r="G169" s="555">
        <v>34.299999999999997</v>
      </c>
      <c r="H169" s="555">
        <v>29.25</v>
      </c>
      <c r="I169" s="555">
        <f>H169/G169</f>
        <v>0.85276967930029157</v>
      </c>
      <c r="J169" s="555">
        <v>30.72</v>
      </c>
      <c r="K169" s="555">
        <f>J169/G169</f>
        <v>0.89562682215743439</v>
      </c>
      <c r="L169" s="554">
        <v>5</v>
      </c>
      <c r="M169" s="566">
        <v>43032</v>
      </c>
      <c r="N169" s="555">
        <v>24.92</v>
      </c>
      <c r="O169" s="555">
        <f>(N169*(1+Q169/10)+R169/10)/J169</f>
        <v>0.82421875</v>
      </c>
      <c r="P169" s="553" t="s">
        <v>849</v>
      </c>
      <c r="Q169" s="554">
        <f>IFERROR(MID(P169,FIND("转",P169)+1,FIND("股",P169)-(FIND("转",P169)+1)),0)</f>
        <v>0</v>
      </c>
      <c r="R169" s="554" t="str">
        <f>IFERROR(MID(P169,FIND("派",P169)+1,FIND("元",P169)-FIND("派",P169)-1),0)</f>
        <v>4.00</v>
      </c>
      <c r="S169" s="553" t="s">
        <v>850</v>
      </c>
    </row>
    <row r="170" spans="1:19" s="540" customFormat="1" ht="14">
      <c r="A170" s="547"/>
      <c r="B170" s="551" t="s">
        <v>112</v>
      </c>
      <c r="C170" s="551" t="s">
        <v>113</v>
      </c>
      <c r="D170" s="551" t="s">
        <v>943</v>
      </c>
      <c r="E170" s="552" t="s">
        <v>411</v>
      </c>
      <c r="F170" s="552" t="s">
        <v>942</v>
      </c>
      <c r="G170" s="551" t="s">
        <v>231</v>
      </c>
      <c r="H170" s="551" t="s">
        <v>941</v>
      </c>
      <c r="I170" s="549">
        <f>SUM(G171:G183)</f>
        <v>5.6999998464000008</v>
      </c>
      <c r="J170" s="548"/>
      <c r="K170" s="548"/>
      <c r="L170" s="548"/>
      <c r="M170" s="548"/>
      <c r="N170" s="548"/>
    </row>
    <row r="171" spans="1:19" s="540" customFormat="1" ht="14">
      <c r="A171" s="547">
        <v>1</v>
      </c>
      <c r="B171" s="554" t="s">
        <v>128</v>
      </c>
      <c r="C171" s="546">
        <v>32.01</v>
      </c>
      <c r="D171" s="546">
        <v>1.1399999999999999</v>
      </c>
      <c r="E171" s="544"/>
      <c r="F171" s="546">
        <v>371.09370000000001</v>
      </c>
      <c r="G171" s="546">
        <f>F171*30.72/10000</f>
        <v>1.1399998464000001</v>
      </c>
      <c r="H171" s="543" t="s">
        <v>126</v>
      </c>
      <c r="I171" s="138" t="s">
        <v>1112</v>
      </c>
      <c r="J171" s="541"/>
      <c r="K171" s="541"/>
      <c r="L171" s="541"/>
      <c r="M171" s="541"/>
      <c r="N171" s="541"/>
    </row>
    <row r="172" spans="1:19" s="540" customFormat="1" ht="14">
      <c r="A172" s="547">
        <v>2</v>
      </c>
      <c r="B172" s="554" t="s">
        <v>955</v>
      </c>
      <c r="C172" s="546">
        <v>29.52</v>
      </c>
      <c r="D172" s="546">
        <v>1.1399999999999999</v>
      </c>
      <c r="E172" s="544"/>
      <c r="F172" s="546"/>
      <c r="G172" s="546"/>
      <c r="H172" s="543"/>
      <c r="I172" s="542"/>
      <c r="J172" s="541"/>
      <c r="K172" s="541"/>
      <c r="L172" s="541"/>
      <c r="M172" s="541"/>
      <c r="N172" s="541"/>
    </row>
    <row r="173" spans="1:19" s="540" customFormat="1" ht="14">
      <c r="A173" s="547">
        <v>3</v>
      </c>
      <c r="B173" s="554" t="s">
        <v>1111</v>
      </c>
      <c r="C173" s="546">
        <v>29.81</v>
      </c>
      <c r="D173" s="546">
        <v>1.1499999999999999</v>
      </c>
      <c r="E173" s="544"/>
      <c r="F173" s="546"/>
      <c r="G173" s="546"/>
      <c r="H173" s="543"/>
      <c r="I173" s="542"/>
      <c r="J173" s="541"/>
      <c r="K173" s="541"/>
      <c r="L173" s="541"/>
      <c r="M173" s="541"/>
      <c r="N173" s="541"/>
    </row>
    <row r="174" spans="1:19" s="540" customFormat="1" ht="14">
      <c r="A174" s="1634">
        <v>4</v>
      </c>
      <c r="B174" s="1627" t="s">
        <v>115</v>
      </c>
      <c r="C174" s="546">
        <v>31.55</v>
      </c>
      <c r="D174" s="546">
        <v>1.1399999999999999</v>
      </c>
      <c r="E174" s="544"/>
      <c r="F174" s="1624">
        <v>475.2604</v>
      </c>
      <c r="G174" s="1624">
        <f>F174*30.72/10000</f>
        <v>1.4599999487999999</v>
      </c>
      <c r="H174" s="543"/>
      <c r="I174" s="542"/>
      <c r="J174" s="541"/>
      <c r="K174" s="541"/>
      <c r="L174" s="541"/>
      <c r="M174" s="541"/>
      <c r="N174" s="541"/>
    </row>
    <row r="175" spans="1:19" s="540" customFormat="1" ht="14">
      <c r="A175" s="1634"/>
      <c r="B175" s="1628"/>
      <c r="C175" s="546">
        <v>30.85</v>
      </c>
      <c r="D175" s="546">
        <v>1.46</v>
      </c>
      <c r="E175" s="544"/>
      <c r="F175" s="1626"/>
      <c r="G175" s="1626"/>
      <c r="H175" s="543"/>
      <c r="I175" s="542"/>
      <c r="J175" s="541"/>
      <c r="K175" s="541"/>
      <c r="L175" s="541"/>
      <c r="M175" s="541"/>
      <c r="N175" s="541"/>
    </row>
    <row r="176" spans="1:19" s="540" customFormat="1" ht="14">
      <c r="A176" s="1634"/>
      <c r="B176" s="1629"/>
      <c r="C176" s="546">
        <v>30</v>
      </c>
      <c r="D176" s="546">
        <v>1.54</v>
      </c>
      <c r="E176" s="544"/>
      <c r="F176" s="1625"/>
      <c r="G176" s="1625"/>
      <c r="H176" s="543"/>
      <c r="I176" s="542"/>
      <c r="J176" s="541"/>
      <c r="K176" s="541"/>
      <c r="L176" s="541"/>
      <c r="M176" s="541"/>
      <c r="N176" s="541"/>
    </row>
    <row r="177" spans="1:19" s="540" customFormat="1" ht="14">
      <c r="A177" s="547">
        <v>5</v>
      </c>
      <c r="B177" s="554" t="s">
        <v>127</v>
      </c>
      <c r="C177" s="546">
        <v>30.12</v>
      </c>
      <c r="D177" s="546">
        <v>1.5</v>
      </c>
      <c r="E177" s="544"/>
      <c r="F177" s="546"/>
      <c r="G177" s="546"/>
      <c r="H177" s="543"/>
      <c r="I177" s="542"/>
      <c r="J177" s="541"/>
      <c r="K177" s="541"/>
      <c r="L177" s="541"/>
      <c r="M177" s="541"/>
      <c r="N177" s="541"/>
    </row>
    <row r="178" spans="1:19" s="540" customFormat="1" ht="14">
      <c r="A178" s="547">
        <v>6</v>
      </c>
      <c r="B178" s="554" t="s">
        <v>146</v>
      </c>
      <c r="C178" s="546">
        <v>30.72</v>
      </c>
      <c r="D178" s="546">
        <v>1.1499999999999999</v>
      </c>
      <c r="E178" s="544"/>
      <c r="F178" s="546">
        <v>247.39590000000001</v>
      </c>
      <c r="G178" s="546">
        <f>F178*30.72/10000</f>
        <v>0.76000020480000008</v>
      </c>
      <c r="H178" s="543"/>
      <c r="I178" s="542"/>
      <c r="J178" s="541"/>
      <c r="K178" s="541"/>
      <c r="L178" s="541"/>
      <c r="M178" s="541"/>
      <c r="N178" s="541"/>
    </row>
    <row r="179" spans="1:19" s="540" customFormat="1" ht="14">
      <c r="A179" s="1634">
        <v>7</v>
      </c>
      <c r="B179" s="1627" t="s">
        <v>1070</v>
      </c>
      <c r="C179" s="546">
        <v>32.200000000000003</v>
      </c>
      <c r="D179" s="546">
        <v>1.1399999999999999</v>
      </c>
      <c r="E179" s="544"/>
      <c r="F179" s="1624">
        <v>371.09370000000001</v>
      </c>
      <c r="G179" s="1624">
        <f>F179*30.72/10000</f>
        <v>1.1399998464000001</v>
      </c>
      <c r="H179" s="543"/>
      <c r="I179" s="542"/>
      <c r="J179" s="541"/>
      <c r="K179" s="541"/>
      <c r="L179" s="541"/>
      <c r="M179" s="541"/>
      <c r="N179" s="541"/>
    </row>
    <row r="180" spans="1:19" s="540" customFormat="1" ht="14">
      <c r="A180" s="1634"/>
      <c r="B180" s="1628"/>
      <c r="C180" s="546">
        <v>31.65</v>
      </c>
      <c r="D180" s="546">
        <v>1.1399999999999999</v>
      </c>
      <c r="E180" s="544"/>
      <c r="F180" s="1626"/>
      <c r="G180" s="1626"/>
      <c r="H180" s="543"/>
      <c r="I180" s="542"/>
      <c r="J180" s="541"/>
      <c r="K180" s="541"/>
      <c r="L180" s="541"/>
      <c r="M180" s="541"/>
      <c r="N180" s="541"/>
    </row>
    <row r="181" spans="1:19" s="540" customFormat="1" ht="14">
      <c r="A181" s="1634"/>
      <c r="B181" s="1629"/>
      <c r="C181" s="546">
        <v>30</v>
      </c>
      <c r="D181" s="546">
        <v>1.1399999999999999</v>
      </c>
      <c r="E181" s="544"/>
      <c r="F181" s="1625"/>
      <c r="G181" s="1625"/>
      <c r="H181" s="543"/>
      <c r="I181" s="542"/>
      <c r="J181" s="541"/>
      <c r="K181" s="541"/>
      <c r="L181" s="541"/>
      <c r="M181" s="541"/>
      <c r="N181" s="541"/>
    </row>
    <row r="182" spans="1:19" s="540" customFormat="1" ht="14">
      <c r="A182" s="1634">
        <v>8</v>
      </c>
      <c r="B182" s="1627" t="s">
        <v>285</v>
      </c>
      <c r="C182" s="546">
        <v>32.6</v>
      </c>
      <c r="D182" s="546">
        <v>1.2</v>
      </c>
      <c r="E182" s="544"/>
      <c r="F182" s="1624">
        <v>390.625</v>
      </c>
      <c r="G182" s="1624">
        <f>F182*30.72/10000</f>
        <v>1.2</v>
      </c>
      <c r="H182" s="543"/>
      <c r="I182" s="542"/>
      <c r="J182" s="541"/>
      <c r="K182" s="541"/>
      <c r="L182" s="541"/>
      <c r="M182" s="541"/>
      <c r="N182" s="541"/>
    </row>
    <row r="183" spans="1:19" s="540" customFormat="1" ht="14">
      <c r="A183" s="1634"/>
      <c r="B183" s="1629"/>
      <c r="C183" s="546">
        <v>30.4</v>
      </c>
      <c r="D183" s="546">
        <v>1.2</v>
      </c>
      <c r="E183" s="544"/>
      <c r="F183" s="1625"/>
      <c r="G183" s="1625"/>
      <c r="H183" s="543"/>
      <c r="I183" s="542"/>
      <c r="J183" s="541"/>
      <c r="K183" s="541"/>
      <c r="L183" s="541"/>
      <c r="M183" s="541"/>
      <c r="N183" s="541"/>
    </row>
    <row r="184" spans="1:19" s="529" customFormat="1" ht="14">
      <c r="A184" s="530"/>
      <c r="B184" s="530"/>
      <c r="C184" s="530"/>
      <c r="E184" s="533"/>
    </row>
    <row r="185" spans="1:19" s="529" customFormat="1" ht="14">
      <c r="A185" s="530"/>
      <c r="B185" s="530"/>
      <c r="C185" s="530"/>
      <c r="E185" s="533"/>
    </row>
    <row r="186" spans="1:19" s="529" customFormat="1" ht="14">
      <c r="A186" s="531"/>
      <c r="B186" s="530"/>
      <c r="C186" s="530"/>
      <c r="E186" s="533"/>
    </row>
    <row r="187" spans="1:19" s="530" customFormat="1" ht="14">
      <c r="A187" s="562" t="s">
        <v>106</v>
      </c>
      <c r="B187" s="565" t="s">
        <v>107</v>
      </c>
      <c r="C187" s="564" t="s">
        <v>4</v>
      </c>
      <c r="D187" s="563" t="s">
        <v>108</v>
      </c>
      <c r="E187" s="563" t="s">
        <v>109</v>
      </c>
      <c r="F187" s="562" t="s">
        <v>411</v>
      </c>
      <c r="G187" s="561" t="s">
        <v>950</v>
      </c>
      <c r="H187" s="561" t="s">
        <v>110</v>
      </c>
      <c r="I187" s="561" t="s">
        <v>276</v>
      </c>
      <c r="J187" s="561" t="s">
        <v>117</v>
      </c>
      <c r="K187" s="561" t="s">
        <v>275</v>
      </c>
      <c r="L187" s="562" t="s">
        <v>111</v>
      </c>
      <c r="M187" s="561" t="s">
        <v>949</v>
      </c>
      <c r="N187" s="561" t="s">
        <v>948</v>
      </c>
      <c r="O187" s="561" t="s">
        <v>129</v>
      </c>
      <c r="P187" s="561" t="s">
        <v>220</v>
      </c>
      <c r="Q187" s="537" t="s">
        <v>947</v>
      </c>
      <c r="R187" s="537" t="s">
        <v>946</v>
      </c>
      <c r="S187" s="560" t="s">
        <v>945</v>
      </c>
    </row>
    <row r="188" spans="1:19" s="547" customFormat="1" ht="16" customHeight="1">
      <c r="A188" s="1627">
        <v>239</v>
      </c>
      <c r="B188" s="1650" t="s">
        <v>851</v>
      </c>
      <c r="C188" s="1650" t="s">
        <v>852</v>
      </c>
      <c r="D188" s="1647">
        <v>11.049099999999999</v>
      </c>
      <c r="E188" s="1647">
        <v>9.7680000000000007</v>
      </c>
      <c r="F188" s="557" t="s">
        <v>1110</v>
      </c>
      <c r="G188" s="555">
        <v>9.15</v>
      </c>
      <c r="H188" s="606">
        <v>8.14</v>
      </c>
      <c r="I188" s="606">
        <f>H188/G188</f>
        <v>0.88961748633879789</v>
      </c>
      <c r="J188" s="606">
        <v>8.14</v>
      </c>
      <c r="K188" s="555">
        <f>J188/G188</f>
        <v>0.88961748633879789</v>
      </c>
      <c r="L188" s="1627">
        <v>8</v>
      </c>
      <c r="M188" s="1655">
        <v>43028</v>
      </c>
      <c r="N188" s="1647">
        <v>7.2</v>
      </c>
      <c r="O188" s="1647">
        <f>(N188*(1+Q188/10)+R188/10)/J188</f>
        <v>0.8912776412776412</v>
      </c>
      <c r="P188" s="1647" t="s">
        <v>251</v>
      </c>
      <c r="Q188" s="1627">
        <f>IFERROR(MID(P188,FIND("转",P188)+1,FIND("股",P188)-(FIND("转",P188)+1)),0)</f>
        <v>0</v>
      </c>
      <c r="R188" s="1627" t="str">
        <f>IFERROR(MID(P188,FIND("派",P188)+1,FIND("元",P188)-FIND("派",P188)-1),0)</f>
        <v>0.55</v>
      </c>
      <c r="S188" s="553" t="s">
        <v>853</v>
      </c>
    </row>
    <row r="189" spans="1:19" s="547" customFormat="1" ht="16" customHeight="1">
      <c r="A189" s="1628"/>
      <c r="B189" s="1651"/>
      <c r="C189" s="1651"/>
      <c r="D189" s="1649"/>
      <c r="E189" s="1649"/>
      <c r="F189" s="557" t="s">
        <v>1109</v>
      </c>
      <c r="G189" s="555">
        <v>9.2899999999999991</v>
      </c>
      <c r="H189" s="606">
        <v>8.14</v>
      </c>
      <c r="I189" s="606">
        <f>H189/G189</f>
        <v>0.87621097954790106</v>
      </c>
      <c r="J189" s="606">
        <v>8.14</v>
      </c>
      <c r="K189" s="555">
        <f>J189/G189</f>
        <v>0.87621097954790106</v>
      </c>
      <c r="L189" s="1628"/>
      <c r="M189" s="1656"/>
      <c r="N189" s="1649"/>
      <c r="O189" s="1649"/>
      <c r="P189" s="1649"/>
      <c r="Q189" s="1628"/>
      <c r="R189" s="1628"/>
      <c r="S189" s="553"/>
    </row>
    <row r="190" spans="1:19" s="547" customFormat="1" ht="16" customHeight="1">
      <c r="A190" s="1628"/>
      <c r="B190" s="1651"/>
      <c r="C190" s="1651"/>
      <c r="D190" s="1649"/>
      <c r="E190" s="1649"/>
      <c r="F190" s="557" t="s">
        <v>1108</v>
      </c>
      <c r="G190" s="555">
        <v>9.18</v>
      </c>
      <c r="H190" s="606">
        <v>8.14</v>
      </c>
      <c r="I190" s="606">
        <f>H190/G190</f>
        <v>0.88671023965141627</v>
      </c>
      <c r="J190" s="606">
        <v>8.14</v>
      </c>
      <c r="K190" s="555">
        <f>J190/G190</f>
        <v>0.88671023965141627</v>
      </c>
      <c r="L190" s="1628"/>
      <c r="M190" s="1656"/>
      <c r="N190" s="1649"/>
      <c r="O190" s="1649"/>
      <c r="P190" s="1649"/>
      <c r="Q190" s="1628"/>
      <c r="R190" s="1628"/>
      <c r="S190" s="553"/>
    </row>
    <row r="191" spans="1:19" s="547" customFormat="1" ht="16" customHeight="1">
      <c r="A191" s="1629"/>
      <c r="B191" s="1652"/>
      <c r="C191" s="1652"/>
      <c r="D191" s="1648"/>
      <c r="E191" s="1648"/>
      <c r="F191" s="557" t="s">
        <v>1107</v>
      </c>
      <c r="G191" s="555">
        <v>8.84</v>
      </c>
      <c r="H191" s="606">
        <v>8.14</v>
      </c>
      <c r="I191" s="606">
        <f>H191/G191</f>
        <v>0.92081447963800911</v>
      </c>
      <c r="J191" s="606">
        <v>8.14</v>
      </c>
      <c r="K191" s="555">
        <f>J191/G191</f>
        <v>0.92081447963800911</v>
      </c>
      <c r="L191" s="1629"/>
      <c r="M191" s="1657"/>
      <c r="N191" s="1648"/>
      <c r="O191" s="1648"/>
      <c r="P191" s="1648"/>
      <c r="Q191" s="1629"/>
      <c r="R191" s="1629"/>
      <c r="S191" s="553"/>
    </row>
    <row r="192" spans="1:19" s="540" customFormat="1" ht="14">
      <c r="A192" s="547"/>
      <c r="B192" s="551" t="s">
        <v>112</v>
      </c>
      <c r="C192" s="551" t="s">
        <v>113</v>
      </c>
      <c r="D192" s="551" t="s">
        <v>943</v>
      </c>
      <c r="E192" s="552" t="s">
        <v>411</v>
      </c>
      <c r="F192" s="552" t="s">
        <v>942</v>
      </c>
      <c r="G192" s="551" t="s">
        <v>231</v>
      </c>
      <c r="H192" s="551" t="s">
        <v>941</v>
      </c>
      <c r="I192" s="624">
        <f>SUM(G193:G212)</f>
        <v>9.7680000000000007</v>
      </c>
      <c r="J192" s="548"/>
      <c r="K192" s="548"/>
      <c r="L192" s="548"/>
      <c r="M192" s="548"/>
      <c r="N192" s="548"/>
    </row>
    <row r="193" spans="1:14" s="540" customFormat="1" ht="14">
      <c r="A193" s="547">
        <v>1</v>
      </c>
      <c r="B193" s="554" t="s">
        <v>284</v>
      </c>
      <c r="C193" s="546">
        <v>8.24</v>
      </c>
      <c r="D193" s="546">
        <v>1.1399999999999999</v>
      </c>
      <c r="E193" s="544"/>
      <c r="F193" s="546">
        <v>1400.4914000000001</v>
      </c>
      <c r="G193" s="546">
        <v>1.1399999995999999</v>
      </c>
      <c r="H193" s="543" t="s">
        <v>126</v>
      </c>
      <c r="I193" s="138" t="s">
        <v>1106</v>
      </c>
      <c r="J193" s="541"/>
      <c r="K193" s="541"/>
      <c r="L193" s="541"/>
      <c r="M193" s="541"/>
      <c r="N193" s="541"/>
    </row>
    <row r="194" spans="1:14" s="540" customFormat="1" ht="14">
      <c r="A194" s="547">
        <v>2</v>
      </c>
      <c r="B194" s="554" t="s">
        <v>1105</v>
      </c>
      <c r="C194" s="546">
        <v>8.41</v>
      </c>
      <c r="D194" s="546">
        <v>1.1399999999999999</v>
      </c>
      <c r="E194" s="544"/>
      <c r="F194" s="546">
        <v>1400.4914000000001</v>
      </c>
      <c r="G194" s="546">
        <v>1.1399999995999999</v>
      </c>
      <c r="H194" s="543"/>
      <c r="I194" s="542"/>
      <c r="J194" s="541"/>
      <c r="K194" s="541"/>
      <c r="L194" s="541"/>
      <c r="M194" s="541"/>
      <c r="N194" s="541"/>
    </row>
    <row r="195" spans="1:14" s="540" customFormat="1" ht="14">
      <c r="A195" s="547">
        <v>3</v>
      </c>
      <c r="B195" s="554" t="s">
        <v>134</v>
      </c>
      <c r="C195" s="546">
        <v>8.5</v>
      </c>
      <c r="D195" s="546">
        <v>1.1399999999999999</v>
      </c>
      <c r="E195" s="544"/>
      <c r="F195" s="546">
        <v>1400.4914000000001</v>
      </c>
      <c r="G195" s="546">
        <v>1.1399999995999999</v>
      </c>
      <c r="H195" s="543"/>
      <c r="I195" s="542"/>
      <c r="J195" s="541"/>
      <c r="K195" s="541"/>
      <c r="L195" s="541"/>
      <c r="M195" s="541"/>
      <c r="N195" s="541"/>
    </row>
    <row r="196" spans="1:14" s="540" customFormat="1" ht="14">
      <c r="A196" s="1634">
        <v>4</v>
      </c>
      <c r="B196" s="1627" t="s">
        <v>115</v>
      </c>
      <c r="C196" s="546">
        <v>8.1999999999999993</v>
      </c>
      <c r="D196" s="546">
        <v>1.2</v>
      </c>
      <c r="E196" s="544"/>
      <c r="F196" s="1644">
        <v>1719.9017140049141</v>
      </c>
      <c r="G196" s="1623">
        <f>1.4699999952-G203</f>
        <v>1.3999999952</v>
      </c>
      <c r="H196" s="1660"/>
      <c r="I196" s="1660"/>
      <c r="J196" s="541"/>
      <c r="K196" s="541"/>
      <c r="L196" s="541"/>
      <c r="M196" s="541"/>
      <c r="N196" s="541"/>
    </row>
    <row r="197" spans="1:14" s="540" customFormat="1" ht="14">
      <c r="A197" s="1634"/>
      <c r="B197" s="1628"/>
      <c r="C197" s="546">
        <v>8.15</v>
      </c>
      <c r="D197" s="546">
        <v>1.22</v>
      </c>
      <c r="E197" s="544"/>
      <c r="F197" s="1645"/>
      <c r="G197" s="1623"/>
      <c r="H197" s="1660"/>
      <c r="I197" s="1660"/>
      <c r="J197" s="541"/>
      <c r="K197" s="541"/>
      <c r="L197" s="541"/>
      <c r="M197" s="541"/>
      <c r="N197" s="541"/>
    </row>
    <row r="198" spans="1:14" s="540" customFormat="1" ht="14">
      <c r="A198" s="1634"/>
      <c r="B198" s="1629"/>
      <c r="C198" s="546">
        <v>8.14</v>
      </c>
      <c r="D198" s="546">
        <v>1.4</v>
      </c>
      <c r="E198" s="544"/>
      <c r="F198" s="1646"/>
      <c r="G198" s="1623"/>
      <c r="H198" s="1660"/>
      <c r="I198" s="1660"/>
      <c r="J198" s="541"/>
      <c r="K198" s="541"/>
      <c r="L198" s="541"/>
      <c r="M198" s="541"/>
      <c r="N198" s="541"/>
    </row>
    <row r="199" spans="1:14" s="540" customFormat="1" ht="14">
      <c r="A199" s="547">
        <v>5</v>
      </c>
      <c r="B199" s="554" t="s">
        <v>120</v>
      </c>
      <c r="C199" s="546">
        <v>8.5</v>
      </c>
      <c r="D199" s="546">
        <v>1.25</v>
      </c>
      <c r="E199" s="544"/>
      <c r="F199" s="546">
        <v>1535.6265000000001</v>
      </c>
      <c r="G199" s="546">
        <v>1.249999971</v>
      </c>
      <c r="H199" s="543"/>
      <c r="I199" s="542"/>
      <c r="J199" s="541"/>
      <c r="K199" s="541"/>
      <c r="L199" s="541"/>
      <c r="M199" s="541"/>
      <c r="N199" s="541"/>
    </row>
    <row r="200" spans="1:14" s="540" customFormat="1" ht="14">
      <c r="A200" s="547"/>
      <c r="B200" s="547"/>
      <c r="C200" s="567"/>
      <c r="D200" s="567"/>
      <c r="E200" s="568"/>
      <c r="F200" s="567"/>
      <c r="G200" s="567"/>
      <c r="H200" s="543"/>
      <c r="I200" s="542"/>
      <c r="J200" s="541"/>
      <c r="K200" s="541"/>
      <c r="L200" s="541"/>
      <c r="M200" s="541"/>
      <c r="N200" s="541"/>
    </row>
    <row r="201" spans="1:14" s="540" customFormat="1" ht="14">
      <c r="A201" s="547"/>
      <c r="B201" s="1661" t="s">
        <v>1104</v>
      </c>
      <c r="C201" s="1661"/>
      <c r="D201" s="1661"/>
      <c r="E201" s="1661"/>
      <c r="F201" s="1661"/>
      <c r="G201" s="1661"/>
      <c r="H201" s="543"/>
      <c r="I201" s="542"/>
      <c r="J201" s="541"/>
      <c r="K201" s="541"/>
      <c r="L201" s="541"/>
      <c r="M201" s="541"/>
      <c r="N201" s="541"/>
    </row>
    <row r="202" spans="1:14" s="540" customFormat="1" ht="14">
      <c r="A202" s="547"/>
      <c r="B202" s="620" t="s">
        <v>112</v>
      </c>
      <c r="C202" s="620" t="s">
        <v>113</v>
      </c>
      <c r="D202" s="620" t="s">
        <v>943</v>
      </c>
      <c r="E202" s="621" t="s">
        <v>411</v>
      </c>
      <c r="F202" s="621" t="s">
        <v>942</v>
      </c>
      <c r="G202" s="551" t="s">
        <v>231</v>
      </c>
      <c r="H202" s="543"/>
      <c r="I202" s="542"/>
      <c r="J202" s="541"/>
      <c r="K202" s="541"/>
      <c r="L202" s="541"/>
      <c r="M202" s="541"/>
      <c r="N202" s="541"/>
    </row>
    <row r="203" spans="1:14" s="540" customFormat="1" ht="14">
      <c r="A203" s="547">
        <v>4</v>
      </c>
      <c r="B203" s="623" t="s">
        <v>115</v>
      </c>
      <c r="C203" s="546">
        <v>8.14</v>
      </c>
      <c r="D203" s="546">
        <v>7.0000000000000007E-2</v>
      </c>
      <c r="E203" s="544"/>
      <c r="F203" s="546">
        <v>85.995085995086001</v>
      </c>
      <c r="G203" s="546">
        <f>D203</f>
        <v>7.0000000000000007E-2</v>
      </c>
      <c r="H203" s="543"/>
      <c r="I203" s="542"/>
      <c r="J203" s="541"/>
      <c r="K203" s="541"/>
      <c r="L203" s="541"/>
      <c r="M203" s="541"/>
      <c r="N203" s="541"/>
    </row>
    <row r="204" spans="1:14" s="540" customFormat="1" ht="14">
      <c r="A204" s="547"/>
      <c r="B204" s="547"/>
      <c r="C204" s="567"/>
      <c r="D204" s="567"/>
      <c r="E204" s="568"/>
      <c r="F204" s="567"/>
      <c r="G204" s="567"/>
      <c r="H204" s="543"/>
      <c r="I204" s="542"/>
      <c r="J204" s="541"/>
      <c r="K204" s="541"/>
      <c r="L204" s="541"/>
      <c r="M204" s="541"/>
      <c r="N204" s="541"/>
    </row>
    <row r="205" spans="1:14" s="540" customFormat="1" ht="14">
      <c r="A205" s="547"/>
      <c r="B205" s="1661" t="s">
        <v>1103</v>
      </c>
      <c r="C205" s="1661"/>
      <c r="D205" s="1661"/>
      <c r="E205" s="1661"/>
      <c r="F205" s="1661"/>
      <c r="G205" s="1661"/>
      <c r="H205" s="543"/>
      <c r="I205" s="542"/>
      <c r="J205" s="541"/>
      <c r="K205" s="541"/>
      <c r="L205" s="541"/>
      <c r="M205" s="541"/>
      <c r="N205" s="541"/>
    </row>
    <row r="206" spans="1:14" s="540" customFormat="1" ht="14">
      <c r="A206" s="547"/>
      <c r="B206" s="551" t="s">
        <v>112</v>
      </c>
      <c r="C206" s="551" t="s">
        <v>113</v>
      </c>
      <c r="D206" s="551" t="s">
        <v>943</v>
      </c>
      <c r="E206" s="552" t="s">
        <v>411</v>
      </c>
      <c r="F206" s="552" t="s">
        <v>942</v>
      </c>
      <c r="G206" s="551" t="s">
        <v>231</v>
      </c>
      <c r="H206" s="543"/>
      <c r="I206" s="542"/>
      <c r="J206" s="541"/>
      <c r="K206" s="541"/>
      <c r="L206" s="541"/>
      <c r="M206" s="541"/>
      <c r="N206" s="541"/>
    </row>
    <row r="207" spans="1:14" s="540" customFormat="1" ht="14">
      <c r="A207" s="531">
        <v>6</v>
      </c>
      <c r="B207" s="623" t="s">
        <v>173</v>
      </c>
      <c r="C207" s="546">
        <v>8.14</v>
      </c>
      <c r="D207" s="546">
        <v>0.86</v>
      </c>
      <c r="E207" s="544"/>
      <c r="F207" s="546">
        <v>1056.511</v>
      </c>
      <c r="G207" s="546">
        <v>0.85999995400000007</v>
      </c>
      <c r="H207" s="543"/>
      <c r="I207" s="542"/>
      <c r="J207" s="541"/>
      <c r="K207" s="541"/>
      <c r="L207" s="541"/>
      <c r="M207" s="541"/>
      <c r="N207" s="541"/>
    </row>
    <row r="208" spans="1:14" s="540" customFormat="1" ht="14">
      <c r="A208" s="547">
        <v>7</v>
      </c>
      <c r="B208" s="554" t="s">
        <v>300</v>
      </c>
      <c r="C208" s="546">
        <v>8.14</v>
      </c>
      <c r="D208" s="546">
        <v>1.2</v>
      </c>
      <c r="E208" s="544"/>
      <c r="F208" s="546">
        <v>1474.2013999999999</v>
      </c>
      <c r="G208" s="546">
        <v>1.1999999395999998</v>
      </c>
      <c r="H208" s="543"/>
      <c r="I208" s="542"/>
      <c r="J208" s="541"/>
      <c r="K208" s="541"/>
      <c r="L208" s="541"/>
      <c r="M208" s="541"/>
      <c r="N208" s="541"/>
    </row>
    <row r="209" spans="1:19" s="540" customFormat="1" ht="14">
      <c r="A209" s="547"/>
      <c r="B209" s="547"/>
      <c r="C209" s="567"/>
      <c r="D209" s="567"/>
      <c r="E209" s="568"/>
      <c r="F209" s="567"/>
      <c r="G209" s="567"/>
      <c r="H209" s="543"/>
      <c r="I209" s="542"/>
      <c r="J209" s="541"/>
      <c r="K209" s="541"/>
      <c r="L209" s="541"/>
      <c r="M209" s="541"/>
      <c r="N209" s="541"/>
    </row>
    <row r="210" spans="1:19" s="540" customFormat="1" ht="14">
      <c r="A210" s="547"/>
      <c r="B210" s="1661" t="s">
        <v>1102</v>
      </c>
      <c r="C210" s="1661"/>
      <c r="D210" s="1661"/>
      <c r="E210" s="1661"/>
      <c r="F210" s="1661"/>
      <c r="G210" s="1661"/>
      <c r="H210" s="543"/>
      <c r="I210" s="542"/>
      <c r="J210" s="541"/>
      <c r="K210" s="541"/>
      <c r="L210" s="541"/>
      <c r="M210" s="541"/>
      <c r="N210" s="541"/>
    </row>
    <row r="211" spans="1:19" s="540" customFormat="1" ht="14">
      <c r="A211" s="547"/>
      <c r="B211" s="551" t="s">
        <v>112</v>
      </c>
      <c r="C211" s="551" t="s">
        <v>113</v>
      </c>
      <c r="D211" s="551" t="s">
        <v>943</v>
      </c>
      <c r="E211" s="552" t="s">
        <v>411</v>
      </c>
      <c r="F211" s="552" t="s">
        <v>942</v>
      </c>
      <c r="G211" s="551" t="s">
        <v>231</v>
      </c>
      <c r="H211" s="543"/>
      <c r="I211" s="542"/>
      <c r="J211" s="541"/>
      <c r="K211" s="541"/>
      <c r="L211" s="541"/>
      <c r="M211" s="541"/>
      <c r="N211" s="541"/>
    </row>
    <row r="212" spans="1:19" s="540" customFormat="1" ht="14">
      <c r="A212" s="547">
        <v>8</v>
      </c>
      <c r="B212" s="623" t="s">
        <v>131</v>
      </c>
      <c r="C212" s="622">
        <v>8.14</v>
      </c>
      <c r="D212" s="546">
        <v>1.5680001414</v>
      </c>
      <c r="E212" s="544"/>
      <c r="F212" s="546">
        <v>1926.2900999999999</v>
      </c>
      <c r="G212" s="546">
        <v>1.5680001413999998</v>
      </c>
      <c r="H212" s="543"/>
      <c r="I212" s="542"/>
      <c r="J212" s="541"/>
      <c r="K212" s="541"/>
      <c r="L212" s="541"/>
      <c r="M212" s="541"/>
      <c r="N212" s="541"/>
    </row>
    <row r="213" spans="1:19" s="529" customFormat="1" ht="14">
      <c r="A213" s="530"/>
      <c r="B213" s="530"/>
      <c r="C213" s="580"/>
      <c r="D213" s="532"/>
      <c r="E213" s="533"/>
    </row>
    <row r="214" spans="1:19" s="529" customFormat="1" ht="14">
      <c r="A214" s="530"/>
      <c r="B214" s="530"/>
      <c r="C214" s="530"/>
      <c r="E214" s="533"/>
    </row>
    <row r="215" spans="1:19" s="529" customFormat="1" ht="14">
      <c r="A215" s="530"/>
      <c r="B215" s="530"/>
      <c r="C215" s="580"/>
      <c r="D215" s="532"/>
      <c r="E215" s="533"/>
    </row>
    <row r="216" spans="1:19" s="530" customFormat="1" ht="14">
      <c r="A216" s="562" t="s">
        <v>106</v>
      </c>
      <c r="B216" s="565" t="s">
        <v>107</v>
      </c>
      <c r="C216" s="564" t="s">
        <v>4</v>
      </c>
      <c r="D216" s="563" t="s">
        <v>108</v>
      </c>
      <c r="E216" s="563" t="s">
        <v>109</v>
      </c>
      <c r="F216" s="562" t="s">
        <v>411</v>
      </c>
      <c r="G216" s="561" t="s">
        <v>950</v>
      </c>
      <c r="H216" s="561" t="s">
        <v>110</v>
      </c>
      <c r="I216" s="561" t="s">
        <v>276</v>
      </c>
      <c r="J216" s="561" t="s">
        <v>117</v>
      </c>
      <c r="K216" s="561" t="s">
        <v>275</v>
      </c>
      <c r="L216" s="562" t="s">
        <v>111</v>
      </c>
      <c r="M216" s="561" t="s">
        <v>949</v>
      </c>
      <c r="N216" s="561" t="s">
        <v>948</v>
      </c>
      <c r="O216" s="561" t="s">
        <v>129</v>
      </c>
      <c r="P216" s="561" t="s">
        <v>220</v>
      </c>
      <c r="Q216" s="537" t="s">
        <v>947</v>
      </c>
      <c r="R216" s="537" t="s">
        <v>946</v>
      </c>
      <c r="S216" s="560" t="s">
        <v>945</v>
      </c>
    </row>
    <row r="217" spans="1:19" s="547" customFormat="1" ht="14">
      <c r="A217" s="554">
        <v>240</v>
      </c>
      <c r="B217" s="559" t="s">
        <v>854</v>
      </c>
      <c r="C217" s="558" t="s">
        <v>855</v>
      </c>
      <c r="D217" s="555">
        <v>29</v>
      </c>
      <c r="E217" s="555">
        <v>28.999999912</v>
      </c>
      <c r="F217" s="557" t="s">
        <v>1101</v>
      </c>
      <c r="G217" s="555">
        <v>13.22</v>
      </c>
      <c r="H217" s="555">
        <v>12.48</v>
      </c>
      <c r="I217" s="555">
        <f>H217/G217</f>
        <v>0.94402420574886536</v>
      </c>
      <c r="J217" s="555">
        <v>12.7</v>
      </c>
      <c r="K217" s="555">
        <f>J217/G217</f>
        <v>0.96066565809379723</v>
      </c>
      <c r="L217" s="554">
        <v>7</v>
      </c>
      <c r="M217" s="566">
        <v>43031</v>
      </c>
      <c r="N217" s="555">
        <v>10.96</v>
      </c>
      <c r="O217" s="555">
        <f>(N217*(1+Q217/10)+R217/10)/J217</f>
        <v>0.86732283464566939</v>
      </c>
      <c r="P217" s="553" t="s">
        <v>251</v>
      </c>
      <c r="Q217" s="554">
        <f>IFERROR(MID(P217,FIND("转",P217)+1,FIND("股",P217)-(FIND("转",P217)+1)),0)</f>
        <v>0</v>
      </c>
      <c r="R217" s="554" t="str">
        <f>IFERROR(MID(P217,FIND("派",P217)+1,FIND("元",P217)-FIND("派",P217)-1),0)</f>
        <v>0.55</v>
      </c>
      <c r="S217" s="553"/>
    </row>
    <row r="218" spans="1:19" s="540" customFormat="1" ht="14">
      <c r="A218" s="547"/>
      <c r="B218" s="551" t="s">
        <v>112</v>
      </c>
      <c r="C218" s="551" t="s">
        <v>113</v>
      </c>
      <c r="D218" s="551" t="s">
        <v>943</v>
      </c>
      <c r="E218" s="552" t="s">
        <v>411</v>
      </c>
      <c r="F218" s="552" t="s">
        <v>942</v>
      </c>
      <c r="G218" s="551" t="s">
        <v>231</v>
      </c>
      <c r="H218" s="551" t="s">
        <v>941</v>
      </c>
      <c r="I218" s="549">
        <f>SUM(G219:G232)</f>
        <v>28.999999912</v>
      </c>
      <c r="J218" s="548"/>
      <c r="K218" s="548"/>
      <c r="L218" s="548"/>
      <c r="M218" s="548"/>
      <c r="N218" s="548"/>
    </row>
    <row r="219" spans="1:19" s="540" customFormat="1" ht="14">
      <c r="A219" s="547">
        <v>1</v>
      </c>
      <c r="B219" s="554" t="s">
        <v>528</v>
      </c>
      <c r="C219" s="546">
        <v>12.85</v>
      </c>
      <c r="D219" s="546">
        <v>2.5</v>
      </c>
      <c r="E219" s="544"/>
      <c r="F219" s="546">
        <v>1968.5038999999999</v>
      </c>
      <c r="G219" s="546">
        <v>2.4999999530000001</v>
      </c>
      <c r="H219" s="543" t="s">
        <v>126</v>
      </c>
      <c r="I219" s="138" t="s">
        <v>1100</v>
      </c>
    </row>
    <row r="220" spans="1:19" s="540" customFormat="1" ht="14">
      <c r="A220" s="1634">
        <v>2</v>
      </c>
      <c r="B220" s="1627" t="s">
        <v>564</v>
      </c>
      <c r="C220" s="546">
        <v>12.7</v>
      </c>
      <c r="D220" s="546">
        <v>4</v>
      </c>
      <c r="E220" s="544"/>
      <c r="F220" s="1624">
        <v>3149.6062000000002</v>
      </c>
      <c r="G220" s="1624">
        <v>3.9999998739999998</v>
      </c>
      <c r="H220" s="543"/>
      <c r="I220" s="542"/>
      <c r="J220" s="541"/>
      <c r="K220" s="541"/>
      <c r="L220" s="541"/>
      <c r="M220" s="541"/>
      <c r="N220" s="541"/>
    </row>
    <row r="221" spans="1:19" s="540" customFormat="1" ht="14">
      <c r="A221" s="1634"/>
      <c r="B221" s="1629"/>
      <c r="C221" s="546">
        <v>12.5</v>
      </c>
      <c r="D221" s="546">
        <v>5</v>
      </c>
      <c r="E221" s="544"/>
      <c r="F221" s="1625"/>
      <c r="G221" s="1625"/>
      <c r="H221" s="543"/>
      <c r="I221" s="542"/>
      <c r="J221" s="541"/>
      <c r="K221" s="541"/>
      <c r="L221" s="541"/>
      <c r="M221" s="541"/>
      <c r="N221" s="541"/>
    </row>
    <row r="222" spans="1:19" s="540" customFormat="1" ht="14">
      <c r="A222" s="547">
        <v>3</v>
      </c>
      <c r="B222" s="554" t="s">
        <v>130</v>
      </c>
      <c r="C222" s="546">
        <v>12.86</v>
      </c>
      <c r="D222" s="546">
        <v>6</v>
      </c>
      <c r="E222" s="544"/>
      <c r="F222" s="546">
        <v>4724.4093999999996</v>
      </c>
      <c r="G222" s="546">
        <v>5.9999999379999993</v>
      </c>
      <c r="H222" s="543"/>
      <c r="I222" s="542"/>
      <c r="J222" s="541"/>
      <c r="K222" s="541"/>
      <c r="L222" s="541"/>
      <c r="M222" s="541"/>
      <c r="N222" s="541"/>
    </row>
    <row r="223" spans="1:19" s="540" customFormat="1" ht="14">
      <c r="A223" s="547">
        <v>4</v>
      </c>
      <c r="B223" s="554" t="s">
        <v>295</v>
      </c>
      <c r="C223" s="546">
        <v>12.5</v>
      </c>
      <c r="D223" s="546">
        <v>2.5</v>
      </c>
      <c r="E223" s="544"/>
      <c r="F223" s="546"/>
      <c r="G223" s="546"/>
      <c r="H223" s="543"/>
      <c r="I223" s="542"/>
      <c r="J223" s="541"/>
      <c r="K223" s="541"/>
      <c r="L223" s="541"/>
      <c r="M223" s="541"/>
      <c r="N223" s="541"/>
    </row>
    <row r="224" spans="1:19" s="540" customFormat="1" ht="14">
      <c r="A224" s="547">
        <v>5</v>
      </c>
      <c r="B224" s="554" t="s">
        <v>309</v>
      </c>
      <c r="C224" s="546">
        <v>12.7</v>
      </c>
      <c r="D224" s="546">
        <v>5</v>
      </c>
      <c r="E224" s="544"/>
      <c r="F224" s="546">
        <v>2574.8033999999998</v>
      </c>
      <c r="G224" s="546">
        <v>3.2700003180000001</v>
      </c>
      <c r="H224" s="543"/>
      <c r="I224" s="542"/>
      <c r="J224" s="541"/>
      <c r="K224" s="541"/>
      <c r="L224" s="541"/>
      <c r="M224" s="541"/>
      <c r="N224" s="541"/>
    </row>
    <row r="225" spans="1:19" s="540" customFormat="1" ht="14">
      <c r="A225" s="1634">
        <v>6</v>
      </c>
      <c r="B225" s="1627" t="s">
        <v>147</v>
      </c>
      <c r="C225" s="546">
        <v>12.58</v>
      </c>
      <c r="D225" s="546">
        <v>2.5</v>
      </c>
      <c r="E225" s="544"/>
      <c r="F225" s="1624"/>
      <c r="G225" s="1624"/>
      <c r="H225" s="543"/>
      <c r="I225" s="542"/>
      <c r="J225" s="541"/>
      <c r="K225" s="541"/>
      <c r="L225" s="541"/>
      <c r="M225" s="541"/>
      <c r="N225" s="541"/>
    </row>
    <row r="226" spans="1:19" s="540" customFormat="1" ht="14">
      <c r="A226" s="1634"/>
      <c r="B226" s="1629"/>
      <c r="C226" s="546">
        <v>12.48</v>
      </c>
      <c r="D226" s="546">
        <v>2.5099999999999998</v>
      </c>
      <c r="E226" s="544"/>
      <c r="F226" s="1625"/>
      <c r="G226" s="1625"/>
      <c r="H226" s="543"/>
      <c r="I226" s="542"/>
      <c r="J226" s="541"/>
      <c r="K226" s="541"/>
      <c r="L226" s="541"/>
      <c r="M226" s="541"/>
      <c r="N226" s="541"/>
    </row>
    <row r="227" spans="1:19" s="540" customFormat="1" ht="14">
      <c r="A227" s="1634">
        <v>7</v>
      </c>
      <c r="B227" s="1627" t="s">
        <v>316</v>
      </c>
      <c r="C227" s="546">
        <v>13.5</v>
      </c>
      <c r="D227" s="546">
        <v>2.5</v>
      </c>
      <c r="E227" s="544"/>
      <c r="F227" s="1624">
        <v>1968.5038999999999</v>
      </c>
      <c r="G227" s="1624">
        <v>2.4999999530000001</v>
      </c>
      <c r="H227" s="543"/>
      <c r="I227" s="542"/>
      <c r="J227" s="541"/>
      <c r="K227" s="541"/>
      <c r="L227" s="541"/>
      <c r="M227" s="541"/>
      <c r="N227" s="541"/>
    </row>
    <row r="228" spans="1:19" s="540" customFormat="1" ht="14">
      <c r="A228" s="1634"/>
      <c r="B228" s="1628"/>
      <c r="C228" s="546">
        <v>12.58</v>
      </c>
      <c r="D228" s="546">
        <v>3.1</v>
      </c>
      <c r="E228" s="544"/>
      <c r="F228" s="1626"/>
      <c r="G228" s="1626"/>
      <c r="H228" s="543"/>
      <c r="I228" s="542"/>
      <c r="J228" s="541"/>
      <c r="K228" s="541"/>
      <c r="L228" s="541"/>
      <c r="M228" s="541"/>
      <c r="N228" s="541"/>
    </row>
    <row r="229" spans="1:19" s="540" customFormat="1" ht="14">
      <c r="A229" s="1634"/>
      <c r="B229" s="1629"/>
      <c r="C229" s="546">
        <v>12.5</v>
      </c>
      <c r="D229" s="546">
        <v>3.5</v>
      </c>
      <c r="E229" s="544"/>
      <c r="F229" s="1625"/>
      <c r="G229" s="1625"/>
      <c r="H229" s="543"/>
      <c r="I229" s="542"/>
      <c r="J229" s="541"/>
      <c r="K229" s="541"/>
      <c r="L229" s="541"/>
      <c r="M229" s="541"/>
      <c r="N229" s="541"/>
    </row>
    <row r="230" spans="1:19" s="540" customFormat="1" ht="14">
      <c r="A230" s="1634">
        <v>8</v>
      </c>
      <c r="B230" s="1627" t="s">
        <v>278</v>
      </c>
      <c r="C230" s="546">
        <v>12.88</v>
      </c>
      <c r="D230" s="546">
        <v>8</v>
      </c>
      <c r="E230" s="544"/>
      <c r="F230" s="1624">
        <v>6480.3149000000003</v>
      </c>
      <c r="G230" s="1624">
        <v>8.2299999229999994</v>
      </c>
      <c r="H230" s="543"/>
      <c r="I230" s="542"/>
      <c r="J230" s="541"/>
      <c r="K230" s="541"/>
      <c r="L230" s="541"/>
      <c r="M230" s="541"/>
      <c r="N230" s="541"/>
    </row>
    <row r="231" spans="1:19" s="540" customFormat="1" ht="14">
      <c r="A231" s="1634"/>
      <c r="B231" s="1629"/>
      <c r="C231" s="546">
        <v>12.87</v>
      </c>
      <c r="D231" s="546">
        <v>8.23</v>
      </c>
      <c r="E231" s="544"/>
      <c r="F231" s="1625"/>
      <c r="G231" s="1625"/>
      <c r="H231" s="543"/>
      <c r="I231" s="542"/>
      <c r="J231" s="541"/>
      <c r="K231" s="541"/>
      <c r="L231" s="541"/>
      <c r="M231" s="541"/>
      <c r="N231" s="541"/>
    </row>
    <row r="232" spans="1:19" s="540" customFormat="1" ht="14">
      <c r="A232" s="547">
        <v>9</v>
      </c>
      <c r="B232" s="554" t="s">
        <v>1099</v>
      </c>
      <c r="C232" s="546">
        <v>12.8</v>
      </c>
      <c r="D232" s="546">
        <v>2.5</v>
      </c>
      <c r="E232" s="544"/>
      <c r="F232" s="546">
        <v>1968.5038999999999</v>
      </c>
      <c r="G232" s="546">
        <v>2.4999999530000001</v>
      </c>
      <c r="H232" s="543"/>
      <c r="I232" s="542"/>
      <c r="J232" s="541"/>
      <c r="K232" s="541"/>
      <c r="L232" s="541"/>
      <c r="M232" s="541"/>
      <c r="N232" s="541"/>
    </row>
    <row r="233" spans="1:19" s="529" customFormat="1" ht="14">
      <c r="A233" s="530"/>
      <c r="B233" s="530"/>
      <c r="C233" s="530"/>
    </row>
    <row r="234" spans="1:19" s="529" customFormat="1" ht="14">
      <c r="A234" s="530"/>
      <c r="B234" s="530"/>
      <c r="C234" s="530"/>
    </row>
    <row r="235" spans="1:19" s="529" customFormat="1" ht="14">
      <c r="A235" s="530"/>
      <c r="B235" s="530"/>
      <c r="C235" s="530"/>
    </row>
    <row r="236" spans="1:19" s="530" customFormat="1" ht="14">
      <c r="A236" s="562" t="s">
        <v>106</v>
      </c>
      <c r="B236" s="565" t="s">
        <v>107</v>
      </c>
      <c r="C236" s="564" t="s">
        <v>4</v>
      </c>
      <c r="D236" s="563" t="s">
        <v>108</v>
      </c>
      <c r="E236" s="563" t="s">
        <v>109</v>
      </c>
      <c r="F236" s="562" t="s">
        <v>411</v>
      </c>
      <c r="G236" s="561" t="s">
        <v>950</v>
      </c>
      <c r="H236" s="561" t="s">
        <v>110</v>
      </c>
      <c r="I236" s="561" t="s">
        <v>276</v>
      </c>
      <c r="J236" s="561" t="s">
        <v>117</v>
      </c>
      <c r="K236" s="561" t="s">
        <v>275</v>
      </c>
      <c r="L236" s="562" t="s">
        <v>111</v>
      </c>
      <c r="M236" s="561" t="s">
        <v>949</v>
      </c>
      <c r="N236" s="561" t="s">
        <v>948</v>
      </c>
      <c r="O236" s="561" t="s">
        <v>129</v>
      </c>
      <c r="P236" s="561" t="s">
        <v>220</v>
      </c>
      <c r="Q236" s="537" t="s">
        <v>947</v>
      </c>
      <c r="R236" s="537" t="s">
        <v>946</v>
      </c>
      <c r="S236" s="560" t="s">
        <v>945</v>
      </c>
    </row>
    <row r="237" spans="1:19" s="547" customFormat="1" ht="16" customHeight="1">
      <c r="A237" s="1627">
        <v>241</v>
      </c>
      <c r="B237" s="1650" t="s">
        <v>856</v>
      </c>
      <c r="C237" s="1650" t="s">
        <v>857</v>
      </c>
      <c r="D237" s="1647">
        <v>10.437723</v>
      </c>
      <c r="E237" s="1647">
        <v>4.0099985784000003</v>
      </c>
      <c r="F237" s="557" t="s">
        <v>1098</v>
      </c>
      <c r="G237" s="555">
        <v>85.13</v>
      </c>
      <c r="H237" s="1647">
        <v>79.930000000000007</v>
      </c>
      <c r="I237" s="555">
        <f>H237/G237</f>
        <v>0.93891695054622359</v>
      </c>
      <c r="J237" s="606">
        <v>79.930000000000007</v>
      </c>
      <c r="K237" s="555">
        <f>J237/G237</f>
        <v>0.93891695054622359</v>
      </c>
      <c r="L237" s="1627">
        <v>2</v>
      </c>
      <c r="M237" s="1655">
        <v>43031</v>
      </c>
      <c r="N237" s="555">
        <v>29.55</v>
      </c>
      <c r="O237" s="555">
        <f>(N237*(1+Q237/10)+R237/10)/J237</f>
        <v>0.74445602996371807</v>
      </c>
      <c r="P237" s="553" t="s">
        <v>858</v>
      </c>
      <c r="Q237" s="554" t="str">
        <f>IFERROR(MID(P237,FIND("转",P237)+1,FIND("股",P237)-(FIND("转",P237)+1)),0)</f>
        <v>10.034965</v>
      </c>
      <c r="R237" s="554" t="str">
        <f>IFERROR(MID(P237,FIND("派",P237)+1,FIND("元",P237)-FIND("派",P237)-1),0)</f>
        <v>3.010489</v>
      </c>
      <c r="S237" s="553" t="s">
        <v>839</v>
      </c>
    </row>
    <row r="238" spans="1:19" s="547" customFormat="1" ht="14">
      <c r="A238" s="1629"/>
      <c r="B238" s="1652"/>
      <c r="C238" s="1652"/>
      <c r="D238" s="1648"/>
      <c r="E238" s="1648"/>
      <c r="F238" s="557" t="s">
        <v>1091</v>
      </c>
      <c r="G238" s="555">
        <v>85.13</v>
      </c>
      <c r="H238" s="1648"/>
      <c r="I238" s="555">
        <f>H238/G238</f>
        <v>0</v>
      </c>
      <c r="J238" s="606">
        <v>79.930000000000007</v>
      </c>
      <c r="K238" s="555">
        <f>J238/G238</f>
        <v>0.93891695054622359</v>
      </c>
      <c r="L238" s="1629"/>
      <c r="M238" s="1657"/>
      <c r="N238" s="555">
        <v>29.55</v>
      </c>
      <c r="O238" s="555">
        <f>(N238*(1+Q238/10)+R238/10)/J238</f>
        <v>0.74445602996371807</v>
      </c>
      <c r="P238" s="553" t="s">
        <v>858</v>
      </c>
      <c r="Q238" s="554" t="str">
        <f>IFERROR(MID(P238,FIND("转",P238)+1,FIND("股",P238)-(FIND("转",P238)+1)),0)</f>
        <v>10.034965</v>
      </c>
      <c r="R238" s="554" t="str">
        <f>IFERROR(MID(P238,FIND("派",P238)+1,FIND("元",P238)-FIND("派",P238)-1),0)</f>
        <v>3.010489</v>
      </c>
      <c r="S238" s="553" t="s">
        <v>839</v>
      </c>
    </row>
    <row r="239" spans="1:19" s="540" customFormat="1" ht="14">
      <c r="A239" s="547"/>
      <c r="B239" s="551" t="s">
        <v>1024</v>
      </c>
      <c r="C239" s="551" t="s">
        <v>113</v>
      </c>
      <c r="D239" s="551" t="s">
        <v>943</v>
      </c>
      <c r="E239" s="552" t="s">
        <v>411</v>
      </c>
      <c r="F239" s="621" t="s">
        <v>942</v>
      </c>
      <c r="G239" s="620" t="s">
        <v>231</v>
      </c>
      <c r="H239" s="551" t="s">
        <v>941</v>
      </c>
      <c r="I239" s="549">
        <f>SUM(G240:G244)</f>
        <v>4.0099985784000003</v>
      </c>
      <c r="J239" s="548"/>
      <c r="K239" s="548"/>
      <c r="L239" s="548"/>
      <c r="M239" s="548"/>
      <c r="N239" s="548"/>
    </row>
    <row r="240" spans="1:19" s="540" customFormat="1" ht="14">
      <c r="A240" s="531">
        <v>1</v>
      </c>
      <c r="B240" s="619" t="s">
        <v>1097</v>
      </c>
      <c r="C240" s="546">
        <v>79.930000000000007</v>
      </c>
      <c r="D240" s="546">
        <v>2.1</v>
      </c>
      <c r="E240" s="544"/>
      <c r="F240" s="546">
        <v>262.72980000000001</v>
      </c>
      <c r="G240" s="546">
        <v>2.0999992914000001</v>
      </c>
      <c r="H240" s="543" t="s">
        <v>126</v>
      </c>
      <c r="I240" s="138" t="s">
        <v>1096</v>
      </c>
      <c r="J240" s="541"/>
      <c r="K240" s="541"/>
      <c r="L240" s="541"/>
      <c r="M240" s="541"/>
      <c r="N240" s="541"/>
    </row>
    <row r="241" spans="1:19" s="540" customFormat="1" ht="14">
      <c r="A241" s="531"/>
      <c r="B241" s="617"/>
      <c r="C241" s="567"/>
      <c r="D241" s="567"/>
      <c r="E241" s="568"/>
      <c r="F241" s="567"/>
      <c r="G241" s="567"/>
      <c r="H241" s="543"/>
      <c r="I241" s="138"/>
      <c r="J241" s="541"/>
      <c r="K241" s="541"/>
      <c r="L241" s="541"/>
      <c r="M241" s="541"/>
      <c r="N241" s="541"/>
    </row>
    <row r="242" spans="1:19" s="540" customFormat="1" ht="14">
      <c r="A242" s="547"/>
      <c r="B242" s="1661" t="s">
        <v>1095</v>
      </c>
      <c r="C242" s="1661"/>
      <c r="D242" s="1661"/>
      <c r="E242" s="1661"/>
      <c r="F242" s="1661"/>
      <c r="G242" s="1661"/>
      <c r="H242" s="543"/>
      <c r="I242" s="542"/>
      <c r="J242" s="541"/>
      <c r="K242" s="541"/>
      <c r="L242" s="541"/>
      <c r="M242" s="541"/>
      <c r="N242" s="541"/>
    </row>
    <row r="243" spans="1:19" s="540" customFormat="1" ht="14">
      <c r="A243" s="547"/>
      <c r="B243" s="551" t="s">
        <v>112</v>
      </c>
      <c r="C243" s="551" t="s">
        <v>113</v>
      </c>
      <c r="D243" s="551" t="s">
        <v>943</v>
      </c>
      <c r="E243" s="552" t="s">
        <v>411</v>
      </c>
      <c r="F243" s="552" t="s">
        <v>942</v>
      </c>
      <c r="G243" s="551" t="s">
        <v>231</v>
      </c>
      <c r="H243" s="543"/>
      <c r="I243" s="542"/>
      <c r="J243" s="541"/>
      <c r="K243" s="541"/>
      <c r="L243" s="541"/>
      <c r="M243" s="541"/>
      <c r="N243" s="541"/>
    </row>
    <row r="244" spans="1:19" s="540" customFormat="1" ht="14">
      <c r="A244" s="547">
        <v>2</v>
      </c>
      <c r="B244" s="619" t="s">
        <v>136</v>
      </c>
      <c r="C244" s="546">
        <v>79.930000000000007</v>
      </c>
      <c r="D244" s="546">
        <v>1.91</v>
      </c>
      <c r="E244" s="544"/>
      <c r="F244" s="546">
        <v>238.959</v>
      </c>
      <c r="G244" s="546">
        <v>1.909999287</v>
      </c>
      <c r="H244" s="543"/>
      <c r="I244" s="542"/>
      <c r="J244" s="541"/>
      <c r="K244" s="541"/>
      <c r="L244" s="541"/>
      <c r="M244" s="541"/>
      <c r="N244" s="541"/>
    </row>
    <row r="245" spans="1:19" s="529" customFormat="1" ht="14">
      <c r="A245" s="530"/>
      <c r="B245" s="530"/>
      <c r="C245" s="530"/>
    </row>
    <row r="246" spans="1:19" s="529" customFormat="1" ht="14">
      <c r="A246" s="530"/>
      <c r="B246" s="530"/>
      <c r="C246" s="530"/>
    </row>
    <row r="247" spans="1:19" s="529" customFormat="1" ht="14">
      <c r="A247" s="530"/>
      <c r="B247" s="530"/>
      <c r="C247" s="530"/>
    </row>
    <row r="248" spans="1:19" s="530" customFormat="1" ht="14">
      <c r="A248" s="562" t="s">
        <v>106</v>
      </c>
      <c r="B248" s="565" t="s">
        <v>107</v>
      </c>
      <c r="C248" s="564" t="s">
        <v>4</v>
      </c>
      <c r="D248" s="563" t="s">
        <v>108</v>
      </c>
      <c r="E248" s="563" t="s">
        <v>109</v>
      </c>
      <c r="F248" s="562" t="s">
        <v>411</v>
      </c>
      <c r="G248" s="561" t="s">
        <v>950</v>
      </c>
      <c r="H248" s="561" t="s">
        <v>110</v>
      </c>
      <c r="I248" s="561" t="s">
        <v>276</v>
      </c>
      <c r="J248" s="561" t="s">
        <v>117</v>
      </c>
      <c r="K248" s="561" t="s">
        <v>275</v>
      </c>
      <c r="L248" s="562" t="s">
        <v>111</v>
      </c>
      <c r="M248" s="561" t="s">
        <v>949</v>
      </c>
      <c r="N248" s="561" t="s">
        <v>948</v>
      </c>
      <c r="O248" s="561" t="s">
        <v>129</v>
      </c>
      <c r="P248" s="561" t="s">
        <v>220</v>
      </c>
      <c r="Q248" s="537" t="s">
        <v>947</v>
      </c>
      <c r="R248" s="537" t="s">
        <v>946</v>
      </c>
      <c r="S248" s="560" t="s">
        <v>945</v>
      </c>
    </row>
    <row r="249" spans="1:19" s="547" customFormat="1" ht="14">
      <c r="A249" s="554">
        <v>242</v>
      </c>
      <c r="B249" s="559" t="s">
        <v>859</v>
      </c>
      <c r="C249" s="558" t="s">
        <v>860</v>
      </c>
      <c r="D249" s="555">
        <v>160</v>
      </c>
      <c r="E249" s="555">
        <v>159.999999285</v>
      </c>
      <c r="F249" s="557" t="s">
        <v>1094</v>
      </c>
      <c r="G249" s="555">
        <v>12.74</v>
      </c>
      <c r="H249" s="555">
        <v>12.95</v>
      </c>
      <c r="I249" s="555">
        <f>H249/G249</f>
        <v>1.0164835164835164</v>
      </c>
      <c r="J249" s="555">
        <v>12.95</v>
      </c>
      <c r="K249" s="555">
        <f>J249/G249</f>
        <v>1.0164835164835164</v>
      </c>
      <c r="L249" s="554">
        <v>10</v>
      </c>
      <c r="M249" s="566">
        <v>43033</v>
      </c>
      <c r="N249" s="555">
        <v>14.15</v>
      </c>
      <c r="O249" s="555">
        <f>(N249*(1+Q249/10)+R249/10)/J249</f>
        <v>1.0926640926640927</v>
      </c>
      <c r="P249" s="553" t="s">
        <v>223</v>
      </c>
      <c r="Q249" s="554">
        <f>IFERROR(MID(P249,FIND("转",P249)+1,FIND("股",P249)-(FIND("转",P249)+1)),0)</f>
        <v>0</v>
      </c>
      <c r="R249" s="554">
        <f>IFERROR(MID(P249,FIND("派",P249)+1,FIND("元",P249)-FIND("派",P249)-1),0)</f>
        <v>0</v>
      </c>
      <c r="S249" s="553"/>
    </row>
    <row r="250" spans="1:19" s="540" customFormat="1" ht="14">
      <c r="A250" s="547"/>
      <c r="B250" s="551" t="s">
        <v>112</v>
      </c>
      <c r="C250" s="551" t="s">
        <v>113</v>
      </c>
      <c r="D250" s="551" t="s">
        <v>943</v>
      </c>
      <c r="E250" s="552" t="s">
        <v>411</v>
      </c>
      <c r="F250" s="552" t="s">
        <v>942</v>
      </c>
      <c r="G250" s="551" t="s">
        <v>231</v>
      </c>
      <c r="H250" s="551" t="s">
        <v>941</v>
      </c>
      <c r="I250" s="549">
        <f>SUM(G251:G260)</f>
        <v>159.999999285</v>
      </c>
      <c r="J250" s="138"/>
      <c r="K250" s="548"/>
      <c r="L250" s="548"/>
      <c r="M250" s="548"/>
      <c r="N250" s="548"/>
    </row>
    <row r="251" spans="1:19" s="540" customFormat="1" ht="14">
      <c r="A251" s="547">
        <v>1</v>
      </c>
      <c r="B251" s="554" t="s">
        <v>316</v>
      </c>
      <c r="C251" s="546">
        <v>13.08</v>
      </c>
      <c r="D251" s="546">
        <v>16</v>
      </c>
      <c r="E251" s="544"/>
      <c r="F251" s="546">
        <v>12355.212299999999</v>
      </c>
      <c r="G251" s="546">
        <v>15.999999928499999</v>
      </c>
      <c r="H251" s="543" t="s">
        <v>126</v>
      </c>
      <c r="I251" s="138" t="s">
        <v>1093</v>
      </c>
      <c r="J251" s="541"/>
      <c r="K251" s="541"/>
      <c r="L251" s="541"/>
      <c r="M251" s="541"/>
      <c r="N251" s="541"/>
    </row>
    <row r="252" spans="1:19" s="540" customFormat="1" ht="14">
      <c r="A252" s="547">
        <v>2</v>
      </c>
      <c r="B252" s="554" t="s">
        <v>1092</v>
      </c>
      <c r="C252" s="546">
        <v>13.08</v>
      </c>
      <c r="D252" s="546">
        <v>16</v>
      </c>
      <c r="E252" s="544"/>
      <c r="F252" s="546">
        <v>12355.212299999999</v>
      </c>
      <c r="G252" s="546">
        <v>15.999999928499999</v>
      </c>
      <c r="H252" s="543"/>
      <c r="I252" s="542"/>
      <c r="J252" s="541"/>
      <c r="K252" s="541"/>
      <c r="L252" s="541"/>
      <c r="M252" s="541"/>
      <c r="N252" s="541"/>
    </row>
    <row r="253" spans="1:19" s="540" customFormat="1" ht="14">
      <c r="A253" s="547">
        <v>3</v>
      </c>
      <c r="B253" s="554" t="s">
        <v>283</v>
      </c>
      <c r="C253" s="546">
        <v>13.07</v>
      </c>
      <c r="D253" s="546">
        <v>16</v>
      </c>
      <c r="E253" s="544"/>
      <c r="F253" s="546">
        <v>12355.212299999999</v>
      </c>
      <c r="G253" s="546">
        <v>15.999999928499999</v>
      </c>
      <c r="H253" s="543"/>
      <c r="I253" s="542"/>
      <c r="J253" s="541"/>
      <c r="K253" s="541"/>
      <c r="L253" s="541"/>
      <c r="M253" s="541"/>
      <c r="N253" s="541"/>
    </row>
    <row r="254" spans="1:19" s="540" customFormat="1" ht="14">
      <c r="A254" s="547">
        <v>4</v>
      </c>
      <c r="B254" s="554" t="s">
        <v>230</v>
      </c>
      <c r="C254" s="546">
        <v>13.06</v>
      </c>
      <c r="D254" s="546">
        <v>16</v>
      </c>
      <c r="E254" s="544"/>
      <c r="F254" s="546">
        <v>12355.212299999999</v>
      </c>
      <c r="G254" s="546">
        <v>15.999999928499999</v>
      </c>
      <c r="H254" s="543"/>
      <c r="I254" s="542"/>
      <c r="J254" s="541"/>
      <c r="K254" s="541"/>
      <c r="L254" s="541"/>
      <c r="M254" s="541"/>
      <c r="N254" s="541"/>
    </row>
    <row r="255" spans="1:19" s="540" customFormat="1" ht="14">
      <c r="A255" s="547">
        <v>5</v>
      </c>
      <c r="B255" s="554" t="s">
        <v>390</v>
      </c>
      <c r="C255" s="546">
        <v>13.05</v>
      </c>
      <c r="D255" s="546">
        <v>16</v>
      </c>
      <c r="E255" s="544"/>
      <c r="F255" s="546">
        <v>12355.212299999999</v>
      </c>
      <c r="G255" s="546">
        <v>15.999999928499999</v>
      </c>
      <c r="H255" s="543"/>
      <c r="I255" s="542"/>
      <c r="J255" s="541"/>
      <c r="K255" s="541"/>
      <c r="L255" s="541"/>
      <c r="M255" s="541"/>
      <c r="N255" s="541"/>
    </row>
    <row r="256" spans="1:19" s="540" customFormat="1" ht="14">
      <c r="A256" s="547">
        <v>6</v>
      </c>
      <c r="B256" s="554" t="s">
        <v>361</v>
      </c>
      <c r="C256" s="546">
        <v>13.05</v>
      </c>
      <c r="D256" s="546">
        <v>16</v>
      </c>
      <c r="E256" s="544"/>
      <c r="F256" s="546">
        <v>12355.212299999999</v>
      </c>
      <c r="G256" s="546">
        <v>15.999999928499999</v>
      </c>
      <c r="H256" s="543"/>
      <c r="I256" s="542"/>
      <c r="J256" s="541"/>
      <c r="K256" s="541"/>
      <c r="L256" s="541"/>
      <c r="M256" s="541"/>
      <c r="N256" s="541"/>
    </row>
    <row r="257" spans="1:14" s="540" customFormat="1" ht="14">
      <c r="A257" s="547">
        <v>7</v>
      </c>
      <c r="B257" s="554" t="s">
        <v>148</v>
      </c>
      <c r="C257" s="546">
        <v>12.95</v>
      </c>
      <c r="D257" s="546">
        <v>16</v>
      </c>
      <c r="E257" s="544"/>
      <c r="F257" s="546">
        <v>12355.212299999999</v>
      </c>
      <c r="G257" s="546">
        <v>15.999999928499999</v>
      </c>
      <c r="H257" s="543"/>
      <c r="I257" s="542"/>
      <c r="J257" s="541"/>
      <c r="K257" s="541"/>
      <c r="L257" s="541"/>
      <c r="M257" s="541"/>
      <c r="N257" s="541"/>
    </row>
    <row r="258" spans="1:14" s="540" customFormat="1" ht="14">
      <c r="A258" s="547">
        <v>8</v>
      </c>
      <c r="B258" s="554" t="s">
        <v>285</v>
      </c>
      <c r="C258" s="546">
        <v>12.95</v>
      </c>
      <c r="D258" s="546">
        <v>16</v>
      </c>
      <c r="E258" s="544"/>
      <c r="F258" s="546">
        <v>12355.212299999999</v>
      </c>
      <c r="G258" s="546">
        <v>15.999999928499999</v>
      </c>
      <c r="H258" s="543"/>
      <c r="I258" s="542"/>
      <c r="J258" s="541"/>
      <c r="K258" s="541"/>
      <c r="L258" s="541"/>
      <c r="M258" s="541"/>
      <c r="N258" s="541"/>
    </row>
    <row r="259" spans="1:14" s="540" customFormat="1" ht="14">
      <c r="A259" s="547">
        <v>9</v>
      </c>
      <c r="B259" s="554" t="s">
        <v>1072</v>
      </c>
      <c r="C259" s="546">
        <v>12.95</v>
      </c>
      <c r="D259" s="546">
        <v>16</v>
      </c>
      <c r="E259" s="544"/>
      <c r="F259" s="546">
        <v>12355.212299999999</v>
      </c>
      <c r="G259" s="546">
        <v>15.999999928499999</v>
      </c>
      <c r="H259" s="543"/>
      <c r="I259" s="542"/>
      <c r="J259" s="541"/>
      <c r="K259" s="541"/>
      <c r="L259" s="541"/>
      <c r="M259" s="541"/>
      <c r="N259" s="541"/>
    </row>
    <row r="260" spans="1:14" s="540" customFormat="1" ht="14">
      <c r="A260" s="547">
        <v>10</v>
      </c>
      <c r="B260" s="554" t="s">
        <v>371</v>
      </c>
      <c r="C260" s="546">
        <v>12.95</v>
      </c>
      <c r="D260" s="546">
        <v>16</v>
      </c>
      <c r="E260" s="544"/>
      <c r="F260" s="546">
        <v>12355.212299999999</v>
      </c>
      <c r="G260" s="546">
        <v>15.999999928499999</v>
      </c>
      <c r="H260" s="543"/>
      <c r="I260" s="542"/>
      <c r="J260" s="541"/>
      <c r="K260" s="541"/>
      <c r="L260" s="541"/>
      <c r="M260" s="541"/>
      <c r="N260" s="541"/>
    </row>
    <row r="261" spans="1:14" s="529" customFormat="1" ht="14">
      <c r="A261" s="530"/>
      <c r="B261" s="530"/>
      <c r="C261" s="530"/>
    </row>
    <row r="262" spans="1:14" s="529" customFormat="1" ht="14">
      <c r="A262" s="530"/>
      <c r="B262" s="530"/>
      <c r="C262" s="530"/>
    </row>
    <row r="263" spans="1:14" s="529" customFormat="1" ht="14">
      <c r="A263" s="530"/>
      <c r="B263" s="530"/>
      <c r="C263" s="530"/>
    </row>
  </sheetData>
  <mergeCells count="164">
    <mergeCell ref="C40:D40"/>
    <mergeCell ref="A37:A39"/>
    <mergeCell ref="B37:B39"/>
    <mergeCell ref="A22:A24"/>
    <mergeCell ref="B22:B24"/>
    <mergeCell ref="A108:A110"/>
    <mergeCell ref="B108:B110"/>
    <mergeCell ref="B103:B104"/>
    <mergeCell ref="A103:A104"/>
    <mergeCell ref="A96:A98"/>
    <mergeCell ref="A89:A91"/>
    <mergeCell ref="B93:B95"/>
    <mergeCell ref="A82:A83"/>
    <mergeCell ref="A93:A95"/>
    <mergeCell ref="A84:A86"/>
    <mergeCell ref="A87:A88"/>
    <mergeCell ref="B87:B88"/>
    <mergeCell ref="B84:B86"/>
    <mergeCell ref="A33:A35"/>
    <mergeCell ref="B33:B35"/>
    <mergeCell ref="B18:B20"/>
    <mergeCell ref="A64:A66"/>
    <mergeCell ref="B64:B66"/>
    <mergeCell ref="A74:A75"/>
    <mergeCell ref="B74:B75"/>
    <mergeCell ref="A6:A8"/>
    <mergeCell ref="B6:B8"/>
    <mergeCell ref="A9:A10"/>
    <mergeCell ref="B9:B10"/>
    <mergeCell ref="A12:A13"/>
    <mergeCell ref="B12:B13"/>
    <mergeCell ref="A14:A16"/>
    <mergeCell ref="B14:B16"/>
    <mergeCell ref="A26:A28"/>
    <mergeCell ref="B26:B28"/>
    <mergeCell ref="B31:B32"/>
    <mergeCell ref="A31:A32"/>
    <mergeCell ref="A18:A20"/>
    <mergeCell ref="A54:A56"/>
    <mergeCell ref="B54:B56"/>
    <mergeCell ref="B50:B52"/>
    <mergeCell ref="A50:A52"/>
    <mergeCell ref="A47:A49"/>
    <mergeCell ref="B47:B49"/>
    <mergeCell ref="E64:E66"/>
    <mergeCell ref="E111:E113"/>
    <mergeCell ref="E103:E104"/>
    <mergeCell ref="B82:B83"/>
    <mergeCell ref="E108:E110"/>
    <mergeCell ref="E100:E102"/>
    <mergeCell ref="E96:E98"/>
    <mergeCell ref="E74:E75"/>
    <mergeCell ref="E82:E83"/>
    <mergeCell ref="B89:B91"/>
    <mergeCell ref="E84:E86"/>
    <mergeCell ref="G64:G66"/>
    <mergeCell ref="F64:F66"/>
    <mergeCell ref="G74:G75"/>
    <mergeCell ref="F74:F75"/>
    <mergeCell ref="G103:G104"/>
    <mergeCell ref="F103:F104"/>
    <mergeCell ref="G100:G102"/>
    <mergeCell ref="F100:F102"/>
    <mergeCell ref="G96:G98"/>
    <mergeCell ref="F96:F98"/>
    <mergeCell ref="G93:G95"/>
    <mergeCell ref="F93:F95"/>
    <mergeCell ref="F82:F83"/>
    <mergeCell ref="G82:G83"/>
    <mergeCell ref="G84:G86"/>
    <mergeCell ref="F84:F86"/>
    <mergeCell ref="G108:G110"/>
    <mergeCell ref="F108:F110"/>
    <mergeCell ref="A148:A150"/>
    <mergeCell ref="G148:G150"/>
    <mergeCell ref="A142:A144"/>
    <mergeCell ref="B145:B147"/>
    <mergeCell ref="B142:B144"/>
    <mergeCell ref="G87:G88"/>
    <mergeCell ref="F87:F88"/>
    <mergeCell ref="G89:G91"/>
    <mergeCell ref="F89:F91"/>
    <mergeCell ref="E87:E88"/>
    <mergeCell ref="E93:E95"/>
    <mergeCell ref="E89:E91"/>
    <mergeCell ref="A100:A102"/>
    <mergeCell ref="B100:B102"/>
    <mergeCell ref="B96:B98"/>
    <mergeCell ref="G174:G176"/>
    <mergeCell ref="F174:F176"/>
    <mergeCell ref="F182:F183"/>
    <mergeCell ref="G179:G181"/>
    <mergeCell ref="A182:A183"/>
    <mergeCell ref="A174:A176"/>
    <mergeCell ref="A179:A181"/>
    <mergeCell ref="G142:G144"/>
    <mergeCell ref="G145:G147"/>
    <mergeCell ref="F145:F147"/>
    <mergeCell ref="F142:F144"/>
    <mergeCell ref="A145:A147"/>
    <mergeCell ref="B160:B161"/>
    <mergeCell ref="B148:B150"/>
    <mergeCell ref="F151:F153"/>
    <mergeCell ref="F148:F150"/>
    <mergeCell ref="A160:A161"/>
    <mergeCell ref="A157:A159"/>
    <mergeCell ref="A151:A153"/>
    <mergeCell ref="G151:G153"/>
    <mergeCell ref="B157:B159"/>
    <mergeCell ref="B151:B153"/>
    <mergeCell ref="B174:B176"/>
    <mergeCell ref="F179:F181"/>
    <mergeCell ref="A196:A198"/>
    <mergeCell ref="A188:A191"/>
    <mergeCell ref="B188:B191"/>
    <mergeCell ref="C188:C191"/>
    <mergeCell ref="D188:D191"/>
    <mergeCell ref="B196:B198"/>
    <mergeCell ref="A111:A113"/>
    <mergeCell ref="B111:B113"/>
    <mergeCell ref="C135:D135"/>
    <mergeCell ref="G182:G183"/>
    <mergeCell ref="B182:B183"/>
    <mergeCell ref="B179:B181"/>
    <mergeCell ref="F196:F198"/>
    <mergeCell ref="B220:B221"/>
    <mergeCell ref="G220:G221"/>
    <mergeCell ref="B201:G201"/>
    <mergeCell ref="G196:G198"/>
    <mergeCell ref="F220:F221"/>
    <mergeCell ref="B242:G242"/>
    <mergeCell ref="B225:B226"/>
    <mergeCell ref="B227:B229"/>
    <mergeCell ref="B230:B231"/>
    <mergeCell ref="B205:G205"/>
    <mergeCell ref="B210:G210"/>
    <mergeCell ref="A230:A231"/>
    <mergeCell ref="A227:A229"/>
    <mergeCell ref="A225:A226"/>
    <mergeCell ref="A220:A221"/>
    <mergeCell ref="R188:R191"/>
    <mergeCell ref="A237:A238"/>
    <mergeCell ref="B237:B238"/>
    <mergeCell ref="C237:C238"/>
    <mergeCell ref="D237:D238"/>
    <mergeCell ref="E237:E238"/>
    <mergeCell ref="L237:L238"/>
    <mergeCell ref="M237:M238"/>
    <mergeCell ref="L188:L191"/>
    <mergeCell ref="M188:M191"/>
    <mergeCell ref="N188:N191"/>
    <mergeCell ref="I196:I198"/>
    <mergeCell ref="O188:O191"/>
    <mergeCell ref="P188:P191"/>
    <mergeCell ref="Q188:Q191"/>
    <mergeCell ref="F230:F231"/>
    <mergeCell ref="G230:G231"/>
    <mergeCell ref="G227:G229"/>
    <mergeCell ref="G225:G226"/>
    <mergeCell ref="F225:F226"/>
    <mergeCell ref="F227:F229"/>
    <mergeCell ref="H237:H238"/>
    <mergeCell ref="H196:H198"/>
    <mergeCell ref="E188:E191"/>
  </mergeCells>
  <phoneticPr fontId="139" type="noConversion"/>
  <hyperlinks>
    <hyperlink ref="I6" r:id="rId1" xr:uid="{00000000-0004-0000-0B00-000000000000}"/>
    <hyperlink ref="I47" r:id="rId2" xr:uid="{00000000-0004-0000-0B00-000001000000}"/>
    <hyperlink ref="I64" r:id="rId3" xr:uid="{00000000-0004-0000-0B00-000002000000}"/>
    <hyperlink ref="I120" r:id="rId4" xr:uid="{00000000-0004-0000-0B00-000003000000}"/>
    <hyperlink ref="I142" r:id="rId5" xr:uid="{00000000-0004-0000-0B00-000004000000}"/>
    <hyperlink ref="I171" r:id="rId6" xr:uid="{00000000-0004-0000-0B00-000005000000}"/>
    <hyperlink ref="I193" r:id="rId7" xr:uid="{00000000-0004-0000-0B00-000006000000}"/>
    <hyperlink ref="I219" r:id="rId8" xr:uid="{00000000-0004-0000-0B00-000007000000}"/>
    <hyperlink ref="I240" r:id="rId9" xr:uid="{00000000-0004-0000-0B00-000008000000}"/>
    <hyperlink ref="I251" r:id="rId10" xr:uid="{00000000-0004-0000-0B00-000009000000}"/>
  </hyperlink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265"/>
  <sheetViews>
    <sheetView topLeftCell="A233" workbookViewId="0">
      <selection activeCell="L263" sqref="L263"/>
    </sheetView>
  </sheetViews>
  <sheetFormatPr defaultColWidth="10.83203125" defaultRowHeight="15.5"/>
  <cols>
    <col min="1" max="1" width="10.83203125" style="528"/>
    <col min="2" max="2" width="38.6640625" style="528" customWidth="1"/>
    <col min="3" max="3" width="10.83203125" style="528"/>
    <col min="4" max="4" width="15.83203125" style="528" bestFit="1" customWidth="1"/>
    <col min="5" max="5" width="14" style="528" bestFit="1" customWidth="1"/>
    <col min="6" max="6" width="25" style="528" bestFit="1" customWidth="1"/>
    <col min="7" max="7" width="15.83203125" style="528" bestFit="1" customWidth="1"/>
    <col min="8" max="8" width="14" style="528" bestFit="1" customWidth="1"/>
    <col min="9" max="11" width="10.83203125" style="528"/>
    <col min="12" max="12" width="12.1640625" style="528" bestFit="1" customWidth="1"/>
    <col min="13" max="15" width="10.83203125" style="528"/>
    <col min="16" max="16" width="15.5" style="528" bestFit="1" customWidth="1"/>
    <col min="17" max="19" width="0" style="528" hidden="1" customWidth="1"/>
    <col min="20" max="16384" width="10.83203125" style="528"/>
  </cols>
  <sheetData>
    <row r="1" spans="1:19" s="24" customFormat="1" ht="14">
      <c r="B1" s="24" t="s">
        <v>1281</v>
      </c>
    </row>
    <row r="2" spans="1:19" s="24" customFormat="1" ht="14"/>
    <row r="3" spans="1:19" s="530" customFormat="1" ht="14">
      <c r="A3" s="562">
        <v>5</v>
      </c>
      <c r="B3" s="565" t="s">
        <v>107</v>
      </c>
      <c r="C3" s="564" t="s">
        <v>4</v>
      </c>
      <c r="D3" s="563" t="s">
        <v>108</v>
      </c>
      <c r="E3" s="563" t="s">
        <v>109</v>
      </c>
      <c r="F3" s="562" t="s">
        <v>411</v>
      </c>
      <c r="G3" s="561" t="s">
        <v>950</v>
      </c>
      <c r="H3" s="561" t="s">
        <v>110</v>
      </c>
      <c r="I3" s="561" t="s">
        <v>276</v>
      </c>
      <c r="J3" s="561" t="s">
        <v>117</v>
      </c>
      <c r="K3" s="561" t="s">
        <v>275</v>
      </c>
      <c r="L3" s="562" t="s">
        <v>111</v>
      </c>
      <c r="M3" s="561" t="s">
        <v>949</v>
      </c>
      <c r="N3" s="561" t="s">
        <v>948</v>
      </c>
      <c r="O3" s="561" t="s">
        <v>129</v>
      </c>
      <c r="P3" s="561" t="s">
        <v>220</v>
      </c>
      <c r="Q3" s="537" t="s">
        <v>947</v>
      </c>
      <c r="R3" s="537" t="s">
        <v>946</v>
      </c>
      <c r="S3" s="560" t="s">
        <v>945</v>
      </c>
    </row>
    <row r="4" spans="1:19" s="547" customFormat="1" ht="14">
      <c r="A4" s="554">
        <v>243</v>
      </c>
      <c r="B4" s="559" t="s">
        <v>862</v>
      </c>
      <c r="C4" s="558" t="s">
        <v>863</v>
      </c>
      <c r="D4" s="555">
        <v>46</v>
      </c>
      <c r="E4" s="555">
        <v>45.999999977999998</v>
      </c>
      <c r="F4" s="557" t="s">
        <v>1151</v>
      </c>
      <c r="G4" s="555">
        <v>20.02</v>
      </c>
      <c r="H4" s="555">
        <v>19.309999999999999</v>
      </c>
      <c r="I4" s="555">
        <f>H4/G4</f>
        <v>0.96453546453546446</v>
      </c>
      <c r="J4" s="555">
        <v>19.649999999999999</v>
      </c>
      <c r="K4" s="555">
        <f>J4/G4</f>
        <v>0.98151848151848142</v>
      </c>
      <c r="L4" s="554">
        <v>5</v>
      </c>
      <c r="M4" s="566">
        <v>43032</v>
      </c>
      <c r="N4" s="555">
        <v>23.34</v>
      </c>
      <c r="O4" s="555">
        <f>(N4*(1+Q4/10)+R4/10)/J4</f>
        <v>1.7857506361323154</v>
      </c>
      <c r="P4" s="553" t="s">
        <v>864</v>
      </c>
      <c r="Q4" s="554" t="str">
        <f>IFERROR(MID(P4,FIND("转",P4)+1,FIND("股",P4)-(FIND("转",P4)+1)),0)</f>
        <v>5</v>
      </c>
      <c r="R4" s="554" t="str">
        <f>IFERROR(MID(P4,FIND("派",P4)+1,FIND("元",P4)-FIND("派",P4)-1),0)</f>
        <v>0.80</v>
      </c>
      <c r="S4" s="553"/>
    </row>
    <row r="5" spans="1:19" s="540" customFormat="1" ht="14">
      <c r="A5" s="547"/>
      <c r="B5" s="551" t="s">
        <v>112</v>
      </c>
      <c r="C5" s="551" t="s">
        <v>113</v>
      </c>
      <c r="D5" s="551" t="s">
        <v>943</v>
      </c>
      <c r="E5" s="552" t="s">
        <v>411</v>
      </c>
      <c r="F5" s="552" t="s">
        <v>942</v>
      </c>
      <c r="G5" s="551" t="s">
        <v>231</v>
      </c>
      <c r="H5" s="551" t="s">
        <v>941</v>
      </c>
      <c r="I5" s="549">
        <f>SUM(G6:G19)</f>
        <v>45.999999977999998</v>
      </c>
      <c r="J5" s="548"/>
      <c r="K5" s="548"/>
      <c r="L5" s="548"/>
      <c r="M5" s="548"/>
      <c r="N5" s="548"/>
    </row>
    <row r="6" spans="1:19" s="540" customFormat="1" ht="14">
      <c r="A6" s="547">
        <v>1</v>
      </c>
      <c r="B6" s="554" t="s">
        <v>125</v>
      </c>
      <c r="C6" s="546">
        <v>19.600000000000001</v>
      </c>
      <c r="D6" s="546">
        <v>4.6001199999999995</v>
      </c>
      <c r="E6" s="544"/>
      <c r="F6" s="546"/>
      <c r="G6" s="546"/>
      <c r="H6" s="543" t="s">
        <v>126</v>
      </c>
      <c r="I6" s="138" t="s">
        <v>861</v>
      </c>
      <c r="J6" s="541"/>
      <c r="K6" s="541"/>
      <c r="L6" s="541"/>
      <c r="M6" s="541"/>
      <c r="N6" s="541"/>
    </row>
    <row r="7" spans="1:19" s="540" customFormat="1" ht="14">
      <c r="A7" s="547">
        <v>2</v>
      </c>
      <c r="B7" s="554" t="s">
        <v>145</v>
      </c>
      <c r="C7" s="546">
        <v>19.61</v>
      </c>
      <c r="D7" s="546">
        <v>4.6161940000000001</v>
      </c>
      <c r="E7" s="544"/>
      <c r="F7" s="546"/>
      <c r="G7" s="546"/>
      <c r="H7" s="543"/>
      <c r="I7" s="542"/>
      <c r="J7" s="541"/>
      <c r="K7" s="541"/>
      <c r="L7" s="541"/>
      <c r="M7" s="541"/>
      <c r="N7" s="541"/>
    </row>
    <row r="8" spans="1:19" s="540" customFormat="1" ht="14">
      <c r="A8" s="1634">
        <v>3</v>
      </c>
      <c r="B8" s="1627" t="s">
        <v>666</v>
      </c>
      <c r="C8" s="546">
        <v>19.850000000000001</v>
      </c>
      <c r="D8" s="546">
        <v>4.6012300000000002</v>
      </c>
      <c r="E8" s="544"/>
      <c r="F8" s="1624">
        <v>2341.5927999999999</v>
      </c>
      <c r="G8" s="1624">
        <v>4.6012298519999995</v>
      </c>
      <c r="H8" s="543"/>
      <c r="I8" s="542"/>
      <c r="J8" s="541"/>
      <c r="K8" s="541"/>
      <c r="L8" s="541"/>
      <c r="M8" s="541"/>
      <c r="N8" s="541"/>
    </row>
    <row r="9" spans="1:19" s="540" customFormat="1" ht="14">
      <c r="A9" s="1634"/>
      <c r="B9" s="1629"/>
      <c r="C9" s="546">
        <v>19.309999999999999</v>
      </c>
      <c r="D9" s="546">
        <v>4.6150900000000004</v>
      </c>
      <c r="E9" s="544"/>
      <c r="F9" s="1625"/>
      <c r="G9" s="1625"/>
      <c r="H9" s="543"/>
      <c r="I9" s="542"/>
      <c r="J9" s="541"/>
      <c r="K9" s="541"/>
      <c r="L9" s="541"/>
      <c r="M9" s="541"/>
      <c r="N9" s="541"/>
    </row>
    <row r="10" spans="1:19" s="540" customFormat="1" ht="14">
      <c r="A10" s="1634">
        <v>4</v>
      </c>
      <c r="B10" s="1627" t="s">
        <v>115</v>
      </c>
      <c r="C10" s="546">
        <v>19.399999999999999</v>
      </c>
      <c r="D10" s="546">
        <v>4.87134</v>
      </c>
      <c r="E10" s="544"/>
      <c r="F10" s="1624"/>
      <c r="G10" s="1624"/>
      <c r="H10" s="543"/>
      <c r="I10" s="542"/>
      <c r="J10" s="541"/>
      <c r="K10" s="541"/>
      <c r="L10" s="541"/>
      <c r="M10" s="541"/>
      <c r="N10" s="541"/>
    </row>
    <row r="11" spans="1:19" s="540" customFormat="1" ht="14">
      <c r="A11" s="1634"/>
      <c r="B11" s="1629"/>
      <c r="C11" s="546">
        <v>19.32</v>
      </c>
      <c r="D11" s="546">
        <v>4.9497839999999993</v>
      </c>
      <c r="E11" s="544"/>
      <c r="F11" s="1625"/>
      <c r="G11" s="1625"/>
      <c r="H11" s="543"/>
      <c r="I11" s="542"/>
      <c r="J11" s="541"/>
      <c r="K11" s="541"/>
      <c r="L11" s="541"/>
      <c r="M11" s="541"/>
      <c r="N11" s="541"/>
    </row>
    <row r="12" spans="1:19" s="540" customFormat="1" ht="14">
      <c r="A12" s="1634">
        <v>5</v>
      </c>
      <c r="B12" s="1627" t="s">
        <v>336</v>
      </c>
      <c r="C12" s="546">
        <v>21.04</v>
      </c>
      <c r="D12" s="546">
        <v>9.5984479999999994</v>
      </c>
      <c r="E12" s="544"/>
      <c r="F12" s="1624">
        <v>7429.7262000000001</v>
      </c>
      <c r="G12" s="1624">
        <v>14.599411983</v>
      </c>
      <c r="H12" s="543"/>
      <c r="I12" s="542"/>
      <c r="J12" s="541"/>
      <c r="K12" s="541"/>
      <c r="L12" s="541"/>
      <c r="M12" s="541"/>
      <c r="N12" s="541"/>
    </row>
    <row r="13" spans="1:19" s="540" customFormat="1" ht="14">
      <c r="A13" s="1634"/>
      <c r="B13" s="1629"/>
      <c r="C13" s="546">
        <v>19.82</v>
      </c>
      <c r="D13" s="546">
        <v>14.599411999999999</v>
      </c>
      <c r="E13" s="544"/>
      <c r="F13" s="1625"/>
      <c r="G13" s="1625"/>
      <c r="H13" s="543"/>
      <c r="I13" s="542"/>
      <c r="J13" s="541"/>
      <c r="K13" s="541"/>
      <c r="L13" s="541"/>
      <c r="M13" s="541"/>
      <c r="N13" s="541"/>
    </row>
    <row r="14" spans="1:19" s="540" customFormat="1" ht="14">
      <c r="A14" s="1634">
        <v>6</v>
      </c>
      <c r="B14" s="1627" t="s">
        <v>371</v>
      </c>
      <c r="C14" s="546">
        <v>20.92</v>
      </c>
      <c r="D14" s="546">
        <v>12.198452</v>
      </c>
      <c r="E14" s="544"/>
      <c r="F14" s="1624">
        <v>7735.3281999999999</v>
      </c>
      <c r="G14" s="1624">
        <v>15.199919912999999</v>
      </c>
      <c r="H14" s="543"/>
      <c r="I14" s="542"/>
      <c r="J14" s="541"/>
      <c r="K14" s="541"/>
      <c r="L14" s="541"/>
      <c r="M14" s="541"/>
      <c r="N14" s="541"/>
    </row>
    <row r="15" spans="1:19" s="540" customFormat="1" ht="14">
      <c r="A15" s="1634"/>
      <c r="B15" s="1629"/>
      <c r="C15" s="546">
        <v>20.43</v>
      </c>
      <c r="D15" s="546">
        <v>15.199920000000001</v>
      </c>
      <c r="E15" s="544"/>
      <c r="F15" s="1625"/>
      <c r="G15" s="1625"/>
      <c r="H15" s="543"/>
      <c r="I15" s="542"/>
      <c r="J15" s="541"/>
      <c r="K15" s="541"/>
      <c r="L15" s="541"/>
      <c r="M15" s="541"/>
      <c r="N15" s="541"/>
    </row>
    <row r="16" spans="1:19" s="540" customFormat="1" ht="14">
      <c r="A16" s="1634">
        <v>7</v>
      </c>
      <c r="B16" s="1627" t="s">
        <v>278</v>
      </c>
      <c r="C16" s="546">
        <v>20.43</v>
      </c>
      <c r="D16" s="546">
        <v>9.9984419999999989</v>
      </c>
      <c r="E16" s="544"/>
      <c r="F16" s="1624">
        <v>5151.2437</v>
      </c>
      <c r="G16" s="1624">
        <v>10.1221938705</v>
      </c>
      <c r="H16" s="543"/>
      <c r="I16" s="542"/>
      <c r="J16" s="541"/>
      <c r="K16" s="541"/>
      <c r="L16" s="541"/>
      <c r="M16" s="541"/>
      <c r="N16" s="541"/>
    </row>
    <row r="17" spans="1:19" s="540" customFormat="1" ht="14">
      <c r="A17" s="1634"/>
      <c r="B17" s="1629"/>
      <c r="C17" s="546">
        <v>20.420000000000002</v>
      </c>
      <c r="D17" s="546">
        <v>10.122194</v>
      </c>
      <c r="E17" s="544"/>
      <c r="F17" s="1625"/>
      <c r="G17" s="1625"/>
      <c r="H17" s="543"/>
      <c r="I17" s="542"/>
      <c r="J17" s="541"/>
      <c r="K17" s="541"/>
      <c r="L17" s="541"/>
      <c r="M17" s="541"/>
      <c r="N17" s="541"/>
    </row>
    <row r="18" spans="1:19" s="540" customFormat="1" ht="14">
      <c r="A18" s="1634">
        <v>8</v>
      </c>
      <c r="B18" s="1627" t="s">
        <v>297</v>
      </c>
      <c r="C18" s="546">
        <v>19.809999999999999</v>
      </c>
      <c r="D18" s="546">
        <v>4.8336399999999999</v>
      </c>
      <c r="E18" s="544"/>
      <c r="F18" s="1624">
        <v>751.77829999999994</v>
      </c>
      <c r="G18" s="1624">
        <v>1.4772443594999998</v>
      </c>
      <c r="H18" s="543"/>
      <c r="I18" s="542"/>
      <c r="J18" s="541"/>
      <c r="K18" s="541"/>
      <c r="L18" s="541"/>
      <c r="M18" s="541"/>
      <c r="N18" s="541"/>
    </row>
    <row r="19" spans="1:19" s="540" customFormat="1" ht="14">
      <c r="A19" s="1634"/>
      <c r="B19" s="1629"/>
      <c r="C19" s="546">
        <v>19.649999999999999</v>
      </c>
      <c r="D19" s="546">
        <v>4.8928500000000001</v>
      </c>
      <c r="E19" s="544"/>
      <c r="F19" s="1625"/>
      <c r="G19" s="1625"/>
      <c r="H19" s="543"/>
      <c r="I19" s="542"/>
      <c r="J19" s="541"/>
      <c r="K19" s="541"/>
      <c r="L19" s="541"/>
      <c r="M19" s="541"/>
      <c r="N19" s="541"/>
    </row>
    <row r="20" spans="1:19" s="529" customFormat="1" ht="14">
      <c r="A20" s="530"/>
      <c r="B20" s="530"/>
      <c r="C20" s="530"/>
    </row>
    <row r="21" spans="1:19" s="529" customFormat="1" ht="14">
      <c r="A21" s="530"/>
      <c r="B21" s="530"/>
      <c r="C21" s="530"/>
    </row>
    <row r="22" spans="1:19" s="529" customFormat="1" ht="14">
      <c r="A22" s="531"/>
      <c r="B22" s="530"/>
      <c r="C22" s="530"/>
      <c r="D22" s="533"/>
      <c r="E22" s="532"/>
    </row>
    <row r="23" spans="1:19" s="530" customFormat="1" ht="14">
      <c r="A23" s="562" t="s">
        <v>106</v>
      </c>
      <c r="B23" s="565" t="s">
        <v>107</v>
      </c>
      <c r="C23" s="564" t="s">
        <v>4</v>
      </c>
      <c r="D23" s="563" t="s">
        <v>108</v>
      </c>
      <c r="E23" s="563" t="s">
        <v>109</v>
      </c>
      <c r="F23" s="562" t="s">
        <v>411</v>
      </c>
      <c r="G23" s="561" t="s">
        <v>950</v>
      </c>
      <c r="H23" s="561" t="s">
        <v>110</v>
      </c>
      <c r="I23" s="561" t="s">
        <v>276</v>
      </c>
      <c r="J23" s="561" t="s">
        <v>117</v>
      </c>
      <c r="K23" s="561" t="s">
        <v>275</v>
      </c>
      <c r="L23" s="562" t="s">
        <v>111</v>
      </c>
      <c r="M23" s="561" t="s">
        <v>949</v>
      </c>
      <c r="N23" s="561" t="s">
        <v>948</v>
      </c>
      <c r="O23" s="561" t="s">
        <v>129</v>
      </c>
      <c r="P23" s="561" t="s">
        <v>220</v>
      </c>
      <c r="Q23" s="537" t="s">
        <v>947</v>
      </c>
      <c r="R23" s="537" t="s">
        <v>946</v>
      </c>
      <c r="S23" s="560" t="s">
        <v>945</v>
      </c>
    </row>
    <row r="24" spans="1:19" s="547" customFormat="1" ht="14">
      <c r="A24" s="554">
        <v>244</v>
      </c>
      <c r="B24" s="559" t="s">
        <v>866</v>
      </c>
      <c r="C24" s="558" t="s">
        <v>867</v>
      </c>
      <c r="D24" s="555">
        <v>20.88</v>
      </c>
      <c r="E24" s="555">
        <v>20.879999712</v>
      </c>
      <c r="F24" s="557" t="s">
        <v>1178</v>
      </c>
      <c r="G24" s="555">
        <v>35.159999999999997</v>
      </c>
      <c r="H24" s="555">
        <v>32.04</v>
      </c>
      <c r="I24" s="555">
        <f>H24/G24</f>
        <v>0.9112627986348123</v>
      </c>
      <c r="J24" s="555">
        <v>35.200000000000003</v>
      </c>
      <c r="K24" s="555">
        <f>J24/G24</f>
        <v>1.001137656427759</v>
      </c>
      <c r="L24" s="554">
        <v>8</v>
      </c>
      <c r="M24" s="566">
        <v>43033</v>
      </c>
      <c r="N24" s="555">
        <v>18.399999999999999</v>
      </c>
      <c r="O24" s="555">
        <f>(N24*(1+Q24/10)+R24/10)/J24</f>
        <v>0.94801136363636351</v>
      </c>
      <c r="P24" s="553" t="s">
        <v>868</v>
      </c>
      <c r="Q24" s="554" t="str">
        <f>IFERROR(MID(P24,FIND("转",P24)+1,FIND("股",P24)-(FIND("转",P24)+1)),0)</f>
        <v>8</v>
      </c>
      <c r="R24" s="554" t="str">
        <f>IFERROR(MID(P24,FIND("派",P24)+1,FIND("元",P24)-FIND("派",P24)-1),0)</f>
        <v>2.5</v>
      </c>
      <c r="S24" s="553"/>
    </row>
    <row r="25" spans="1:19" s="540" customFormat="1" ht="14">
      <c r="A25" s="547"/>
      <c r="B25" s="551" t="s">
        <v>112</v>
      </c>
      <c r="C25" s="551" t="s">
        <v>113</v>
      </c>
      <c r="D25" s="551" t="s">
        <v>943</v>
      </c>
      <c r="E25" s="552" t="s">
        <v>411</v>
      </c>
      <c r="F25" s="552" t="s">
        <v>942</v>
      </c>
      <c r="G25" s="551" t="s">
        <v>231</v>
      </c>
      <c r="H25" s="551" t="s">
        <v>941</v>
      </c>
      <c r="I25" s="549">
        <f>SUM(G26:G42)</f>
        <v>20.879999711999996</v>
      </c>
      <c r="J25" s="548"/>
      <c r="K25" s="548"/>
      <c r="L25" s="548"/>
      <c r="M25" s="548"/>
      <c r="N25" s="548"/>
    </row>
    <row r="26" spans="1:19" s="540" customFormat="1" ht="14">
      <c r="A26" s="547">
        <v>1</v>
      </c>
      <c r="B26" s="554" t="s">
        <v>618</v>
      </c>
      <c r="C26" s="546">
        <v>37</v>
      </c>
      <c r="D26" s="546">
        <v>1.321</v>
      </c>
      <c r="E26" s="544"/>
      <c r="F26" s="546">
        <v>375.28399999999999</v>
      </c>
      <c r="G26" s="546">
        <v>1.3209996799999999</v>
      </c>
      <c r="H26" s="543" t="s">
        <v>126</v>
      </c>
      <c r="I26" s="138" t="s">
        <v>865</v>
      </c>
      <c r="J26" s="541"/>
      <c r="K26" s="541"/>
      <c r="L26" s="541"/>
      <c r="M26" s="541"/>
      <c r="N26" s="541"/>
    </row>
    <row r="27" spans="1:19" s="540" customFormat="1" ht="14">
      <c r="A27" s="547">
        <v>2</v>
      </c>
      <c r="B27" s="554" t="s">
        <v>337</v>
      </c>
      <c r="C27" s="546">
        <v>36</v>
      </c>
      <c r="D27" s="546">
        <v>1.321</v>
      </c>
      <c r="E27" s="544"/>
      <c r="F27" s="546">
        <v>375.28399999999999</v>
      </c>
      <c r="G27" s="546">
        <v>1.3209996799999999</v>
      </c>
      <c r="H27" s="543"/>
      <c r="I27" s="542"/>
      <c r="J27" s="541"/>
      <c r="K27" s="541"/>
      <c r="L27" s="541"/>
      <c r="M27" s="541"/>
      <c r="N27" s="541"/>
    </row>
    <row r="28" spans="1:19" s="540" customFormat="1" ht="14">
      <c r="A28" s="547">
        <v>3</v>
      </c>
      <c r="B28" s="554" t="s">
        <v>358</v>
      </c>
      <c r="C28" s="546">
        <v>36.659999999999997</v>
      </c>
      <c r="D28" s="546">
        <v>3.9630000000000001</v>
      </c>
      <c r="E28" s="544"/>
      <c r="F28" s="546">
        <v>1125.8522</v>
      </c>
      <c r="G28" s="546">
        <v>3.9629997439999998</v>
      </c>
      <c r="H28" s="543"/>
      <c r="I28" s="542"/>
      <c r="J28" s="541"/>
      <c r="K28" s="541"/>
      <c r="L28" s="541"/>
      <c r="M28" s="541"/>
      <c r="N28" s="541"/>
    </row>
    <row r="29" spans="1:19" s="540" customFormat="1" ht="14">
      <c r="A29" s="547">
        <v>4</v>
      </c>
      <c r="B29" s="554" t="s">
        <v>225</v>
      </c>
      <c r="C29" s="546">
        <v>32.04</v>
      </c>
      <c r="D29" s="546">
        <v>1.321</v>
      </c>
      <c r="E29" s="544"/>
      <c r="F29" s="546"/>
      <c r="G29" s="546"/>
      <c r="H29" s="543"/>
      <c r="I29" s="542"/>
      <c r="J29" s="541"/>
      <c r="K29" s="541"/>
      <c r="L29" s="541"/>
      <c r="M29" s="541"/>
      <c r="N29" s="541"/>
    </row>
    <row r="30" spans="1:19" s="540" customFormat="1" ht="14">
      <c r="A30" s="547">
        <v>5</v>
      </c>
      <c r="B30" s="554" t="s">
        <v>119</v>
      </c>
      <c r="C30" s="546">
        <v>33</v>
      </c>
      <c r="D30" s="546">
        <v>1.321</v>
      </c>
      <c r="E30" s="544"/>
      <c r="F30" s="546"/>
      <c r="G30" s="546"/>
      <c r="H30" s="543"/>
      <c r="I30" s="542"/>
      <c r="J30" s="541"/>
      <c r="K30" s="541"/>
      <c r="L30" s="541"/>
      <c r="M30" s="541"/>
      <c r="N30" s="541"/>
    </row>
    <row r="31" spans="1:19" s="540" customFormat="1" ht="14">
      <c r="A31" s="1634">
        <v>6</v>
      </c>
      <c r="B31" s="1627" t="s">
        <v>115</v>
      </c>
      <c r="C31" s="546">
        <v>32.04</v>
      </c>
      <c r="D31" s="546">
        <v>1.7809999999999999</v>
      </c>
      <c r="E31" s="544"/>
      <c r="F31" s="546"/>
      <c r="G31" s="546"/>
      <c r="H31" s="543"/>
      <c r="I31" s="542"/>
      <c r="J31" s="541"/>
      <c r="K31" s="541"/>
      <c r="L31" s="541"/>
      <c r="M31" s="541"/>
      <c r="N31" s="541"/>
    </row>
    <row r="32" spans="1:19" s="540" customFormat="1" ht="14">
      <c r="A32" s="1634"/>
      <c r="B32" s="1628"/>
      <c r="C32" s="546">
        <v>33</v>
      </c>
      <c r="D32" s="546">
        <v>1.681</v>
      </c>
      <c r="E32" s="544"/>
      <c r="F32" s="546"/>
      <c r="G32" s="546"/>
      <c r="H32" s="543"/>
      <c r="I32" s="542"/>
      <c r="J32" s="541"/>
      <c r="K32" s="541"/>
      <c r="L32" s="541"/>
      <c r="M32" s="541"/>
      <c r="N32" s="541"/>
    </row>
    <row r="33" spans="1:19" s="540" customFormat="1" ht="14">
      <c r="A33" s="1634"/>
      <c r="B33" s="1629"/>
      <c r="C33" s="546">
        <v>33.39</v>
      </c>
      <c r="D33" s="546">
        <v>1.371</v>
      </c>
      <c r="E33" s="544"/>
      <c r="F33" s="546"/>
      <c r="G33" s="546"/>
      <c r="H33" s="543"/>
      <c r="I33" s="542"/>
      <c r="J33" s="541"/>
      <c r="K33" s="541"/>
      <c r="L33" s="541"/>
      <c r="M33" s="541"/>
      <c r="N33" s="541"/>
    </row>
    <row r="34" spans="1:19" s="540" customFormat="1" ht="14">
      <c r="A34" s="547">
        <v>7</v>
      </c>
      <c r="B34" s="554" t="s">
        <v>146</v>
      </c>
      <c r="C34" s="546">
        <v>33.39</v>
      </c>
      <c r="D34" s="546">
        <v>1.321</v>
      </c>
      <c r="E34" s="544"/>
      <c r="F34" s="546"/>
      <c r="G34" s="546"/>
      <c r="H34" s="543"/>
      <c r="I34" s="542"/>
      <c r="J34" s="541"/>
      <c r="K34" s="541"/>
      <c r="L34" s="541"/>
      <c r="M34" s="541"/>
      <c r="N34" s="541"/>
    </row>
    <row r="35" spans="1:19" s="540" customFormat="1" ht="14">
      <c r="A35" s="1634">
        <v>8</v>
      </c>
      <c r="B35" s="1627" t="s">
        <v>1177</v>
      </c>
      <c r="C35" s="546">
        <v>35.200000000000003</v>
      </c>
      <c r="D35" s="546">
        <v>1.321</v>
      </c>
      <c r="E35" s="544"/>
      <c r="F35" s="546">
        <v>375.28399999999999</v>
      </c>
      <c r="G35" s="546">
        <v>1.3209996799999999</v>
      </c>
      <c r="H35" s="543"/>
      <c r="I35" s="542"/>
      <c r="J35" s="541"/>
      <c r="K35" s="541"/>
      <c r="L35" s="541"/>
      <c r="M35" s="541"/>
      <c r="N35" s="541"/>
    </row>
    <row r="36" spans="1:19" s="540" customFormat="1" ht="14">
      <c r="A36" s="1634"/>
      <c r="B36" s="1628"/>
      <c r="C36" s="546">
        <v>37.200000000000003</v>
      </c>
      <c r="D36" s="546">
        <v>1.321</v>
      </c>
      <c r="E36" s="544"/>
      <c r="F36" s="546"/>
      <c r="G36" s="546"/>
      <c r="H36" s="543"/>
      <c r="I36" s="542"/>
      <c r="J36" s="541"/>
      <c r="K36" s="541"/>
      <c r="L36" s="541"/>
      <c r="M36" s="541"/>
      <c r="N36" s="541"/>
    </row>
    <row r="37" spans="1:19" s="540" customFormat="1" ht="14">
      <c r="A37" s="1634"/>
      <c r="B37" s="1629"/>
      <c r="C37" s="546">
        <v>41.2</v>
      </c>
      <c r="D37" s="546">
        <v>1.321</v>
      </c>
      <c r="E37" s="544"/>
      <c r="F37" s="546"/>
      <c r="G37" s="546"/>
      <c r="H37" s="543"/>
      <c r="I37" s="542"/>
      <c r="J37" s="541"/>
      <c r="K37" s="541"/>
      <c r="L37" s="541"/>
      <c r="M37" s="541"/>
      <c r="N37" s="541"/>
    </row>
    <row r="38" spans="1:19" s="540" customFormat="1" ht="14">
      <c r="A38" s="1634">
        <v>9</v>
      </c>
      <c r="B38" s="1627" t="s">
        <v>960</v>
      </c>
      <c r="C38" s="546">
        <v>35.15</v>
      </c>
      <c r="D38" s="546">
        <v>2.6419999999999999</v>
      </c>
      <c r="E38" s="544"/>
      <c r="F38" s="546">
        <v>374.00720000000001</v>
      </c>
      <c r="G38" s="546">
        <v>1.3165053440000001</v>
      </c>
      <c r="H38" s="543"/>
      <c r="I38" s="542"/>
      <c r="J38" s="541"/>
      <c r="K38" s="541"/>
      <c r="L38" s="541"/>
      <c r="M38" s="541"/>
      <c r="N38" s="541"/>
    </row>
    <row r="39" spans="1:19" s="540" customFormat="1" ht="14">
      <c r="A39" s="1634"/>
      <c r="B39" s="1629"/>
      <c r="C39" s="546">
        <v>35.200000000000003</v>
      </c>
      <c r="D39" s="546">
        <v>1.321</v>
      </c>
      <c r="E39" s="544"/>
      <c r="F39" s="546"/>
      <c r="G39" s="546"/>
      <c r="H39" s="543"/>
      <c r="I39" s="542"/>
      <c r="J39" s="541"/>
      <c r="K39" s="541"/>
      <c r="L39" s="541"/>
      <c r="M39" s="541"/>
      <c r="N39" s="541"/>
    </row>
    <row r="40" spans="1:19" s="540" customFormat="1" ht="14">
      <c r="A40" s="547">
        <v>11</v>
      </c>
      <c r="B40" s="554" t="s">
        <v>1176</v>
      </c>
      <c r="C40" s="1658" t="s">
        <v>989</v>
      </c>
      <c r="D40" s="1665"/>
      <c r="E40" s="1659"/>
      <c r="F40" s="546">
        <v>2840.9090000000001</v>
      </c>
      <c r="G40" s="546">
        <v>9.9999996800000002</v>
      </c>
      <c r="H40" s="543"/>
      <c r="I40" s="542"/>
      <c r="J40" s="541"/>
      <c r="K40" s="541"/>
      <c r="L40" s="541"/>
      <c r="M40" s="541"/>
      <c r="N40" s="541"/>
    </row>
    <row r="41" spans="1:19" s="540" customFormat="1" ht="14">
      <c r="A41" s="547">
        <v>12</v>
      </c>
      <c r="B41" s="554" t="s">
        <v>1175</v>
      </c>
      <c r="C41" s="1658" t="s">
        <v>989</v>
      </c>
      <c r="D41" s="1665"/>
      <c r="E41" s="1659"/>
      <c r="F41" s="546">
        <v>242.89769999999999</v>
      </c>
      <c r="G41" s="546">
        <v>0.85499990400000003</v>
      </c>
      <c r="H41" s="543"/>
      <c r="I41" s="542"/>
      <c r="J41" s="541"/>
      <c r="K41" s="541"/>
      <c r="L41" s="541"/>
      <c r="M41" s="541"/>
      <c r="N41" s="541"/>
    </row>
    <row r="42" spans="1:19" s="540" customFormat="1" ht="14">
      <c r="A42" s="547">
        <v>13</v>
      </c>
      <c r="B42" s="554" t="s">
        <v>1174</v>
      </c>
      <c r="C42" s="1658" t="s">
        <v>989</v>
      </c>
      <c r="D42" s="1665"/>
      <c r="E42" s="1659"/>
      <c r="F42" s="546">
        <v>222.3</v>
      </c>
      <c r="G42" s="546">
        <v>0.78249599999999997</v>
      </c>
      <c r="H42" s="543"/>
      <c r="I42" s="542"/>
      <c r="J42" s="541"/>
      <c r="K42" s="541"/>
      <c r="L42" s="541"/>
      <c r="M42" s="541"/>
      <c r="N42" s="541"/>
    </row>
    <row r="43" spans="1:19" s="529" customFormat="1" ht="14">
      <c r="A43" s="530"/>
      <c r="B43" s="530"/>
      <c r="C43" s="530"/>
      <c r="D43" s="533"/>
      <c r="E43" s="532"/>
    </row>
    <row r="44" spans="1:19" s="529" customFormat="1" ht="14">
      <c r="A44" s="614"/>
      <c r="B44" s="530"/>
      <c r="C44" s="530"/>
      <c r="E44" s="533"/>
    </row>
    <row r="45" spans="1:19" s="529" customFormat="1" ht="14">
      <c r="A45" s="530"/>
      <c r="C45" s="530"/>
      <c r="E45" s="533"/>
    </row>
    <row r="46" spans="1:19" s="530" customFormat="1" ht="14">
      <c r="A46" s="562" t="s">
        <v>106</v>
      </c>
      <c r="B46" s="565" t="s">
        <v>107</v>
      </c>
      <c r="C46" s="564" t="s">
        <v>4</v>
      </c>
      <c r="D46" s="563" t="s">
        <v>108</v>
      </c>
      <c r="E46" s="563" t="s">
        <v>109</v>
      </c>
      <c r="F46" s="562" t="s">
        <v>411</v>
      </c>
      <c r="G46" s="561" t="s">
        <v>950</v>
      </c>
      <c r="H46" s="561" t="s">
        <v>110</v>
      </c>
      <c r="I46" s="561" t="s">
        <v>276</v>
      </c>
      <c r="J46" s="561" t="s">
        <v>117</v>
      </c>
      <c r="K46" s="561" t="s">
        <v>275</v>
      </c>
      <c r="L46" s="562" t="s">
        <v>111</v>
      </c>
      <c r="M46" s="561" t="s">
        <v>949</v>
      </c>
      <c r="N46" s="561" t="s">
        <v>948</v>
      </c>
      <c r="O46" s="561" t="s">
        <v>129</v>
      </c>
      <c r="P46" s="561" t="s">
        <v>220</v>
      </c>
      <c r="Q46" s="537" t="s">
        <v>947</v>
      </c>
      <c r="R46" s="537" t="s">
        <v>946</v>
      </c>
      <c r="S46" s="560" t="s">
        <v>945</v>
      </c>
    </row>
    <row r="47" spans="1:19" s="547" customFormat="1" ht="14">
      <c r="A47" s="554">
        <v>245</v>
      </c>
      <c r="B47" s="559" t="s">
        <v>869</v>
      </c>
      <c r="C47" s="558" t="s">
        <v>870</v>
      </c>
      <c r="D47" s="555">
        <v>3.6</v>
      </c>
      <c r="E47" s="555">
        <v>3.5999999640000002</v>
      </c>
      <c r="F47" s="557" t="s">
        <v>1151</v>
      </c>
      <c r="G47" s="555">
        <v>18.2</v>
      </c>
      <c r="H47" s="555">
        <v>12.79</v>
      </c>
      <c r="I47" s="555">
        <f>H47/G47</f>
        <v>0.70274725274725269</v>
      </c>
      <c r="J47" s="555">
        <v>17.52</v>
      </c>
      <c r="K47" s="555">
        <f>J47/G47</f>
        <v>0.96263736263736266</v>
      </c>
      <c r="L47" s="554">
        <v>2</v>
      </c>
      <c r="M47" s="566">
        <v>42669</v>
      </c>
      <c r="N47" s="555">
        <v>17.07</v>
      </c>
      <c r="O47" s="555">
        <f>(N47*(1+Q47/10)+R47/10)/J47</f>
        <v>0.97431506849315075</v>
      </c>
      <c r="P47" s="553" t="s">
        <v>223</v>
      </c>
      <c r="Q47" s="554">
        <f>IFERROR(MID(P47,FIND("转",P47)+1,FIND("股",P47)-(FIND("转",P47)+1)),0)</f>
        <v>0</v>
      </c>
      <c r="R47" s="554">
        <f>IFERROR(MID(P47,FIND("派",P47)+1,FIND("元",P47)-FIND("派",P47)-1),0)</f>
        <v>0</v>
      </c>
      <c r="S47" s="553" t="s">
        <v>850</v>
      </c>
    </row>
    <row r="48" spans="1:19" s="540" customFormat="1" ht="14">
      <c r="A48" s="547"/>
      <c r="B48" s="551" t="s">
        <v>112</v>
      </c>
      <c r="C48" s="551" t="s">
        <v>113</v>
      </c>
      <c r="D48" s="551" t="s">
        <v>943</v>
      </c>
      <c r="E48" s="552" t="s">
        <v>411</v>
      </c>
      <c r="F48" s="552" t="s">
        <v>942</v>
      </c>
      <c r="G48" s="551" t="s">
        <v>231</v>
      </c>
      <c r="H48" s="551" t="s">
        <v>941</v>
      </c>
      <c r="I48" s="549">
        <f>SUM(G49:G71)</f>
        <v>3.5999999640000002</v>
      </c>
      <c r="J48" s="548"/>
      <c r="K48" s="548"/>
      <c r="L48" s="548"/>
      <c r="M48" s="548"/>
      <c r="N48" s="548"/>
    </row>
    <row r="49" spans="1:14" s="540" customFormat="1" ht="14">
      <c r="A49" s="547">
        <v>1</v>
      </c>
      <c r="B49" s="554" t="s">
        <v>8</v>
      </c>
      <c r="C49" s="546">
        <v>15</v>
      </c>
      <c r="D49" s="546">
        <v>0.72</v>
      </c>
      <c r="E49" s="544"/>
      <c r="F49" s="546"/>
      <c r="G49" s="546"/>
      <c r="H49" s="543" t="s">
        <v>126</v>
      </c>
      <c r="I49" s="138" t="s">
        <v>1173</v>
      </c>
      <c r="J49" s="541"/>
      <c r="K49" s="541"/>
      <c r="L49" s="541"/>
      <c r="M49" s="541"/>
      <c r="N49" s="541"/>
    </row>
    <row r="50" spans="1:14" s="540" customFormat="1" ht="14">
      <c r="A50" s="1634">
        <v>2</v>
      </c>
      <c r="B50" s="1627" t="s">
        <v>666</v>
      </c>
      <c r="C50" s="546">
        <v>16.38</v>
      </c>
      <c r="D50" s="546">
        <v>0.88</v>
      </c>
      <c r="E50" s="544"/>
      <c r="F50" s="546"/>
      <c r="G50" s="546"/>
      <c r="H50" s="543"/>
      <c r="I50" s="542"/>
      <c r="J50" s="541"/>
      <c r="K50" s="541"/>
      <c r="L50" s="541"/>
      <c r="M50" s="541"/>
      <c r="N50" s="541"/>
    </row>
    <row r="51" spans="1:14" s="540" customFormat="1" ht="14">
      <c r="A51" s="1634"/>
      <c r="B51" s="1628"/>
      <c r="C51" s="546">
        <v>14.75</v>
      </c>
      <c r="D51" s="546">
        <v>1.0900000000000001</v>
      </c>
      <c r="E51" s="544"/>
      <c r="F51" s="546"/>
      <c r="G51" s="546"/>
      <c r="H51" s="543"/>
      <c r="I51" s="542"/>
      <c r="J51" s="541"/>
      <c r="K51" s="541"/>
      <c r="L51" s="541"/>
      <c r="M51" s="541"/>
      <c r="N51" s="541"/>
    </row>
    <row r="52" spans="1:14" s="540" customFormat="1" ht="14">
      <c r="A52" s="1634"/>
      <c r="B52" s="1629"/>
      <c r="C52" s="546">
        <v>13.11</v>
      </c>
      <c r="D52" s="546">
        <v>1.17</v>
      </c>
      <c r="E52" s="544"/>
      <c r="F52" s="546"/>
      <c r="G52" s="546"/>
      <c r="H52" s="543"/>
      <c r="I52" s="542"/>
      <c r="J52" s="541"/>
      <c r="K52" s="541"/>
      <c r="L52" s="541"/>
      <c r="M52" s="541"/>
      <c r="N52" s="541"/>
    </row>
    <row r="53" spans="1:14" s="540" customFormat="1" ht="14">
      <c r="A53" s="547">
        <v>3</v>
      </c>
      <c r="B53" s="554" t="s">
        <v>351</v>
      </c>
      <c r="C53" s="546">
        <v>14.01</v>
      </c>
      <c r="D53" s="546">
        <v>0.72</v>
      </c>
      <c r="E53" s="544"/>
      <c r="F53" s="546"/>
      <c r="G53" s="546"/>
      <c r="H53" s="543"/>
      <c r="I53" s="542"/>
      <c r="J53" s="541"/>
      <c r="K53" s="541"/>
      <c r="L53" s="541"/>
      <c r="M53" s="541"/>
      <c r="N53" s="541"/>
    </row>
    <row r="54" spans="1:14" s="540" customFormat="1" ht="14">
      <c r="A54" s="547">
        <v>4</v>
      </c>
      <c r="B54" s="554" t="s">
        <v>974</v>
      </c>
      <c r="C54" s="546">
        <v>16.010000000000002</v>
      </c>
      <c r="D54" s="546">
        <v>0.72</v>
      </c>
      <c r="E54" s="544"/>
      <c r="F54" s="546"/>
      <c r="G54" s="546"/>
      <c r="H54" s="543"/>
      <c r="I54" s="542"/>
      <c r="J54" s="541"/>
      <c r="K54" s="541"/>
      <c r="L54" s="541"/>
      <c r="M54" s="541"/>
      <c r="N54" s="541"/>
    </row>
    <row r="55" spans="1:14" s="540" customFormat="1" ht="14">
      <c r="A55" s="547">
        <v>5</v>
      </c>
      <c r="B55" s="554" t="s">
        <v>629</v>
      </c>
      <c r="C55" s="546">
        <v>18.5</v>
      </c>
      <c r="D55" s="546">
        <v>0.72</v>
      </c>
      <c r="E55" s="544"/>
      <c r="F55" s="546">
        <v>410.95890000000003</v>
      </c>
      <c r="G55" s="546">
        <v>0.71999999280000004</v>
      </c>
      <c r="H55" s="543"/>
      <c r="I55" s="542"/>
      <c r="J55" s="541"/>
      <c r="K55" s="541"/>
      <c r="L55" s="541"/>
      <c r="M55" s="541"/>
      <c r="N55" s="541"/>
    </row>
    <row r="56" spans="1:14" s="540" customFormat="1" ht="14">
      <c r="A56" s="547">
        <v>6</v>
      </c>
      <c r="B56" s="554" t="s">
        <v>310</v>
      </c>
      <c r="C56" s="546">
        <v>13.78</v>
      </c>
      <c r="D56" s="546">
        <v>0.72</v>
      </c>
      <c r="E56" s="544"/>
      <c r="F56" s="546"/>
      <c r="G56" s="546"/>
      <c r="H56" s="543"/>
      <c r="I56" s="542"/>
      <c r="J56" s="541"/>
      <c r="K56" s="541"/>
      <c r="L56" s="541"/>
      <c r="M56" s="541"/>
      <c r="N56" s="541"/>
    </row>
    <row r="57" spans="1:14" s="540" customFormat="1" ht="14">
      <c r="A57" s="547">
        <v>7</v>
      </c>
      <c r="B57" s="554" t="s">
        <v>131</v>
      </c>
      <c r="C57" s="546">
        <v>17.52</v>
      </c>
      <c r="D57" s="546">
        <v>3.6</v>
      </c>
      <c r="E57" s="544"/>
      <c r="F57" s="546">
        <v>1643.8356000000001</v>
      </c>
      <c r="G57" s="546">
        <v>2.8799999712000002</v>
      </c>
      <c r="H57" s="543"/>
      <c r="I57" s="542"/>
      <c r="J57" s="541"/>
      <c r="K57" s="541"/>
      <c r="L57" s="541"/>
      <c r="M57" s="541"/>
      <c r="N57" s="541"/>
    </row>
    <row r="58" spans="1:14" s="540" customFormat="1" ht="14">
      <c r="A58" s="547">
        <v>8</v>
      </c>
      <c r="B58" s="554" t="s">
        <v>281</v>
      </c>
      <c r="C58" s="546">
        <v>13.55</v>
      </c>
      <c r="D58" s="546">
        <v>0.72</v>
      </c>
      <c r="E58" s="544"/>
      <c r="F58" s="546"/>
      <c r="G58" s="546"/>
      <c r="H58" s="543"/>
      <c r="I58" s="542"/>
      <c r="J58" s="541"/>
      <c r="K58" s="541"/>
      <c r="L58" s="541"/>
      <c r="M58" s="541"/>
      <c r="N58" s="541"/>
    </row>
    <row r="59" spans="1:14" s="540" customFormat="1" ht="14">
      <c r="A59" s="1634">
        <v>9</v>
      </c>
      <c r="B59" s="1627" t="s">
        <v>300</v>
      </c>
      <c r="C59" s="546">
        <v>15.61</v>
      </c>
      <c r="D59" s="546">
        <v>0.75</v>
      </c>
      <c r="E59" s="544"/>
      <c r="F59" s="546"/>
      <c r="G59" s="546"/>
      <c r="H59" s="543"/>
      <c r="I59" s="542"/>
      <c r="J59" s="541"/>
      <c r="K59" s="541"/>
      <c r="L59" s="541"/>
      <c r="M59" s="541"/>
      <c r="N59" s="541"/>
    </row>
    <row r="60" spans="1:14" s="540" customFormat="1" ht="14">
      <c r="A60" s="1634"/>
      <c r="B60" s="1628"/>
      <c r="C60" s="546">
        <v>14.65</v>
      </c>
      <c r="D60" s="546">
        <v>1.3</v>
      </c>
      <c r="E60" s="544"/>
      <c r="F60" s="546"/>
      <c r="G60" s="546"/>
      <c r="H60" s="543"/>
      <c r="I60" s="542"/>
      <c r="J60" s="541"/>
      <c r="K60" s="541"/>
      <c r="L60" s="541"/>
      <c r="M60" s="541"/>
      <c r="N60" s="541"/>
    </row>
    <row r="61" spans="1:14" s="540" customFormat="1" ht="14">
      <c r="A61" s="1634"/>
      <c r="B61" s="1629"/>
      <c r="C61" s="546">
        <v>13.66</v>
      </c>
      <c r="D61" s="546">
        <v>2.0499999999999998</v>
      </c>
      <c r="E61" s="544"/>
      <c r="F61" s="546"/>
      <c r="G61" s="546"/>
      <c r="H61" s="543"/>
      <c r="I61" s="542"/>
      <c r="J61" s="541"/>
      <c r="K61" s="541"/>
      <c r="L61" s="541"/>
      <c r="M61" s="541"/>
      <c r="N61" s="541"/>
    </row>
    <row r="62" spans="1:14" s="540" customFormat="1" ht="14">
      <c r="A62" s="547">
        <v>10</v>
      </c>
      <c r="B62" s="554" t="s">
        <v>955</v>
      </c>
      <c r="C62" s="546">
        <v>13.81</v>
      </c>
      <c r="D62" s="546">
        <v>0.72</v>
      </c>
      <c r="E62" s="544"/>
      <c r="F62" s="546"/>
      <c r="G62" s="546"/>
      <c r="H62" s="543"/>
      <c r="I62" s="542"/>
      <c r="J62" s="541"/>
      <c r="K62" s="541"/>
      <c r="L62" s="541"/>
      <c r="M62" s="541"/>
      <c r="N62" s="541"/>
    </row>
    <row r="63" spans="1:14" s="540" customFormat="1" ht="14">
      <c r="A63" s="1634">
        <v>11</v>
      </c>
      <c r="B63" s="1627" t="s">
        <v>115</v>
      </c>
      <c r="C63" s="546">
        <v>16.350000000000001</v>
      </c>
      <c r="D63" s="546">
        <v>0.91</v>
      </c>
      <c r="E63" s="544"/>
      <c r="F63" s="546"/>
      <c r="G63" s="546"/>
      <c r="H63" s="543"/>
      <c r="I63" s="542"/>
      <c r="J63" s="541"/>
      <c r="K63" s="541"/>
      <c r="L63" s="541"/>
      <c r="M63" s="541"/>
      <c r="N63" s="541"/>
    </row>
    <row r="64" spans="1:14" s="540" customFormat="1" ht="14">
      <c r="A64" s="1634"/>
      <c r="B64" s="1628"/>
      <c r="C64" s="546">
        <v>15</v>
      </c>
      <c r="D64" s="546">
        <v>1.51</v>
      </c>
      <c r="E64" s="544"/>
      <c r="F64" s="546"/>
      <c r="G64" s="546"/>
      <c r="H64" s="543"/>
      <c r="I64" s="542"/>
      <c r="J64" s="541"/>
      <c r="K64" s="541"/>
      <c r="L64" s="541"/>
      <c r="M64" s="541"/>
      <c r="N64" s="541"/>
    </row>
    <row r="65" spans="1:19" s="540" customFormat="1" ht="14">
      <c r="A65" s="1634"/>
      <c r="B65" s="1629"/>
      <c r="C65" s="546">
        <v>13.5</v>
      </c>
      <c r="D65" s="546">
        <v>2.09</v>
      </c>
      <c r="E65" s="544"/>
      <c r="F65" s="546"/>
      <c r="G65" s="546"/>
      <c r="H65" s="543"/>
      <c r="I65" s="542"/>
      <c r="J65" s="541"/>
      <c r="K65" s="541"/>
      <c r="L65" s="541"/>
      <c r="M65" s="541"/>
      <c r="N65" s="541"/>
    </row>
    <row r="66" spans="1:19" s="540" customFormat="1" ht="14">
      <c r="A66" s="1634">
        <v>12</v>
      </c>
      <c r="B66" s="1627" t="s">
        <v>127</v>
      </c>
      <c r="C66" s="546">
        <v>14.65</v>
      </c>
      <c r="D66" s="546">
        <v>1.2</v>
      </c>
      <c r="E66" s="544"/>
      <c r="F66" s="546"/>
      <c r="G66" s="546"/>
      <c r="H66" s="543"/>
      <c r="I66" s="542"/>
      <c r="J66" s="541"/>
      <c r="K66" s="541"/>
      <c r="L66" s="541"/>
      <c r="M66" s="541"/>
      <c r="N66" s="541"/>
    </row>
    <row r="67" spans="1:19" s="540" customFormat="1" ht="14">
      <c r="A67" s="1634"/>
      <c r="B67" s="1629"/>
      <c r="C67" s="546">
        <v>12.85</v>
      </c>
      <c r="D67" s="546">
        <v>2.2000000000000002</v>
      </c>
      <c r="E67" s="544"/>
      <c r="F67" s="546"/>
      <c r="G67" s="546"/>
      <c r="H67" s="543"/>
      <c r="I67" s="542"/>
      <c r="J67" s="541"/>
      <c r="K67" s="541"/>
      <c r="L67" s="541"/>
      <c r="M67" s="541"/>
      <c r="N67" s="541"/>
    </row>
    <row r="68" spans="1:19" s="540" customFormat="1" ht="14">
      <c r="A68" s="547">
        <v>13</v>
      </c>
      <c r="B68" s="554" t="s">
        <v>146</v>
      </c>
      <c r="C68" s="546">
        <v>16.38</v>
      </c>
      <c r="D68" s="546">
        <v>0.75</v>
      </c>
      <c r="E68" s="544"/>
      <c r="F68" s="546"/>
      <c r="G68" s="546"/>
      <c r="H68" s="543"/>
      <c r="I68" s="542"/>
      <c r="J68" s="541"/>
      <c r="K68" s="541"/>
      <c r="L68" s="541"/>
      <c r="M68" s="541"/>
      <c r="N68" s="541"/>
    </row>
    <row r="69" spans="1:19" s="540" customFormat="1" ht="14">
      <c r="A69" s="1634">
        <v>14</v>
      </c>
      <c r="B69" s="1627" t="s">
        <v>147</v>
      </c>
      <c r="C69" s="546">
        <v>12.89</v>
      </c>
      <c r="D69" s="546">
        <v>0.72</v>
      </c>
      <c r="E69" s="544"/>
      <c r="F69" s="546"/>
      <c r="G69" s="546"/>
      <c r="H69" s="543"/>
      <c r="I69" s="542"/>
      <c r="J69" s="541"/>
      <c r="K69" s="541"/>
      <c r="L69" s="541"/>
      <c r="M69" s="541"/>
      <c r="N69" s="541"/>
    </row>
    <row r="70" spans="1:19" s="540" customFormat="1" ht="14">
      <c r="A70" s="1634"/>
      <c r="B70" s="1629"/>
      <c r="C70" s="546">
        <v>12.88</v>
      </c>
      <c r="D70" s="546">
        <v>1.27</v>
      </c>
      <c r="E70" s="544"/>
      <c r="F70" s="546"/>
      <c r="G70" s="546"/>
      <c r="H70" s="543"/>
      <c r="I70" s="542"/>
      <c r="J70" s="541"/>
      <c r="K70" s="541"/>
      <c r="L70" s="541"/>
      <c r="M70" s="541"/>
      <c r="N70" s="541"/>
    </row>
    <row r="71" spans="1:19" s="540" customFormat="1" ht="14">
      <c r="A71" s="547">
        <v>15</v>
      </c>
      <c r="B71" s="554" t="s">
        <v>953</v>
      </c>
      <c r="C71" s="546">
        <v>16.28</v>
      </c>
      <c r="D71" s="546">
        <v>0.73</v>
      </c>
      <c r="E71" s="544"/>
      <c r="F71" s="546"/>
      <c r="G71" s="546"/>
      <c r="H71" s="543"/>
      <c r="I71" s="542"/>
      <c r="J71" s="541"/>
      <c r="K71" s="541"/>
      <c r="L71" s="541"/>
      <c r="M71" s="541"/>
      <c r="N71" s="541"/>
    </row>
    <row r="72" spans="1:19" s="529" customFormat="1" ht="14">
      <c r="A72" s="530"/>
      <c r="B72" s="530"/>
      <c r="C72" s="530"/>
      <c r="D72" s="580"/>
      <c r="E72" s="533"/>
      <c r="F72" s="630"/>
    </row>
    <row r="73" spans="1:19" s="529" customFormat="1" ht="14">
      <c r="A73" s="531"/>
      <c r="B73" s="530"/>
      <c r="C73" s="530"/>
      <c r="E73" s="533"/>
      <c r="F73" s="630"/>
    </row>
    <row r="74" spans="1:19" s="529" customFormat="1" ht="14">
      <c r="A74" s="530"/>
      <c r="B74" s="530"/>
      <c r="C74" s="530"/>
      <c r="E74" s="580"/>
      <c r="F74" s="630"/>
    </row>
    <row r="75" spans="1:19" s="530" customFormat="1" ht="14">
      <c r="A75" s="562" t="s">
        <v>106</v>
      </c>
      <c r="B75" s="565" t="s">
        <v>107</v>
      </c>
      <c r="C75" s="564" t="s">
        <v>4</v>
      </c>
      <c r="D75" s="563" t="s">
        <v>108</v>
      </c>
      <c r="E75" s="563" t="s">
        <v>109</v>
      </c>
      <c r="F75" s="562" t="s">
        <v>411</v>
      </c>
      <c r="G75" s="561" t="s">
        <v>950</v>
      </c>
      <c r="H75" s="561" t="s">
        <v>110</v>
      </c>
      <c r="I75" s="561" t="s">
        <v>276</v>
      </c>
      <c r="J75" s="561" t="s">
        <v>117</v>
      </c>
      <c r="K75" s="561" t="s">
        <v>275</v>
      </c>
      <c r="L75" s="562" t="s">
        <v>111</v>
      </c>
      <c r="M75" s="561" t="s">
        <v>949</v>
      </c>
      <c r="N75" s="561" t="s">
        <v>948</v>
      </c>
      <c r="O75" s="561" t="s">
        <v>129</v>
      </c>
      <c r="P75" s="561" t="s">
        <v>220</v>
      </c>
      <c r="Q75" s="537" t="s">
        <v>947</v>
      </c>
      <c r="R75" s="537" t="s">
        <v>946</v>
      </c>
      <c r="S75" s="560" t="s">
        <v>945</v>
      </c>
    </row>
    <row r="76" spans="1:19" s="547" customFormat="1" ht="14">
      <c r="A76" s="554">
        <v>246</v>
      </c>
      <c r="B76" s="559" t="s">
        <v>871</v>
      </c>
      <c r="C76" s="558" t="s">
        <v>872</v>
      </c>
      <c r="D76" s="555">
        <v>9.1999999999999993</v>
      </c>
      <c r="E76" s="555">
        <v>9.1999998902000009</v>
      </c>
      <c r="F76" s="557" t="s">
        <v>1091</v>
      </c>
      <c r="G76" s="555">
        <v>13.3</v>
      </c>
      <c r="H76" s="555">
        <v>11.13</v>
      </c>
      <c r="I76" s="555">
        <f>H76/G76</f>
        <v>0.83684210526315794</v>
      </c>
      <c r="J76" s="555">
        <v>12.86</v>
      </c>
      <c r="K76" s="555">
        <f>J76/G76</f>
        <v>0.96691729323308262</v>
      </c>
      <c r="L76" s="554">
        <v>5</v>
      </c>
      <c r="M76" s="566">
        <v>43035</v>
      </c>
      <c r="N76" s="555">
        <v>4.5999999999999996</v>
      </c>
      <c r="O76" s="555">
        <f>(N76*(1+Q76/10)+R76/10)/J76</f>
        <v>0.71928460342146194</v>
      </c>
      <c r="P76" s="553" t="s">
        <v>240</v>
      </c>
      <c r="Q76" s="554" t="str">
        <f>IFERROR(MID(P76,FIND("转",P76)+1,FIND("股",P76)-(FIND("转",P76)+1)),0)</f>
        <v>10</v>
      </c>
      <c r="R76" s="554" t="str">
        <f>IFERROR(MID(P76,FIND("派",P76)+1,FIND("元",P76)-FIND("派",P76)-1),0)</f>
        <v>0.5</v>
      </c>
      <c r="S76" s="553" t="s">
        <v>873</v>
      </c>
    </row>
    <row r="77" spans="1:19" s="540" customFormat="1" ht="14">
      <c r="A77" s="547"/>
      <c r="B77" s="551" t="s">
        <v>112</v>
      </c>
      <c r="C77" s="551" t="s">
        <v>113</v>
      </c>
      <c r="D77" s="551" t="s">
        <v>943</v>
      </c>
      <c r="E77" s="552" t="s">
        <v>411</v>
      </c>
      <c r="F77" s="552" t="s">
        <v>942</v>
      </c>
      <c r="G77" s="551" t="s">
        <v>231</v>
      </c>
      <c r="H77" s="551" t="s">
        <v>941</v>
      </c>
      <c r="I77" s="549">
        <f>SUM(G78:G112)</f>
        <v>9.1999998880000007</v>
      </c>
      <c r="J77" s="548"/>
      <c r="K77" s="548"/>
      <c r="L77" s="548"/>
      <c r="M77" s="548"/>
      <c r="N77" s="548"/>
    </row>
    <row r="78" spans="1:19" s="540" customFormat="1" ht="14">
      <c r="A78" s="1634">
        <v>1</v>
      </c>
      <c r="B78" s="1627" t="s">
        <v>122</v>
      </c>
      <c r="C78" s="546">
        <v>12</v>
      </c>
      <c r="D78" s="546">
        <v>1.84000008</v>
      </c>
      <c r="E78" s="544"/>
      <c r="F78" s="546"/>
      <c r="G78" s="546"/>
      <c r="H78" s="543" t="s">
        <v>126</v>
      </c>
      <c r="I78" s="138" t="s">
        <v>1172</v>
      </c>
      <c r="J78" s="541"/>
      <c r="K78" s="541"/>
      <c r="L78" s="541"/>
      <c r="M78" s="541"/>
      <c r="N78" s="541"/>
    </row>
    <row r="79" spans="1:19" s="540" customFormat="1" ht="14">
      <c r="A79" s="1634"/>
      <c r="B79" s="1628"/>
      <c r="C79" s="546">
        <v>11.7</v>
      </c>
      <c r="D79" s="546">
        <v>2.0000001059999999</v>
      </c>
      <c r="E79" s="544"/>
      <c r="F79" s="546"/>
      <c r="G79" s="546"/>
      <c r="H79" s="543"/>
      <c r="I79" s="542"/>
      <c r="J79" s="541"/>
      <c r="K79" s="541"/>
      <c r="L79" s="541"/>
      <c r="M79" s="541"/>
      <c r="N79" s="541"/>
    </row>
    <row r="80" spans="1:19" s="540" customFormat="1" ht="14">
      <c r="A80" s="1634"/>
      <c r="B80" s="1629"/>
      <c r="C80" s="546">
        <v>11.14</v>
      </c>
      <c r="D80" s="546">
        <v>2.1000000632</v>
      </c>
      <c r="E80" s="544"/>
      <c r="F80" s="546"/>
      <c r="G80" s="546"/>
      <c r="H80" s="543"/>
      <c r="I80" s="542"/>
      <c r="J80" s="541"/>
      <c r="K80" s="541"/>
      <c r="L80" s="541"/>
      <c r="M80" s="541"/>
      <c r="N80" s="541"/>
    </row>
    <row r="81" spans="1:14" s="540" customFormat="1" ht="14">
      <c r="A81" s="547">
        <v>2</v>
      </c>
      <c r="B81" s="554" t="s">
        <v>1171</v>
      </c>
      <c r="C81" s="546">
        <v>11.75</v>
      </c>
      <c r="D81" s="546">
        <v>1.99999993</v>
      </c>
      <c r="E81" s="544"/>
      <c r="F81" s="546"/>
      <c r="G81" s="546"/>
      <c r="H81" s="543"/>
      <c r="I81" s="542"/>
      <c r="J81" s="541"/>
      <c r="K81" s="541"/>
      <c r="L81" s="541"/>
      <c r="M81" s="541"/>
      <c r="N81" s="541"/>
    </row>
    <row r="82" spans="1:14" s="540" customFormat="1" ht="14">
      <c r="A82" s="547">
        <v>3</v>
      </c>
      <c r="B82" s="554" t="s">
        <v>124</v>
      </c>
      <c r="C82" s="546">
        <v>11.58</v>
      </c>
      <c r="D82" s="546">
        <v>2.145</v>
      </c>
      <c r="E82" s="544"/>
      <c r="F82" s="546"/>
      <c r="G82" s="546"/>
      <c r="H82" s="543"/>
      <c r="I82" s="542"/>
      <c r="J82" s="541"/>
      <c r="K82" s="541"/>
      <c r="L82" s="541"/>
      <c r="M82" s="541"/>
      <c r="N82" s="541"/>
    </row>
    <row r="83" spans="1:14" s="540" customFormat="1" ht="14">
      <c r="A83" s="1634">
        <v>4</v>
      </c>
      <c r="B83" s="1627" t="s">
        <v>1170</v>
      </c>
      <c r="C83" s="546">
        <v>12.67</v>
      </c>
      <c r="D83" s="546">
        <v>2.0399998680000002</v>
      </c>
      <c r="E83" s="544"/>
      <c r="F83" s="546"/>
      <c r="G83" s="546"/>
      <c r="H83" s="543"/>
      <c r="I83" s="542"/>
      <c r="J83" s="541"/>
      <c r="K83" s="541"/>
      <c r="L83" s="541"/>
      <c r="M83" s="541"/>
      <c r="N83" s="541"/>
    </row>
    <row r="84" spans="1:14" s="540" customFormat="1" ht="14">
      <c r="A84" s="1634"/>
      <c r="B84" s="1628"/>
      <c r="C84" s="546">
        <v>12.64</v>
      </c>
      <c r="D84" s="546">
        <v>3.679999488</v>
      </c>
      <c r="E84" s="544"/>
      <c r="F84" s="546"/>
      <c r="G84" s="546"/>
      <c r="H84" s="543"/>
      <c r="I84" s="542"/>
      <c r="J84" s="541"/>
      <c r="K84" s="541"/>
      <c r="L84" s="541"/>
      <c r="M84" s="541"/>
      <c r="N84" s="541"/>
    </row>
    <row r="85" spans="1:14" s="540" customFormat="1" ht="14">
      <c r="A85" s="1634"/>
      <c r="B85" s="1629"/>
      <c r="C85" s="546">
        <v>12.01</v>
      </c>
      <c r="D85" s="546">
        <v>3.6799991125</v>
      </c>
      <c r="E85" s="544"/>
      <c r="F85" s="546"/>
      <c r="G85" s="546"/>
      <c r="H85" s="543"/>
      <c r="I85" s="542"/>
      <c r="J85" s="541"/>
      <c r="K85" s="541"/>
      <c r="L85" s="541"/>
      <c r="M85" s="541"/>
      <c r="N85" s="541"/>
    </row>
    <row r="86" spans="1:14" s="540" customFormat="1" ht="14">
      <c r="A86" s="547">
        <v>5</v>
      </c>
      <c r="B86" s="554" t="s">
        <v>300</v>
      </c>
      <c r="C86" s="546">
        <v>12.03</v>
      </c>
      <c r="D86" s="546">
        <v>1.9159999999999999</v>
      </c>
      <c r="E86" s="544"/>
      <c r="F86" s="546"/>
      <c r="G86" s="546"/>
      <c r="H86" s="543"/>
      <c r="I86" s="542"/>
      <c r="J86" s="541"/>
      <c r="K86" s="541"/>
      <c r="L86" s="541"/>
      <c r="M86" s="541"/>
      <c r="N86" s="541"/>
    </row>
    <row r="87" spans="1:14" s="540" customFormat="1" ht="14">
      <c r="A87" s="1634">
        <v>6</v>
      </c>
      <c r="B87" s="1627" t="s">
        <v>131</v>
      </c>
      <c r="C87" s="546">
        <v>12.65</v>
      </c>
      <c r="D87" s="546">
        <v>2.2599999999999998</v>
      </c>
      <c r="E87" s="544"/>
      <c r="F87" s="546"/>
      <c r="G87" s="546"/>
      <c r="H87" s="543"/>
      <c r="I87" s="542"/>
      <c r="J87" s="541"/>
      <c r="K87" s="541"/>
      <c r="L87" s="541"/>
      <c r="M87" s="541"/>
      <c r="N87" s="541"/>
    </row>
    <row r="88" spans="1:14" s="540" customFormat="1" ht="14">
      <c r="A88" s="1634"/>
      <c r="B88" s="1629"/>
      <c r="C88" s="546">
        <v>11.25</v>
      </c>
      <c r="D88" s="546">
        <v>3.67</v>
      </c>
      <c r="E88" s="544"/>
      <c r="F88" s="546"/>
      <c r="G88" s="546"/>
      <c r="H88" s="543"/>
      <c r="I88" s="542"/>
      <c r="J88" s="541"/>
      <c r="K88" s="541"/>
      <c r="L88" s="541"/>
      <c r="M88" s="541"/>
      <c r="N88" s="541"/>
    </row>
    <row r="89" spans="1:14" s="540" customFormat="1" ht="14">
      <c r="A89" s="547">
        <v>7</v>
      </c>
      <c r="B89" s="554" t="s">
        <v>233</v>
      </c>
      <c r="C89" s="546">
        <v>12</v>
      </c>
      <c r="D89" s="546">
        <v>1.86</v>
      </c>
      <c r="E89" s="544"/>
      <c r="F89" s="546"/>
      <c r="G89" s="546"/>
      <c r="H89" s="543"/>
      <c r="I89" s="542"/>
      <c r="J89" s="541"/>
      <c r="K89" s="541"/>
      <c r="L89" s="541"/>
      <c r="M89" s="541"/>
      <c r="N89" s="541"/>
    </row>
    <row r="90" spans="1:14" s="540" customFormat="1" ht="14">
      <c r="A90" s="547">
        <v>8</v>
      </c>
      <c r="B90" s="554" t="s">
        <v>127</v>
      </c>
      <c r="C90" s="546">
        <v>11.22</v>
      </c>
      <c r="D90" s="546">
        <v>1.89618</v>
      </c>
      <c r="E90" s="544"/>
      <c r="F90" s="546"/>
      <c r="G90" s="546"/>
      <c r="H90" s="543"/>
      <c r="I90" s="542"/>
      <c r="J90" s="541"/>
      <c r="K90" s="541"/>
      <c r="L90" s="541"/>
      <c r="M90" s="541"/>
      <c r="N90" s="541"/>
    </row>
    <row r="91" spans="1:14" s="540" customFormat="1" ht="14">
      <c r="A91" s="547">
        <v>9</v>
      </c>
      <c r="B91" s="554" t="s">
        <v>1148</v>
      </c>
      <c r="C91" s="546">
        <v>13.3</v>
      </c>
      <c r="D91" s="546">
        <v>1.84</v>
      </c>
      <c r="E91" s="544"/>
      <c r="F91" s="546">
        <v>1430.7931000000001</v>
      </c>
      <c r="G91" s="546">
        <v>1.839999926</v>
      </c>
      <c r="H91" s="543"/>
      <c r="I91" s="542"/>
      <c r="J91" s="541"/>
      <c r="K91" s="541"/>
      <c r="L91" s="541"/>
      <c r="M91" s="541"/>
      <c r="N91" s="541"/>
    </row>
    <row r="92" spans="1:14" s="540" customFormat="1" ht="14">
      <c r="A92" s="547">
        <v>10</v>
      </c>
      <c r="B92" s="554" t="s">
        <v>295</v>
      </c>
      <c r="C92" s="546">
        <v>12</v>
      </c>
      <c r="D92" s="546">
        <v>1.8468</v>
      </c>
      <c r="E92" s="544"/>
      <c r="F92" s="546"/>
      <c r="G92" s="546"/>
      <c r="H92" s="543"/>
      <c r="I92" s="542"/>
      <c r="J92" s="541"/>
      <c r="K92" s="541"/>
      <c r="L92" s="541"/>
      <c r="M92" s="541"/>
      <c r="N92" s="541"/>
    </row>
    <row r="93" spans="1:14" s="540" customFormat="1" ht="14">
      <c r="A93" s="547">
        <v>11</v>
      </c>
      <c r="B93" s="554" t="s">
        <v>228</v>
      </c>
      <c r="C93" s="546">
        <v>12.05</v>
      </c>
      <c r="D93" s="546">
        <v>3.6546204000000002</v>
      </c>
      <c r="E93" s="544"/>
      <c r="F93" s="546"/>
      <c r="G93" s="546"/>
      <c r="H93" s="543"/>
      <c r="I93" s="542"/>
      <c r="J93" s="541"/>
      <c r="K93" s="541"/>
      <c r="L93" s="541"/>
      <c r="M93" s="541"/>
      <c r="N93" s="541"/>
    </row>
    <row r="94" spans="1:14" s="540" customFormat="1" ht="14">
      <c r="A94" s="547">
        <v>12</v>
      </c>
      <c r="B94" s="554" t="s">
        <v>328</v>
      </c>
      <c r="C94" s="546">
        <v>12.86</v>
      </c>
      <c r="D94" s="546">
        <v>1.88</v>
      </c>
      <c r="E94" s="544"/>
      <c r="F94" s="546">
        <v>1290.8244</v>
      </c>
      <c r="G94" s="546">
        <v>1.6600001780000002</v>
      </c>
      <c r="H94" s="543"/>
      <c r="I94" s="542"/>
      <c r="J94" s="541"/>
      <c r="K94" s="541"/>
      <c r="L94" s="541"/>
      <c r="M94" s="541"/>
      <c r="N94" s="541"/>
    </row>
    <row r="95" spans="1:14" s="540" customFormat="1" ht="14">
      <c r="A95" s="547">
        <v>13</v>
      </c>
      <c r="B95" s="554" t="s">
        <v>1165</v>
      </c>
      <c r="C95" s="546">
        <v>12.66</v>
      </c>
      <c r="D95" s="546">
        <v>1.8420300000000001</v>
      </c>
      <c r="E95" s="544"/>
      <c r="F95" s="546"/>
      <c r="G95" s="546"/>
      <c r="H95" s="543"/>
      <c r="I95" s="542"/>
      <c r="J95" s="541"/>
      <c r="K95" s="541"/>
      <c r="L95" s="541"/>
      <c r="M95" s="541"/>
      <c r="N95" s="541"/>
    </row>
    <row r="96" spans="1:14" s="540" customFormat="1" ht="14">
      <c r="A96" s="1634">
        <v>14</v>
      </c>
      <c r="B96" s="1627" t="s">
        <v>115</v>
      </c>
      <c r="C96" s="546">
        <v>12.63</v>
      </c>
      <c r="D96" s="546">
        <v>2.9299983360000001</v>
      </c>
      <c r="E96" s="544"/>
      <c r="F96" s="546"/>
      <c r="G96" s="546"/>
      <c r="H96" s="543"/>
      <c r="I96" s="542"/>
      <c r="J96" s="541"/>
      <c r="K96" s="541"/>
      <c r="L96" s="541"/>
      <c r="M96" s="541"/>
      <c r="N96" s="541"/>
    </row>
    <row r="97" spans="1:14" s="540" customFormat="1" ht="14">
      <c r="A97" s="1634"/>
      <c r="B97" s="1629"/>
      <c r="C97" s="546">
        <v>12.24</v>
      </c>
      <c r="D97" s="546">
        <v>3.6799979831999998</v>
      </c>
      <c r="E97" s="544"/>
      <c r="F97" s="546"/>
      <c r="G97" s="546"/>
      <c r="H97" s="543"/>
      <c r="I97" s="542"/>
      <c r="J97" s="541"/>
      <c r="K97" s="541"/>
      <c r="L97" s="541"/>
      <c r="M97" s="541"/>
      <c r="N97" s="541"/>
    </row>
    <row r="98" spans="1:14" s="540" customFormat="1" ht="14">
      <c r="A98" s="547">
        <v>15</v>
      </c>
      <c r="B98" s="554" t="s">
        <v>121</v>
      </c>
      <c r="C98" s="546">
        <v>13.29</v>
      </c>
      <c r="D98" s="546">
        <v>1.8599999565000001</v>
      </c>
      <c r="E98" s="544"/>
      <c r="F98" s="546">
        <v>1446.3452</v>
      </c>
      <c r="G98" s="546">
        <v>1.8599999269999998</v>
      </c>
      <c r="H98" s="543"/>
      <c r="I98" s="542"/>
      <c r="J98" s="541"/>
      <c r="K98" s="541"/>
      <c r="L98" s="541"/>
      <c r="M98" s="541"/>
      <c r="N98" s="541"/>
    </row>
    <row r="99" spans="1:14" s="540" customFormat="1" ht="14">
      <c r="A99" s="1634">
        <v>16</v>
      </c>
      <c r="B99" s="1627" t="s">
        <v>1169</v>
      </c>
      <c r="C99" s="546">
        <v>12.41</v>
      </c>
      <c r="D99" s="546">
        <v>2.1800000000000002</v>
      </c>
      <c r="E99" s="544"/>
      <c r="F99" s="546"/>
      <c r="G99" s="546"/>
      <c r="H99" s="543"/>
      <c r="I99" s="542"/>
      <c r="J99" s="541"/>
      <c r="K99" s="541"/>
      <c r="L99" s="541"/>
      <c r="M99" s="541"/>
      <c r="N99" s="541"/>
    </row>
    <row r="100" spans="1:14" s="540" customFormat="1" ht="14">
      <c r="A100" s="1634"/>
      <c r="B100" s="1629"/>
      <c r="C100" s="546">
        <v>11.75</v>
      </c>
      <c r="D100" s="546">
        <v>2.48</v>
      </c>
      <c r="E100" s="544"/>
      <c r="F100" s="546"/>
      <c r="G100" s="546"/>
      <c r="H100" s="543"/>
      <c r="I100" s="542"/>
      <c r="J100" s="541"/>
      <c r="K100" s="541"/>
      <c r="L100" s="541"/>
      <c r="M100" s="541"/>
      <c r="N100" s="541"/>
    </row>
    <row r="101" spans="1:14" s="540" customFormat="1" ht="14">
      <c r="A101" s="1634">
        <v>17</v>
      </c>
      <c r="B101" s="1627" t="s">
        <v>148</v>
      </c>
      <c r="C101" s="546">
        <v>12.64</v>
      </c>
      <c r="D101" s="546">
        <v>1.966</v>
      </c>
      <c r="E101" s="544"/>
      <c r="F101" s="546"/>
      <c r="G101" s="546"/>
      <c r="H101" s="543"/>
      <c r="I101" s="542"/>
      <c r="J101" s="541"/>
      <c r="K101" s="541"/>
      <c r="L101" s="541"/>
      <c r="M101" s="541"/>
      <c r="N101" s="541"/>
    </row>
    <row r="102" spans="1:14" s="540" customFormat="1" ht="14">
      <c r="A102" s="1634"/>
      <c r="B102" s="1628"/>
      <c r="C102" s="546">
        <v>12.63</v>
      </c>
      <c r="D102" s="546">
        <v>2.2959999999999998</v>
      </c>
      <c r="E102" s="544"/>
      <c r="F102" s="546"/>
      <c r="G102" s="546"/>
      <c r="H102" s="543"/>
      <c r="I102" s="542"/>
      <c r="J102" s="541"/>
      <c r="K102" s="541"/>
      <c r="L102" s="541"/>
      <c r="M102" s="541"/>
      <c r="N102" s="541"/>
    </row>
    <row r="103" spans="1:14" s="540" customFormat="1" ht="14">
      <c r="A103" s="1634"/>
      <c r="B103" s="1629"/>
      <c r="C103" s="546">
        <v>12.23</v>
      </c>
      <c r="D103" s="546">
        <v>2.4300000000000002</v>
      </c>
      <c r="E103" s="544"/>
      <c r="F103" s="546"/>
      <c r="G103" s="546"/>
      <c r="H103" s="543"/>
      <c r="I103" s="542"/>
      <c r="J103" s="541"/>
      <c r="K103" s="541"/>
      <c r="L103" s="541"/>
      <c r="M103" s="541"/>
      <c r="N103" s="541"/>
    </row>
    <row r="104" spans="1:14" s="540" customFormat="1" ht="14">
      <c r="A104" s="547">
        <v>18</v>
      </c>
      <c r="B104" s="554" t="s">
        <v>119</v>
      </c>
      <c r="C104" s="546">
        <v>12</v>
      </c>
      <c r="D104" s="546">
        <v>1.8408</v>
      </c>
      <c r="E104" s="544"/>
      <c r="F104" s="546"/>
      <c r="G104" s="546"/>
      <c r="H104" s="543"/>
      <c r="I104" s="542"/>
      <c r="J104" s="541"/>
      <c r="K104" s="541"/>
      <c r="L104" s="541"/>
      <c r="M104" s="541"/>
      <c r="N104" s="541"/>
    </row>
    <row r="105" spans="1:14" s="540" customFormat="1" ht="14">
      <c r="A105" s="1634">
        <v>19</v>
      </c>
      <c r="B105" s="1627" t="s">
        <v>147</v>
      </c>
      <c r="C105" s="546">
        <v>11.61</v>
      </c>
      <c r="D105" s="546">
        <v>1.8400000527</v>
      </c>
      <c r="E105" s="544"/>
      <c r="F105" s="546"/>
      <c r="G105" s="546"/>
      <c r="H105" s="543"/>
      <c r="I105" s="542"/>
      <c r="J105" s="541"/>
      <c r="K105" s="541"/>
      <c r="L105" s="541"/>
      <c r="M105" s="541"/>
      <c r="N105" s="541"/>
    </row>
    <row r="106" spans="1:14" s="540" customFormat="1" ht="14">
      <c r="A106" s="1634"/>
      <c r="B106" s="1629"/>
      <c r="C106" s="546">
        <v>11.4</v>
      </c>
      <c r="D106" s="546">
        <v>2.1199999740000002</v>
      </c>
      <c r="E106" s="544"/>
      <c r="F106" s="546"/>
      <c r="G106" s="546"/>
      <c r="H106" s="543"/>
      <c r="I106" s="542"/>
      <c r="J106" s="541"/>
      <c r="K106" s="541"/>
      <c r="L106" s="541"/>
      <c r="M106" s="541"/>
      <c r="N106" s="541"/>
    </row>
    <row r="107" spans="1:14" s="540" customFormat="1" ht="14">
      <c r="A107" s="547">
        <v>20</v>
      </c>
      <c r="B107" s="554" t="s">
        <v>120</v>
      </c>
      <c r="C107" s="546">
        <v>12.03</v>
      </c>
      <c r="D107" s="546">
        <v>1.84</v>
      </c>
      <c r="E107" s="544"/>
      <c r="F107" s="546"/>
      <c r="G107" s="546"/>
      <c r="H107" s="543"/>
      <c r="I107" s="542"/>
      <c r="J107" s="541"/>
      <c r="K107" s="541"/>
      <c r="L107" s="541"/>
      <c r="M107" s="541"/>
      <c r="N107" s="541"/>
    </row>
    <row r="108" spans="1:14" s="540" customFormat="1" ht="14">
      <c r="A108" s="1634">
        <v>21</v>
      </c>
      <c r="B108" s="1627" t="s">
        <v>144</v>
      </c>
      <c r="C108" s="546">
        <v>13.48</v>
      </c>
      <c r="D108" s="546">
        <v>2</v>
      </c>
      <c r="E108" s="544"/>
      <c r="F108" s="546">
        <v>1555.2099000000001</v>
      </c>
      <c r="G108" s="546">
        <v>1.9999999309999998</v>
      </c>
      <c r="H108" s="543"/>
      <c r="I108" s="542"/>
      <c r="J108" s="541"/>
      <c r="K108" s="541"/>
      <c r="L108" s="541"/>
      <c r="M108" s="541"/>
      <c r="N108" s="541"/>
    </row>
    <row r="109" spans="1:14" s="540" customFormat="1" ht="14">
      <c r="A109" s="1634"/>
      <c r="B109" s="1628"/>
      <c r="C109" s="546">
        <v>12.58</v>
      </c>
      <c r="D109" s="546">
        <v>2.1</v>
      </c>
      <c r="E109" s="544"/>
      <c r="F109" s="546"/>
      <c r="G109" s="546"/>
      <c r="H109" s="543"/>
      <c r="I109" s="542"/>
      <c r="J109" s="541"/>
      <c r="K109" s="541"/>
      <c r="L109" s="541"/>
      <c r="M109" s="541"/>
      <c r="N109" s="541"/>
    </row>
    <row r="110" spans="1:14" s="540" customFormat="1" ht="14">
      <c r="A110" s="1634"/>
      <c r="B110" s="1629"/>
      <c r="C110" s="546">
        <v>11.99</v>
      </c>
      <c r="D110" s="546">
        <v>2.27</v>
      </c>
      <c r="E110" s="544"/>
      <c r="F110" s="546"/>
      <c r="G110" s="546"/>
      <c r="H110" s="543"/>
      <c r="I110" s="542"/>
      <c r="J110" s="541"/>
      <c r="K110" s="541"/>
      <c r="L110" s="541"/>
      <c r="M110" s="541"/>
      <c r="N110" s="541"/>
    </row>
    <row r="111" spans="1:14" s="540" customFormat="1" ht="14">
      <c r="A111" s="547">
        <v>22</v>
      </c>
      <c r="B111" s="554" t="s">
        <v>1072</v>
      </c>
      <c r="C111" s="546">
        <v>13</v>
      </c>
      <c r="D111" s="546">
        <v>1.84</v>
      </c>
      <c r="E111" s="544"/>
      <c r="F111" s="546">
        <v>1430.7931000000001</v>
      </c>
      <c r="G111" s="546">
        <v>1.839999926</v>
      </c>
      <c r="H111" s="543"/>
      <c r="I111" s="542"/>
      <c r="J111" s="541"/>
      <c r="K111" s="541"/>
      <c r="L111" s="541"/>
      <c r="M111" s="541"/>
      <c r="N111" s="541"/>
    </row>
    <row r="112" spans="1:14" s="540" customFormat="1" ht="14">
      <c r="A112" s="547">
        <v>23</v>
      </c>
      <c r="B112" s="554" t="s">
        <v>953</v>
      </c>
      <c r="C112" s="546">
        <v>11.28</v>
      </c>
      <c r="D112" s="546">
        <v>2.0304000000000002</v>
      </c>
      <c r="E112" s="544"/>
      <c r="F112" s="546"/>
      <c r="G112" s="546"/>
      <c r="H112" s="543"/>
      <c r="I112" s="542"/>
      <c r="J112" s="541"/>
      <c r="K112" s="541"/>
      <c r="L112" s="541"/>
      <c r="M112" s="541"/>
      <c r="N112" s="541"/>
    </row>
    <row r="113" spans="1:19" s="529" customFormat="1" ht="14">
      <c r="A113" s="531"/>
      <c r="B113" s="530"/>
      <c r="C113" s="530"/>
      <c r="E113" s="611"/>
    </row>
    <row r="114" spans="1:19" s="529" customFormat="1" ht="14">
      <c r="A114" s="530"/>
      <c r="B114" s="530"/>
      <c r="C114" s="530"/>
      <c r="E114" s="611"/>
    </row>
    <row r="115" spans="1:19" s="529" customFormat="1" ht="14">
      <c r="A115" s="530"/>
      <c r="B115" s="530"/>
      <c r="C115" s="530"/>
      <c r="E115" s="611"/>
    </row>
    <row r="116" spans="1:19" s="530" customFormat="1" ht="14">
      <c r="A116" s="562" t="s">
        <v>106</v>
      </c>
      <c r="B116" s="565" t="s">
        <v>107</v>
      </c>
      <c r="C116" s="564" t="s">
        <v>4</v>
      </c>
      <c r="D116" s="563" t="s">
        <v>108</v>
      </c>
      <c r="E116" s="563" t="s">
        <v>109</v>
      </c>
      <c r="F116" s="562" t="s">
        <v>411</v>
      </c>
      <c r="G116" s="561" t="s">
        <v>950</v>
      </c>
      <c r="H116" s="561" t="s">
        <v>110</v>
      </c>
      <c r="I116" s="561" t="s">
        <v>276</v>
      </c>
      <c r="J116" s="561" t="s">
        <v>117</v>
      </c>
      <c r="K116" s="561" t="s">
        <v>275</v>
      </c>
      <c r="L116" s="562" t="s">
        <v>111</v>
      </c>
      <c r="M116" s="561" t="s">
        <v>949</v>
      </c>
      <c r="N116" s="561" t="s">
        <v>948</v>
      </c>
      <c r="O116" s="561" t="s">
        <v>129</v>
      </c>
      <c r="P116" s="561" t="s">
        <v>220</v>
      </c>
      <c r="Q116" s="537" t="s">
        <v>947</v>
      </c>
      <c r="R116" s="537" t="s">
        <v>946</v>
      </c>
      <c r="S116" s="560" t="s">
        <v>945</v>
      </c>
    </row>
    <row r="117" spans="1:19" s="547" customFormat="1" ht="14">
      <c r="A117" s="554">
        <v>247</v>
      </c>
      <c r="B117" s="559" t="s">
        <v>874</v>
      </c>
      <c r="C117" s="558" t="s">
        <v>875</v>
      </c>
      <c r="D117" s="555">
        <v>10</v>
      </c>
      <c r="E117" s="555">
        <v>9.9999998560000005</v>
      </c>
      <c r="F117" s="557" t="s">
        <v>1168</v>
      </c>
      <c r="G117" s="555">
        <v>17.71</v>
      </c>
      <c r="H117" s="555">
        <v>14.9</v>
      </c>
      <c r="I117" s="555">
        <f>H117/G117</f>
        <v>0.84133258046301518</v>
      </c>
      <c r="J117" s="555">
        <v>17.600000000000001</v>
      </c>
      <c r="K117" s="555">
        <f>J117/G117</f>
        <v>0.99378881987577639</v>
      </c>
      <c r="L117" s="554">
        <v>5</v>
      </c>
      <c r="M117" s="566">
        <v>43035</v>
      </c>
      <c r="N117" s="555">
        <v>15.14</v>
      </c>
      <c r="O117" s="555">
        <f>(N117*(1+Q117/10)+R117/10)/J117</f>
        <v>0.86704545454545445</v>
      </c>
      <c r="P117" s="603" t="s">
        <v>876</v>
      </c>
      <c r="Q117" s="554">
        <f>IFERROR(MID(P117,FIND("转",P117)+1,FIND("股",P117)-(FIND("转",P117)+1)),0)</f>
        <v>0</v>
      </c>
      <c r="R117" s="554" t="str">
        <f>IFERROR(MID(P117,FIND("派",P117)+1,FIND("元",P117)-FIND("派",P117)-1),0)</f>
        <v>1.20</v>
      </c>
      <c r="S117" s="553"/>
    </row>
    <row r="118" spans="1:19" s="540" customFormat="1" ht="14">
      <c r="A118" s="547"/>
      <c r="B118" s="551" t="s">
        <v>112</v>
      </c>
      <c r="C118" s="551" t="s">
        <v>113</v>
      </c>
      <c r="D118" s="551" t="s">
        <v>943</v>
      </c>
      <c r="E118" s="552" t="s">
        <v>411</v>
      </c>
      <c r="F118" s="552" t="s">
        <v>942</v>
      </c>
      <c r="G118" s="551" t="s">
        <v>231</v>
      </c>
      <c r="H118" s="551" t="s">
        <v>941</v>
      </c>
      <c r="I118" s="549">
        <f>SUM(G119:G151)</f>
        <v>9.9999998559999987</v>
      </c>
      <c r="J118" s="548"/>
      <c r="K118" s="548"/>
      <c r="L118" s="548"/>
      <c r="M118" s="548"/>
      <c r="N118" s="548"/>
    </row>
    <row r="119" spans="1:19" s="540" customFormat="1" ht="14">
      <c r="A119" s="547">
        <v>1</v>
      </c>
      <c r="B119" s="554" t="s">
        <v>1167</v>
      </c>
      <c r="C119" s="546">
        <v>16.55</v>
      </c>
      <c r="D119" s="546">
        <v>1</v>
      </c>
      <c r="E119" s="544"/>
      <c r="F119" s="546"/>
      <c r="G119" s="546"/>
      <c r="H119" s="543" t="s">
        <v>126</v>
      </c>
      <c r="I119" s="138" t="s">
        <v>1166</v>
      </c>
      <c r="J119" s="541"/>
      <c r="K119" s="541"/>
      <c r="L119" s="541"/>
      <c r="M119" s="541"/>
      <c r="N119" s="541"/>
    </row>
    <row r="120" spans="1:19" s="540" customFormat="1" ht="14">
      <c r="A120" s="547">
        <v>2</v>
      </c>
      <c r="B120" s="554" t="s">
        <v>966</v>
      </c>
      <c r="C120" s="546">
        <v>15.29</v>
      </c>
      <c r="D120" s="546">
        <v>1.01</v>
      </c>
      <c r="E120" s="544"/>
      <c r="F120" s="546"/>
      <c r="G120" s="546"/>
      <c r="H120" s="543"/>
      <c r="I120" s="542"/>
      <c r="J120" s="541"/>
      <c r="K120" s="541"/>
      <c r="L120" s="541"/>
      <c r="M120" s="541"/>
      <c r="N120" s="541"/>
    </row>
    <row r="121" spans="1:19" s="540" customFormat="1" ht="14">
      <c r="A121" s="547">
        <v>3</v>
      </c>
      <c r="B121" s="554" t="s">
        <v>1127</v>
      </c>
      <c r="C121" s="546">
        <v>15.86</v>
      </c>
      <c r="D121" s="546">
        <v>1</v>
      </c>
      <c r="E121" s="544"/>
      <c r="F121" s="546"/>
      <c r="G121" s="546"/>
      <c r="H121" s="543"/>
      <c r="I121" s="542"/>
      <c r="J121" s="541"/>
      <c r="K121" s="541"/>
      <c r="L121" s="541"/>
      <c r="M121" s="541"/>
      <c r="N121" s="541"/>
    </row>
    <row r="122" spans="1:19" s="540" customFormat="1" ht="14">
      <c r="A122" s="547">
        <v>4</v>
      </c>
      <c r="B122" s="554" t="s">
        <v>121</v>
      </c>
      <c r="C122" s="546">
        <v>17.690000000000001</v>
      </c>
      <c r="D122" s="546">
        <v>1.53</v>
      </c>
      <c r="E122" s="544"/>
      <c r="F122" s="546">
        <v>869.31809999999996</v>
      </c>
      <c r="G122" s="546">
        <v>1.5299998559999999</v>
      </c>
      <c r="H122" s="543"/>
      <c r="I122" s="542"/>
      <c r="J122" s="541"/>
      <c r="K122" s="541"/>
      <c r="L122" s="541"/>
      <c r="M122" s="541"/>
      <c r="N122" s="541"/>
    </row>
    <row r="123" spans="1:19" s="540" customFormat="1" ht="14">
      <c r="A123" s="547">
        <v>5</v>
      </c>
      <c r="B123" s="554" t="s">
        <v>13</v>
      </c>
      <c r="C123" s="546">
        <v>16.28</v>
      </c>
      <c r="D123" s="546">
        <v>1.1000000000000001</v>
      </c>
      <c r="E123" s="544"/>
      <c r="F123" s="546"/>
      <c r="G123" s="546"/>
      <c r="H123" s="543"/>
      <c r="I123" s="542"/>
      <c r="J123" s="541"/>
      <c r="K123" s="541"/>
      <c r="L123" s="541"/>
      <c r="M123" s="541"/>
      <c r="N123" s="541"/>
    </row>
    <row r="124" spans="1:19" s="540" customFormat="1" ht="14">
      <c r="A124" s="547">
        <v>6</v>
      </c>
      <c r="B124" s="554" t="s">
        <v>127</v>
      </c>
      <c r="C124" s="546">
        <v>15.23</v>
      </c>
      <c r="D124" s="546">
        <v>1.5</v>
      </c>
      <c r="E124" s="544"/>
      <c r="F124" s="546"/>
      <c r="G124" s="546"/>
      <c r="H124" s="543"/>
      <c r="I124" s="542"/>
      <c r="J124" s="541"/>
      <c r="K124" s="541"/>
      <c r="L124" s="541"/>
      <c r="M124" s="541"/>
      <c r="N124" s="541"/>
    </row>
    <row r="125" spans="1:19" s="540" customFormat="1" ht="14">
      <c r="A125" s="547">
        <v>7</v>
      </c>
      <c r="B125" s="554" t="s">
        <v>974</v>
      </c>
      <c r="C125" s="546">
        <v>16.010000000000002</v>
      </c>
      <c r="D125" s="546">
        <v>1</v>
      </c>
      <c r="E125" s="544"/>
      <c r="F125" s="546"/>
      <c r="G125" s="546"/>
      <c r="H125" s="543"/>
      <c r="I125" s="542"/>
      <c r="J125" s="541"/>
      <c r="K125" s="541"/>
      <c r="L125" s="541"/>
      <c r="M125" s="541"/>
      <c r="N125" s="541"/>
    </row>
    <row r="126" spans="1:19" s="540" customFormat="1" ht="14">
      <c r="A126" s="547">
        <v>8</v>
      </c>
      <c r="B126" s="554" t="s">
        <v>173</v>
      </c>
      <c r="C126" s="546">
        <v>16.190000000000001</v>
      </c>
      <c r="D126" s="546">
        <v>1.26</v>
      </c>
      <c r="E126" s="544"/>
      <c r="F126" s="546"/>
      <c r="G126" s="546"/>
      <c r="H126" s="543"/>
      <c r="I126" s="542"/>
      <c r="J126" s="541"/>
      <c r="K126" s="541"/>
      <c r="L126" s="541"/>
      <c r="M126" s="541"/>
      <c r="N126" s="541"/>
    </row>
    <row r="127" spans="1:19" s="540" customFormat="1" ht="14">
      <c r="A127" s="547">
        <v>9</v>
      </c>
      <c r="B127" s="554" t="s">
        <v>300</v>
      </c>
      <c r="C127" s="546">
        <v>16.55</v>
      </c>
      <c r="D127" s="546">
        <v>1.01</v>
      </c>
      <c r="E127" s="544"/>
      <c r="F127" s="546"/>
      <c r="G127" s="546"/>
      <c r="H127" s="543"/>
      <c r="I127" s="542"/>
      <c r="J127" s="541"/>
      <c r="K127" s="541"/>
      <c r="L127" s="541"/>
      <c r="M127" s="541"/>
      <c r="N127" s="541"/>
    </row>
    <row r="128" spans="1:19" s="540" customFormat="1" ht="14">
      <c r="A128" s="547">
        <v>10</v>
      </c>
      <c r="B128" s="554" t="s">
        <v>1165</v>
      </c>
      <c r="C128" s="546">
        <v>16.88</v>
      </c>
      <c r="D128" s="546">
        <v>1</v>
      </c>
      <c r="E128" s="544"/>
      <c r="F128" s="546"/>
      <c r="G128" s="546"/>
      <c r="H128" s="543"/>
      <c r="I128" s="542"/>
      <c r="J128" s="541"/>
      <c r="K128" s="541"/>
      <c r="L128" s="541"/>
      <c r="M128" s="541"/>
      <c r="N128" s="541"/>
    </row>
    <row r="129" spans="1:14" s="540" customFormat="1" ht="14">
      <c r="A129" s="547">
        <v>11</v>
      </c>
      <c r="B129" s="554" t="s">
        <v>955</v>
      </c>
      <c r="C129" s="546">
        <v>18.02</v>
      </c>
      <c r="D129" s="546">
        <v>1</v>
      </c>
      <c r="E129" s="544"/>
      <c r="F129" s="546">
        <v>568.18179999999995</v>
      </c>
      <c r="G129" s="546">
        <v>0.99999996800000002</v>
      </c>
      <c r="H129" s="543"/>
      <c r="I129" s="542"/>
      <c r="J129" s="541"/>
      <c r="K129" s="541"/>
      <c r="L129" s="541"/>
      <c r="M129" s="541"/>
      <c r="N129" s="541"/>
    </row>
    <row r="130" spans="1:14" s="540" customFormat="1" ht="14">
      <c r="A130" s="547">
        <v>12</v>
      </c>
      <c r="B130" s="554" t="s">
        <v>279</v>
      </c>
      <c r="C130" s="546">
        <v>17.39</v>
      </c>
      <c r="D130" s="546">
        <v>1</v>
      </c>
      <c r="E130" s="544"/>
      <c r="F130" s="546"/>
      <c r="G130" s="546"/>
      <c r="H130" s="543"/>
      <c r="I130" s="542"/>
      <c r="J130" s="541"/>
      <c r="K130" s="541"/>
      <c r="L130" s="541"/>
      <c r="M130" s="541"/>
      <c r="N130" s="541"/>
    </row>
    <row r="131" spans="1:14" s="540" customFormat="1" ht="14">
      <c r="A131" s="547">
        <v>13</v>
      </c>
      <c r="B131" s="554" t="s">
        <v>148</v>
      </c>
      <c r="C131" s="546">
        <v>16.940000000000001</v>
      </c>
      <c r="D131" s="546">
        <v>2.09</v>
      </c>
      <c r="E131" s="544"/>
      <c r="F131" s="546"/>
      <c r="G131" s="546"/>
      <c r="H131" s="543"/>
      <c r="I131" s="542"/>
      <c r="J131" s="541"/>
      <c r="K131" s="541"/>
      <c r="L131" s="541"/>
      <c r="M131" s="541"/>
      <c r="N131" s="541"/>
    </row>
    <row r="132" spans="1:14" s="540" customFormat="1" ht="14">
      <c r="A132" s="547">
        <v>14</v>
      </c>
      <c r="B132" s="554" t="s">
        <v>348</v>
      </c>
      <c r="C132" s="546">
        <v>16.100000000000001</v>
      </c>
      <c r="D132" s="546">
        <v>1</v>
      </c>
      <c r="E132" s="544"/>
      <c r="F132" s="546"/>
      <c r="G132" s="546"/>
      <c r="H132" s="543"/>
      <c r="I132" s="542"/>
      <c r="J132" s="541"/>
      <c r="K132" s="541"/>
      <c r="L132" s="541"/>
      <c r="M132" s="541"/>
      <c r="N132" s="541"/>
    </row>
    <row r="133" spans="1:14" s="540" customFormat="1" ht="14">
      <c r="A133" s="547">
        <v>15</v>
      </c>
      <c r="B133" s="554" t="s">
        <v>629</v>
      </c>
      <c r="C133" s="546">
        <v>16.61</v>
      </c>
      <c r="D133" s="546">
        <v>1</v>
      </c>
      <c r="E133" s="544"/>
      <c r="F133" s="546"/>
      <c r="G133" s="546"/>
      <c r="H133" s="543"/>
      <c r="I133" s="542"/>
      <c r="J133" s="541"/>
      <c r="K133" s="541"/>
      <c r="L133" s="541"/>
      <c r="M133" s="541"/>
      <c r="N133" s="541"/>
    </row>
    <row r="134" spans="1:14" s="540" customFormat="1" ht="14">
      <c r="A134" s="547">
        <v>16</v>
      </c>
      <c r="B134" s="554" t="s">
        <v>459</v>
      </c>
      <c r="C134" s="546">
        <v>16.100000000000001</v>
      </c>
      <c r="D134" s="546">
        <v>1</v>
      </c>
      <c r="E134" s="544"/>
      <c r="F134" s="546"/>
      <c r="G134" s="546"/>
      <c r="H134" s="543"/>
      <c r="I134" s="542"/>
      <c r="J134" s="541"/>
      <c r="K134" s="541"/>
      <c r="L134" s="541"/>
      <c r="M134" s="541"/>
      <c r="N134" s="541"/>
    </row>
    <row r="135" spans="1:14" s="540" customFormat="1" ht="14">
      <c r="A135" s="547">
        <v>17</v>
      </c>
      <c r="B135" s="554" t="s">
        <v>336</v>
      </c>
      <c r="C135" s="546">
        <v>15.65</v>
      </c>
      <c r="D135" s="546">
        <v>1.07</v>
      </c>
      <c r="E135" s="544"/>
      <c r="F135" s="546"/>
      <c r="G135" s="546"/>
      <c r="H135" s="543"/>
      <c r="I135" s="542"/>
      <c r="J135" s="541"/>
      <c r="K135" s="541"/>
      <c r="L135" s="541"/>
      <c r="M135" s="541"/>
      <c r="N135" s="541"/>
    </row>
    <row r="136" spans="1:14" s="540" customFormat="1" ht="14">
      <c r="A136" s="547">
        <v>18</v>
      </c>
      <c r="B136" s="554" t="s">
        <v>136</v>
      </c>
      <c r="C136" s="546">
        <v>15.83</v>
      </c>
      <c r="D136" s="546">
        <v>1.45</v>
      </c>
      <c r="E136" s="544"/>
      <c r="F136" s="546"/>
      <c r="G136" s="546"/>
      <c r="H136" s="543"/>
      <c r="I136" s="542"/>
      <c r="J136" s="541"/>
      <c r="K136" s="541"/>
      <c r="L136" s="541"/>
      <c r="M136" s="541"/>
      <c r="N136" s="541"/>
    </row>
    <row r="137" spans="1:14" s="540" customFormat="1" ht="14">
      <c r="A137" s="547">
        <v>19</v>
      </c>
      <c r="B137" s="554" t="s">
        <v>146</v>
      </c>
      <c r="C137" s="546">
        <v>15.65</v>
      </c>
      <c r="D137" s="546">
        <v>1.05</v>
      </c>
      <c r="E137" s="544"/>
      <c r="F137" s="546"/>
      <c r="G137" s="546"/>
      <c r="H137" s="543"/>
      <c r="I137" s="542"/>
      <c r="J137" s="541"/>
      <c r="K137" s="541"/>
      <c r="L137" s="541"/>
      <c r="M137" s="541"/>
      <c r="N137" s="541"/>
    </row>
    <row r="138" spans="1:14" s="540" customFormat="1" ht="14">
      <c r="A138" s="547">
        <v>20</v>
      </c>
      <c r="B138" s="554" t="s">
        <v>140</v>
      </c>
      <c r="C138" s="546">
        <v>15.02</v>
      </c>
      <c r="D138" s="546">
        <v>1</v>
      </c>
      <c r="E138" s="544"/>
      <c r="F138" s="546"/>
      <c r="G138" s="546"/>
      <c r="H138" s="543"/>
      <c r="I138" s="542"/>
      <c r="J138" s="541"/>
      <c r="K138" s="541"/>
      <c r="L138" s="541"/>
      <c r="M138" s="541"/>
      <c r="N138" s="541"/>
    </row>
    <row r="139" spans="1:14" s="540" customFormat="1" ht="14">
      <c r="A139" s="547">
        <v>21</v>
      </c>
      <c r="B139" s="554" t="s">
        <v>115</v>
      </c>
      <c r="C139" s="546">
        <v>17.39</v>
      </c>
      <c r="D139" s="546">
        <v>1.34</v>
      </c>
      <c r="E139" s="544"/>
      <c r="F139" s="546"/>
      <c r="G139" s="546"/>
      <c r="H139" s="543"/>
      <c r="I139" s="542"/>
      <c r="J139" s="541"/>
      <c r="K139" s="541"/>
      <c r="L139" s="541"/>
      <c r="M139" s="541"/>
      <c r="N139" s="541"/>
    </row>
    <row r="140" spans="1:14" s="540" customFormat="1" ht="14">
      <c r="A140" s="547">
        <v>22</v>
      </c>
      <c r="B140" s="554" t="s">
        <v>147</v>
      </c>
      <c r="C140" s="546">
        <v>15.2</v>
      </c>
      <c r="D140" s="546">
        <v>1.1499999999999999</v>
      </c>
      <c r="E140" s="544"/>
      <c r="F140" s="546"/>
      <c r="G140" s="546"/>
      <c r="H140" s="543"/>
      <c r="I140" s="542"/>
      <c r="J140" s="541"/>
      <c r="K140" s="541"/>
      <c r="L140" s="541"/>
      <c r="M140" s="541"/>
      <c r="N140" s="541"/>
    </row>
    <row r="141" spans="1:14" s="540" customFormat="1" ht="14">
      <c r="A141" s="547">
        <v>23</v>
      </c>
      <c r="B141" s="554" t="s">
        <v>285</v>
      </c>
      <c r="C141" s="546">
        <v>17.510000000000002</v>
      </c>
      <c r="D141" s="546">
        <v>1</v>
      </c>
      <c r="E141" s="544"/>
      <c r="F141" s="546"/>
      <c r="G141" s="546"/>
      <c r="H141" s="543"/>
      <c r="I141" s="542"/>
      <c r="J141" s="541"/>
      <c r="K141" s="541"/>
      <c r="L141" s="541"/>
      <c r="M141" s="541"/>
      <c r="N141" s="541"/>
    </row>
    <row r="142" spans="1:14" s="540" customFormat="1" ht="14">
      <c r="A142" s="547">
        <v>24</v>
      </c>
      <c r="B142" s="554" t="s">
        <v>1080</v>
      </c>
      <c r="C142" s="546">
        <v>16.7</v>
      </c>
      <c r="D142" s="546">
        <v>1.1000000000000001</v>
      </c>
      <c r="E142" s="544"/>
      <c r="F142" s="546"/>
      <c r="G142" s="546"/>
      <c r="H142" s="543"/>
      <c r="I142" s="542"/>
      <c r="J142" s="541"/>
      <c r="K142" s="541"/>
      <c r="L142" s="541"/>
      <c r="M142" s="541"/>
      <c r="N142" s="541"/>
    </row>
    <row r="143" spans="1:14" s="540" customFormat="1" ht="14">
      <c r="A143" s="547">
        <v>25</v>
      </c>
      <c r="B143" s="554" t="s">
        <v>1164</v>
      </c>
      <c r="C143" s="546">
        <v>16.579999999999998</v>
      </c>
      <c r="D143" s="546">
        <v>1</v>
      </c>
      <c r="E143" s="544"/>
      <c r="F143" s="546"/>
      <c r="G143" s="546"/>
      <c r="H143" s="543"/>
      <c r="I143" s="542"/>
      <c r="J143" s="541"/>
      <c r="K143" s="541"/>
      <c r="L143" s="541"/>
      <c r="M143" s="541"/>
      <c r="N143" s="541"/>
    </row>
    <row r="144" spans="1:14" s="540" customFormat="1" ht="14">
      <c r="A144" s="547">
        <v>26</v>
      </c>
      <c r="B144" s="554" t="s">
        <v>371</v>
      </c>
      <c r="C144" s="546">
        <v>17.72</v>
      </c>
      <c r="D144" s="546">
        <v>4.9000000000000004</v>
      </c>
      <c r="E144" s="544"/>
      <c r="F144" s="546">
        <v>2784.0909000000001</v>
      </c>
      <c r="G144" s="546">
        <v>4.8999999839999999</v>
      </c>
      <c r="H144" s="543"/>
      <c r="I144" s="542"/>
      <c r="J144" s="541"/>
      <c r="K144" s="541"/>
      <c r="L144" s="541"/>
      <c r="M144" s="541"/>
      <c r="N144" s="541"/>
    </row>
    <row r="145" spans="1:19" s="540" customFormat="1" ht="14">
      <c r="A145" s="547">
        <v>27</v>
      </c>
      <c r="B145" s="554" t="s">
        <v>954</v>
      </c>
      <c r="C145" s="546">
        <v>17.690000000000001</v>
      </c>
      <c r="D145" s="546">
        <v>1</v>
      </c>
      <c r="E145" s="544"/>
      <c r="F145" s="546">
        <v>568.18179999999995</v>
      </c>
      <c r="G145" s="546">
        <v>0.99999996800000002</v>
      </c>
      <c r="H145" s="543"/>
      <c r="I145" s="542"/>
      <c r="J145" s="541"/>
      <c r="K145" s="541"/>
      <c r="L145" s="541"/>
      <c r="M145" s="541"/>
      <c r="N145" s="541"/>
    </row>
    <row r="146" spans="1:19" s="540" customFormat="1" ht="14">
      <c r="A146" s="547">
        <v>28</v>
      </c>
      <c r="B146" s="554" t="s">
        <v>278</v>
      </c>
      <c r="C146" s="546">
        <v>17.420000000000002</v>
      </c>
      <c r="D146" s="546">
        <v>2.13</v>
      </c>
      <c r="E146" s="544"/>
      <c r="F146" s="546"/>
      <c r="G146" s="546"/>
      <c r="H146" s="543"/>
      <c r="I146" s="542"/>
      <c r="J146" s="541"/>
      <c r="K146" s="541"/>
      <c r="L146" s="541"/>
      <c r="M146" s="541"/>
      <c r="N146" s="541"/>
    </row>
    <row r="147" spans="1:19" s="540" customFormat="1" ht="14">
      <c r="A147" s="547">
        <v>29</v>
      </c>
      <c r="B147" s="554" t="s">
        <v>142</v>
      </c>
      <c r="C147" s="546">
        <v>17.45</v>
      </c>
      <c r="D147" s="546">
        <v>2</v>
      </c>
      <c r="E147" s="544"/>
      <c r="F147" s="546"/>
      <c r="G147" s="546"/>
      <c r="H147" s="543"/>
      <c r="I147" s="542"/>
      <c r="J147" s="541"/>
      <c r="K147" s="541"/>
      <c r="L147" s="541"/>
      <c r="M147" s="541"/>
      <c r="N147" s="541"/>
    </row>
    <row r="148" spans="1:19" s="540" customFormat="1" ht="14">
      <c r="A148" s="547">
        <v>30</v>
      </c>
      <c r="B148" s="554" t="s">
        <v>951</v>
      </c>
      <c r="C148" s="546">
        <v>17.48</v>
      </c>
      <c r="D148" s="546">
        <v>1</v>
      </c>
      <c r="E148" s="544"/>
      <c r="F148" s="546"/>
      <c r="G148" s="546"/>
      <c r="H148" s="543"/>
      <c r="I148" s="542"/>
      <c r="J148" s="541"/>
      <c r="K148" s="541"/>
      <c r="L148" s="541"/>
      <c r="M148" s="541"/>
      <c r="N148" s="541"/>
    </row>
    <row r="149" spans="1:19" s="540" customFormat="1" ht="14">
      <c r="A149" s="547">
        <v>31</v>
      </c>
      <c r="B149" s="554" t="s">
        <v>975</v>
      </c>
      <c r="C149" s="546">
        <v>17.48</v>
      </c>
      <c r="D149" s="546">
        <v>2</v>
      </c>
      <c r="E149" s="544"/>
      <c r="F149" s="546"/>
      <c r="G149" s="546"/>
      <c r="H149" s="543"/>
      <c r="I149" s="542"/>
      <c r="J149" s="541"/>
      <c r="K149" s="541"/>
      <c r="L149" s="541"/>
      <c r="M149" s="541"/>
      <c r="N149" s="541"/>
    </row>
    <row r="150" spans="1:19" s="540" customFormat="1" ht="14">
      <c r="A150" s="547">
        <v>32</v>
      </c>
      <c r="B150" s="554" t="s">
        <v>352</v>
      </c>
      <c r="C150" s="546">
        <v>16.010000000000002</v>
      </c>
      <c r="D150" s="546">
        <v>1</v>
      </c>
      <c r="E150" s="544"/>
      <c r="F150" s="546"/>
      <c r="G150" s="546"/>
      <c r="H150" s="543"/>
      <c r="I150" s="542"/>
      <c r="J150" s="541"/>
      <c r="K150" s="541"/>
      <c r="L150" s="541"/>
      <c r="M150" s="541"/>
      <c r="N150" s="541"/>
    </row>
    <row r="151" spans="1:19" s="540" customFormat="1" ht="14">
      <c r="A151" s="547">
        <v>33</v>
      </c>
      <c r="B151" s="554" t="s">
        <v>385</v>
      </c>
      <c r="C151" s="546">
        <v>17.600000000000001</v>
      </c>
      <c r="D151" s="546">
        <v>2</v>
      </c>
      <c r="E151" s="544"/>
      <c r="F151" s="546">
        <v>892.04549999999995</v>
      </c>
      <c r="G151" s="546">
        <v>1.57000008</v>
      </c>
      <c r="H151" s="543"/>
      <c r="I151" s="542"/>
      <c r="J151" s="541"/>
      <c r="K151" s="541"/>
      <c r="L151" s="541"/>
      <c r="M151" s="541"/>
      <c r="N151" s="541"/>
    </row>
    <row r="152" spans="1:19" s="529" customFormat="1" ht="14">
      <c r="A152" s="530"/>
      <c r="B152" s="530"/>
      <c r="C152" s="530"/>
      <c r="E152" s="532"/>
    </row>
    <row r="153" spans="1:19" s="529" customFormat="1" ht="14">
      <c r="A153" s="530"/>
      <c r="B153" s="530"/>
      <c r="C153" s="530"/>
      <c r="E153" s="611"/>
    </row>
    <row r="154" spans="1:19" s="529" customFormat="1" ht="14">
      <c r="A154" s="531"/>
      <c r="B154" s="530"/>
      <c r="E154" s="611"/>
      <c r="G154" s="532"/>
    </row>
    <row r="155" spans="1:19" s="530" customFormat="1" ht="14">
      <c r="A155" s="562" t="s">
        <v>106</v>
      </c>
      <c r="B155" s="565" t="s">
        <v>107</v>
      </c>
      <c r="C155" s="564" t="s">
        <v>4</v>
      </c>
      <c r="D155" s="563" t="s">
        <v>108</v>
      </c>
      <c r="E155" s="563" t="s">
        <v>109</v>
      </c>
      <c r="F155" s="562" t="s">
        <v>411</v>
      </c>
      <c r="G155" s="561" t="s">
        <v>950</v>
      </c>
      <c r="H155" s="561" t="s">
        <v>110</v>
      </c>
      <c r="I155" s="561" t="s">
        <v>276</v>
      </c>
      <c r="J155" s="561" t="s">
        <v>117</v>
      </c>
      <c r="K155" s="561" t="s">
        <v>275</v>
      </c>
      <c r="L155" s="562" t="s">
        <v>111</v>
      </c>
      <c r="M155" s="561" t="s">
        <v>949</v>
      </c>
      <c r="N155" s="561" t="s">
        <v>948</v>
      </c>
      <c r="O155" s="561" t="s">
        <v>129</v>
      </c>
      <c r="P155" s="561" t="s">
        <v>220</v>
      </c>
      <c r="Q155" s="537" t="s">
        <v>947</v>
      </c>
      <c r="R155" s="537" t="s">
        <v>946</v>
      </c>
      <c r="S155" s="560" t="s">
        <v>945</v>
      </c>
    </row>
    <row r="156" spans="1:19" s="547" customFormat="1" ht="14">
      <c r="A156" s="554">
        <v>248</v>
      </c>
      <c r="B156" s="559" t="s">
        <v>877</v>
      </c>
      <c r="C156" s="558" t="s">
        <v>878</v>
      </c>
      <c r="D156" s="555">
        <v>1.6</v>
      </c>
      <c r="E156" s="555">
        <v>1.5999999588</v>
      </c>
      <c r="F156" s="557" t="s">
        <v>1091</v>
      </c>
      <c r="G156" s="555">
        <v>10.88</v>
      </c>
      <c r="H156" s="555">
        <v>12.06</v>
      </c>
      <c r="I156" s="555">
        <f>H156/G156</f>
        <v>1.1084558823529411</v>
      </c>
      <c r="J156" s="555">
        <v>12.06</v>
      </c>
      <c r="K156" s="555">
        <f>J156/G156</f>
        <v>1.1084558823529411</v>
      </c>
      <c r="L156" s="554">
        <v>1</v>
      </c>
      <c r="M156" s="566">
        <v>43038</v>
      </c>
      <c r="N156" s="555">
        <v>7.5</v>
      </c>
      <c r="O156" s="555">
        <f>(N156*(1+Q156/10)+R156/10)/J156</f>
        <v>0.62520729684908782</v>
      </c>
      <c r="P156" s="553" t="s">
        <v>819</v>
      </c>
      <c r="Q156" s="554">
        <f>IFERROR(MID(P156,FIND("转",P156)+1,FIND("股",P156)-(FIND("转",P156)+1)),0)</f>
        <v>0</v>
      </c>
      <c r="R156" s="554" t="str">
        <f>IFERROR(MID(P156,FIND("派",P156)+1,FIND("元",P156)-FIND("派",P156)-1),0)</f>
        <v>0.40</v>
      </c>
      <c r="S156" s="553"/>
    </row>
    <row r="157" spans="1:19" s="540" customFormat="1" ht="14">
      <c r="A157" s="547"/>
      <c r="B157" s="551" t="s">
        <v>112</v>
      </c>
      <c r="C157" s="551" t="s">
        <v>113</v>
      </c>
      <c r="D157" s="551" t="s">
        <v>943</v>
      </c>
      <c r="E157" s="552" t="s">
        <v>411</v>
      </c>
      <c r="F157" s="552" t="s">
        <v>942</v>
      </c>
      <c r="G157" s="551" t="s">
        <v>231</v>
      </c>
      <c r="H157" s="551" t="s">
        <v>941</v>
      </c>
      <c r="I157" s="549">
        <f>SUM(G158:G158)</f>
        <v>1.5999999588</v>
      </c>
      <c r="J157" s="548"/>
      <c r="K157" s="548"/>
      <c r="L157" s="548"/>
      <c r="M157" s="548"/>
      <c r="N157" s="548"/>
    </row>
    <row r="158" spans="1:19" s="540" customFormat="1" ht="14">
      <c r="A158" s="547">
        <v>1</v>
      </c>
      <c r="B158" s="554" t="s">
        <v>1087</v>
      </c>
      <c r="C158" s="546">
        <v>12.06</v>
      </c>
      <c r="D158" s="546">
        <v>1.6</v>
      </c>
      <c r="E158" s="544"/>
      <c r="F158" s="546">
        <v>1326.6998000000001</v>
      </c>
      <c r="G158" s="546">
        <v>1.5999999588</v>
      </c>
      <c r="H158" s="543" t="s">
        <v>126</v>
      </c>
      <c r="I158" s="138" t="s">
        <v>1163</v>
      </c>
      <c r="J158" s="541"/>
      <c r="K158" s="541"/>
      <c r="L158" s="541"/>
      <c r="M158" s="541"/>
      <c r="N158" s="541"/>
    </row>
    <row r="159" spans="1:19" s="529" customFormat="1" ht="14">
      <c r="A159" s="530"/>
      <c r="B159" s="530"/>
      <c r="E159" s="532"/>
      <c r="G159" s="532"/>
    </row>
    <row r="160" spans="1:19" s="529" customFormat="1" ht="14">
      <c r="A160" s="530"/>
      <c r="B160" s="530"/>
      <c r="C160" s="530"/>
      <c r="E160" s="532"/>
    </row>
    <row r="161" spans="1:19" s="529" customFormat="1" ht="14">
      <c r="A161" s="530"/>
      <c r="B161" s="530"/>
      <c r="E161" s="532"/>
      <c r="G161" s="532"/>
    </row>
    <row r="162" spans="1:19" s="530" customFormat="1" ht="14">
      <c r="A162" s="562" t="s">
        <v>106</v>
      </c>
      <c r="B162" s="565" t="s">
        <v>107</v>
      </c>
      <c r="C162" s="564" t="s">
        <v>4</v>
      </c>
      <c r="D162" s="563" t="s">
        <v>108</v>
      </c>
      <c r="E162" s="563" t="s">
        <v>109</v>
      </c>
      <c r="F162" s="562" t="s">
        <v>411</v>
      </c>
      <c r="G162" s="561" t="s">
        <v>950</v>
      </c>
      <c r="H162" s="561" t="s">
        <v>110</v>
      </c>
      <c r="I162" s="561" t="s">
        <v>276</v>
      </c>
      <c r="J162" s="561" t="s">
        <v>117</v>
      </c>
      <c r="K162" s="561" t="s">
        <v>275</v>
      </c>
      <c r="L162" s="562" t="s">
        <v>111</v>
      </c>
      <c r="M162" s="561" t="s">
        <v>949</v>
      </c>
      <c r="N162" s="561" t="s">
        <v>948</v>
      </c>
      <c r="O162" s="561" t="s">
        <v>129</v>
      </c>
      <c r="P162" s="561" t="s">
        <v>220</v>
      </c>
      <c r="Q162" s="537" t="s">
        <v>947</v>
      </c>
      <c r="R162" s="537" t="s">
        <v>946</v>
      </c>
      <c r="S162" s="560" t="s">
        <v>945</v>
      </c>
    </row>
    <row r="163" spans="1:19" s="547" customFormat="1" ht="14">
      <c r="A163" s="1627">
        <v>249</v>
      </c>
      <c r="B163" s="1650" t="s">
        <v>879</v>
      </c>
      <c r="C163" s="1650" t="s">
        <v>880</v>
      </c>
      <c r="D163" s="1647">
        <v>34.5</v>
      </c>
      <c r="E163" s="1647">
        <v>35.131999237800002</v>
      </c>
      <c r="F163" s="557" t="s">
        <v>1162</v>
      </c>
      <c r="G163" s="555">
        <v>30.21</v>
      </c>
      <c r="H163" s="555">
        <v>30.63</v>
      </c>
      <c r="I163" s="555">
        <f>H163/G163</f>
        <v>1.0139026812313803</v>
      </c>
      <c r="J163" s="555">
        <v>30.63</v>
      </c>
      <c r="K163" s="555">
        <f>J163/G163</f>
        <v>1.0139026812313803</v>
      </c>
      <c r="L163" s="1627">
        <v>5</v>
      </c>
      <c r="M163" s="1663">
        <v>42674</v>
      </c>
      <c r="N163" s="555">
        <v>30.5</v>
      </c>
      <c r="O163" s="555">
        <f>(N163*(1+Q163/10)+R163/10)/J163</f>
        <v>0.99575579497224942</v>
      </c>
      <c r="P163" s="553" t="s">
        <v>1160</v>
      </c>
      <c r="Q163" s="554">
        <f>IFERROR(MID(P163,FIND("转",P163)+1,FIND("股",P163)-(FIND("转",P163)+1)),0)</f>
        <v>0</v>
      </c>
      <c r="R163" s="554">
        <f>IFERROR(MID(P163,FIND("派",P163)+1,FIND("元",P163)-FIND("派",P163)-1),0)</f>
        <v>0</v>
      </c>
      <c r="S163" s="553" t="s">
        <v>881</v>
      </c>
    </row>
    <row r="164" spans="1:19" s="547" customFormat="1" ht="14">
      <c r="A164" s="1629"/>
      <c r="B164" s="1652"/>
      <c r="C164" s="1652"/>
      <c r="D164" s="1648"/>
      <c r="E164" s="1648"/>
      <c r="F164" s="557" t="s">
        <v>1161</v>
      </c>
      <c r="G164" s="555">
        <v>30.21</v>
      </c>
      <c r="H164" s="555">
        <v>30.63</v>
      </c>
      <c r="I164" s="555">
        <f>H164/G164</f>
        <v>1.0139026812313803</v>
      </c>
      <c r="J164" s="555">
        <v>30.63</v>
      </c>
      <c r="K164" s="555">
        <f>J164/G164</f>
        <v>1.0139026812313803</v>
      </c>
      <c r="L164" s="1629"/>
      <c r="M164" s="1664"/>
      <c r="N164" s="555">
        <v>30.5</v>
      </c>
      <c r="O164" s="555">
        <f>(N164*(1+Q164/10)+R164/10)/J164</f>
        <v>0.99575579497224942</v>
      </c>
      <c r="P164" s="553" t="s">
        <v>1160</v>
      </c>
      <c r="Q164" s="554">
        <f>IFERROR(MID(P164,FIND("转",P164)+1,FIND("股",P164)-(FIND("转",P164)+1)),0)</f>
        <v>0</v>
      </c>
      <c r="R164" s="554">
        <f>IFERROR(MID(P164,FIND("派",P164)+1,FIND("元",P164)-FIND("派",P164)-1),0)</f>
        <v>0</v>
      </c>
      <c r="S164" s="553" t="s">
        <v>881</v>
      </c>
    </row>
    <row r="165" spans="1:19" s="540" customFormat="1" ht="14">
      <c r="A165" s="547"/>
      <c r="B165" s="551" t="s">
        <v>1024</v>
      </c>
      <c r="C165" s="551" t="s">
        <v>113</v>
      </c>
      <c r="D165" s="551" t="s">
        <v>943</v>
      </c>
      <c r="E165" s="552" t="s">
        <v>411</v>
      </c>
      <c r="F165" s="552" t="s">
        <v>942</v>
      </c>
      <c r="G165" s="551" t="s">
        <v>231</v>
      </c>
      <c r="H165" s="551" t="s">
        <v>941</v>
      </c>
      <c r="I165" s="549">
        <f>SUM(G166:G174)</f>
        <v>35.131999237799995</v>
      </c>
      <c r="J165" s="548"/>
      <c r="K165" s="548"/>
      <c r="L165" s="548"/>
      <c r="M165" s="548"/>
      <c r="N165" s="548"/>
    </row>
    <row r="166" spans="1:19" s="540" customFormat="1" ht="14">
      <c r="A166" s="547">
        <v>1</v>
      </c>
      <c r="B166" s="554" t="s">
        <v>1159</v>
      </c>
      <c r="C166" s="546">
        <v>30.63</v>
      </c>
      <c r="D166" s="546">
        <v>7</v>
      </c>
      <c r="E166" s="544"/>
      <c r="F166" s="546">
        <v>2285.3411000000001</v>
      </c>
      <c r="G166" s="546">
        <v>6.9999997892999994</v>
      </c>
      <c r="H166" s="543" t="s">
        <v>126</v>
      </c>
      <c r="I166" s="138" t="s">
        <v>1158</v>
      </c>
      <c r="J166" s="541"/>
      <c r="K166" s="541"/>
      <c r="L166" s="541"/>
      <c r="M166" s="541"/>
      <c r="N166" s="541"/>
    </row>
    <row r="167" spans="1:19" s="540" customFormat="1" ht="14">
      <c r="A167" s="1634">
        <v>2</v>
      </c>
      <c r="B167" s="1627" t="s">
        <v>336</v>
      </c>
      <c r="C167" s="546">
        <v>30.7</v>
      </c>
      <c r="D167" s="546">
        <v>6.9</v>
      </c>
      <c r="E167" s="544"/>
      <c r="F167" s="546">
        <v>2252.6934000000001</v>
      </c>
      <c r="G167" s="546">
        <v>6.8999998841999997</v>
      </c>
      <c r="H167" s="543"/>
      <c r="I167" s="542"/>
      <c r="J167" s="541"/>
      <c r="K167" s="541"/>
      <c r="L167" s="541"/>
      <c r="M167" s="541"/>
      <c r="N167" s="541"/>
    </row>
    <row r="168" spans="1:19" s="540" customFormat="1" ht="14">
      <c r="A168" s="1634"/>
      <c r="B168" s="1629"/>
      <c r="C168" s="546">
        <v>30.63</v>
      </c>
      <c r="D168" s="546">
        <v>6.9</v>
      </c>
      <c r="E168" s="544"/>
      <c r="F168" s="546"/>
      <c r="G168" s="546"/>
      <c r="H168" s="543"/>
      <c r="I168" s="542"/>
      <c r="J168" s="541"/>
      <c r="K168" s="541"/>
      <c r="L168" s="541"/>
      <c r="M168" s="541"/>
      <c r="N168" s="541"/>
    </row>
    <row r="169" spans="1:19" s="540" customFormat="1" ht="14">
      <c r="A169" s="547">
        <v>3</v>
      </c>
      <c r="B169" s="554" t="s">
        <v>278</v>
      </c>
      <c r="C169" s="546">
        <v>32</v>
      </c>
      <c r="D169" s="546">
        <v>6.9</v>
      </c>
      <c r="E169" s="544"/>
      <c r="F169" s="546">
        <v>2252.6934000000001</v>
      </c>
      <c r="G169" s="546">
        <v>6.8999998841999997</v>
      </c>
      <c r="H169" s="543"/>
      <c r="I169" s="542"/>
      <c r="J169" s="541"/>
      <c r="K169" s="541"/>
      <c r="L169" s="541"/>
      <c r="M169" s="541"/>
      <c r="N169" s="541"/>
    </row>
    <row r="170" spans="1:19" s="540" customFormat="1" ht="14">
      <c r="A170" s="547">
        <v>4</v>
      </c>
      <c r="B170" s="554" t="s">
        <v>358</v>
      </c>
      <c r="C170" s="546">
        <v>39.979999999999997</v>
      </c>
      <c r="D170" s="546">
        <v>6.9</v>
      </c>
      <c r="E170" s="544"/>
      <c r="F170" s="546">
        <v>2252.6934000000001</v>
      </c>
      <c r="G170" s="546">
        <v>6.8999998841999997</v>
      </c>
      <c r="H170" s="543"/>
      <c r="I170" s="542"/>
      <c r="J170" s="541"/>
      <c r="K170" s="541"/>
      <c r="L170" s="541"/>
      <c r="M170" s="541"/>
      <c r="N170" s="541"/>
    </row>
    <row r="171" spans="1:19" s="540" customFormat="1" ht="14">
      <c r="A171" s="547"/>
      <c r="B171" s="547"/>
      <c r="C171" s="567"/>
      <c r="D171" s="567"/>
      <c r="E171" s="568"/>
      <c r="F171" s="567"/>
      <c r="G171" s="567"/>
      <c r="H171" s="543"/>
      <c r="I171" s="542"/>
      <c r="J171" s="541"/>
      <c r="K171" s="541"/>
      <c r="L171" s="541"/>
      <c r="M171" s="541"/>
      <c r="N171" s="541"/>
    </row>
    <row r="172" spans="1:19" s="540" customFormat="1" ht="14">
      <c r="A172" s="547"/>
      <c r="B172" s="1661" t="s">
        <v>1157</v>
      </c>
      <c r="C172" s="1661"/>
      <c r="D172" s="1661"/>
      <c r="E172" s="1661"/>
      <c r="F172" s="1661"/>
      <c r="G172" s="1661"/>
      <c r="H172" s="543"/>
      <c r="I172" s="542"/>
      <c r="J172" s="541"/>
      <c r="K172" s="541"/>
      <c r="L172" s="541"/>
      <c r="M172" s="541"/>
      <c r="N172" s="541"/>
    </row>
    <row r="173" spans="1:19" s="540" customFormat="1" ht="14">
      <c r="A173" s="547"/>
      <c r="B173" s="551" t="s">
        <v>112</v>
      </c>
      <c r="C173" s="551" t="s">
        <v>113</v>
      </c>
      <c r="D173" s="551" t="s">
        <v>943</v>
      </c>
      <c r="E173" s="552" t="s">
        <v>411</v>
      </c>
      <c r="F173" s="552" t="s">
        <v>942</v>
      </c>
      <c r="G173" s="551" t="s">
        <v>231</v>
      </c>
      <c r="H173" s="543"/>
      <c r="I173" s="542"/>
      <c r="J173" s="541"/>
      <c r="K173" s="541"/>
      <c r="L173" s="541"/>
      <c r="M173" s="541"/>
      <c r="N173" s="541"/>
    </row>
    <row r="174" spans="1:19" s="540" customFormat="1" ht="14">
      <c r="A174" s="547">
        <v>1</v>
      </c>
      <c r="B174" s="554" t="s">
        <v>1117</v>
      </c>
      <c r="C174" s="546">
        <v>30.63</v>
      </c>
      <c r="D174" s="546">
        <v>7.4320000000000004</v>
      </c>
      <c r="E174" s="544"/>
      <c r="F174" s="546">
        <v>2426.3793000000001</v>
      </c>
      <c r="G174" s="546">
        <v>7.4319997959000004</v>
      </c>
      <c r="H174" s="543"/>
      <c r="I174" s="542"/>
      <c r="J174" s="541"/>
      <c r="K174" s="541"/>
      <c r="L174" s="541"/>
      <c r="M174" s="541"/>
      <c r="N174" s="541"/>
    </row>
    <row r="175" spans="1:19" s="529" customFormat="1" ht="14">
      <c r="A175" s="530"/>
      <c r="B175" s="530"/>
      <c r="C175" s="530"/>
    </row>
    <row r="176" spans="1:19" s="529" customFormat="1" ht="14">
      <c r="A176" s="531"/>
      <c r="B176" s="530"/>
      <c r="C176" s="530"/>
      <c r="E176" s="533"/>
    </row>
    <row r="177" spans="1:19" s="529" customFormat="1" ht="14">
      <c r="A177" s="530"/>
      <c r="B177" s="530"/>
      <c r="C177" s="530"/>
      <c r="E177" s="580"/>
    </row>
    <row r="178" spans="1:19" s="530" customFormat="1" ht="14">
      <c r="A178" s="562" t="s">
        <v>106</v>
      </c>
      <c r="B178" s="565" t="s">
        <v>107</v>
      </c>
      <c r="C178" s="564" t="s">
        <v>4</v>
      </c>
      <c r="D178" s="563" t="s">
        <v>108</v>
      </c>
      <c r="E178" s="563" t="s">
        <v>109</v>
      </c>
      <c r="F178" s="562" t="s">
        <v>411</v>
      </c>
      <c r="G178" s="561" t="s">
        <v>950</v>
      </c>
      <c r="H178" s="561" t="s">
        <v>110</v>
      </c>
      <c r="I178" s="561" t="s">
        <v>276</v>
      </c>
      <c r="J178" s="561" t="s">
        <v>117</v>
      </c>
      <c r="K178" s="561" t="s">
        <v>275</v>
      </c>
      <c r="L178" s="562" t="s">
        <v>111</v>
      </c>
      <c r="M178" s="561" t="s">
        <v>949</v>
      </c>
      <c r="N178" s="561" t="s">
        <v>948</v>
      </c>
      <c r="O178" s="561" t="s">
        <v>129</v>
      </c>
      <c r="P178" s="561" t="s">
        <v>220</v>
      </c>
      <c r="Q178" s="537" t="s">
        <v>947</v>
      </c>
      <c r="R178" s="537" t="s">
        <v>946</v>
      </c>
      <c r="S178" s="560" t="s">
        <v>945</v>
      </c>
    </row>
    <row r="179" spans="1:19" s="547" customFormat="1" ht="14">
      <c r="A179" s="554">
        <v>250</v>
      </c>
      <c r="B179" s="559" t="s">
        <v>882</v>
      </c>
      <c r="C179" s="558" t="s">
        <v>883</v>
      </c>
      <c r="D179" s="555">
        <v>8.1999999999999993</v>
      </c>
      <c r="E179" s="555">
        <v>8.1999998598000001</v>
      </c>
      <c r="F179" s="557" t="s">
        <v>1156</v>
      </c>
      <c r="G179" s="555">
        <v>15.13</v>
      </c>
      <c r="H179" s="555">
        <v>14.66</v>
      </c>
      <c r="I179" s="555">
        <f>H179/G179</f>
        <v>0.96893588896232641</v>
      </c>
      <c r="J179" s="555">
        <v>15.09</v>
      </c>
      <c r="K179" s="555">
        <f>J179/G179</f>
        <v>0.99735624586913407</v>
      </c>
      <c r="L179" s="554">
        <v>5</v>
      </c>
      <c r="M179" s="566">
        <v>43039</v>
      </c>
      <c r="N179" s="555">
        <v>6.38</v>
      </c>
      <c r="O179" s="555">
        <f>(N179*(1+Q179/10)+R179/10)/J179</f>
        <v>0.84758117958913182</v>
      </c>
      <c r="P179" s="553" t="s">
        <v>884</v>
      </c>
      <c r="Q179" s="554" t="str">
        <f>IFERROR(MID(P179,FIND("转",P179)+1,FIND("股",P179)-(FIND("转",P179)+1)),0)</f>
        <v>10</v>
      </c>
      <c r="R179" s="554" t="str">
        <f>IFERROR(MID(P179,FIND("派",P179)+1,FIND("元",P179)-FIND("派",P179)-1),0)</f>
        <v>0.30</v>
      </c>
      <c r="S179" s="553"/>
    </row>
    <row r="180" spans="1:19" s="540" customFormat="1" ht="14">
      <c r="A180" s="547"/>
      <c r="B180" s="551" t="s">
        <v>112</v>
      </c>
      <c r="C180" s="551" t="s">
        <v>113</v>
      </c>
      <c r="D180" s="551" t="s">
        <v>943</v>
      </c>
      <c r="E180" s="552" t="s">
        <v>411</v>
      </c>
      <c r="F180" s="552" t="s">
        <v>942</v>
      </c>
      <c r="G180" s="551" t="s">
        <v>231</v>
      </c>
      <c r="H180" s="551" t="s">
        <v>941</v>
      </c>
      <c r="I180" s="549">
        <f>SUM(G181:G192)</f>
        <v>8.1999998598000001</v>
      </c>
      <c r="J180" s="548"/>
      <c r="K180" s="548"/>
      <c r="L180" s="548"/>
      <c r="M180" s="548"/>
      <c r="N180" s="548"/>
    </row>
    <row r="181" spans="1:19" s="540" customFormat="1" ht="14">
      <c r="A181" s="547">
        <v>1</v>
      </c>
      <c r="B181" s="554" t="s">
        <v>336</v>
      </c>
      <c r="C181" s="546">
        <v>15.14</v>
      </c>
      <c r="D181" s="546">
        <v>1.6</v>
      </c>
      <c r="E181" s="544"/>
      <c r="F181" s="546">
        <v>1060.3047999999999</v>
      </c>
      <c r="G181" s="546">
        <v>1.5999999431999998</v>
      </c>
      <c r="H181" s="543" t="s">
        <v>126</v>
      </c>
      <c r="I181" s="138" t="s">
        <v>1155</v>
      </c>
      <c r="J181" s="541"/>
      <c r="K181" s="541"/>
      <c r="L181" s="541"/>
      <c r="M181" s="541"/>
      <c r="N181" s="541"/>
    </row>
    <row r="182" spans="1:19" s="540" customFormat="1" ht="14">
      <c r="A182" s="547">
        <v>2</v>
      </c>
      <c r="B182" s="554" t="s">
        <v>1154</v>
      </c>
      <c r="C182" s="546">
        <v>15.1</v>
      </c>
      <c r="D182" s="546">
        <v>0.82</v>
      </c>
      <c r="E182" s="544"/>
      <c r="F182" s="546">
        <v>543.40620000000001</v>
      </c>
      <c r="G182" s="546">
        <v>0.81999995579999996</v>
      </c>
      <c r="H182" s="543"/>
      <c r="I182" s="542"/>
      <c r="J182" s="541"/>
      <c r="K182" s="541"/>
      <c r="L182" s="541"/>
      <c r="M182" s="541"/>
      <c r="N182" s="541"/>
    </row>
    <row r="183" spans="1:19" s="540" customFormat="1" ht="14">
      <c r="A183" s="1634">
        <v>3</v>
      </c>
      <c r="B183" s="1627" t="s">
        <v>1153</v>
      </c>
      <c r="C183" s="546">
        <v>15.09</v>
      </c>
      <c r="D183" s="546">
        <v>1.64</v>
      </c>
      <c r="E183" s="544"/>
      <c r="F183" s="1624">
        <v>516.89869999999996</v>
      </c>
      <c r="G183" s="1624">
        <v>0.78000013830000003</v>
      </c>
      <c r="H183" s="543"/>
      <c r="I183" s="542"/>
      <c r="J183" s="541"/>
      <c r="K183" s="541"/>
      <c r="L183" s="541"/>
      <c r="M183" s="541"/>
      <c r="N183" s="541"/>
    </row>
    <row r="184" spans="1:19" s="540" customFormat="1" ht="14">
      <c r="A184" s="1634"/>
      <c r="B184" s="1628"/>
      <c r="C184" s="546">
        <v>14.67</v>
      </c>
      <c r="D184" s="546">
        <v>1.64</v>
      </c>
      <c r="E184" s="544"/>
      <c r="F184" s="1626"/>
      <c r="G184" s="1626"/>
      <c r="H184" s="543"/>
      <c r="I184" s="542"/>
      <c r="J184" s="541"/>
      <c r="K184" s="541"/>
      <c r="L184" s="541"/>
      <c r="M184" s="541"/>
      <c r="N184" s="541"/>
    </row>
    <row r="185" spans="1:19" s="540" customFormat="1" ht="14">
      <c r="A185" s="1634"/>
      <c r="B185" s="1629"/>
      <c r="C185" s="546">
        <v>14.66</v>
      </c>
      <c r="D185" s="546">
        <v>0.82</v>
      </c>
      <c r="E185" s="544"/>
      <c r="F185" s="1625"/>
      <c r="G185" s="1625"/>
      <c r="H185" s="543"/>
      <c r="I185" s="542"/>
      <c r="J185" s="541"/>
      <c r="K185" s="541"/>
      <c r="L185" s="541"/>
      <c r="M185" s="541"/>
      <c r="N185" s="541"/>
    </row>
    <row r="186" spans="1:19" s="540" customFormat="1" ht="14">
      <c r="A186" s="547">
        <v>4</v>
      </c>
      <c r="B186" s="554" t="s">
        <v>1152</v>
      </c>
      <c r="C186" s="546">
        <v>15.04</v>
      </c>
      <c r="D186" s="546">
        <v>1.64</v>
      </c>
      <c r="E186" s="544"/>
      <c r="F186" s="546"/>
      <c r="G186" s="546"/>
      <c r="H186" s="543"/>
      <c r="I186" s="542"/>
      <c r="J186" s="541"/>
      <c r="K186" s="541"/>
      <c r="L186" s="541"/>
      <c r="M186" s="541"/>
      <c r="N186" s="541"/>
    </row>
    <row r="187" spans="1:19" s="540" customFormat="1" ht="14">
      <c r="A187" s="1634">
        <v>5</v>
      </c>
      <c r="B187" s="1627" t="s">
        <v>1044</v>
      </c>
      <c r="C187" s="546">
        <v>15.15</v>
      </c>
      <c r="D187" s="546">
        <v>4</v>
      </c>
      <c r="E187" s="544"/>
      <c r="F187" s="1624">
        <v>2650.7620000000002</v>
      </c>
      <c r="G187" s="1624">
        <v>3.9999998580000002</v>
      </c>
      <c r="H187" s="543"/>
      <c r="I187" s="542"/>
      <c r="J187" s="541"/>
      <c r="K187" s="541"/>
      <c r="L187" s="541"/>
      <c r="M187" s="541"/>
      <c r="N187" s="541"/>
    </row>
    <row r="188" spans="1:19" s="540" customFormat="1" ht="14">
      <c r="A188" s="1634"/>
      <c r="B188" s="1628"/>
      <c r="C188" s="546">
        <v>14.99</v>
      </c>
      <c r="D188" s="546">
        <v>4</v>
      </c>
      <c r="E188" s="544"/>
      <c r="F188" s="1626"/>
      <c r="G188" s="1626"/>
      <c r="H188" s="543"/>
      <c r="I188" s="542"/>
      <c r="J188" s="541"/>
      <c r="K188" s="541"/>
      <c r="L188" s="541"/>
      <c r="M188" s="541"/>
      <c r="N188" s="541"/>
    </row>
    <row r="189" spans="1:19" s="540" customFormat="1" ht="14">
      <c r="A189" s="1634"/>
      <c r="B189" s="1629"/>
      <c r="C189" s="546">
        <v>14.67</v>
      </c>
      <c r="D189" s="546">
        <v>4</v>
      </c>
      <c r="E189" s="544"/>
      <c r="F189" s="1625"/>
      <c r="G189" s="1625"/>
      <c r="H189" s="543"/>
      <c r="I189" s="542"/>
      <c r="J189" s="541"/>
      <c r="K189" s="541"/>
      <c r="L189" s="541"/>
      <c r="M189" s="541"/>
      <c r="N189" s="541"/>
    </row>
    <row r="190" spans="1:19" s="540" customFormat="1" ht="14">
      <c r="A190" s="547">
        <v>6</v>
      </c>
      <c r="B190" s="554" t="s">
        <v>664</v>
      </c>
      <c r="C190" s="546">
        <v>15</v>
      </c>
      <c r="D190" s="546">
        <v>0.84</v>
      </c>
      <c r="E190" s="544"/>
      <c r="F190" s="546"/>
      <c r="G190" s="546"/>
      <c r="H190" s="543"/>
      <c r="I190" s="542"/>
      <c r="J190" s="541"/>
      <c r="K190" s="541"/>
      <c r="L190" s="541"/>
      <c r="M190" s="541"/>
      <c r="N190" s="541"/>
    </row>
    <row r="191" spans="1:19" s="540" customFormat="1" ht="14">
      <c r="A191" s="1634">
        <v>7</v>
      </c>
      <c r="B191" s="1627" t="s">
        <v>1070</v>
      </c>
      <c r="C191" s="546">
        <v>15.13</v>
      </c>
      <c r="D191" s="546">
        <v>1</v>
      </c>
      <c r="E191" s="544"/>
      <c r="F191" s="1624">
        <v>662.69050000000004</v>
      </c>
      <c r="G191" s="1624">
        <v>0.99999996450000006</v>
      </c>
      <c r="H191" s="543"/>
      <c r="I191" s="542"/>
      <c r="J191" s="541"/>
      <c r="K191" s="541"/>
      <c r="L191" s="541"/>
      <c r="M191" s="541"/>
      <c r="N191" s="541"/>
    </row>
    <row r="192" spans="1:19" s="540" customFormat="1" ht="14">
      <c r="A192" s="1634"/>
      <c r="B192" s="1629"/>
      <c r="C192" s="546">
        <v>14.69</v>
      </c>
      <c r="D192" s="546">
        <v>1.64</v>
      </c>
      <c r="E192" s="544"/>
      <c r="F192" s="1625"/>
      <c r="G192" s="1625"/>
      <c r="H192" s="543"/>
      <c r="I192" s="542"/>
      <c r="J192" s="541"/>
      <c r="K192" s="541"/>
      <c r="L192" s="541"/>
      <c r="M192" s="541"/>
      <c r="N192" s="541"/>
    </row>
    <row r="193" spans="1:19" s="529" customFormat="1" ht="14">
      <c r="A193" s="530"/>
      <c r="B193" s="530"/>
      <c r="C193" s="530"/>
    </row>
    <row r="194" spans="1:19" s="529" customFormat="1" ht="14">
      <c r="A194" s="530"/>
      <c r="B194" s="530"/>
      <c r="C194" s="530"/>
    </row>
    <row r="195" spans="1:19" s="529" customFormat="1" ht="14">
      <c r="A195" s="531"/>
      <c r="B195" s="530"/>
      <c r="C195" s="530"/>
      <c r="E195" s="533"/>
    </row>
    <row r="196" spans="1:19" s="530" customFormat="1" ht="14">
      <c r="A196" s="562" t="s">
        <v>106</v>
      </c>
      <c r="B196" s="565" t="s">
        <v>107</v>
      </c>
      <c r="C196" s="564" t="s">
        <v>4</v>
      </c>
      <c r="D196" s="563" t="s">
        <v>108</v>
      </c>
      <c r="E196" s="563" t="s">
        <v>109</v>
      </c>
      <c r="F196" s="562" t="s">
        <v>411</v>
      </c>
      <c r="G196" s="561" t="s">
        <v>950</v>
      </c>
      <c r="H196" s="561" t="s">
        <v>110</v>
      </c>
      <c r="I196" s="561" t="s">
        <v>276</v>
      </c>
      <c r="J196" s="561" t="s">
        <v>117</v>
      </c>
      <c r="K196" s="561" t="s">
        <v>275</v>
      </c>
      <c r="L196" s="562" t="s">
        <v>111</v>
      </c>
      <c r="M196" s="561" t="s">
        <v>949</v>
      </c>
      <c r="N196" s="561" t="s">
        <v>948</v>
      </c>
      <c r="O196" s="561" t="s">
        <v>129</v>
      </c>
      <c r="P196" s="561" t="s">
        <v>220</v>
      </c>
      <c r="Q196" s="537" t="s">
        <v>947</v>
      </c>
      <c r="R196" s="537" t="s">
        <v>946</v>
      </c>
      <c r="S196" s="560" t="s">
        <v>945</v>
      </c>
    </row>
    <row r="197" spans="1:19" s="547" customFormat="1" ht="14">
      <c r="A197" s="554">
        <v>251</v>
      </c>
      <c r="B197" s="559" t="s">
        <v>885</v>
      </c>
      <c r="C197" s="558" t="s">
        <v>886</v>
      </c>
      <c r="D197" s="555">
        <v>12</v>
      </c>
      <c r="E197" s="555">
        <v>11.999999667999999</v>
      </c>
      <c r="F197" s="557" t="s">
        <v>1151</v>
      </c>
      <c r="G197" s="555">
        <v>35.11</v>
      </c>
      <c r="H197" s="555">
        <v>30.28</v>
      </c>
      <c r="I197" s="555">
        <f>H197/G197</f>
        <v>0.86243235545428654</v>
      </c>
      <c r="J197" s="555">
        <v>33.35</v>
      </c>
      <c r="K197" s="555">
        <f>J197/G197</f>
        <v>0.94987183138706932</v>
      </c>
      <c r="L197" s="554">
        <v>5</v>
      </c>
      <c r="M197" s="566">
        <v>43039</v>
      </c>
      <c r="N197" s="555">
        <v>19.29</v>
      </c>
      <c r="O197" s="555">
        <f>(N197*(1+Q197/10)+R197/10)/J197</f>
        <v>0.58140929535232388</v>
      </c>
      <c r="P197" s="553" t="s">
        <v>242</v>
      </c>
      <c r="Q197" s="554">
        <f>IFERROR(MID(P197,FIND("转",P197)+1,FIND("股",P197)-(FIND("转",P197)+1)),0)</f>
        <v>0</v>
      </c>
      <c r="R197" s="554" t="str">
        <f>IFERROR(MID(P197,FIND("派",P197)+1,FIND("元",P197)-FIND("派",P197)-1),0)</f>
        <v>1.00</v>
      </c>
      <c r="S197" s="553"/>
    </row>
    <row r="198" spans="1:19" s="540" customFormat="1" ht="14">
      <c r="A198" s="547"/>
      <c r="B198" s="551" t="s">
        <v>112</v>
      </c>
      <c r="C198" s="551" t="s">
        <v>113</v>
      </c>
      <c r="D198" s="551" t="s">
        <v>943</v>
      </c>
      <c r="E198" s="552" t="s">
        <v>411</v>
      </c>
      <c r="F198" s="552" t="s">
        <v>942</v>
      </c>
      <c r="G198" s="551" t="s">
        <v>231</v>
      </c>
      <c r="H198" s="551" t="s">
        <v>941</v>
      </c>
      <c r="I198" s="549">
        <f>SUM(G199:G218)</f>
        <v>11.999999668000001</v>
      </c>
      <c r="J198" s="548"/>
      <c r="K198" s="548"/>
      <c r="L198" s="548"/>
      <c r="M198" s="548"/>
      <c r="N198" s="548"/>
    </row>
    <row r="199" spans="1:19" s="540" customFormat="1" ht="14">
      <c r="A199" s="547">
        <v>1</v>
      </c>
      <c r="B199" s="554" t="s">
        <v>1056</v>
      </c>
      <c r="C199" s="546">
        <v>31.08</v>
      </c>
      <c r="D199" s="546">
        <v>1.7</v>
      </c>
      <c r="E199" s="544"/>
      <c r="F199" s="546"/>
      <c r="G199" s="546"/>
      <c r="H199" s="543" t="s">
        <v>126</v>
      </c>
      <c r="I199" s="138" t="s">
        <v>1150</v>
      </c>
      <c r="J199" s="541"/>
      <c r="K199" s="541"/>
      <c r="L199" s="541"/>
      <c r="M199" s="541"/>
      <c r="N199" s="541"/>
    </row>
    <row r="200" spans="1:19" s="540" customFormat="1" ht="14">
      <c r="A200" s="547">
        <v>2</v>
      </c>
      <c r="B200" s="554" t="s">
        <v>228</v>
      </c>
      <c r="C200" s="546">
        <v>31.6</v>
      </c>
      <c r="D200" s="546">
        <v>1.71</v>
      </c>
      <c r="E200" s="544"/>
      <c r="F200" s="546"/>
      <c r="G200" s="546"/>
      <c r="H200" s="543"/>
      <c r="I200" s="542"/>
      <c r="J200" s="541"/>
      <c r="K200" s="541"/>
      <c r="L200" s="541"/>
      <c r="M200" s="541"/>
      <c r="N200" s="541"/>
    </row>
    <row r="201" spans="1:19" s="540" customFormat="1" ht="14">
      <c r="A201" s="1634">
        <v>3</v>
      </c>
      <c r="B201" s="1627" t="s">
        <v>666</v>
      </c>
      <c r="C201" s="546">
        <v>32.659999999999997</v>
      </c>
      <c r="D201" s="546">
        <v>1.7</v>
      </c>
      <c r="E201" s="544"/>
      <c r="F201" s="546"/>
      <c r="G201" s="546"/>
      <c r="H201" s="543"/>
      <c r="I201" s="542"/>
      <c r="J201" s="541"/>
      <c r="K201" s="541"/>
      <c r="L201" s="541"/>
      <c r="M201" s="541"/>
      <c r="N201" s="541"/>
    </row>
    <row r="202" spans="1:19" s="540" customFormat="1" ht="14">
      <c r="A202" s="1634"/>
      <c r="B202" s="1628"/>
      <c r="C202" s="546">
        <v>31.6</v>
      </c>
      <c r="D202" s="546">
        <v>2.2909999999999999</v>
      </c>
      <c r="E202" s="544"/>
      <c r="F202" s="546"/>
      <c r="G202" s="546"/>
      <c r="H202" s="543"/>
      <c r="I202" s="542"/>
      <c r="J202" s="541"/>
      <c r="K202" s="541"/>
      <c r="L202" s="541"/>
      <c r="M202" s="541"/>
      <c r="N202" s="541"/>
    </row>
    <row r="203" spans="1:19" s="540" customFormat="1" ht="14">
      <c r="A203" s="1634"/>
      <c r="B203" s="1629"/>
      <c r="C203" s="546">
        <v>30.55</v>
      </c>
      <c r="D203" s="546">
        <v>2.3639999999999999</v>
      </c>
      <c r="E203" s="544"/>
      <c r="F203" s="546"/>
      <c r="G203" s="546"/>
      <c r="H203" s="543"/>
      <c r="I203" s="542"/>
      <c r="J203" s="541"/>
      <c r="K203" s="541"/>
      <c r="L203" s="541"/>
      <c r="M203" s="541"/>
      <c r="N203" s="541"/>
    </row>
    <row r="204" spans="1:19" s="540" customFormat="1" ht="14">
      <c r="A204" s="547">
        <v>4</v>
      </c>
      <c r="B204" s="554" t="s">
        <v>1149</v>
      </c>
      <c r="C204" s="546">
        <v>34.5</v>
      </c>
      <c r="D204" s="546">
        <v>1.8</v>
      </c>
      <c r="E204" s="544"/>
      <c r="F204" s="546">
        <v>539.73009999999999</v>
      </c>
      <c r="G204" s="546">
        <v>1.7999998835</v>
      </c>
      <c r="H204" s="543"/>
      <c r="I204" s="542"/>
      <c r="J204" s="541"/>
      <c r="K204" s="541"/>
      <c r="L204" s="541"/>
      <c r="M204" s="541"/>
      <c r="N204" s="541"/>
    </row>
    <row r="205" spans="1:19" s="540" customFormat="1" ht="14">
      <c r="A205" s="1634">
        <v>5</v>
      </c>
      <c r="B205" s="1627" t="s">
        <v>173</v>
      </c>
      <c r="C205" s="546">
        <v>33.03</v>
      </c>
      <c r="D205" s="546">
        <v>1.7</v>
      </c>
      <c r="E205" s="544"/>
      <c r="F205" s="546"/>
      <c r="G205" s="546"/>
      <c r="H205" s="543"/>
      <c r="I205" s="542"/>
      <c r="J205" s="541"/>
      <c r="K205" s="541"/>
      <c r="L205" s="541"/>
      <c r="M205" s="541"/>
      <c r="N205" s="541"/>
    </row>
    <row r="206" spans="1:19" s="540" customFormat="1" ht="14">
      <c r="A206" s="1634"/>
      <c r="B206" s="1628"/>
      <c r="C206" s="546">
        <v>32.33</v>
      </c>
      <c r="D206" s="546">
        <v>1.78</v>
      </c>
      <c r="E206" s="544"/>
      <c r="F206" s="546"/>
      <c r="G206" s="546"/>
      <c r="H206" s="543"/>
      <c r="I206" s="542"/>
      <c r="J206" s="541"/>
      <c r="K206" s="541"/>
      <c r="L206" s="541"/>
      <c r="M206" s="541"/>
      <c r="N206" s="541"/>
    </row>
    <row r="207" spans="1:19" s="540" customFormat="1" ht="14">
      <c r="A207" s="1634"/>
      <c r="B207" s="1629"/>
      <c r="C207" s="546">
        <v>31.59</v>
      </c>
      <c r="D207" s="546">
        <v>2.63</v>
      </c>
      <c r="E207" s="544"/>
      <c r="F207" s="546"/>
      <c r="G207" s="546"/>
      <c r="H207" s="543"/>
      <c r="I207" s="542"/>
      <c r="J207" s="541"/>
      <c r="K207" s="541"/>
      <c r="L207" s="541"/>
      <c r="M207" s="541"/>
      <c r="N207" s="541"/>
    </row>
    <row r="208" spans="1:19" s="540" customFormat="1" ht="14">
      <c r="A208" s="547">
        <v>6</v>
      </c>
      <c r="B208" s="554" t="s">
        <v>300</v>
      </c>
      <c r="C208" s="546">
        <v>32.44</v>
      </c>
      <c r="D208" s="546">
        <v>1.8140000000000001</v>
      </c>
      <c r="E208" s="544"/>
      <c r="F208" s="546"/>
      <c r="G208" s="546"/>
      <c r="H208" s="543"/>
      <c r="I208" s="542"/>
      <c r="J208" s="541"/>
      <c r="K208" s="541"/>
      <c r="L208" s="541"/>
      <c r="M208" s="541"/>
      <c r="N208" s="541"/>
    </row>
    <row r="209" spans="1:19" s="540" customFormat="1" ht="14">
      <c r="A209" s="547">
        <v>7</v>
      </c>
      <c r="B209" s="554" t="s">
        <v>1148</v>
      </c>
      <c r="C209" s="546">
        <v>34.979999999999997</v>
      </c>
      <c r="D209" s="546">
        <v>1.7</v>
      </c>
      <c r="E209" s="544"/>
      <c r="F209" s="546">
        <v>509.74509999999998</v>
      </c>
      <c r="G209" s="546">
        <v>1.6999999084999999</v>
      </c>
      <c r="H209" s="543"/>
      <c r="I209" s="542"/>
      <c r="J209" s="541"/>
      <c r="K209" s="541"/>
      <c r="L209" s="541"/>
      <c r="M209" s="541"/>
      <c r="N209" s="541"/>
    </row>
    <row r="210" spans="1:19" s="540" customFormat="1" ht="14">
      <c r="A210" s="1634">
        <v>8</v>
      </c>
      <c r="B210" s="1627" t="s">
        <v>115</v>
      </c>
      <c r="C210" s="546">
        <v>33.35</v>
      </c>
      <c r="D210" s="546">
        <v>1.74</v>
      </c>
      <c r="E210" s="544"/>
      <c r="F210" s="546">
        <v>389.80509999999998</v>
      </c>
      <c r="G210" s="546">
        <v>1.3000000085000001</v>
      </c>
      <c r="H210" s="543"/>
      <c r="I210" s="542"/>
      <c r="J210" s="541"/>
      <c r="K210" s="541"/>
      <c r="L210" s="541"/>
      <c r="M210" s="541"/>
      <c r="N210" s="541"/>
    </row>
    <row r="211" spans="1:19" s="540" customFormat="1" ht="14">
      <c r="A211" s="1634"/>
      <c r="B211" s="1628"/>
      <c r="C211" s="546">
        <v>31.59</v>
      </c>
      <c r="D211" s="546">
        <v>2.69</v>
      </c>
      <c r="E211" s="544"/>
      <c r="F211" s="546"/>
      <c r="G211" s="546"/>
      <c r="H211" s="543"/>
      <c r="I211" s="542"/>
      <c r="J211" s="541"/>
      <c r="K211" s="541"/>
      <c r="L211" s="541"/>
      <c r="M211" s="541"/>
      <c r="N211" s="541"/>
    </row>
    <row r="212" spans="1:19" s="540" customFormat="1" ht="14">
      <c r="A212" s="1634"/>
      <c r="B212" s="1629"/>
      <c r="C212" s="546">
        <v>30.6</v>
      </c>
      <c r="D212" s="546">
        <v>2.89</v>
      </c>
      <c r="E212" s="544"/>
      <c r="F212" s="546"/>
      <c r="G212" s="546"/>
      <c r="H212" s="543"/>
      <c r="I212" s="542"/>
      <c r="J212" s="541"/>
      <c r="K212" s="541"/>
      <c r="L212" s="541"/>
      <c r="M212" s="541"/>
      <c r="N212" s="541"/>
    </row>
    <row r="213" spans="1:19" s="540" customFormat="1" ht="14">
      <c r="A213" s="547">
        <v>9</v>
      </c>
      <c r="B213" s="554" t="s">
        <v>951</v>
      </c>
      <c r="C213" s="546">
        <v>30.58</v>
      </c>
      <c r="D213" s="546">
        <v>1.7</v>
      </c>
      <c r="E213" s="544"/>
      <c r="F213" s="546"/>
      <c r="G213" s="546"/>
      <c r="H213" s="543"/>
      <c r="I213" s="542"/>
      <c r="J213" s="541"/>
      <c r="K213" s="541"/>
      <c r="L213" s="541"/>
      <c r="M213" s="541"/>
      <c r="N213" s="541"/>
    </row>
    <row r="214" spans="1:19" s="540" customFormat="1" ht="14">
      <c r="A214" s="547">
        <v>10</v>
      </c>
      <c r="B214" s="554" t="s">
        <v>634</v>
      </c>
      <c r="C214" s="546">
        <v>35.5</v>
      </c>
      <c r="D214" s="546">
        <v>1.7</v>
      </c>
      <c r="E214" s="544"/>
      <c r="F214" s="546">
        <v>509.74509999999998</v>
      </c>
      <c r="G214" s="546">
        <v>1.6999999084999999</v>
      </c>
      <c r="H214" s="543"/>
      <c r="I214" s="542"/>
      <c r="J214" s="541"/>
      <c r="K214" s="541"/>
      <c r="L214" s="541"/>
      <c r="M214" s="541"/>
      <c r="N214" s="541"/>
    </row>
    <row r="215" spans="1:19" s="540" customFormat="1" ht="14">
      <c r="A215" s="547">
        <v>11</v>
      </c>
      <c r="B215" s="554" t="s">
        <v>122</v>
      </c>
      <c r="C215" s="546">
        <v>31.28</v>
      </c>
      <c r="D215" s="546">
        <v>1.7</v>
      </c>
      <c r="E215" s="544"/>
      <c r="F215" s="546"/>
      <c r="G215" s="546"/>
      <c r="H215" s="543"/>
      <c r="I215" s="542"/>
      <c r="J215" s="541"/>
      <c r="K215" s="541"/>
      <c r="L215" s="541"/>
      <c r="M215" s="541"/>
      <c r="N215" s="541"/>
    </row>
    <row r="216" spans="1:19" s="540" customFormat="1" ht="14">
      <c r="A216" s="547">
        <v>12</v>
      </c>
      <c r="B216" s="554" t="s">
        <v>1147</v>
      </c>
      <c r="C216" s="546">
        <v>31.99</v>
      </c>
      <c r="D216" s="546">
        <v>3</v>
      </c>
      <c r="E216" s="544"/>
      <c r="F216" s="546"/>
      <c r="G216" s="546"/>
      <c r="H216" s="543"/>
      <c r="I216" s="542"/>
      <c r="J216" s="541"/>
      <c r="K216" s="541"/>
      <c r="L216" s="541"/>
      <c r="M216" s="541"/>
      <c r="N216" s="541"/>
    </row>
    <row r="217" spans="1:19" s="540" customFormat="1" ht="14">
      <c r="A217" s="547">
        <v>13</v>
      </c>
      <c r="B217" s="554" t="s">
        <v>1146</v>
      </c>
      <c r="C217" s="546">
        <v>33</v>
      </c>
      <c r="D217" s="546">
        <v>1.7</v>
      </c>
      <c r="E217" s="544"/>
      <c r="F217" s="546"/>
      <c r="G217" s="546"/>
      <c r="H217" s="543"/>
      <c r="I217" s="542"/>
      <c r="J217" s="541"/>
      <c r="K217" s="541"/>
      <c r="L217" s="541"/>
      <c r="M217" s="541"/>
      <c r="N217" s="541"/>
    </row>
    <row r="218" spans="1:19" s="540" customFormat="1" ht="14">
      <c r="A218" s="547">
        <v>14</v>
      </c>
      <c r="B218" s="554" t="s">
        <v>1145</v>
      </c>
      <c r="C218" s="1658" t="s">
        <v>989</v>
      </c>
      <c r="D218" s="1665"/>
      <c r="E218" s="1659"/>
      <c r="F218" s="546">
        <v>1649.1754000000001</v>
      </c>
      <c r="G218" s="546">
        <v>5.4999999590000002</v>
      </c>
      <c r="H218" s="543"/>
      <c r="I218" s="542"/>
      <c r="J218" s="541"/>
      <c r="K218" s="541"/>
      <c r="L218" s="541"/>
      <c r="M218" s="541"/>
      <c r="N218" s="541"/>
    </row>
    <row r="219" spans="1:19" s="529" customFormat="1" ht="14">
      <c r="A219" s="530"/>
      <c r="B219" s="530"/>
      <c r="C219" s="530"/>
    </row>
    <row r="220" spans="1:19" s="529" customFormat="1" ht="14">
      <c r="A220" s="530"/>
      <c r="B220" s="530"/>
      <c r="C220" s="530"/>
    </row>
    <row r="221" spans="1:19" s="529" customFormat="1" ht="14">
      <c r="A221" s="531"/>
      <c r="B221" s="530"/>
      <c r="C221" s="530"/>
      <c r="E221" s="533"/>
    </row>
    <row r="222" spans="1:19" s="530" customFormat="1" ht="14">
      <c r="A222" s="562" t="s">
        <v>106</v>
      </c>
      <c r="B222" s="565" t="s">
        <v>107</v>
      </c>
      <c r="C222" s="564" t="s">
        <v>4</v>
      </c>
      <c r="D222" s="563" t="s">
        <v>108</v>
      </c>
      <c r="E222" s="563" t="s">
        <v>109</v>
      </c>
      <c r="F222" s="562" t="s">
        <v>411</v>
      </c>
      <c r="G222" s="561" t="s">
        <v>950</v>
      </c>
      <c r="H222" s="561" t="s">
        <v>110</v>
      </c>
      <c r="I222" s="561" t="s">
        <v>276</v>
      </c>
      <c r="J222" s="561" t="s">
        <v>117</v>
      </c>
      <c r="K222" s="561" t="s">
        <v>275</v>
      </c>
      <c r="L222" s="562" t="s">
        <v>111</v>
      </c>
      <c r="M222" s="561" t="s">
        <v>949</v>
      </c>
      <c r="N222" s="561" t="s">
        <v>948</v>
      </c>
      <c r="O222" s="561" t="s">
        <v>129</v>
      </c>
      <c r="P222" s="561" t="s">
        <v>220</v>
      </c>
      <c r="Q222" s="537" t="s">
        <v>947</v>
      </c>
      <c r="R222" s="537" t="s">
        <v>946</v>
      </c>
      <c r="S222" s="560" t="s">
        <v>945</v>
      </c>
    </row>
    <row r="223" spans="1:19" s="547" customFormat="1" ht="14">
      <c r="A223" s="554">
        <v>252</v>
      </c>
      <c r="B223" s="559" t="s">
        <v>887</v>
      </c>
      <c r="C223" s="558" t="s">
        <v>888</v>
      </c>
      <c r="D223" s="555">
        <v>7.81</v>
      </c>
      <c r="E223" s="555">
        <v>7.8099999263999997</v>
      </c>
      <c r="F223" s="557" t="s">
        <v>1144</v>
      </c>
      <c r="G223" s="555">
        <v>8.39</v>
      </c>
      <c r="H223" s="555">
        <v>5.19</v>
      </c>
      <c r="I223" s="555">
        <f>H223/G223</f>
        <v>0.61859356376638852</v>
      </c>
      <c r="J223" s="555">
        <v>7.52</v>
      </c>
      <c r="K223" s="555">
        <f>J223/G223</f>
        <v>0.89630512514898675</v>
      </c>
      <c r="L223" s="554">
        <v>9</v>
      </c>
      <c r="M223" s="566">
        <v>43041</v>
      </c>
      <c r="N223" s="555">
        <v>5.62</v>
      </c>
      <c r="O223" s="555">
        <f>(N223*(1+Q223/10)+R223/10)/J223</f>
        <v>0.75132978723404265</v>
      </c>
      <c r="P223" s="553" t="s">
        <v>236</v>
      </c>
      <c r="Q223" s="554">
        <f>IFERROR(MID(P223,FIND("转",P223)+1,FIND("股",P223)-(FIND("转",P223)+1)),0)</f>
        <v>0</v>
      </c>
      <c r="R223" s="554" t="str">
        <f>IFERROR(MID(P223,FIND("派",P223)+1,FIND("元",P223)-FIND("派",P223)-1),0)</f>
        <v>0.30</v>
      </c>
      <c r="S223" s="553"/>
    </row>
    <row r="224" spans="1:19" s="540" customFormat="1" ht="14">
      <c r="A224" s="547"/>
      <c r="B224" s="551" t="s">
        <v>112</v>
      </c>
      <c r="C224" s="551" t="s">
        <v>113</v>
      </c>
      <c r="D224" s="551" t="s">
        <v>943</v>
      </c>
      <c r="E224" s="552" t="s">
        <v>411</v>
      </c>
      <c r="F224" s="552" t="s">
        <v>942</v>
      </c>
      <c r="G224" s="551" t="s">
        <v>231</v>
      </c>
      <c r="H224" s="551" t="s">
        <v>941</v>
      </c>
      <c r="I224" s="549">
        <f>SUM(G225:G262)</f>
        <v>7.809999926399998</v>
      </c>
      <c r="J224" s="548"/>
      <c r="K224" s="548"/>
      <c r="L224" s="548"/>
      <c r="M224" s="548"/>
      <c r="N224" s="548"/>
    </row>
    <row r="225" spans="1:14" s="540" customFormat="1" ht="14">
      <c r="A225" s="1634">
        <v>1</v>
      </c>
      <c r="B225" s="1627" t="s">
        <v>1052</v>
      </c>
      <c r="C225" s="546">
        <v>8.18</v>
      </c>
      <c r="D225" s="546">
        <v>0.88</v>
      </c>
      <c r="E225" s="544"/>
      <c r="F225" s="1624">
        <v>1170.2127</v>
      </c>
      <c r="G225" s="1624">
        <v>0.8799999503999999</v>
      </c>
      <c r="H225" s="543" t="s">
        <v>126</v>
      </c>
      <c r="I225" s="138" t="s">
        <v>1143</v>
      </c>
      <c r="J225" s="541"/>
      <c r="K225" s="541"/>
      <c r="L225" s="541"/>
      <c r="M225" s="541"/>
      <c r="N225" s="541"/>
    </row>
    <row r="226" spans="1:14" s="540" customFormat="1" ht="14">
      <c r="A226" s="1634"/>
      <c r="B226" s="1628"/>
      <c r="C226" s="546">
        <v>7.5</v>
      </c>
      <c r="D226" s="546">
        <v>0.03</v>
      </c>
      <c r="E226" s="544"/>
      <c r="F226" s="1626"/>
      <c r="G226" s="1626"/>
      <c r="H226" s="543"/>
      <c r="I226" s="542"/>
      <c r="J226" s="541"/>
      <c r="K226" s="541"/>
      <c r="L226" s="541"/>
      <c r="M226" s="541"/>
      <c r="N226" s="541"/>
    </row>
    <row r="227" spans="1:14" s="540" customFormat="1" ht="14">
      <c r="A227" s="1634"/>
      <c r="B227" s="1629"/>
      <c r="C227" s="546">
        <v>7.2</v>
      </c>
      <c r="D227" s="546">
        <v>0.36</v>
      </c>
      <c r="E227" s="544"/>
      <c r="F227" s="1625"/>
      <c r="G227" s="1625"/>
      <c r="H227" s="543"/>
      <c r="I227" s="542"/>
      <c r="J227" s="541"/>
      <c r="K227" s="541"/>
      <c r="L227" s="541"/>
      <c r="M227" s="541"/>
      <c r="N227" s="541"/>
    </row>
    <row r="228" spans="1:14" s="540" customFormat="1" ht="14">
      <c r="A228" s="1634">
        <v>2</v>
      </c>
      <c r="B228" s="1627" t="s">
        <v>1133</v>
      </c>
      <c r="C228" s="546">
        <v>8.01</v>
      </c>
      <c r="D228" s="546">
        <v>0.81</v>
      </c>
      <c r="E228" s="544"/>
      <c r="F228" s="546">
        <v>1077.1276</v>
      </c>
      <c r="G228" s="546">
        <v>0.8099999551999999</v>
      </c>
      <c r="H228" s="543"/>
      <c r="I228" s="542"/>
      <c r="J228" s="541"/>
      <c r="K228" s="541"/>
      <c r="L228" s="541"/>
      <c r="M228" s="541"/>
      <c r="N228" s="541"/>
    </row>
    <row r="229" spans="1:14" s="540" customFormat="1" ht="14">
      <c r="A229" s="1634"/>
      <c r="B229" s="1629"/>
      <c r="C229" s="546">
        <v>7.41</v>
      </c>
      <c r="D229" s="546">
        <v>0.15</v>
      </c>
      <c r="E229" s="544"/>
      <c r="F229" s="546"/>
      <c r="G229" s="546"/>
      <c r="H229" s="543"/>
      <c r="I229" s="542"/>
      <c r="J229" s="541"/>
      <c r="K229" s="541"/>
      <c r="L229" s="541"/>
      <c r="M229" s="541"/>
      <c r="N229" s="541"/>
    </row>
    <row r="230" spans="1:14" s="540" customFormat="1" ht="14">
      <c r="A230" s="1634">
        <v>3</v>
      </c>
      <c r="B230" s="1627" t="s">
        <v>279</v>
      </c>
      <c r="C230" s="546">
        <v>7.89</v>
      </c>
      <c r="D230" s="546">
        <v>0.8</v>
      </c>
      <c r="E230" s="544"/>
      <c r="F230" s="546">
        <v>1063.8297</v>
      </c>
      <c r="G230" s="546">
        <v>0.79999993439999995</v>
      </c>
      <c r="H230" s="543"/>
      <c r="I230" s="542"/>
      <c r="J230" s="541"/>
      <c r="K230" s="541"/>
      <c r="L230" s="541"/>
      <c r="M230" s="541"/>
      <c r="N230" s="541"/>
    </row>
    <row r="231" spans="1:14" s="540" customFormat="1" ht="14">
      <c r="A231" s="1634"/>
      <c r="B231" s="1628"/>
      <c r="C231" s="546">
        <v>7.06</v>
      </c>
      <c r="D231" s="546">
        <v>0.6</v>
      </c>
      <c r="E231" s="544"/>
      <c r="G231" s="545"/>
      <c r="H231" s="543"/>
      <c r="I231" s="542"/>
      <c r="J231" s="541"/>
      <c r="K231" s="541"/>
      <c r="L231" s="541"/>
      <c r="M231" s="541"/>
      <c r="N231" s="541"/>
    </row>
    <row r="232" spans="1:14" s="540" customFormat="1" ht="14">
      <c r="A232" s="1634"/>
      <c r="B232" s="1629"/>
      <c r="C232" s="546">
        <v>6.65</v>
      </c>
      <c r="D232" s="546">
        <v>0.06</v>
      </c>
      <c r="E232" s="544"/>
      <c r="F232" s="546"/>
      <c r="G232" s="546"/>
      <c r="H232" s="543"/>
      <c r="I232" s="542"/>
      <c r="J232" s="541"/>
      <c r="K232" s="541"/>
      <c r="L232" s="541"/>
      <c r="M232" s="541"/>
      <c r="N232" s="541"/>
    </row>
    <row r="233" spans="1:14" s="540" customFormat="1" ht="14">
      <c r="A233" s="1634">
        <v>4</v>
      </c>
      <c r="B233" s="1627" t="s">
        <v>115</v>
      </c>
      <c r="C233" s="546">
        <v>7.89</v>
      </c>
      <c r="D233" s="546">
        <v>1.31</v>
      </c>
      <c r="E233" s="544"/>
      <c r="F233" s="546">
        <v>1742.0211999999999</v>
      </c>
      <c r="G233" s="546">
        <v>1.3099999423999997</v>
      </c>
      <c r="H233" s="543"/>
      <c r="I233" s="542"/>
      <c r="J233" s="541"/>
      <c r="K233" s="541"/>
      <c r="L233" s="541"/>
      <c r="M233" s="541"/>
      <c r="N233" s="541"/>
    </row>
    <row r="234" spans="1:14" s="540" customFormat="1" ht="14">
      <c r="A234" s="1634"/>
      <c r="B234" s="1629"/>
      <c r="C234" s="546">
        <v>7.47</v>
      </c>
      <c r="D234" s="546">
        <v>1.69</v>
      </c>
      <c r="E234" s="544"/>
      <c r="F234" s="546"/>
      <c r="G234" s="546"/>
      <c r="H234" s="543"/>
      <c r="I234" s="542"/>
      <c r="J234" s="541"/>
      <c r="K234" s="541"/>
      <c r="L234" s="541"/>
      <c r="M234" s="541"/>
      <c r="N234" s="541"/>
    </row>
    <row r="235" spans="1:14" s="540" customFormat="1" ht="14">
      <c r="A235" s="1634">
        <v>5</v>
      </c>
      <c r="B235" s="1627" t="s">
        <v>336</v>
      </c>
      <c r="C235" s="546">
        <v>7.89</v>
      </c>
      <c r="D235" s="546">
        <v>0.88</v>
      </c>
      <c r="E235" s="544"/>
      <c r="F235" s="546">
        <v>1170.2127</v>
      </c>
      <c r="G235" s="546">
        <v>0.8799999503999999</v>
      </c>
      <c r="H235" s="543"/>
      <c r="I235" s="542"/>
      <c r="J235" s="541"/>
      <c r="K235" s="541"/>
      <c r="L235" s="541"/>
      <c r="M235" s="541"/>
      <c r="N235" s="541"/>
    </row>
    <row r="236" spans="1:14" s="540" customFormat="1" ht="14">
      <c r="A236" s="1634"/>
      <c r="B236" s="1628"/>
      <c r="C236" s="546">
        <v>6.78</v>
      </c>
      <c r="D236" s="546">
        <v>1.02</v>
      </c>
      <c r="E236" s="544"/>
      <c r="F236" s="546"/>
      <c r="G236" s="546"/>
      <c r="H236" s="543"/>
      <c r="I236" s="542"/>
      <c r="J236" s="541"/>
      <c r="K236" s="541"/>
      <c r="L236" s="541"/>
      <c r="M236" s="541"/>
      <c r="N236" s="541"/>
    </row>
    <row r="237" spans="1:14" s="540" customFormat="1" ht="14">
      <c r="A237" s="1634"/>
      <c r="B237" s="1629"/>
      <c r="C237" s="546">
        <v>6.65</v>
      </c>
      <c r="D237" s="546">
        <v>0.64</v>
      </c>
      <c r="E237" s="544"/>
      <c r="F237" s="546"/>
      <c r="G237" s="546"/>
      <c r="H237" s="543"/>
      <c r="I237" s="542"/>
      <c r="J237" s="541"/>
      <c r="K237" s="541"/>
      <c r="L237" s="541"/>
      <c r="M237" s="541"/>
      <c r="N237" s="541"/>
    </row>
    <row r="238" spans="1:14" s="540" customFormat="1" ht="14">
      <c r="A238" s="1634">
        <v>6</v>
      </c>
      <c r="B238" s="1627" t="s">
        <v>666</v>
      </c>
      <c r="C238" s="546">
        <v>7.86</v>
      </c>
      <c r="D238" s="546">
        <v>1.1000000000000001</v>
      </c>
      <c r="E238" s="544"/>
      <c r="F238" s="546"/>
      <c r="G238" s="546"/>
      <c r="H238" s="543"/>
      <c r="I238" s="542"/>
      <c r="J238" s="541"/>
      <c r="K238" s="541"/>
      <c r="L238" s="541"/>
      <c r="M238" s="541"/>
      <c r="N238" s="541"/>
    </row>
    <row r="239" spans="1:14" s="540" customFormat="1" ht="14">
      <c r="A239" s="1634"/>
      <c r="B239" s="1628"/>
      <c r="C239" s="546">
        <v>7.32</v>
      </c>
      <c r="D239" s="546">
        <v>0.05</v>
      </c>
      <c r="E239" s="544"/>
      <c r="F239" s="546">
        <v>1462.7659000000001</v>
      </c>
      <c r="G239" s="546">
        <v>1.0999999567999998</v>
      </c>
      <c r="H239" s="543"/>
      <c r="I239" s="542"/>
      <c r="J239" s="541"/>
      <c r="K239" s="541"/>
      <c r="L239" s="541"/>
      <c r="M239" s="541"/>
      <c r="N239" s="541"/>
    </row>
    <row r="240" spans="1:14" s="540" customFormat="1" ht="14">
      <c r="A240" s="1634"/>
      <c r="B240" s="1629"/>
      <c r="C240" s="546">
        <v>6.05</v>
      </c>
      <c r="D240" s="546">
        <v>0.25</v>
      </c>
      <c r="E240" s="544"/>
      <c r="F240" s="546"/>
      <c r="G240" s="546"/>
      <c r="H240" s="543"/>
      <c r="I240" s="542"/>
      <c r="J240" s="541"/>
      <c r="K240" s="541"/>
      <c r="L240" s="541"/>
      <c r="M240" s="541"/>
      <c r="N240" s="541"/>
    </row>
    <row r="241" spans="1:14" s="540" customFormat="1" ht="14">
      <c r="A241" s="547">
        <v>7</v>
      </c>
      <c r="B241" s="554" t="s">
        <v>973</v>
      </c>
      <c r="C241" s="546">
        <v>7.8</v>
      </c>
      <c r="D241" s="546">
        <v>0.8</v>
      </c>
      <c r="E241" s="544"/>
      <c r="F241" s="546">
        <v>1063.8297</v>
      </c>
      <c r="G241" s="546">
        <v>0.79999993439999995</v>
      </c>
      <c r="H241" s="543"/>
      <c r="I241" s="542"/>
      <c r="J241" s="541"/>
      <c r="K241" s="541"/>
      <c r="L241" s="541"/>
      <c r="M241" s="541"/>
      <c r="N241" s="541"/>
    </row>
    <row r="242" spans="1:14" s="540" customFormat="1" ht="14">
      <c r="A242" s="547">
        <v>8</v>
      </c>
      <c r="B242" s="554" t="s">
        <v>385</v>
      </c>
      <c r="C242" s="546">
        <v>7.6</v>
      </c>
      <c r="D242" s="546">
        <v>0.8</v>
      </c>
      <c r="E242" s="544"/>
      <c r="F242" s="546">
        <v>1063.8297</v>
      </c>
      <c r="G242" s="546">
        <v>0.79999993439999995</v>
      </c>
      <c r="H242" s="543"/>
      <c r="I242" s="542"/>
      <c r="J242" s="541"/>
      <c r="K242" s="541"/>
      <c r="L242" s="541"/>
      <c r="M242" s="541"/>
      <c r="N242" s="541"/>
    </row>
    <row r="243" spans="1:14" s="540" customFormat="1" ht="14">
      <c r="A243" s="1634">
        <v>9</v>
      </c>
      <c r="B243" s="1627" t="s">
        <v>955</v>
      </c>
      <c r="C243" s="546">
        <v>7.52</v>
      </c>
      <c r="D243" s="546">
        <v>0.8</v>
      </c>
      <c r="E243" s="544"/>
      <c r="F243" s="546">
        <v>571.80899999999997</v>
      </c>
      <c r="G243" s="546">
        <v>0.43000036799999997</v>
      </c>
      <c r="H243" s="543"/>
      <c r="I243" s="542"/>
      <c r="J243" s="541"/>
      <c r="K243" s="541"/>
      <c r="L243" s="541"/>
      <c r="M243" s="541"/>
      <c r="N243" s="541"/>
    </row>
    <row r="244" spans="1:14" s="540" customFormat="1" ht="14">
      <c r="A244" s="1634"/>
      <c r="B244" s="1629"/>
      <c r="C244" s="546">
        <v>7</v>
      </c>
      <c r="D244" s="546">
        <v>0.15</v>
      </c>
      <c r="E244" s="544"/>
      <c r="F244" s="546"/>
      <c r="G244" s="546"/>
      <c r="H244" s="543"/>
      <c r="I244" s="542"/>
      <c r="J244" s="541"/>
      <c r="K244" s="541"/>
      <c r="L244" s="541"/>
      <c r="M244" s="541"/>
      <c r="N244" s="541"/>
    </row>
    <row r="245" spans="1:14" s="540" customFormat="1" ht="14">
      <c r="A245" s="1634">
        <v>10</v>
      </c>
      <c r="B245" s="1627" t="s">
        <v>127</v>
      </c>
      <c r="C245" s="546">
        <v>7.16</v>
      </c>
      <c r="D245" s="546">
        <v>1</v>
      </c>
      <c r="E245" s="544"/>
      <c r="F245" s="546"/>
      <c r="G245" s="546"/>
      <c r="H245" s="543"/>
      <c r="I245" s="542"/>
      <c r="J245" s="541"/>
      <c r="K245" s="541"/>
      <c r="L245" s="541"/>
      <c r="M245" s="541"/>
      <c r="N245" s="541"/>
    </row>
    <row r="246" spans="1:14" s="540" customFormat="1" ht="14">
      <c r="A246" s="1634"/>
      <c r="B246" s="1629"/>
      <c r="C246" s="546">
        <v>6.63</v>
      </c>
      <c r="D246" s="546">
        <v>1</v>
      </c>
      <c r="E246" s="544"/>
      <c r="F246" s="546"/>
      <c r="G246" s="546"/>
      <c r="H246" s="543"/>
      <c r="I246" s="542"/>
      <c r="J246" s="541"/>
      <c r="K246" s="541"/>
      <c r="L246" s="541"/>
      <c r="M246" s="541"/>
      <c r="N246" s="541"/>
    </row>
    <row r="247" spans="1:14" s="540" customFormat="1" ht="14">
      <c r="A247" s="1634">
        <v>11</v>
      </c>
      <c r="B247" s="1627" t="s">
        <v>1142</v>
      </c>
      <c r="C247" s="546">
        <v>7.31</v>
      </c>
      <c r="D247" s="546">
        <v>0.8</v>
      </c>
      <c r="E247" s="544"/>
      <c r="F247" s="546"/>
      <c r="G247" s="546"/>
      <c r="H247" s="543"/>
      <c r="I247" s="542"/>
      <c r="J247" s="541"/>
      <c r="K247" s="541"/>
      <c r="L247" s="541"/>
      <c r="M247" s="541"/>
      <c r="N247" s="541"/>
    </row>
    <row r="248" spans="1:14" s="540" customFormat="1" ht="14">
      <c r="A248" s="1634"/>
      <c r="B248" s="1628"/>
      <c r="C248" s="546">
        <v>6.51</v>
      </c>
      <c r="D248" s="546">
        <v>0.3</v>
      </c>
      <c r="E248" s="544"/>
      <c r="F248" s="546"/>
      <c r="G248" s="546"/>
      <c r="H248" s="543"/>
      <c r="I248" s="542"/>
      <c r="J248" s="541"/>
      <c r="K248" s="541"/>
      <c r="L248" s="541"/>
      <c r="M248" s="541"/>
      <c r="N248" s="541"/>
    </row>
    <row r="249" spans="1:14" s="540" customFormat="1" ht="14">
      <c r="A249" s="1634"/>
      <c r="B249" s="1629"/>
      <c r="C249" s="546">
        <v>5.51</v>
      </c>
      <c r="D249" s="546">
        <v>0.4</v>
      </c>
      <c r="E249" s="544"/>
      <c r="F249" s="546"/>
      <c r="G249" s="546"/>
      <c r="H249" s="543"/>
      <c r="I249" s="542"/>
      <c r="J249" s="541"/>
      <c r="K249" s="541"/>
      <c r="L249" s="541"/>
      <c r="M249" s="541"/>
      <c r="N249" s="541"/>
    </row>
    <row r="250" spans="1:14" s="540" customFormat="1" ht="14">
      <c r="A250" s="1634">
        <v>12</v>
      </c>
      <c r="B250" s="1627" t="s">
        <v>131</v>
      </c>
      <c r="C250" s="546">
        <v>6.02</v>
      </c>
      <c r="D250" s="546">
        <v>2.65</v>
      </c>
      <c r="E250" s="544"/>
      <c r="F250" s="546"/>
      <c r="G250" s="546"/>
      <c r="H250" s="543"/>
      <c r="I250" s="542"/>
      <c r="J250" s="541"/>
      <c r="K250" s="541"/>
      <c r="L250" s="541"/>
      <c r="M250" s="541"/>
      <c r="N250" s="541"/>
    </row>
    <row r="251" spans="1:14" s="540" customFormat="1" ht="14">
      <c r="A251" s="1634"/>
      <c r="B251" s="1629"/>
      <c r="C251" s="546">
        <v>5.21</v>
      </c>
      <c r="D251" s="546">
        <v>0.35</v>
      </c>
      <c r="E251" s="544"/>
      <c r="F251" s="546"/>
      <c r="G251" s="546"/>
      <c r="H251" s="543"/>
      <c r="I251" s="542"/>
      <c r="J251" s="541"/>
      <c r="K251" s="541"/>
      <c r="L251" s="541"/>
      <c r="M251" s="541"/>
      <c r="N251" s="541"/>
    </row>
    <row r="252" spans="1:14" s="540" customFormat="1" ht="14">
      <c r="A252" s="547">
        <v>13</v>
      </c>
      <c r="B252" s="554" t="s">
        <v>8</v>
      </c>
      <c r="C252" s="546">
        <v>6</v>
      </c>
      <c r="D252" s="546">
        <v>0.8</v>
      </c>
      <c r="E252" s="544"/>
      <c r="F252" s="546"/>
      <c r="G252" s="546"/>
      <c r="H252" s="543"/>
      <c r="I252" s="542"/>
      <c r="J252" s="541"/>
      <c r="K252" s="541"/>
      <c r="L252" s="541"/>
      <c r="M252" s="541"/>
      <c r="N252" s="541"/>
    </row>
    <row r="253" spans="1:14" s="540" customFormat="1" ht="14">
      <c r="A253" s="547">
        <v>14</v>
      </c>
      <c r="B253" s="554" t="s">
        <v>316</v>
      </c>
      <c r="C253" s="546">
        <v>7</v>
      </c>
      <c r="D253" s="546">
        <v>0.8</v>
      </c>
      <c r="E253" s="544"/>
      <c r="F253" s="546"/>
      <c r="G253" s="546"/>
      <c r="H253" s="543"/>
      <c r="I253" s="542"/>
      <c r="J253" s="541"/>
      <c r="K253" s="541"/>
      <c r="L253" s="541"/>
      <c r="M253" s="541"/>
      <c r="N253" s="541"/>
    </row>
    <row r="254" spans="1:14" s="540" customFormat="1" ht="14">
      <c r="A254" s="547">
        <v>15</v>
      </c>
      <c r="B254" s="554" t="s">
        <v>6</v>
      </c>
      <c r="C254" s="546">
        <v>6.5</v>
      </c>
      <c r="D254" s="546">
        <v>0.8</v>
      </c>
      <c r="E254" s="544"/>
      <c r="F254" s="546"/>
      <c r="G254" s="546"/>
      <c r="H254" s="543"/>
      <c r="I254" s="542"/>
      <c r="J254" s="541"/>
      <c r="K254" s="541"/>
      <c r="L254" s="541"/>
      <c r="M254" s="541"/>
      <c r="N254" s="541"/>
    </row>
    <row r="255" spans="1:14" s="540" customFormat="1" ht="14">
      <c r="A255" s="547">
        <v>16</v>
      </c>
      <c r="B255" s="554" t="s">
        <v>974</v>
      </c>
      <c r="C255" s="546">
        <v>6.51</v>
      </c>
      <c r="D255" s="546">
        <v>0.8</v>
      </c>
      <c r="E255" s="544"/>
      <c r="F255" s="546"/>
      <c r="G255" s="546"/>
      <c r="H255" s="543"/>
      <c r="I255" s="542"/>
      <c r="J255" s="541"/>
      <c r="K255" s="541"/>
      <c r="L255" s="541"/>
      <c r="M255" s="541"/>
      <c r="N255" s="541"/>
    </row>
    <row r="256" spans="1:14" s="540" customFormat="1" ht="14">
      <c r="A256" s="1634">
        <v>17</v>
      </c>
      <c r="B256" s="1627" t="s">
        <v>351</v>
      </c>
      <c r="C256" s="546">
        <v>6.48</v>
      </c>
      <c r="D256" s="546">
        <v>0.8</v>
      </c>
      <c r="E256" s="544"/>
      <c r="F256" s="546"/>
      <c r="G256" s="546"/>
      <c r="H256" s="543"/>
      <c r="I256" s="542"/>
      <c r="J256" s="541"/>
      <c r="K256" s="541"/>
      <c r="L256" s="541"/>
      <c r="M256" s="541"/>
      <c r="N256" s="541"/>
    </row>
    <row r="257" spans="1:14" s="540" customFormat="1" ht="14">
      <c r="A257" s="1634"/>
      <c r="B257" s="1629"/>
      <c r="C257" s="546">
        <v>6.26</v>
      </c>
      <c r="D257" s="546">
        <v>0.3</v>
      </c>
      <c r="E257" s="544"/>
      <c r="F257" s="546"/>
      <c r="G257" s="546"/>
      <c r="H257" s="543"/>
      <c r="I257" s="542"/>
      <c r="J257" s="541"/>
      <c r="K257" s="541"/>
      <c r="L257" s="541"/>
      <c r="M257" s="541"/>
      <c r="N257" s="541"/>
    </row>
    <row r="258" spans="1:14" s="540" customFormat="1" ht="14">
      <c r="A258" s="547">
        <v>18</v>
      </c>
      <c r="B258" s="554" t="s">
        <v>320</v>
      </c>
      <c r="C258" s="546">
        <v>7.03</v>
      </c>
      <c r="D258" s="546">
        <v>1</v>
      </c>
      <c r="E258" s="544"/>
      <c r="F258" s="546"/>
      <c r="G258" s="546"/>
      <c r="H258" s="543"/>
      <c r="I258" s="542"/>
      <c r="J258" s="541"/>
      <c r="K258" s="541"/>
      <c r="L258" s="541"/>
      <c r="M258" s="541"/>
      <c r="N258" s="541"/>
    </row>
    <row r="259" spans="1:14" s="540" customFormat="1" ht="14">
      <c r="A259" s="547">
        <v>19</v>
      </c>
      <c r="B259" s="554" t="s">
        <v>1114</v>
      </c>
      <c r="C259" s="546">
        <v>6.08</v>
      </c>
      <c r="D259" s="546">
        <v>0.8</v>
      </c>
      <c r="E259" s="544"/>
      <c r="F259" s="546"/>
      <c r="G259" s="546"/>
      <c r="H259" s="543"/>
      <c r="I259" s="542"/>
      <c r="J259" s="541"/>
      <c r="K259" s="541"/>
      <c r="L259" s="541"/>
      <c r="M259" s="541"/>
      <c r="N259" s="541"/>
    </row>
    <row r="260" spans="1:14" s="540" customFormat="1" ht="14">
      <c r="A260" s="1634">
        <v>20</v>
      </c>
      <c r="B260" s="1627" t="s">
        <v>146</v>
      </c>
      <c r="C260" s="546">
        <v>7.47</v>
      </c>
      <c r="D260" s="546">
        <v>1</v>
      </c>
      <c r="E260" s="544"/>
      <c r="F260" s="546"/>
      <c r="G260" s="546"/>
      <c r="H260" s="543"/>
      <c r="I260" s="542"/>
      <c r="J260" s="541"/>
      <c r="K260" s="541"/>
      <c r="L260" s="541"/>
      <c r="M260" s="541"/>
      <c r="N260" s="541"/>
    </row>
    <row r="261" spans="1:14" s="540" customFormat="1" ht="14">
      <c r="A261" s="1634"/>
      <c r="B261" s="1629"/>
      <c r="C261" s="546">
        <v>7.15</v>
      </c>
      <c r="D261" s="546">
        <v>0.25</v>
      </c>
      <c r="E261" s="544"/>
      <c r="F261" s="546"/>
      <c r="G261" s="546"/>
      <c r="H261" s="543"/>
      <c r="I261" s="542"/>
      <c r="J261" s="541"/>
      <c r="K261" s="541"/>
      <c r="L261" s="541"/>
      <c r="M261" s="541"/>
      <c r="N261" s="541"/>
    </row>
    <row r="262" spans="1:14" s="540" customFormat="1" ht="14">
      <c r="A262" s="547">
        <v>21</v>
      </c>
      <c r="B262" s="554" t="s">
        <v>122</v>
      </c>
      <c r="C262" s="546">
        <v>7.17</v>
      </c>
      <c r="D262" s="546">
        <v>1.1000000000000001</v>
      </c>
      <c r="E262" s="544"/>
      <c r="F262" s="546"/>
      <c r="G262" s="546"/>
      <c r="H262" s="543"/>
      <c r="I262" s="542"/>
      <c r="J262" s="541"/>
      <c r="K262" s="541"/>
      <c r="L262" s="541"/>
      <c r="M262" s="541"/>
      <c r="N262" s="541"/>
    </row>
    <row r="263" spans="1:14" s="529" customFormat="1" ht="14">
      <c r="A263" s="530"/>
      <c r="B263" s="530"/>
      <c r="C263" s="530"/>
    </row>
    <row r="264" spans="1:14" s="529" customFormat="1" ht="14">
      <c r="A264" s="531"/>
      <c r="B264" s="530"/>
      <c r="C264" s="530"/>
      <c r="E264" s="580"/>
      <c r="H264" s="580"/>
    </row>
    <row r="265" spans="1:14" s="529" customFormat="1" ht="14">
      <c r="A265" s="530"/>
      <c r="B265" s="530"/>
      <c r="C265" s="530"/>
      <c r="E265" s="530"/>
    </row>
  </sheetData>
  <mergeCells count="114">
    <mergeCell ref="A183:A185"/>
    <mergeCell ref="B183:B185"/>
    <mergeCell ref="B230:B232"/>
    <mergeCell ref="B228:B229"/>
    <mergeCell ref="B225:B227"/>
    <mergeCell ref="B187:B189"/>
    <mergeCell ref="A210:A212"/>
    <mergeCell ref="A167:A168"/>
    <mergeCell ref="B167:B168"/>
    <mergeCell ref="B172:G172"/>
    <mergeCell ref="G183:G185"/>
    <mergeCell ref="F183:F185"/>
    <mergeCell ref="C218:E218"/>
    <mergeCell ref="F187:F189"/>
    <mergeCell ref="G187:G189"/>
    <mergeCell ref="A187:A189"/>
    <mergeCell ref="B210:B212"/>
    <mergeCell ref="G191:G192"/>
    <mergeCell ref="F191:F192"/>
    <mergeCell ref="B201:B203"/>
    <mergeCell ref="B205:B207"/>
    <mergeCell ref="G225:G227"/>
    <mergeCell ref="F225:F227"/>
    <mergeCell ref="A260:A261"/>
    <mergeCell ref="B260:B261"/>
    <mergeCell ref="B256:B257"/>
    <mergeCell ref="B250:B251"/>
    <mergeCell ref="A250:A251"/>
    <mergeCell ref="A247:A249"/>
    <mergeCell ref="B247:B249"/>
    <mergeCell ref="A191:A192"/>
    <mergeCell ref="B191:B192"/>
    <mergeCell ref="A201:A203"/>
    <mergeCell ref="A205:A207"/>
    <mergeCell ref="A256:A257"/>
    <mergeCell ref="B245:B246"/>
    <mergeCell ref="A245:A246"/>
    <mergeCell ref="A243:A244"/>
    <mergeCell ref="B243:B244"/>
    <mergeCell ref="A238:A240"/>
    <mergeCell ref="B238:B240"/>
    <mergeCell ref="A228:A229"/>
    <mergeCell ref="A225:A227"/>
    <mergeCell ref="A230:A232"/>
    <mergeCell ref="A233:A234"/>
    <mergeCell ref="A235:A237"/>
    <mergeCell ref="B235:B237"/>
    <mergeCell ref="B233:B234"/>
    <mergeCell ref="A8:A9"/>
    <mergeCell ref="B8:B9"/>
    <mergeCell ref="B50:B52"/>
    <mergeCell ref="A16:A17"/>
    <mergeCell ref="A14:A15"/>
    <mergeCell ref="A50:A52"/>
    <mergeCell ref="A78:A80"/>
    <mergeCell ref="B78:B80"/>
    <mergeCell ref="B10:B11"/>
    <mergeCell ref="B16:B17"/>
    <mergeCell ref="B14:B15"/>
    <mergeCell ref="B12:B13"/>
    <mergeCell ref="A12:A13"/>
    <mergeCell ref="A10:A11"/>
    <mergeCell ref="B83:B85"/>
    <mergeCell ref="A99:A100"/>
    <mergeCell ref="B99:B100"/>
    <mergeCell ref="B87:B88"/>
    <mergeCell ref="B96:B97"/>
    <mergeCell ref="A96:A97"/>
    <mergeCell ref="A66:A67"/>
    <mergeCell ref="A63:A65"/>
    <mergeCell ref="A59:A61"/>
    <mergeCell ref="G8:G9"/>
    <mergeCell ref="F8:F9"/>
    <mergeCell ref="G12:G13"/>
    <mergeCell ref="G14:G15"/>
    <mergeCell ref="G16:G17"/>
    <mergeCell ref="F16:F17"/>
    <mergeCell ref="F14:F15"/>
    <mergeCell ref="G10:G11"/>
    <mergeCell ref="F10:F11"/>
    <mergeCell ref="F12:F13"/>
    <mergeCell ref="C42:E42"/>
    <mergeCell ref="A105:A106"/>
    <mergeCell ref="B105:B106"/>
    <mergeCell ref="B108:B110"/>
    <mergeCell ref="B66:B67"/>
    <mergeCell ref="B63:B65"/>
    <mergeCell ref="E163:E164"/>
    <mergeCell ref="F18:F19"/>
    <mergeCell ref="G18:G19"/>
    <mergeCell ref="A18:A19"/>
    <mergeCell ref="B18:B19"/>
    <mergeCell ref="B59:B61"/>
    <mergeCell ref="A87:A88"/>
    <mergeCell ref="A83:A85"/>
    <mergeCell ref="A69:A70"/>
    <mergeCell ref="C41:E41"/>
    <mergeCell ref="C40:E40"/>
    <mergeCell ref="A31:A33"/>
    <mergeCell ref="A35:A37"/>
    <mergeCell ref="A38:A39"/>
    <mergeCell ref="B38:B39"/>
    <mergeCell ref="B35:B37"/>
    <mergeCell ref="B31:B33"/>
    <mergeCell ref="B101:B103"/>
    <mergeCell ref="B69:B70"/>
    <mergeCell ref="A101:A103"/>
    <mergeCell ref="M163:M164"/>
    <mergeCell ref="A163:A164"/>
    <mergeCell ref="B163:B164"/>
    <mergeCell ref="C163:C164"/>
    <mergeCell ref="L163:L164"/>
    <mergeCell ref="D163:D164"/>
    <mergeCell ref="A108:A110"/>
  </mergeCells>
  <phoneticPr fontId="139" type="noConversion"/>
  <hyperlinks>
    <hyperlink ref="I6" r:id="rId1" xr:uid="{00000000-0004-0000-0C00-000000000000}"/>
    <hyperlink ref="I26" r:id="rId2" xr:uid="{00000000-0004-0000-0C00-000001000000}"/>
    <hyperlink ref="I49" r:id="rId3" xr:uid="{00000000-0004-0000-0C00-000002000000}"/>
    <hyperlink ref="I78" r:id="rId4" xr:uid="{00000000-0004-0000-0C00-000003000000}"/>
    <hyperlink ref="I119" r:id="rId5" xr:uid="{00000000-0004-0000-0C00-000004000000}"/>
    <hyperlink ref="I158" r:id="rId6" xr:uid="{00000000-0004-0000-0C00-000005000000}"/>
    <hyperlink ref="I166" r:id="rId7" xr:uid="{00000000-0004-0000-0C00-000006000000}"/>
    <hyperlink ref="I181" r:id="rId8" xr:uid="{00000000-0004-0000-0C00-000007000000}"/>
    <hyperlink ref="I199" r:id="rId9" xr:uid="{00000000-0004-0000-0C00-000008000000}"/>
    <hyperlink ref="I225" r:id="rId10" xr:uid="{00000000-0004-0000-0C00-000009000000}"/>
  </hyperlink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228"/>
  <sheetViews>
    <sheetView topLeftCell="A211" workbookViewId="0">
      <selection activeCell="B188" sqref="B188"/>
    </sheetView>
  </sheetViews>
  <sheetFormatPr defaultColWidth="10.83203125" defaultRowHeight="15.5"/>
  <cols>
    <col min="1" max="1" width="9.83203125" style="528" customWidth="1"/>
    <col min="2" max="2" width="39.33203125" style="528" customWidth="1"/>
    <col min="3" max="3" width="14.1640625" style="528" customWidth="1"/>
    <col min="4" max="4" width="15.33203125" style="528" customWidth="1"/>
    <col min="5" max="5" width="14" style="528" bestFit="1" customWidth="1"/>
    <col min="6" max="6" width="22.83203125" style="528" bestFit="1" customWidth="1"/>
    <col min="7" max="7" width="15.83203125" style="528" bestFit="1" customWidth="1"/>
    <col min="8" max="8" width="14" style="528" bestFit="1" customWidth="1"/>
    <col min="9" max="11" width="10.83203125" style="528"/>
    <col min="12" max="12" width="12.1640625" style="528" bestFit="1" customWidth="1"/>
    <col min="13" max="15" width="10.83203125" style="528"/>
    <col min="16" max="16" width="25.5" style="528" bestFit="1" customWidth="1"/>
    <col min="17" max="19" width="0" style="528" hidden="1" customWidth="1"/>
    <col min="20" max="16384" width="10.83203125" style="528"/>
  </cols>
  <sheetData>
    <row r="1" spans="1:19" s="24" customFormat="1" ht="14">
      <c r="B1" s="24" t="s">
        <v>1281</v>
      </c>
    </row>
    <row r="2" spans="1:19" s="24" customFormat="1" ht="14"/>
    <row r="3" spans="1:19" s="530" customFormat="1" ht="14">
      <c r="A3" s="562" t="s">
        <v>106</v>
      </c>
      <c r="B3" s="565" t="s">
        <v>107</v>
      </c>
      <c r="C3" s="564" t="s">
        <v>4</v>
      </c>
      <c r="D3" s="563" t="s">
        <v>108</v>
      </c>
      <c r="E3" s="563" t="s">
        <v>109</v>
      </c>
      <c r="F3" s="562" t="s">
        <v>411</v>
      </c>
      <c r="G3" s="561" t="s">
        <v>950</v>
      </c>
      <c r="H3" s="561" t="s">
        <v>110</v>
      </c>
      <c r="I3" s="561" t="s">
        <v>276</v>
      </c>
      <c r="J3" s="561" t="s">
        <v>117</v>
      </c>
      <c r="K3" s="561" t="s">
        <v>275</v>
      </c>
      <c r="L3" s="562" t="s">
        <v>111</v>
      </c>
      <c r="M3" s="561" t="s">
        <v>949</v>
      </c>
      <c r="N3" s="561" t="s">
        <v>948</v>
      </c>
      <c r="O3" s="561" t="s">
        <v>129</v>
      </c>
      <c r="P3" s="561" t="s">
        <v>220</v>
      </c>
      <c r="Q3" s="537" t="s">
        <v>947</v>
      </c>
      <c r="R3" s="537" t="s">
        <v>946</v>
      </c>
      <c r="S3" s="560" t="s">
        <v>945</v>
      </c>
    </row>
    <row r="4" spans="1:19" s="547" customFormat="1" ht="14">
      <c r="A4" s="554">
        <v>253</v>
      </c>
      <c r="B4" s="559" t="s">
        <v>889</v>
      </c>
      <c r="C4" s="558" t="s">
        <v>890</v>
      </c>
      <c r="D4" s="555">
        <v>6.7633999999999999</v>
      </c>
      <c r="E4" s="555">
        <v>6.7633998670000004</v>
      </c>
      <c r="F4" s="557" t="s">
        <v>1094</v>
      </c>
      <c r="G4" s="555">
        <v>27.72</v>
      </c>
      <c r="H4" s="555">
        <v>23.4</v>
      </c>
      <c r="I4" s="555">
        <f>H4/G4</f>
        <v>0.8441558441558441</v>
      </c>
      <c r="J4" s="555">
        <v>25.7</v>
      </c>
      <c r="K4" s="555">
        <f>J4/G4</f>
        <v>0.92712842712842713</v>
      </c>
      <c r="L4" s="554">
        <v>5</v>
      </c>
      <c r="M4" s="566">
        <v>43049</v>
      </c>
      <c r="N4" s="555">
        <v>8.66</v>
      </c>
      <c r="O4" s="555">
        <f>(N4*(1+Q4/10)+R4/10)/J4</f>
        <v>0.67782101167315179</v>
      </c>
      <c r="P4" s="553" t="s">
        <v>891</v>
      </c>
      <c r="Q4" s="554" t="str">
        <f>IFERROR(MID(P4,FIND("转",P4)+1,FIND("股",P4)-(FIND("转",P4)+1)),0)</f>
        <v>10</v>
      </c>
      <c r="R4" s="554" t="str">
        <f>IFERROR(MID(P4,FIND("派",P4)+1,FIND("元",P4)-FIND("派",P4)-1),0)</f>
        <v>1</v>
      </c>
      <c r="S4" s="553" t="s">
        <v>892</v>
      </c>
    </row>
    <row r="5" spans="1:19" s="540" customFormat="1" ht="14">
      <c r="A5" s="547"/>
      <c r="B5" s="551" t="s">
        <v>112</v>
      </c>
      <c r="C5" s="551" t="s">
        <v>113</v>
      </c>
      <c r="D5" s="551" t="s">
        <v>943</v>
      </c>
      <c r="E5" s="552" t="s">
        <v>411</v>
      </c>
      <c r="F5" s="552" t="s">
        <v>942</v>
      </c>
      <c r="G5" s="551" t="s">
        <v>231</v>
      </c>
      <c r="H5" s="551" t="s">
        <v>941</v>
      </c>
      <c r="I5" s="549">
        <f>SUM(G6:G17)</f>
        <v>6.7633998670000004</v>
      </c>
      <c r="J5" s="548"/>
      <c r="K5" s="548"/>
      <c r="L5" s="548"/>
      <c r="M5" s="548"/>
      <c r="N5" s="548"/>
    </row>
    <row r="6" spans="1:19" s="540" customFormat="1" ht="14">
      <c r="A6" s="1634">
        <v>1</v>
      </c>
      <c r="B6" s="1627" t="s">
        <v>666</v>
      </c>
      <c r="C6" s="546">
        <v>25.7</v>
      </c>
      <c r="D6" s="546">
        <v>1.53</v>
      </c>
      <c r="E6" s="544"/>
      <c r="F6" s="1624">
        <v>522.72379999999998</v>
      </c>
      <c r="G6" s="1624">
        <v>1.3434001659999999</v>
      </c>
      <c r="H6" s="543" t="s">
        <v>126</v>
      </c>
      <c r="I6" s="138" t="s">
        <v>1230</v>
      </c>
      <c r="J6" s="541"/>
      <c r="K6" s="541"/>
      <c r="L6" s="541"/>
      <c r="M6" s="541"/>
      <c r="N6" s="541"/>
    </row>
    <row r="7" spans="1:19" s="540" customFormat="1" ht="14">
      <c r="A7" s="1634"/>
      <c r="B7" s="1628"/>
      <c r="C7" s="546">
        <v>25</v>
      </c>
      <c r="D7" s="546">
        <v>1.74</v>
      </c>
      <c r="E7" s="544"/>
      <c r="F7" s="1626"/>
      <c r="G7" s="1626"/>
      <c r="H7" s="543"/>
      <c r="I7" s="542"/>
      <c r="J7" s="541"/>
      <c r="K7" s="541"/>
      <c r="L7" s="541"/>
      <c r="M7" s="541"/>
      <c r="N7" s="541"/>
    </row>
    <row r="8" spans="1:19" s="540" customFormat="1" ht="14">
      <c r="A8" s="1634"/>
      <c r="B8" s="1629"/>
      <c r="C8" s="546">
        <v>23.4</v>
      </c>
      <c r="D8" s="546">
        <v>2.0449999999999999</v>
      </c>
      <c r="E8" s="544"/>
      <c r="F8" s="1625"/>
      <c r="G8" s="1625"/>
      <c r="H8" s="543"/>
      <c r="I8" s="542"/>
      <c r="J8" s="541"/>
      <c r="K8" s="541"/>
      <c r="L8" s="541"/>
      <c r="M8" s="541"/>
      <c r="N8" s="541"/>
    </row>
    <row r="9" spans="1:19" s="540" customFormat="1" ht="14">
      <c r="A9" s="1634">
        <v>2</v>
      </c>
      <c r="B9" s="1627" t="s">
        <v>115</v>
      </c>
      <c r="C9" s="546">
        <v>26.32</v>
      </c>
      <c r="D9" s="546">
        <v>1.49</v>
      </c>
      <c r="E9" s="544"/>
      <c r="F9" s="1624">
        <v>571.98440000000005</v>
      </c>
      <c r="G9" s="1624">
        <v>1.4699999080000001</v>
      </c>
      <c r="H9" s="543"/>
      <c r="I9" s="542"/>
      <c r="J9" s="541"/>
      <c r="K9" s="541"/>
      <c r="L9" s="541"/>
      <c r="M9" s="541"/>
      <c r="N9" s="541"/>
    </row>
    <row r="10" spans="1:19" s="540" customFormat="1" ht="14">
      <c r="A10" s="1634"/>
      <c r="B10" s="1628"/>
      <c r="C10" s="546">
        <v>25.1</v>
      </c>
      <c r="D10" s="546">
        <v>3.73</v>
      </c>
      <c r="E10" s="544"/>
      <c r="F10" s="1626"/>
      <c r="G10" s="1626"/>
      <c r="H10" s="543"/>
      <c r="I10" s="542"/>
      <c r="J10" s="541"/>
      <c r="K10" s="541"/>
      <c r="L10" s="541"/>
      <c r="M10" s="541"/>
      <c r="N10" s="541"/>
    </row>
    <row r="11" spans="1:19" s="540" customFormat="1" ht="14">
      <c r="A11" s="1634"/>
      <c r="B11" s="1629"/>
      <c r="C11" s="546">
        <v>23.56</v>
      </c>
      <c r="D11" s="546">
        <v>4.71</v>
      </c>
      <c r="E11" s="544"/>
      <c r="F11" s="1625"/>
      <c r="G11" s="1625"/>
      <c r="H11" s="543"/>
      <c r="I11" s="542"/>
      <c r="J11" s="541"/>
      <c r="K11" s="541"/>
      <c r="L11" s="541"/>
      <c r="M11" s="541"/>
      <c r="N11" s="541"/>
    </row>
    <row r="12" spans="1:19" s="540" customFormat="1" ht="14">
      <c r="A12" s="547">
        <v>3</v>
      </c>
      <c r="B12" s="554" t="s">
        <v>954</v>
      </c>
      <c r="C12" s="546">
        <v>27.82</v>
      </c>
      <c r="D12" s="546">
        <v>1.45</v>
      </c>
      <c r="E12" s="544"/>
      <c r="F12" s="546">
        <v>564.20230000000004</v>
      </c>
      <c r="G12" s="546">
        <v>1.4499999110000001</v>
      </c>
      <c r="H12" s="543"/>
      <c r="I12" s="542"/>
      <c r="J12" s="541"/>
      <c r="K12" s="541"/>
      <c r="L12" s="541"/>
      <c r="M12" s="541"/>
      <c r="N12" s="541"/>
    </row>
    <row r="13" spans="1:19" s="540" customFormat="1" ht="14">
      <c r="A13" s="547">
        <v>4</v>
      </c>
      <c r="B13" s="554" t="s">
        <v>300</v>
      </c>
      <c r="C13" s="546">
        <v>24.12</v>
      </c>
      <c r="D13" s="546">
        <v>1.45</v>
      </c>
      <c r="E13" s="544"/>
      <c r="F13" s="546"/>
      <c r="G13" s="546"/>
      <c r="H13" s="543"/>
      <c r="I13" s="542"/>
      <c r="J13" s="541"/>
      <c r="K13" s="541"/>
      <c r="L13" s="541"/>
      <c r="M13" s="541"/>
      <c r="N13" s="541"/>
    </row>
    <row r="14" spans="1:19" s="540" customFormat="1" ht="14">
      <c r="A14" s="547">
        <v>5</v>
      </c>
      <c r="B14" s="554" t="s">
        <v>146</v>
      </c>
      <c r="C14" s="546">
        <v>24.7</v>
      </c>
      <c r="D14" s="546">
        <v>1.61</v>
      </c>
      <c r="E14" s="544"/>
      <c r="F14" s="546"/>
      <c r="G14" s="546"/>
      <c r="H14" s="543"/>
      <c r="I14" s="542"/>
      <c r="J14" s="541"/>
      <c r="K14" s="541"/>
      <c r="L14" s="541"/>
      <c r="M14" s="541"/>
      <c r="N14" s="541"/>
    </row>
    <row r="15" spans="1:19" s="540" customFormat="1" ht="14">
      <c r="A15" s="547">
        <v>6</v>
      </c>
      <c r="B15" s="554" t="s">
        <v>951</v>
      </c>
      <c r="C15" s="546">
        <v>27.88</v>
      </c>
      <c r="D15" s="546">
        <v>1.5</v>
      </c>
      <c r="E15" s="544"/>
      <c r="F15" s="546">
        <v>583.65750000000003</v>
      </c>
      <c r="G15" s="546">
        <v>1.499999775</v>
      </c>
      <c r="H15" s="543"/>
      <c r="I15" s="542"/>
      <c r="J15" s="541"/>
      <c r="K15" s="541"/>
      <c r="L15" s="541"/>
      <c r="M15" s="541"/>
      <c r="N15" s="541"/>
    </row>
    <row r="16" spans="1:19" s="540" customFormat="1" ht="14">
      <c r="A16" s="547">
        <v>7</v>
      </c>
      <c r="B16" s="554" t="s">
        <v>138</v>
      </c>
      <c r="C16" s="546">
        <v>23.83</v>
      </c>
      <c r="D16" s="546">
        <v>1.6</v>
      </c>
      <c r="E16" s="544"/>
      <c r="F16" s="546"/>
      <c r="G16" s="546"/>
      <c r="H16" s="543"/>
      <c r="I16" s="542"/>
      <c r="J16" s="541"/>
      <c r="K16" s="541"/>
      <c r="L16" s="541"/>
      <c r="M16" s="541"/>
      <c r="N16" s="541"/>
    </row>
    <row r="17" spans="1:19" s="540" customFormat="1" ht="14">
      <c r="A17" s="547">
        <v>8</v>
      </c>
      <c r="B17" s="554" t="s">
        <v>1229</v>
      </c>
      <c r="C17" s="1658" t="s">
        <v>989</v>
      </c>
      <c r="D17" s="1659"/>
      <c r="E17" s="544"/>
      <c r="F17" s="546">
        <v>389.10509999999999</v>
      </c>
      <c r="G17" s="546">
        <v>1.000000107</v>
      </c>
      <c r="H17" s="543"/>
      <c r="I17" s="542"/>
      <c r="J17" s="541"/>
      <c r="K17" s="541"/>
      <c r="L17" s="541"/>
      <c r="M17" s="541"/>
      <c r="N17" s="541"/>
    </row>
    <row r="18" spans="1:19" s="529" customFormat="1" ht="14">
      <c r="A18" s="530"/>
      <c r="B18" s="530"/>
      <c r="C18" s="530"/>
      <c r="E18" s="533"/>
      <c r="F18" s="602"/>
      <c r="G18" s="532"/>
    </row>
    <row r="19" spans="1:19" s="529" customFormat="1" ht="14">
      <c r="A19" s="530"/>
      <c r="B19" s="530"/>
      <c r="C19" s="530"/>
      <c r="E19" s="533"/>
    </row>
    <row r="20" spans="1:19" s="529" customFormat="1" ht="14">
      <c r="A20" s="531"/>
      <c r="B20" s="530"/>
      <c r="C20" s="530"/>
      <c r="E20" s="530"/>
    </row>
    <row r="21" spans="1:19" s="530" customFormat="1" ht="14">
      <c r="A21" s="562" t="s">
        <v>106</v>
      </c>
      <c r="B21" s="565" t="s">
        <v>107</v>
      </c>
      <c r="C21" s="564" t="s">
        <v>4</v>
      </c>
      <c r="D21" s="563" t="s">
        <v>108</v>
      </c>
      <c r="E21" s="563" t="s">
        <v>109</v>
      </c>
      <c r="F21" s="562" t="s">
        <v>411</v>
      </c>
      <c r="G21" s="561" t="s">
        <v>950</v>
      </c>
      <c r="H21" s="561" t="s">
        <v>110</v>
      </c>
      <c r="I21" s="561" t="s">
        <v>276</v>
      </c>
      <c r="J21" s="561" t="s">
        <v>117</v>
      </c>
      <c r="K21" s="561" t="s">
        <v>275</v>
      </c>
      <c r="L21" s="562" t="s">
        <v>111</v>
      </c>
      <c r="M21" s="561" t="s">
        <v>949</v>
      </c>
      <c r="N21" s="561" t="s">
        <v>948</v>
      </c>
      <c r="O21" s="561" t="s">
        <v>129</v>
      </c>
      <c r="P21" s="561" t="s">
        <v>220</v>
      </c>
      <c r="Q21" s="537" t="s">
        <v>947</v>
      </c>
      <c r="R21" s="537" t="s">
        <v>946</v>
      </c>
      <c r="S21" s="560" t="s">
        <v>945</v>
      </c>
    </row>
    <row r="22" spans="1:19" s="547" customFormat="1" ht="14">
      <c r="A22" s="554">
        <v>254</v>
      </c>
      <c r="B22" s="559" t="s">
        <v>893</v>
      </c>
      <c r="C22" s="558" t="s">
        <v>894</v>
      </c>
      <c r="D22" s="555">
        <v>5.5</v>
      </c>
      <c r="E22" s="555">
        <v>5.4999999400000004</v>
      </c>
      <c r="F22" s="557" t="s">
        <v>1224</v>
      </c>
      <c r="G22" s="555">
        <v>38.15</v>
      </c>
      <c r="H22" s="555">
        <v>35.46</v>
      </c>
      <c r="I22" s="555">
        <f>H22/G22</f>
        <v>0.92948885976408913</v>
      </c>
      <c r="J22" s="555">
        <v>36.200000000000003</v>
      </c>
      <c r="K22" s="555">
        <f>J22/G22</f>
        <v>0.94888597640891226</v>
      </c>
      <c r="L22" s="554">
        <v>5</v>
      </c>
      <c r="M22" s="566">
        <v>43041</v>
      </c>
      <c r="N22" s="555">
        <v>17.91</v>
      </c>
      <c r="O22" s="555">
        <f>(N22*(1+Q22/10)+R22/10)/J22</f>
        <v>1.239199465801105</v>
      </c>
      <c r="P22" s="553" t="s">
        <v>895</v>
      </c>
      <c r="Q22" s="554" t="str">
        <f>IFERROR(MID(P22,FIND("转",P22)+1,FIND("股",P22)-(FIND("转",P22)+1)),0)</f>
        <v>15.013382</v>
      </c>
      <c r="R22" s="554" t="str">
        <f>IFERROR(MID(P22,FIND("派",P22)+1,FIND("元",P22)-FIND("派",P22)-1),0)</f>
        <v>0.600535</v>
      </c>
      <c r="S22" s="633" t="s">
        <v>896</v>
      </c>
    </row>
    <row r="23" spans="1:19" s="540" customFormat="1" ht="14">
      <c r="A23" s="547"/>
      <c r="B23" s="551" t="s">
        <v>112</v>
      </c>
      <c r="C23" s="551" t="s">
        <v>113</v>
      </c>
      <c r="D23" s="551" t="s">
        <v>943</v>
      </c>
      <c r="E23" s="552" t="s">
        <v>411</v>
      </c>
      <c r="F23" s="552" t="s">
        <v>942</v>
      </c>
      <c r="G23" s="551" t="s">
        <v>231</v>
      </c>
      <c r="H23" s="551" t="s">
        <v>941</v>
      </c>
      <c r="I23" s="549">
        <f>SUM(G24:G28)</f>
        <v>5.4999999400000004</v>
      </c>
      <c r="J23" s="548"/>
      <c r="K23" s="548"/>
      <c r="L23" s="548"/>
      <c r="M23" s="548"/>
      <c r="N23" s="548"/>
    </row>
    <row r="24" spans="1:19" s="540" customFormat="1" ht="14">
      <c r="A24" s="547">
        <v>1</v>
      </c>
      <c r="B24" s="554" t="s">
        <v>1228</v>
      </c>
      <c r="C24" s="546">
        <v>38</v>
      </c>
      <c r="D24" s="546">
        <v>1.1000000000000001</v>
      </c>
      <c r="E24" s="544"/>
      <c r="F24" s="546">
        <v>303.86739999999998</v>
      </c>
      <c r="G24" s="546">
        <v>1.099999988</v>
      </c>
      <c r="H24" s="543" t="s">
        <v>126</v>
      </c>
      <c r="I24" s="138" t="s">
        <v>1227</v>
      </c>
      <c r="J24" s="541"/>
      <c r="K24" s="541"/>
      <c r="L24" s="541"/>
      <c r="M24" s="541"/>
      <c r="N24" s="541"/>
    </row>
    <row r="25" spans="1:19" s="540" customFormat="1" ht="14">
      <c r="A25" s="547">
        <v>2</v>
      </c>
      <c r="B25" s="554" t="s">
        <v>982</v>
      </c>
      <c r="C25" s="546">
        <v>36.29</v>
      </c>
      <c r="D25" s="546">
        <v>1.1000000000000001</v>
      </c>
      <c r="E25" s="544"/>
      <c r="F25" s="546">
        <v>303.86739999999998</v>
      </c>
      <c r="G25" s="546">
        <v>1.099999988</v>
      </c>
      <c r="H25" s="543"/>
      <c r="I25" s="542"/>
      <c r="J25" s="541"/>
      <c r="K25" s="541"/>
      <c r="L25" s="541"/>
      <c r="M25" s="541"/>
      <c r="N25" s="541"/>
    </row>
    <row r="26" spans="1:19" s="540" customFormat="1" ht="14">
      <c r="A26" s="547">
        <v>3</v>
      </c>
      <c r="B26" s="554" t="s">
        <v>115</v>
      </c>
      <c r="C26" s="546">
        <v>36.200000000000003</v>
      </c>
      <c r="D26" s="546">
        <v>1.1000000000000001</v>
      </c>
      <c r="E26" s="544"/>
      <c r="F26" s="546">
        <v>303.86739999999998</v>
      </c>
      <c r="G26" s="546">
        <v>1.099999988</v>
      </c>
      <c r="H26" s="543"/>
      <c r="I26" s="542"/>
      <c r="J26" s="541"/>
      <c r="K26" s="541"/>
      <c r="L26" s="541"/>
      <c r="M26" s="541"/>
      <c r="N26" s="541"/>
    </row>
    <row r="27" spans="1:19" s="540" customFormat="1" ht="14">
      <c r="A27" s="547">
        <v>4</v>
      </c>
      <c r="B27" s="554" t="s">
        <v>285</v>
      </c>
      <c r="C27" s="546">
        <v>38.17</v>
      </c>
      <c r="D27" s="546">
        <v>1.1000000000000001</v>
      </c>
      <c r="E27" s="544"/>
      <c r="F27" s="546">
        <v>303.86739999999998</v>
      </c>
      <c r="G27" s="546">
        <v>1.099999988</v>
      </c>
      <c r="H27" s="543"/>
      <c r="I27" s="542"/>
      <c r="J27" s="541"/>
      <c r="K27" s="541"/>
      <c r="L27" s="541"/>
      <c r="M27" s="541"/>
      <c r="N27" s="541"/>
    </row>
    <row r="28" spans="1:19" s="540" customFormat="1" ht="14">
      <c r="A28" s="547">
        <v>5</v>
      </c>
      <c r="B28" s="554" t="s">
        <v>1226</v>
      </c>
      <c r="C28" s="1658" t="s">
        <v>989</v>
      </c>
      <c r="D28" s="1659"/>
      <c r="E28" s="544"/>
      <c r="F28" s="546">
        <v>303.86739999999998</v>
      </c>
      <c r="G28" s="546">
        <v>1.099999988</v>
      </c>
      <c r="H28" s="543"/>
      <c r="I28" s="542"/>
      <c r="J28" s="541"/>
      <c r="K28" s="541"/>
      <c r="L28" s="541"/>
      <c r="M28" s="541"/>
      <c r="N28" s="541"/>
    </row>
    <row r="29" spans="1:19" s="529" customFormat="1" ht="14">
      <c r="A29" s="531"/>
      <c r="B29" s="530"/>
      <c r="C29" s="530"/>
      <c r="E29" s="580"/>
    </row>
    <row r="30" spans="1:19" s="529" customFormat="1" ht="14">
      <c r="A30" s="530"/>
      <c r="B30" s="530"/>
      <c r="C30" s="530"/>
      <c r="E30" s="533"/>
    </row>
    <row r="31" spans="1:19" s="529" customFormat="1" ht="14">
      <c r="A31" s="530"/>
      <c r="B31" s="530"/>
      <c r="C31" s="530"/>
      <c r="E31" s="533"/>
    </row>
    <row r="32" spans="1:19" s="530" customFormat="1" ht="14">
      <c r="A32" s="562" t="s">
        <v>106</v>
      </c>
      <c r="B32" s="565" t="s">
        <v>107</v>
      </c>
      <c r="C32" s="564" t="s">
        <v>4</v>
      </c>
      <c r="D32" s="563" t="s">
        <v>108</v>
      </c>
      <c r="E32" s="563" t="s">
        <v>109</v>
      </c>
      <c r="F32" s="562" t="s">
        <v>411</v>
      </c>
      <c r="G32" s="561" t="s">
        <v>950</v>
      </c>
      <c r="H32" s="561" t="s">
        <v>110</v>
      </c>
      <c r="I32" s="561" t="s">
        <v>276</v>
      </c>
      <c r="J32" s="561" t="s">
        <v>117</v>
      </c>
      <c r="K32" s="561" t="s">
        <v>275</v>
      </c>
      <c r="L32" s="562" t="s">
        <v>111</v>
      </c>
      <c r="M32" s="561" t="s">
        <v>949</v>
      </c>
      <c r="N32" s="561" t="s">
        <v>948</v>
      </c>
      <c r="O32" s="561" t="s">
        <v>129</v>
      </c>
      <c r="P32" s="561" t="s">
        <v>220</v>
      </c>
      <c r="Q32" s="537" t="s">
        <v>947</v>
      </c>
      <c r="R32" s="537" t="s">
        <v>946</v>
      </c>
      <c r="S32" s="560" t="s">
        <v>945</v>
      </c>
    </row>
    <row r="33" spans="1:19" s="547" customFormat="1" ht="14">
      <c r="A33" s="554">
        <v>255</v>
      </c>
      <c r="B33" s="559" t="s">
        <v>897</v>
      </c>
      <c r="C33" s="558" t="s">
        <v>898</v>
      </c>
      <c r="D33" s="555">
        <v>31.706045</v>
      </c>
      <c r="E33" s="555">
        <v>19.029999835000002</v>
      </c>
      <c r="F33" s="557" t="s">
        <v>988</v>
      </c>
      <c r="G33" s="555">
        <v>45.96</v>
      </c>
      <c r="H33" s="555">
        <v>46.75</v>
      </c>
      <c r="I33" s="555">
        <f>H33/G33</f>
        <v>1.0171888598781549</v>
      </c>
      <c r="J33" s="555">
        <v>46.75</v>
      </c>
      <c r="K33" s="555">
        <f>J33/G33</f>
        <v>1.0171888598781549</v>
      </c>
      <c r="L33" s="554">
        <v>2</v>
      </c>
      <c r="M33" s="566">
        <v>43045</v>
      </c>
      <c r="N33" s="555">
        <v>23.2</v>
      </c>
      <c r="O33" s="555">
        <f>(N33*(1+Q33/10)+R33/10)/J33</f>
        <v>0.99679144385026741</v>
      </c>
      <c r="P33" s="553" t="s">
        <v>899</v>
      </c>
      <c r="Q33" s="554" t="str">
        <f>IFERROR(MID(P33,FIND("转",P33)+1,FIND("股",P33)-(FIND("转",P33)+1)),0)</f>
        <v>10</v>
      </c>
      <c r="R33" s="554">
        <v>2</v>
      </c>
      <c r="S33" s="553"/>
    </row>
    <row r="34" spans="1:19" s="540" customFormat="1" ht="14">
      <c r="A34" s="547"/>
      <c r="B34" s="551" t="s">
        <v>112</v>
      </c>
      <c r="C34" s="551" t="s">
        <v>113</v>
      </c>
      <c r="D34" s="551" t="s">
        <v>943</v>
      </c>
      <c r="E34" s="552" t="s">
        <v>411</v>
      </c>
      <c r="F34" s="552" t="s">
        <v>942</v>
      </c>
      <c r="G34" s="551" t="s">
        <v>231</v>
      </c>
      <c r="H34" s="551" t="s">
        <v>941</v>
      </c>
      <c r="I34" s="549">
        <f>SUM(G35:G37)</f>
        <v>19.029999834999998</v>
      </c>
      <c r="J34" s="548"/>
      <c r="K34" s="548"/>
      <c r="L34" s="548"/>
      <c r="M34" s="548"/>
      <c r="N34" s="548"/>
    </row>
    <row r="35" spans="1:19" s="540" customFormat="1" ht="14">
      <c r="A35" s="547">
        <v>1</v>
      </c>
      <c r="B35" s="554" t="s">
        <v>371</v>
      </c>
      <c r="C35" s="546">
        <v>46.75</v>
      </c>
      <c r="D35" s="546">
        <v>12.68</v>
      </c>
      <c r="E35" s="544"/>
      <c r="F35" s="546"/>
      <c r="G35" s="546"/>
      <c r="H35" s="543" t="s">
        <v>126</v>
      </c>
      <c r="I35" s="138" t="s">
        <v>1225</v>
      </c>
      <c r="J35" s="541"/>
      <c r="K35" s="541"/>
      <c r="L35" s="541"/>
      <c r="M35" s="541"/>
      <c r="N35" s="541"/>
    </row>
    <row r="36" spans="1:19" s="540" customFormat="1" ht="14">
      <c r="A36" s="547">
        <v>2</v>
      </c>
      <c r="B36" s="554" t="s">
        <v>960</v>
      </c>
      <c r="C36" s="546">
        <v>46.76</v>
      </c>
      <c r="D36" s="546">
        <v>12.69</v>
      </c>
      <c r="E36" s="544"/>
      <c r="F36" s="546">
        <v>2714.3850000000002</v>
      </c>
      <c r="G36" s="546">
        <v>12.6899999875</v>
      </c>
      <c r="H36" s="543"/>
      <c r="I36" s="542"/>
      <c r="J36" s="541"/>
      <c r="K36" s="541"/>
      <c r="L36" s="541"/>
      <c r="M36" s="541"/>
      <c r="N36" s="541"/>
    </row>
    <row r="37" spans="1:19" s="540" customFormat="1" ht="14">
      <c r="A37" s="547">
        <v>3</v>
      </c>
      <c r="B37" s="554" t="s">
        <v>336</v>
      </c>
      <c r="C37" s="546">
        <v>46.76</v>
      </c>
      <c r="D37" s="546">
        <v>6.34</v>
      </c>
      <c r="E37" s="544"/>
      <c r="F37" s="546">
        <v>1356.1496999999999</v>
      </c>
      <c r="G37" s="546">
        <v>6.3399998474999997</v>
      </c>
      <c r="H37" s="543"/>
      <c r="I37" s="542"/>
      <c r="J37" s="541"/>
      <c r="K37" s="541"/>
      <c r="L37" s="541"/>
      <c r="M37" s="541"/>
      <c r="N37" s="541"/>
    </row>
    <row r="38" spans="1:19" s="529" customFormat="1" ht="14">
      <c r="A38" s="530"/>
      <c r="B38" s="530"/>
      <c r="C38" s="530"/>
      <c r="E38" s="533"/>
    </row>
    <row r="39" spans="1:19" s="529" customFormat="1" ht="14">
      <c r="A39" s="530"/>
      <c r="B39" s="530"/>
      <c r="C39" s="530"/>
      <c r="E39" s="580"/>
    </row>
    <row r="40" spans="1:19" s="529" customFormat="1" ht="14">
      <c r="A40" s="530"/>
      <c r="B40" s="530"/>
      <c r="C40" s="530"/>
      <c r="E40" s="533"/>
      <c r="F40" s="617"/>
    </row>
    <row r="41" spans="1:19" s="530" customFormat="1" ht="14">
      <c r="A41" s="562" t="s">
        <v>106</v>
      </c>
      <c r="B41" s="565" t="s">
        <v>107</v>
      </c>
      <c r="C41" s="564" t="s">
        <v>4</v>
      </c>
      <c r="D41" s="563" t="s">
        <v>108</v>
      </c>
      <c r="E41" s="563" t="s">
        <v>109</v>
      </c>
      <c r="F41" s="562" t="s">
        <v>411</v>
      </c>
      <c r="G41" s="561" t="s">
        <v>950</v>
      </c>
      <c r="H41" s="561" t="s">
        <v>110</v>
      </c>
      <c r="I41" s="561" t="s">
        <v>276</v>
      </c>
      <c r="J41" s="561" t="s">
        <v>117</v>
      </c>
      <c r="K41" s="561" t="s">
        <v>275</v>
      </c>
      <c r="L41" s="562" t="s">
        <v>111</v>
      </c>
      <c r="M41" s="561" t="s">
        <v>949</v>
      </c>
      <c r="N41" s="561" t="s">
        <v>948</v>
      </c>
      <c r="O41" s="561" t="s">
        <v>129</v>
      </c>
      <c r="P41" s="561" t="s">
        <v>220</v>
      </c>
      <c r="Q41" s="537" t="s">
        <v>947</v>
      </c>
      <c r="R41" s="537" t="s">
        <v>946</v>
      </c>
      <c r="S41" s="560" t="s">
        <v>945</v>
      </c>
    </row>
    <row r="42" spans="1:19" s="547" customFormat="1" ht="14">
      <c r="A42" s="554">
        <v>256</v>
      </c>
      <c r="B42" s="559" t="s">
        <v>900</v>
      </c>
      <c r="C42" s="558" t="s">
        <v>901</v>
      </c>
      <c r="D42" s="555">
        <v>45</v>
      </c>
      <c r="E42" s="555">
        <v>44.999999988299997</v>
      </c>
      <c r="F42" s="557" t="s">
        <v>1224</v>
      </c>
      <c r="G42" s="555">
        <v>4.3899999999999997</v>
      </c>
      <c r="H42" s="555">
        <v>3.63</v>
      </c>
      <c r="I42" s="555">
        <f>H42/G42</f>
        <v>0.8268792710706151</v>
      </c>
      <c r="J42" s="555">
        <v>4.41</v>
      </c>
      <c r="K42" s="555">
        <f>J42/G42</f>
        <v>1.0045558086560364</v>
      </c>
      <c r="L42" s="554">
        <v>3</v>
      </c>
      <c r="M42" s="566">
        <v>43042</v>
      </c>
      <c r="N42" s="555">
        <v>4.6500000000000004</v>
      </c>
      <c r="O42" s="555">
        <f>(N42*(1+Q42/10)+R42/10)/J42</f>
        <v>1.0997732426303857</v>
      </c>
      <c r="P42" s="553" t="s">
        <v>268</v>
      </c>
      <c r="Q42" s="554">
        <f>IFERROR(MID(P42,FIND("转",P42)+1,FIND("股",P42)-(FIND("转",P42)+1)),0)</f>
        <v>0</v>
      </c>
      <c r="R42" s="554" t="str">
        <f>IFERROR(MID(P42,FIND("派",P42)+1,FIND("元",P42)-FIND("派",P42)-1),0)</f>
        <v>2.00</v>
      </c>
      <c r="S42" s="553"/>
    </row>
    <row r="43" spans="1:19" s="540" customFormat="1" ht="14">
      <c r="A43" s="547"/>
      <c r="B43" s="551" t="s">
        <v>112</v>
      </c>
      <c r="C43" s="551" t="s">
        <v>113</v>
      </c>
      <c r="D43" s="551" t="s">
        <v>943</v>
      </c>
      <c r="E43" s="552" t="s">
        <v>411</v>
      </c>
      <c r="F43" s="552" t="s">
        <v>942</v>
      </c>
      <c r="G43" s="551" t="s">
        <v>231</v>
      </c>
      <c r="H43" s="551" t="s">
        <v>941</v>
      </c>
      <c r="I43" s="549">
        <f>SUM(G44:G57)</f>
        <v>44.999999988300004</v>
      </c>
      <c r="J43" s="548"/>
      <c r="K43" s="548"/>
      <c r="L43" s="548"/>
      <c r="M43" s="548"/>
      <c r="N43" s="548"/>
    </row>
    <row r="44" spans="1:19" s="540" customFormat="1" ht="14">
      <c r="A44" s="547">
        <v>1</v>
      </c>
      <c r="B44" s="554" t="s">
        <v>1223</v>
      </c>
      <c r="C44" s="546">
        <v>3.75</v>
      </c>
      <c r="D44" s="546">
        <v>4.5</v>
      </c>
      <c r="E44" s="544"/>
      <c r="F44" s="546"/>
      <c r="G44" s="546"/>
      <c r="H44" s="543" t="s">
        <v>126</v>
      </c>
      <c r="I44" s="138" t="s">
        <v>1222</v>
      </c>
      <c r="J44" s="541"/>
      <c r="K44" s="541"/>
      <c r="L44" s="541"/>
      <c r="M44" s="541"/>
      <c r="N44" s="541"/>
    </row>
    <row r="45" spans="1:19" s="540" customFormat="1" ht="14">
      <c r="A45" s="547">
        <v>2</v>
      </c>
      <c r="B45" s="554" t="s">
        <v>1221</v>
      </c>
      <c r="C45" s="546">
        <v>3.7</v>
      </c>
      <c r="D45" s="546">
        <v>4.5</v>
      </c>
      <c r="E45" s="544"/>
      <c r="F45" s="546"/>
      <c r="G45" s="546"/>
      <c r="H45" s="543"/>
      <c r="I45" s="542"/>
      <c r="J45" s="541"/>
      <c r="K45" s="541"/>
      <c r="L45" s="541"/>
      <c r="M45" s="541"/>
      <c r="N45" s="541"/>
    </row>
    <row r="46" spans="1:19" s="540" customFormat="1" ht="14">
      <c r="A46" s="547">
        <v>3</v>
      </c>
      <c r="B46" s="554" t="s">
        <v>156</v>
      </c>
      <c r="C46" s="546">
        <v>4.9800000000000004</v>
      </c>
      <c r="D46" s="546">
        <v>4.5</v>
      </c>
      <c r="E46" s="544"/>
      <c r="F46" s="546">
        <v>10204.0816</v>
      </c>
      <c r="G46" s="546">
        <v>4.4999999855999997</v>
      </c>
      <c r="H46" s="543"/>
      <c r="I46" s="542"/>
      <c r="J46" s="541"/>
      <c r="K46" s="541"/>
      <c r="L46" s="541"/>
      <c r="M46" s="541"/>
      <c r="N46" s="541"/>
    </row>
    <row r="47" spans="1:19" s="540" customFormat="1" ht="14">
      <c r="A47" s="547">
        <v>4</v>
      </c>
      <c r="B47" s="554" t="s">
        <v>283</v>
      </c>
      <c r="C47" s="546">
        <v>4.42</v>
      </c>
      <c r="D47" s="546">
        <v>10</v>
      </c>
      <c r="E47" s="544"/>
      <c r="F47" s="546"/>
      <c r="G47" s="546"/>
      <c r="H47" s="543"/>
      <c r="I47" s="542"/>
      <c r="J47" s="541"/>
      <c r="K47" s="541"/>
      <c r="L47" s="541"/>
      <c r="M47" s="541"/>
      <c r="N47" s="541"/>
    </row>
    <row r="48" spans="1:19" s="540" customFormat="1" ht="14">
      <c r="A48" s="547">
        <v>5</v>
      </c>
      <c r="B48" s="554" t="s">
        <v>1220</v>
      </c>
      <c r="C48" s="546">
        <v>4.41</v>
      </c>
      <c r="D48" s="546">
        <v>9</v>
      </c>
      <c r="E48" s="544"/>
      <c r="F48" s="546">
        <v>1133.7869000000001</v>
      </c>
      <c r="G48" s="546">
        <v>0.50000002290000001</v>
      </c>
      <c r="H48" s="543"/>
      <c r="I48" s="542"/>
      <c r="J48" s="541"/>
      <c r="K48" s="541"/>
      <c r="L48" s="541"/>
      <c r="M48" s="541"/>
      <c r="N48" s="541"/>
    </row>
    <row r="49" spans="1:19" s="540" customFormat="1" ht="14">
      <c r="A49" s="1634">
        <v>6</v>
      </c>
      <c r="B49" s="1627" t="s">
        <v>1219</v>
      </c>
      <c r="C49" s="546">
        <v>4.0999999999999996</v>
      </c>
      <c r="D49" s="546">
        <v>9</v>
      </c>
      <c r="E49" s="544"/>
      <c r="F49" s="546"/>
      <c r="G49" s="546"/>
      <c r="H49" s="543"/>
      <c r="I49" s="542"/>
      <c r="J49" s="541"/>
      <c r="K49" s="541"/>
      <c r="L49" s="541"/>
      <c r="M49" s="541"/>
      <c r="N49" s="541"/>
    </row>
    <row r="50" spans="1:19" s="540" customFormat="1" ht="14">
      <c r="A50" s="1634"/>
      <c r="B50" s="1628"/>
      <c r="C50" s="546">
        <v>4.0599999999999996</v>
      </c>
      <c r="D50" s="546">
        <v>9</v>
      </c>
      <c r="E50" s="544"/>
      <c r="F50" s="546"/>
      <c r="G50" s="546"/>
      <c r="H50" s="543"/>
      <c r="I50" s="542"/>
      <c r="J50" s="541"/>
      <c r="K50" s="541"/>
      <c r="L50" s="541"/>
      <c r="M50" s="541"/>
      <c r="N50" s="541"/>
    </row>
    <row r="51" spans="1:19" s="540" customFormat="1" ht="14">
      <c r="A51" s="1634"/>
      <c r="B51" s="1629"/>
      <c r="C51" s="546">
        <v>3.64</v>
      </c>
      <c r="D51" s="546">
        <v>9</v>
      </c>
      <c r="E51" s="544"/>
      <c r="F51" s="546"/>
      <c r="G51" s="546"/>
      <c r="H51" s="543"/>
      <c r="I51" s="542"/>
      <c r="J51" s="541"/>
      <c r="K51" s="541"/>
      <c r="L51" s="541"/>
      <c r="M51" s="541"/>
      <c r="N51" s="541"/>
    </row>
    <row r="52" spans="1:19" s="540" customFormat="1" ht="14">
      <c r="A52" s="1634">
        <v>7</v>
      </c>
      <c r="B52" s="1627" t="s">
        <v>115</v>
      </c>
      <c r="C52" s="546">
        <v>3.91</v>
      </c>
      <c r="D52" s="546">
        <v>4.5</v>
      </c>
      <c r="E52" s="544"/>
      <c r="F52" s="546"/>
      <c r="G52" s="546"/>
      <c r="H52" s="543"/>
      <c r="I52" s="542"/>
      <c r="J52" s="541"/>
      <c r="K52" s="541"/>
      <c r="L52" s="541"/>
      <c r="M52" s="541"/>
      <c r="N52" s="541"/>
    </row>
    <row r="53" spans="1:19" s="540" customFormat="1" ht="14">
      <c r="A53" s="1634"/>
      <c r="B53" s="1628"/>
      <c r="C53" s="546">
        <v>3.82</v>
      </c>
      <c r="D53" s="546">
        <v>5.19</v>
      </c>
      <c r="E53" s="544"/>
      <c r="F53" s="546"/>
      <c r="G53" s="546"/>
      <c r="H53" s="543"/>
      <c r="I53" s="542"/>
      <c r="J53" s="541"/>
      <c r="K53" s="541"/>
      <c r="L53" s="541"/>
      <c r="M53" s="541"/>
      <c r="N53" s="541"/>
    </row>
    <row r="54" spans="1:19" s="540" customFormat="1" ht="14">
      <c r="A54" s="1634"/>
      <c r="B54" s="1629"/>
      <c r="C54" s="546">
        <v>3.7</v>
      </c>
      <c r="D54" s="546">
        <v>5.95</v>
      </c>
      <c r="E54" s="544"/>
      <c r="F54" s="546"/>
      <c r="G54" s="546"/>
      <c r="H54" s="543"/>
      <c r="I54" s="542"/>
      <c r="J54" s="541"/>
      <c r="K54" s="541"/>
      <c r="L54" s="541"/>
      <c r="M54" s="541"/>
      <c r="N54" s="541"/>
    </row>
    <row r="55" spans="1:19" s="540" customFormat="1" ht="14">
      <c r="A55" s="547">
        <v>8</v>
      </c>
      <c r="B55" s="554" t="s">
        <v>974</v>
      </c>
      <c r="C55" s="546">
        <v>3.81</v>
      </c>
      <c r="D55" s="546">
        <v>4.6500000000000004</v>
      </c>
      <c r="E55" s="544"/>
      <c r="F55" s="546"/>
      <c r="G55" s="546"/>
      <c r="H55" s="543"/>
      <c r="I55" s="542"/>
      <c r="J55" s="541"/>
      <c r="K55" s="541"/>
      <c r="L55" s="541"/>
      <c r="M55" s="541"/>
      <c r="N55" s="541"/>
    </row>
    <row r="56" spans="1:19" s="540" customFormat="1" ht="14">
      <c r="A56" s="1634">
        <v>9</v>
      </c>
      <c r="B56" s="1627" t="s">
        <v>1218</v>
      </c>
      <c r="C56" s="546">
        <v>5</v>
      </c>
      <c r="D56" s="546">
        <v>30</v>
      </c>
      <c r="E56" s="544"/>
      <c r="F56" s="546">
        <v>90702.947799999994</v>
      </c>
      <c r="G56" s="546">
        <v>39.999999979800002</v>
      </c>
      <c r="H56" s="543"/>
      <c r="I56" s="542"/>
      <c r="J56" s="541"/>
      <c r="K56" s="541"/>
      <c r="L56" s="541"/>
      <c r="M56" s="541"/>
      <c r="N56" s="541"/>
    </row>
    <row r="57" spans="1:19" s="540" customFormat="1" ht="14">
      <c r="A57" s="1634"/>
      <c r="B57" s="1629"/>
      <c r="C57" s="546">
        <v>4.45</v>
      </c>
      <c r="D57" s="546">
        <v>40</v>
      </c>
      <c r="E57" s="544"/>
      <c r="F57" s="546"/>
      <c r="G57" s="546"/>
      <c r="H57" s="543"/>
      <c r="I57" s="542"/>
      <c r="J57" s="541"/>
      <c r="K57" s="541"/>
      <c r="L57" s="541"/>
      <c r="M57" s="541"/>
      <c r="N57" s="541"/>
    </row>
    <row r="58" spans="1:19" s="529" customFormat="1" ht="14">
      <c r="A58" s="530"/>
      <c r="B58" s="530"/>
      <c r="C58" s="530"/>
    </row>
    <row r="59" spans="1:19" s="529" customFormat="1" ht="14">
      <c r="A59" s="531"/>
      <c r="B59" s="530"/>
      <c r="C59" s="530"/>
      <c r="E59" s="580"/>
    </row>
    <row r="60" spans="1:19" s="529" customFormat="1" ht="14">
      <c r="A60" s="530"/>
      <c r="B60" s="530"/>
      <c r="C60" s="530"/>
      <c r="E60" s="533"/>
    </row>
    <row r="61" spans="1:19" s="530" customFormat="1" ht="14">
      <c r="A61" s="562" t="s">
        <v>106</v>
      </c>
      <c r="B61" s="565" t="s">
        <v>107</v>
      </c>
      <c r="C61" s="564" t="s">
        <v>4</v>
      </c>
      <c r="D61" s="563" t="s">
        <v>108</v>
      </c>
      <c r="E61" s="563" t="s">
        <v>109</v>
      </c>
      <c r="F61" s="562" t="s">
        <v>411</v>
      </c>
      <c r="G61" s="561" t="s">
        <v>950</v>
      </c>
      <c r="H61" s="561" t="s">
        <v>110</v>
      </c>
      <c r="I61" s="561" t="s">
        <v>276</v>
      </c>
      <c r="J61" s="561" t="s">
        <v>117</v>
      </c>
      <c r="K61" s="561" t="s">
        <v>275</v>
      </c>
      <c r="L61" s="562" t="s">
        <v>111</v>
      </c>
      <c r="M61" s="561" t="s">
        <v>949</v>
      </c>
      <c r="N61" s="561" t="s">
        <v>948</v>
      </c>
      <c r="O61" s="561" t="s">
        <v>129</v>
      </c>
      <c r="P61" s="561" t="s">
        <v>220</v>
      </c>
      <c r="Q61" s="537" t="s">
        <v>947</v>
      </c>
      <c r="R61" s="537" t="s">
        <v>946</v>
      </c>
      <c r="S61" s="560" t="s">
        <v>945</v>
      </c>
    </row>
    <row r="62" spans="1:19" s="547" customFormat="1" ht="14">
      <c r="A62" s="554">
        <v>257</v>
      </c>
      <c r="B62" s="559" t="s">
        <v>902</v>
      </c>
      <c r="C62" s="558" t="s">
        <v>903</v>
      </c>
      <c r="D62" s="555">
        <v>49</v>
      </c>
      <c r="E62" s="555">
        <v>35.219435627999999</v>
      </c>
      <c r="F62" s="557" t="s">
        <v>1217</v>
      </c>
      <c r="G62" s="555">
        <v>17.329999999999998</v>
      </c>
      <c r="H62" s="555">
        <v>15.71</v>
      </c>
      <c r="I62" s="555">
        <f>H62/G62</f>
        <v>0.90652048470859792</v>
      </c>
      <c r="J62" s="555">
        <v>16.05</v>
      </c>
      <c r="K62" s="555">
        <f>J62/G62</f>
        <v>0.92613964223889222</v>
      </c>
      <c r="L62" s="554">
        <v>8</v>
      </c>
      <c r="M62" s="566">
        <v>43045</v>
      </c>
      <c r="N62" s="555">
        <v>10.98</v>
      </c>
      <c r="O62" s="555">
        <f>(N62*(1+Q62/10)+R62/10)/J62</f>
        <v>0.72149532710280373</v>
      </c>
      <c r="P62" s="553" t="s">
        <v>904</v>
      </c>
      <c r="Q62" s="554">
        <f>IFERROR(MID(P62,FIND("转",P62)+1,FIND("股",P62)-(FIND("转",P62)+1)),0)</f>
        <v>0</v>
      </c>
      <c r="R62" s="554" t="str">
        <f>IFERROR(MID(P62,FIND("派",P62)+1,FIND("元",P62)-FIND("派",P62)-1),0)</f>
        <v>6</v>
      </c>
      <c r="S62" s="553"/>
    </row>
    <row r="63" spans="1:19" s="540" customFormat="1" ht="14">
      <c r="A63" s="547"/>
      <c r="B63" s="551" t="s">
        <v>112</v>
      </c>
      <c r="C63" s="551" t="s">
        <v>113</v>
      </c>
      <c r="D63" s="551" t="s">
        <v>943</v>
      </c>
      <c r="E63" s="552" t="s">
        <v>411</v>
      </c>
      <c r="F63" s="552" t="s">
        <v>942</v>
      </c>
      <c r="G63" s="551" t="s">
        <v>231</v>
      </c>
      <c r="H63" s="551" t="s">
        <v>941</v>
      </c>
      <c r="I63" s="549">
        <f>SUM(G64:G76)</f>
        <v>35.219435627999999</v>
      </c>
      <c r="J63" s="548"/>
      <c r="K63" s="548"/>
      <c r="L63" s="548"/>
      <c r="M63" s="548"/>
      <c r="N63" s="548"/>
    </row>
    <row r="64" spans="1:19" s="540" customFormat="1" ht="14">
      <c r="A64" s="1634">
        <v>1</v>
      </c>
      <c r="B64" s="1627" t="s">
        <v>1059</v>
      </c>
      <c r="C64" s="546">
        <v>18.399999999999999</v>
      </c>
      <c r="D64" s="546">
        <f>0.22*C64</f>
        <v>4.048</v>
      </c>
      <c r="E64" s="544"/>
      <c r="F64" s="1624">
        <v>2200</v>
      </c>
      <c r="G64" s="1624">
        <v>3.5310000000000001</v>
      </c>
      <c r="H64" s="543" t="s">
        <v>126</v>
      </c>
      <c r="I64" s="138" t="s">
        <v>1216</v>
      </c>
      <c r="J64" s="541"/>
      <c r="K64" s="541"/>
      <c r="L64" s="541"/>
      <c r="M64" s="541"/>
      <c r="N64" s="541"/>
    </row>
    <row r="65" spans="1:19" s="540" customFormat="1" ht="14">
      <c r="A65" s="1634"/>
      <c r="B65" s="1628"/>
      <c r="C65" s="546">
        <v>18.079999999999998</v>
      </c>
      <c r="D65" s="546">
        <f>0.22*C65</f>
        <v>3.9775999999999998</v>
      </c>
      <c r="E65" s="544"/>
      <c r="F65" s="1626"/>
      <c r="G65" s="1626"/>
      <c r="H65" s="543"/>
      <c r="I65" s="138"/>
      <c r="J65" s="541"/>
      <c r="K65" s="541"/>
      <c r="L65" s="541"/>
      <c r="M65" s="541"/>
      <c r="N65" s="541"/>
    </row>
    <row r="66" spans="1:19" s="540" customFormat="1" ht="14">
      <c r="A66" s="1634"/>
      <c r="B66" s="1629"/>
      <c r="C66" s="546">
        <v>17.95</v>
      </c>
      <c r="D66" s="546">
        <f>0.22*C66</f>
        <v>3.9489999999999998</v>
      </c>
      <c r="E66" s="544"/>
      <c r="F66" s="1625"/>
      <c r="G66" s="1625"/>
      <c r="H66" s="543"/>
      <c r="I66" s="138"/>
      <c r="J66" s="541"/>
      <c r="K66" s="541"/>
      <c r="L66" s="541"/>
      <c r="M66" s="541"/>
      <c r="N66" s="541"/>
    </row>
    <row r="67" spans="1:19" s="540" customFormat="1" ht="14">
      <c r="A67" s="547">
        <v>2</v>
      </c>
      <c r="B67" s="554" t="s">
        <v>13</v>
      </c>
      <c r="C67" s="546">
        <v>16.100000000000001</v>
      </c>
      <c r="D67" s="546">
        <f>0.22*C67</f>
        <v>3.5420000000000003</v>
      </c>
      <c r="E67" s="544"/>
      <c r="F67" s="546">
        <v>2200</v>
      </c>
      <c r="G67" s="546">
        <v>3.5310000000000001</v>
      </c>
      <c r="H67" s="543"/>
      <c r="I67" s="542"/>
      <c r="J67" s="541"/>
      <c r="K67" s="541"/>
      <c r="L67" s="541"/>
      <c r="M67" s="541"/>
      <c r="N67" s="541"/>
    </row>
    <row r="68" spans="1:19" s="540" customFormat="1" ht="14">
      <c r="A68" s="547">
        <v>3</v>
      </c>
      <c r="B68" s="554" t="s">
        <v>125</v>
      </c>
      <c r="C68" s="546">
        <v>17.600000000000001</v>
      </c>
      <c r="D68" s="546">
        <f>0.27*C68</f>
        <v>4.7520000000000007</v>
      </c>
      <c r="E68" s="544"/>
      <c r="F68" s="546">
        <v>2700</v>
      </c>
      <c r="G68" s="546">
        <v>4.3334999999999999</v>
      </c>
      <c r="H68" s="543"/>
      <c r="I68" s="542"/>
      <c r="J68" s="541"/>
      <c r="K68" s="541"/>
      <c r="L68" s="541"/>
      <c r="M68" s="541"/>
      <c r="N68" s="541"/>
    </row>
    <row r="69" spans="1:19" s="540" customFormat="1" ht="14">
      <c r="A69" s="547">
        <v>4</v>
      </c>
      <c r="B69" s="554" t="s">
        <v>1215</v>
      </c>
      <c r="C69" s="546">
        <v>17.3</v>
      </c>
      <c r="D69" s="546">
        <f>0.34*C69</f>
        <v>5.8820000000000006</v>
      </c>
      <c r="E69" s="544"/>
      <c r="F69" s="546">
        <v>3400</v>
      </c>
      <c r="G69" s="546">
        <v>5.4569999999999999</v>
      </c>
      <c r="H69" s="543"/>
      <c r="I69" s="542"/>
      <c r="J69" s="541"/>
      <c r="K69" s="541"/>
      <c r="L69" s="541"/>
      <c r="M69" s="541"/>
      <c r="N69" s="541"/>
    </row>
    <row r="70" spans="1:19" s="540" customFormat="1" ht="14">
      <c r="A70" s="1634">
        <v>5</v>
      </c>
      <c r="B70" s="1627" t="s">
        <v>147</v>
      </c>
      <c r="C70" s="546">
        <v>16.510000000000002</v>
      </c>
      <c r="D70" s="546">
        <f>0.22*C70</f>
        <v>3.6322000000000005</v>
      </c>
      <c r="E70" s="544"/>
      <c r="F70" s="1624">
        <v>2200</v>
      </c>
      <c r="G70" s="1624">
        <v>3.5310000000000001</v>
      </c>
      <c r="H70" s="543"/>
      <c r="I70" s="542"/>
      <c r="J70" s="541"/>
      <c r="K70" s="541"/>
      <c r="L70" s="541"/>
      <c r="M70" s="541"/>
      <c r="N70" s="541"/>
    </row>
    <row r="71" spans="1:19" s="540" customFormat="1" ht="14">
      <c r="A71" s="1634"/>
      <c r="B71" s="1629"/>
      <c r="C71" s="546">
        <v>16</v>
      </c>
      <c r="D71" s="546">
        <f>0.25*C71</f>
        <v>4</v>
      </c>
      <c r="E71" s="544"/>
      <c r="F71" s="1625"/>
      <c r="G71" s="1625"/>
      <c r="H71" s="543"/>
      <c r="I71" s="542"/>
      <c r="J71" s="541"/>
      <c r="K71" s="541"/>
      <c r="L71" s="541"/>
      <c r="M71" s="541"/>
      <c r="N71" s="541"/>
    </row>
    <row r="72" spans="1:19" s="540" customFormat="1" ht="14">
      <c r="A72" s="547">
        <v>6</v>
      </c>
      <c r="B72" s="554" t="s">
        <v>1214</v>
      </c>
      <c r="C72" s="546">
        <v>16.54</v>
      </c>
      <c r="D72" s="546">
        <f>0.22*C72</f>
        <v>3.6387999999999998</v>
      </c>
      <c r="E72" s="544"/>
      <c r="F72" s="546">
        <v>2200</v>
      </c>
      <c r="G72" s="546">
        <v>3.5310000000000001</v>
      </c>
      <c r="H72" s="543"/>
      <c r="I72" s="542"/>
      <c r="J72" s="541"/>
      <c r="K72" s="541"/>
      <c r="L72" s="541"/>
      <c r="M72" s="541"/>
      <c r="N72" s="541"/>
    </row>
    <row r="73" spans="1:19" s="540" customFormat="1" ht="14">
      <c r="A73" s="547">
        <v>7</v>
      </c>
      <c r="B73" s="554" t="s">
        <v>136</v>
      </c>
      <c r="C73" s="546">
        <v>16.05</v>
      </c>
      <c r="D73" s="546">
        <f>0.49*C73</f>
        <v>7.8645000000000005</v>
      </c>
      <c r="E73" s="544"/>
      <c r="F73" s="546">
        <v>4543.5735999999997</v>
      </c>
      <c r="G73" s="546">
        <v>7.2924356279999998</v>
      </c>
      <c r="H73" s="543"/>
      <c r="I73" s="542"/>
      <c r="J73" s="541"/>
      <c r="K73" s="541"/>
      <c r="L73" s="541"/>
      <c r="M73" s="541"/>
      <c r="N73" s="541"/>
    </row>
    <row r="74" spans="1:19" s="540" customFormat="1" ht="14">
      <c r="A74" s="1634">
        <v>8</v>
      </c>
      <c r="B74" s="1627" t="s">
        <v>115</v>
      </c>
      <c r="C74" s="546">
        <v>16.5</v>
      </c>
      <c r="D74" s="546">
        <f>0.22*C74</f>
        <v>3.63</v>
      </c>
      <c r="E74" s="544"/>
      <c r="F74" s="1624">
        <v>2500</v>
      </c>
      <c r="G74" s="1624">
        <v>4.0125000000000002</v>
      </c>
      <c r="H74" s="543"/>
      <c r="I74" s="542"/>
      <c r="J74" s="541"/>
      <c r="K74" s="541"/>
      <c r="L74" s="541"/>
      <c r="M74" s="541"/>
      <c r="N74" s="541"/>
    </row>
    <row r="75" spans="1:19" s="540" customFormat="1" ht="14">
      <c r="A75" s="1634"/>
      <c r="B75" s="1628"/>
      <c r="C75" s="546">
        <v>16.100000000000001</v>
      </c>
      <c r="D75" s="546">
        <f>0.25*C75</f>
        <v>4.0250000000000004</v>
      </c>
      <c r="E75" s="544"/>
      <c r="F75" s="1626"/>
      <c r="G75" s="1626"/>
      <c r="H75" s="543"/>
      <c r="I75" s="542"/>
      <c r="J75" s="541"/>
      <c r="K75" s="541"/>
      <c r="L75" s="541"/>
      <c r="M75" s="541"/>
      <c r="N75" s="541"/>
    </row>
    <row r="76" spans="1:19" s="540" customFormat="1" ht="14">
      <c r="A76" s="1634"/>
      <c r="B76" s="1629"/>
      <c r="C76" s="546">
        <v>16</v>
      </c>
      <c r="D76" s="546">
        <f>0.29*C76</f>
        <v>4.6399999999999997</v>
      </c>
      <c r="E76" s="544"/>
      <c r="F76" s="1625"/>
      <c r="G76" s="1625"/>
      <c r="H76" s="543"/>
      <c r="I76" s="542"/>
      <c r="J76" s="541"/>
      <c r="K76" s="541"/>
      <c r="L76" s="541"/>
      <c r="M76" s="541"/>
      <c r="N76" s="541"/>
    </row>
    <row r="77" spans="1:19" s="529" customFormat="1" ht="14">
      <c r="A77" s="530"/>
      <c r="B77" s="530"/>
      <c r="C77" s="530"/>
    </row>
    <row r="78" spans="1:19" s="529" customFormat="1" ht="14">
      <c r="A78" s="530"/>
      <c r="B78" s="530"/>
      <c r="C78" s="530"/>
    </row>
    <row r="79" spans="1:19" s="529" customFormat="1" ht="14">
      <c r="A79" s="531"/>
      <c r="B79" s="530"/>
      <c r="C79" s="580"/>
      <c r="D79" s="532"/>
    </row>
    <row r="80" spans="1:19" s="530" customFormat="1" ht="14">
      <c r="A80" s="562" t="s">
        <v>106</v>
      </c>
      <c r="B80" s="565" t="s">
        <v>107</v>
      </c>
      <c r="C80" s="564" t="s">
        <v>4</v>
      </c>
      <c r="D80" s="563" t="s">
        <v>108</v>
      </c>
      <c r="E80" s="563" t="s">
        <v>109</v>
      </c>
      <c r="F80" s="562" t="s">
        <v>411</v>
      </c>
      <c r="G80" s="561" t="s">
        <v>950</v>
      </c>
      <c r="H80" s="561" t="s">
        <v>110</v>
      </c>
      <c r="I80" s="561" t="s">
        <v>276</v>
      </c>
      <c r="J80" s="561" t="s">
        <v>117</v>
      </c>
      <c r="K80" s="561" t="s">
        <v>275</v>
      </c>
      <c r="L80" s="562" t="s">
        <v>111</v>
      </c>
      <c r="M80" s="561" t="s">
        <v>949</v>
      </c>
      <c r="N80" s="561" t="s">
        <v>948</v>
      </c>
      <c r="O80" s="561" t="s">
        <v>129</v>
      </c>
      <c r="P80" s="561" t="s">
        <v>220</v>
      </c>
      <c r="Q80" s="537" t="s">
        <v>947</v>
      </c>
      <c r="R80" s="537" t="s">
        <v>946</v>
      </c>
      <c r="S80" s="560" t="s">
        <v>945</v>
      </c>
    </row>
    <row r="81" spans="1:19" s="547" customFormat="1" ht="14">
      <c r="A81" s="554">
        <v>258</v>
      </c>
      <c r="B81" s="559" t="s">
        <v>905</v>
      </c>
      <c r="C81" s="558" t="s">
        <v>906</v>
      </c>
      <c r="D81" s="555">
        <v>12.689437</v>
      </c>
      <c r="E81" s="555">
        <v>12.689436950999999</v>
      </c>
      <c r="F81" s="557" t="s">
        <v>1213</v>
      </c>
      <c r="G81" s="555">
        <v>11.59</v>
      </c>
      <c r="H81" s="555">
        <v>10</v>
      </c>
      <c r="I81" s="555">
        <f>H81/G81</f>
        <v>0.86281276962899056</v>
      </c>
      <c r="J81" s="555">
        <v>10.3</v>
      </c>
      <c r="K81" s="555">
        <f>J81/G81</f>
        <v>0.88869715271786032</v>
      </c>
      <c r="L81" s="554">
        <v>6</v>
      </c>
      <c r="M81" s="566">
        <v>43045</v>
      </c>
      <c r="N81" s="555">
        <v>8.49</v>
      </c>
      <c r="O81" s="555">
        <f>(N81*(1+Q81/10)+R81/10)/J81</f>
        <v>0.8242718446601941</v>
      </c>
      <c r="P81" s="553" t="s">
        <v>223</v>
      </c>
      <c r="Q81" s="554">
        <f>IFERROR(MID(P81,FIND("转",P81)+1,FIND("股",P81)-(FIND("转",P81)+1)),0)</f>
        <v>0</v>
      </c>
      <c r="R81" s="554">
        <f>IFERROR(MID(P81,FIND("派",P81)+1,FIND("元",P81)-FIND("派",P81)-1),0)</f>
        <v>0</v>
      </c>
      <c r="S81" s="553"/>
    </row>
    <row r="82" spans="1:19" s="540" customFormat="1" ht="14">
      <c r="A82" s="547"/>
      <c r="B82" s="551" t="s">
        <v>112</v>
      </c>
      <c r="C82" s="551" t="s">
        <v>113</v>
      </c>
      <c r="D82" s="551" t="s">
        <v>943</v>
      </c>
      <c r="E82" s="552" t="s">
        <v>411</v>
      </c>
      <c r="F82" s="552" t="s">
        <v>942</v>
      </c>
      <c r="G82" s="551" t="s">
        <v>231</v>
      </c>
      <c r="H82" s="551" t="s">
        <v>941</v>
      </c>
      <c r="I82" s="549">
        <f>SUM(G83:G98)</f>
        <v>12.689436951000001</v>
      </c>
      <c r="J82" s="548"/>
      <c r="K82" s="548"/>
      <c r="L82" s="548"/>
      <c r="M82" s="548"/>
      <c r="N82" s="548"/>
    </row>
    <row r="83" spans="1:19" s="540" customFormat="1" ht="14">
      <c r="A83" s="547">
        <v>1</v>
      </c>
      <c r="B83" s="554" t="s">
        <v>1212</v>
      </c>
      <c r="C83" s="546">
        <v>10</v>
      </c>
      <c r="D83" s="546">
        <v>1.2</v>
      </c>
      <c r="E83" s="544"/>
      <c r="F83" s="546"/>
      <c r="G83" s="546"/>
      <c r="H83" s="543" t="s">
        <v>126</v>
      </c>
      <c r="I83" s="138" t="s">
        <v>1211</v>
      </c>
      <c r="J83" s="541"/>
      <c r="K83" s="541"/>
      <c r="L83" s="541"/>
      <c r="M83" s="541"/>
      <c r="N83" s="541"/>
    </row>
    <row r="84" spans="1:19" s="540" customFormat="1" ht="14">
      <c r="A84" s="1634">
        <v>2</v>
      </c>
      <c r="B84" s="1627" t="s">
        <v>115</v>
      </c>
      <c r="C84" s="546">
        <v>10.69</v>
      </c>
      <c r="D84" s="546">
        <v>1.2</v>
      </c>
      <c r="E84" s="544"/>
      <c r="F84" s="1624">
        <v>1165.0485000000001</v>
      </c>
      <c r="G84" s="1624">
        <v>1.199999955</v>
      </c>
      <c r="H84" s="543"/>
      <c r="I84" s="542"/>
      <c r="J84" s="541"/>
      <c r="K84" s="541"/>
      <c r="L84" s="541"/>
      <c r="M84" s="541"/>
      <c r="N84" s="541"/>
    </row>
    <row r="85" spans="1:19" s="540" customFormat="1" ht="14">
      <c r="A85" s="1634"/>
      <c r="B85" s="1628"/>
      <c r="C85" s="546">
        <v>10.130000000000001</v>
      </c>
      <c r="D85" s="546">
        <v>2.06</v>
      </c>
      <c r="E85" s="544"/>
      <c r="F85" s="1626"/>
      <c r="G85" s="1626"/>
      <c r="H85" s="543"/>
      <c r="I85" s="542"/>
      <c r="J85" s="541"/>
      <c r="K85" s="541"/>
      <c r="L85" s="541"/>
      <c r="M85" s="541"/>
      <c r="N85" s="541"/>
    </row>
    <row r="86" spans="1:19" s="540" customFormat="1" ht="14">
      <c r="A86" s="1634"/>
      <c r="B86" s="1629"/>
      <c r="C86" s="546">
        <v>10</v>
      </c>
      <c r="D86" s="546">
        <v>2.08</v>
      </c>
      <c r="E86" s="544"/>
      <c r="F86" s="1625"/>
      <c r="G86" s="1625"/>
      <c r="H86" s="543"/>
      <c r="I86" s="542"/>
      <c r="J86" s="541"/>
      <c r="K86" s="541"/>
      <c r="L86" s="541"/>
      <c r="M86" s="541"/>
      <c r="N86" s="541"/>
    </row>
    <row r="87" spans="1:19" s="540" customFormat="1" ht="14">
      <c r="A87" s="547">
        <v>3</v>
      </c>
      <c r="B87" s="554" t="s">
        <v>233</v>
      </c>
      <c r="C87" s="546">
        <v>10.28</v>
      </c>
      <c r="D87" s="546">
        <v>1.2</v>
      </c>
      <c r="E87" s="544"/>
      <c r="F87" s="546"/>
      <c r="G87" s="546"/>
      <c r="H87" s="543"/>
      <c r="I87" s="542"/>
      <c r="J87" s="541"/>
      <c r="K87" s="541"/>
      <c r="L87" s="541"/>
      <c r="M87" s="541"/>
      <c r="N87" s="541"/>
    </row>
    <row r="88" spans="1:19" s="540" customFormat="1" ht="14">
      <c r="A88" s="547">
        <v>4</v>
      </c>
      <c r="B88" s="554" t="s">
        <v>173</v>
      </c>
      <c r="C88" s="546">
        <v>10.130000000000001</v>
      </c>
      <c r="D88" s="546">
        <v>1.42</v>
      </c>
      <c r="E88" s="544"/>
      <c r="F88" s="546"/>
      <c r="G88" s="546"/>
      <c r="H88" s="543"/>
      <c r="I88" s="542"/>
      <c r="J88" s="541"/>
      <c r="K88" s="541"/>
      <c r="L88" s="541"/>
      <c r="M88" s="541"/>
      <c r="N88" s="541"/>
    </row>
    <row r="89" spans="1:19" s="540" customFormat="1" ht="14">
      <c r="A89" s="547">
        <v>5</v>
      </c>
      <c r="B89" s="554" t="s">
        <v>955</v>
      </c>
      <c r="C89" s="546">
        <v>10.72</v>
      </c>
      <c r="D89" s="546">
        <v>1.2</v>
      </c>
      <c r="E89" s="544"/>
      <c r="F89" s="546">
        <v>1165.0485000000001</v>
      </c>
      <c r="G89" s="546">
        <v>1.199999955</v>
      </c>
      <c r="H89" s="543"/>
      <c r="I89" s="542"/>
      <c r="J89" s="541"/>
      <c r="K89" s="541"/>
      <c r="L89" s="541"/>
      <c r="M89" s="541"/>
      <c r="N89" s="541"/>
    </row>
    <row r="90" spans="1:19" s="540" customFormat="1" ht="14">
      <c r="A90" s="1634">
        <v>6</v>
      </c>
      <c r="B90" s="1627" t="s">
        <v>146</v>
      </c>
      <c r="C90" s="546">
        <v>10.52</v>
      </c>
      <c r="D90" s="546">
        <v>1.2</v>
      </c>
      <c r="E90" s="544"/>
      <c r="F90" s="1624">
        <v>1165.0485000000001</v>
      </c>
      <c r="G90" s="1624">
        <v>1.199999955</v>
      </c>
      <c r="H90" s="543"/>
      <c r="I90" s="542"/>
      <c r="J90" s="541"/>
      <c r="K90" s="541"/>
      <c r="L90" s="541"/>
      <c r="M90" s="541"/>
      <c r="N90" s="541"/>
    </row>
    <row r="91" spans="1:19" s="540" customFormat="1" ht="14">
      <c r="A91" s="1634"/>
      <c r="B91" s="1629"/>
      <c r="C91" s="546">
        <v>10.130000000000001</v>
      </c>
      <c r="D91" s="546">
        <v>1.93</v>
      </c>
      <c r="E91" s="544"/>
      <c r="F91" s="1625"/>
      <c r="G91" s="1625"/>
      <c r="H91" s="543"/>
      <c r="I91" s="542"/>
      <c r="J91" s="541"/>
      <c r="K91" s="541"/>
      <c r="L91" s="541"/>
      <c r="M91" s="541"/>
      <c r="N91" s="541"/>
    </row>
    <row r="92" spans="1:19" s="540" customFormat="1" ht="14">
      <c r="A92" s="547">
        <v>7</v>
      </c>
      <c r="B92" s="554" t="s">
        <v>1052</v>
      </c>
      <c r="C92" s="546">
        <v>11.39</v>
      </c>
      <c r="D92" s="546">
        <v>1.2</v>
      </c>
      <c r="E92" s="544"/>
      <c r="F92" s="546"/>
      <c r="G92" s="546"/>
      <c r="H92" s="543"/>
      <c r="I92" s="542"/>
      <c r="J92" s="541"/>
      <c r="K92" s="541"/>
      <c r="L92" s="541"/>
      <c r="M92" s="541"/>
      <c r="N92" s="541"/>
    </row>
    <row r="93" spans="1:19" s="540" customFormat="1" ht="14">
      <c r="A93" s="547">
        <v>8</v>
      </c>
      <c r="B93" s="554" t="s">
        <v>147</v>
      </c>
      <c r="C93" s="546">
        <v>10.26</v>
      </c>
      <c r="D93" s="546">
        <v>1.35</v>
      </c>
      <c r="E93" s="544"/>
      <c r="F93" s="546"/>
      <c r="G93" s="546"/>
      <c r="H93" s="543"/>
      <c r="I93" s="542"/>
      <c r="J93" s="541"/>
      <c r="K93" s="541"/>
      <c r="L93" s="541"/>
      <c r="M93" s="541"/>
      <c r="N93" s="541"/>
    </row>
    <row r="94" spans="1:19" s="540" customFormat="1" ht="14">
      <c r="A94" s="547">
        <v>9</v>
      </c>
      <c r="B94" s="554" t="s">
        <v>629</v>
      </c>
      <c r="C94" s="546">
        <v>10.3</v>
      </c>
      <c r="D94" s="546">
        <v>1.8</v>
      </c>
      <c r="E94" s="544"/>
      <c r="F94" s="546">
        <v>1446.0554999999999</v>
      </c>
      <c r="G94" s="546">
        <v>1.489437165</v>
      </c>
      <c r="H94" s="543"/>
      <c r="I94" s="542"/>
      <c r="J94" s="541"/>
      <c r="K94" s="541"/>
      <c r="L94" s="541"/>
      <c r="M94" s="541"/>
      <c r="N94" s="541"/>
    </row>
    <row r="95" spans="1:19" s="540" customFormat="1" ht="14">
      <c r="A95" s="547">
        <v>10</v>
      </c>
      <c r="B95" s="554" t="s">
        <v>300</v>
      </c>
      <c r="C95" s="546">
        <v>10.18</v>
      </c>
      <c r="D95" s="546">
        <v>1.21</v>
      </c>
      <c r="E95" s="544"/>
      <c r="F95" s="546"/>
      <c r="G95" s="546"/>
      <c r="H95" s="543"/>
      <c r="I95" s="542"/>
      <c r="J95" s="541"/>
      <c r="K95" s="541"/>
      <c r="L95" s="541"/>
      <c r="M95" s="541"/>
      <c r="N95" s="541"/>
    </row>
    <row r="96" spans="1:19" s="540" customFormat="1" ht="14">
      <c r="A96" s="547">
        <v>11</v>
      </c>
      <c r="B96" s="554" t="s">
        <v>1065</v>
      </c>
      <c r="C96" s="546">
        <v>11.97</v>
      </c>
      <c r="D96" s="546">
        <v>3.4</v>
      </c>
      <c r="E96" s="544"/>
      <c r="F96" s="546">
        <v>3300.9708000000001</v>
      </c>
      <c r="G96" s="546">
        <v>3.3999999239999998</v>
      </c>
      <c r="H96" s="543"/>
      <c r="I96" s="542"/>
      <c r="J96" s="541"/>
      <c r="K96" s="541"/>
      <c r="L96" s="541"/>
      <c r="M96" s="541"/>
      <c r="N96" s="541"/>
    </row>
    <row r="97" spans="1:19" s="540" customFormat="1" ht="14">
      <c r="A97" s="1634">
        <v>12</v>
      </c>
      <c r="B97" s="1627" t="s">
        <v>1068</v>
      </c>
      <c r="C97" s="546">
        <v>10.73</v>
      </c>
      <c r="D97" s="546">
        <v>4.2</v>
      </c>
      <c r="E97" s="544"/>
      <c r="F97" s="1624">
        <v>4077.6698999999999</v>
      </c>
      <c r="G97" s="1624">
        <v>4.1999999969999999</v>
      </c>
      <c r="H97" s="543"/>
      <c r="I97" s="542"/>
      <c r="J97" s="541"/>
      <c r="K97" s="541"/>
      <c r="L97" s="541"/>
      <c r="M97" s="541"/>
      <c r="N97" s="541"/>
    </row>
    <row r="98" spans="1:19" s="540" customFormat="1" ht="14">
      <c r="A98" s="1634"/>
      <c r="B98" s="1629"/>
      <c r="C98" s="546">
        <v>10.31</v>
      </c>
      <c r="D98" s="546">
        <v>4.2</v>
      </c>
      <c r="E98" s="544"/>
      <c r="F98" s="1625"/>
      <c r="G98" s="1625"/>
      <c r="H98" s="543"/>
      <c r="I98" s="542"/>
      <c r="J98" s="541"/>
      <c r="K98" s="541"/>
      <c r="L98" s="541"/>
      <c r="M98" s="541"/>
      <c r="N98" s="541"/>
    </row>
    <row r="99" spans="1:19" s="529" customFormat="1" ht="14">
      <c r="A99" s="530"/>
      <c r="B99" s="530"/>
      <c r="C99" s="530"/>
    </row>
    <row r="100" spans="1:19" s="529" customFormat="1" ht="14">
      <c r="A100" s="531"/>
      <c r="B100" s="530"/>
      <c r="C100" s="530"/>
      <c r="E100" s="533"/>
    </row>
    <row r="101" spans="1:19" s="529" customFormat="1" ht="14">
      <c r="A101" s="530"/>
      <c r="B101" s="530"/>
      <c r="C101" s="530"/>
      <c r="E101" s="580"/>
      <c r="H101" s="602"/>
      <c r="I101" s="532"/>
    </row>
    <row r="102" spans="1:19" s="530" customFormat="1" ht="14">
      <c r="A102" s="562" t="s">
        <v>106</v>
      </c>
      <c r="B102" s="565" t="s">
        <v>107</v>
      </c>
      <c r="C102" s="564" t="s">
        <v>4</v>
      </c>
      <c r="D102" s="563" t="s">
        <v>108</v>
      </c>
      <c r="E102" s="563" t="s">
        <v>109</v>
      </c>
      <c r="F102" s="562" t="s">
        <v>411</v>
      </c>
      <c r="G102" s="561" t="s">
        <v>950</v>
      </c>
      <c r="H102" s="561" t="s">
        <v>110</v>
      </c>
      <c r="I102" s="561" t="s">
        <v>276</v>
      </c>
      <c r="J102" s="561" t="s">
        <v>117</v>
      </c>
      <c r="K102" s="561" t="s">
        <v>275</v>
      </c>
      <c r="L102" s="562" t="s">
        <v>111</v>
      </c>
      <c r="M102" s="561" t="s">
        <v>949</v>
      </c>
      <c r="N102" s="561" t="s">
        <v>948</v>
      </c>
      <c r="O102" s="561" t="s">
        <v>129</v>
      </c>
      <c r="P102" s="561" t="s">
        <v>220</v>
      </c>
      <c r="Q102" s="537" t="s">
        <v>947</v>
      </c>
      <c r="R102" s="537" t="s">
        <v>946</v>
      </c>
      <c r="S102" s="560" t="s">
        <v>945</v>
      </c>
    </row>
    <row r="103" spans="1:19" s="547" customFormat="1" ht="14">
      <c r="A103" s="554">
        <v>259</v>
      </c>
      <c r="B103" s="559" t="s">
        <v>907</v>
      </c>
      <c r="C103" s="558" t="s">
        <v>908</v>
      </c>
      <c r="D103" s="555">
        <v>14.253012</v>
      </c>
      <c r="E103" s="555">
        <v>14.253011916</v>
      </c>
      <c r="F103" s="557" t="s">
        <v>1210</v>
      </c>
      <c r="G103" s="555">
        <v>9.4700000000000006</v>
      </c>
      <c r="H103" s="555">
        <v>8.33</v>
      </c>
      <c r="I103" s="555">
        <f>H103/G103</f>
        <v>0.87961985216473071</v>
      </c>
      <c r="J103" s="555">
        <v>8.58</v>
      </c>
      <c r="K103" s="555">
        <f>J103/G103</f>
        <v>0.90601900739176344</v>
      </c>
      <c r="L103" s="554">
        <v>6</v>
      </c>
      <c r="M103" s="566">
        <v>43049</v>
      </c>
      <c r="N103" s="555">
        <v>7.48</v>
      </c>
      <c r="O103" s="555">
        <f>(N103*(1+Q103/10)+R103/10)/J103</f>
        <v>0.8834498834498834</v>
      </c>
      <c r="P103" s="553" t="s">
        <v>242</v>
      </c>
      <c r="Q103" s="554">
        <f>IFERROR(MID(P103,FIND("转",P103)+1,FIND("股",P103)-(FIND("转",P103)+1)),0)</f>
        <v>0</v>
      </c>
      <c r="R103" s="554" t="str">
        <f>IFERROR(MID(P103,FIND("派",P103)+1,FIND("元",P103)-FIND("派",P103)-1),0)</f>
        <v>1.00</v>
      </c>
      <c r="S103" s="553"/>
    </row>
    <row r="104" spans="1:19" s="540" customFormat="1" ht="14">
      <c r="A104" s="547"/>
      <c r="B104" s="551" t="s">
        <v>112</v>
      </c>
      <c r="C104" s="551" t="s">
        <v>113</v>
      </c>
      <c r="D104" s="551" t="s">
        <v>943</v>
      </c>
      <c r="E104" s="552" t="s">
        <v>411</v>
      </c>
      <c r="F104" s="552" t="s">
        <v>942</v>
      </c>
      <c r="G104" s="551" t="s">
        <v>231</v>
      </c>
      <c r="H104" s="551" t="s">
        <v>941</v>
      </c>
      <c r="I104" s="549">
        <f>SUM(G105:G122)</f>
        <v>14.253011915999998</v>
      </c>
      <c r="J104" s="548"/>
      <c r="K104" s="548"/>
      <c r="L104" s="548"/>
      <c r="M104" s="548"/>
      <c r="N104" s="548"/>
    </row>
    <row r="105" spans="1:19" s="540" customFormat="1" ht="14">
      <c r="A105" s="547">
        <v>1</v>
      </c>
      <c r="B105" s="554" t="s">
        <v>1209</v>
      </c>
      <c r="C105" s="546" t="s">
        <v>989</v>
      </c>
      <c r="D105" s="546">
        <v>5.7012048000000002</v>
      </c>
      <c r="E105" s="544"/>
      <c r="F105" s="546">
        <v>6644.7609000000002</v>
      </c>
      <c r="G105" s="546">
        <f>8.58*F105/10000</f>
        <v>5.7012048522000001</v>
      </c>
      <c r="H105" s="543" t="s">
        <v>126</v>
      </c>
      <c r="I105" s="138" t="s">
        <v>1208</v>
      </c>
      <c r="J105" s="541"/>
      <c r="K105" s="541"/>
      <c r="L105" s="541"/>
      <c r="M105" s="541"/>
      <c r="N105" s="541"/>
    </row>
    <row r="106" spans="1:19" s="540" customFormat="1" ht="14">
      <c r="A106" s="1634">
        <v>2</v>
      </c>
      <c r="B106" s="1627" t="s">
        <v>228</v>
      </c>
      <c r="C106" s="546">
        <v>8.6</v>
      </c>
      <c r="D106" s="546">
        <v>0.96</v>
      </c>
      <c r="E106" s="544"/>
      <c r="F106" s="1624">
        <v>1118.8811000000001</v>
      </c>
      <c r="G106" s="1624">
        <f>8.58*F106/10000</f>
        <v>0.95999998379999996</v>
      </c>
      <c r="H106" s="543"/>
      <c r="I106" s="542"/>
      <c r="J106" s="541"/>
      <c r="K106" s="541"/>
      <c r="L106" s="541"/>
      <c r="M106" s="541"/>
      <c r="N106" s="541"/>
    </row>
    <row r="107" spans="1:19" s="540" customFormat="1" ht="14">
      <c r="A107" s="1634"/>
      <c r="B107" s="1628"/>
      <c r="C107" s="546">
        <v>8.43</v>
      </c>
      <c r="D107" s="546">
        <v>1.1000000000000001</v>
      </c>
      <c r="E107" s="544"/>
      <c r="F107" s="1626"/>
      <c r="G107" s="1626"/>
      <c r="H107" s="543"/>
      <c r="I107" s="542"/>
      <c r="J107" s="541"/>
      <c r="K107" s="541"/>
      <c r="L107" s="541"/>
      <c r="M107" s="541"/>
      <c r="N107" s="541"/>
    </row>
    <row r="108" spans="1:19" s="540" customFormat="1" ht="14">
      <c r="A108" s="1634"/>
      <c r="B108" s="1629"/>
      <c r="C108" s="546">
        <v>8.35</v>
      </c>
      <c r="D108" s="546">
        <v>1.3</v>
      </c>
      <c r="E108" s="544"/>
      <c r="F108" s="1625"/>
      <c r="G108" s="1625"/>
      <c r="H108" s="543"/>
      <c r="I108" s="542"/>
      <c r="J108" s="541"/>
      <c r="K108" s="541"/>
      <c r="L108" s="541"/>
      <c r="M108" s="541"/>
      <c r="N108" s="541"/>
    </row>
    <row r="109" spans="1:19" s="540" customFormat="1" ht="14">
      <c r="A109" s="1634">
        <v>3</v>
      </c>
      <c r="B109" s="1627" t="s">
        <v>576</v>
      </c>
      <c r="C109" s="546">
        <v>9.61</v>
      </c>
      <c r="D109" s="546">
        <v>0.96</v>
      </c>
      <c r="E109" s="544"/>
      <c r="F109" s="1624">
        <v>1118.8811000000001</v>
      </c>
      <c r="G109" s="1624">
        <f>8.58*F109/10000</f>
        <v>0.95999998379999996</v>
      </c>
      <c r="H109" s="543"/>
      <c r="I109" s="542"/>
      <c r="J109" s="541"/>
      <c r="K109" s="541"/>
      <c r="L109" s="541"/>
      <c r="M109" s="541"/>
      <c r="N109" s="541"/>
    </row>
    <row r="110" spans="1:19" s="540" customFormat="1" ht="14">
      <c r="A110" s="1634"/>
      <c r="B110" s="1628"/>
      <c r="C110" s="546">
        <v>9.41</v>
      </c>
      <c r="D110" s="546">
        <v>0.96</v>
      </c>
      <c r="E110" s="544"/>
      <c r="F110" s="1626"/>
      <c r="G110" s="1626"/>
      <c r="H110" s="543"/>
      <c r="I110" s="542"/>
      <c r="J110" s="541"/>
      <c r="K110" s="541"/>
      <c r="L110" s="541"/>
      <c r="M110" s="541"/>
      <c r="N110" s="541"/>
    </row>
    <row r="111" spans="1:19" s="540" customFormat="1" ht="14">
      <c r="A111" s="1634"/>
      <c r="B111" s="1629"/>
      <c r="C111" s="546">
        <v>9.2100000000000009</v>
      </c>
      <c r="D111" s="546">
        <v>0.96</v>
      </c>
      <c r="E111" s="544"/>
      <c r="F111" s="1625"/>
      <c r="G111" s="1625"/>
      <c r="H111" s="543"/>
      <c r="I111" s="542"/>
      <c r="J111" s="541"/>
      <c r="K111" s="541"/>
      <c r="L111" s="541"/>
      <c r="M111" s="541"/>
      <c r="N111" s="541"/>
    </row>
    <row r="112" spans="1:19" s="540" customFormat="1" ht="14">
      <c r="A112" s="547">
        <v>4</v>
      </c>
      <c r="B112" s="554" t="s">
        <v>127</v>
      </c>
      <c r="C112" s="546">
        <v>8.34</v>
      </c>
      <c r="D112" s="546">
        <v>0.97</v>
      </c>
      <c r="E112" s="544"/>
      <c r="F112" s="546"/>
      <c r="G112" s="546"/>
      <c r="H112" s="543"/>
      <c r="I112" s="542"/>
      <c r="J112" s="541"/>
      <c r="K112" s="541"/>
      <c r="L112" s="541"/>
      <c r="M112" s="541"/>
      <c r="N112" s="541"/>
    </row>
    <row r="113" spans="1:19" s="540" customFormat="1" ht="14">
      <c r="A113" s="547">
        <v>5</v>
      </c>
      <c r="B113" s="554" t="s">
        <v>300</v>
      </c>
      <c r="C113" s="546">
        <v>8.5</v>
      </c>
      <c r="D113" s="546">
        <v>1</v>
      </c>
      <c r="E113" s="544"/>
      <c r="F113" s="546"/>
      <c r="G113" s="546"/>
      <c r="H113" s="543"/>
      <c r="I113" s="542"/>
      <c r="J113" s="541"/>
      <c r="K113" s="541"/>
      <c r="L113" s="541"/>
      <c r="M113" s="541"/>
      <c r="N113" s="541"/>
    </row>
    <row r="114" spans="1:19" s="540" customFormat="1" ht="14">
      <c r="A114" s="547">
        <v>6</v>
      </c>
      <c r="B114" s="554" t="s">
        <v>1142</v>
      </c>
      <c r="C114" s="546">
        <v>8.41</v>
      </c>
      <c r="D114" s="546">
        <v>0.96</v>
      </c>
      <c r="E114" s="544"/>
      <c r="F114" s="546"/>
      <c r="G114" s="546"/>
      <c r="H114" s="543"/>
      <c r="I114" s="542"/>
      <c r="J114" s="541"/>
      <c r="K114" s="541"/>
      <c r="L114" s="541"/>
      <c r="M114" s="541"/>
      <c r="N114" s="541"/>
    </row>
    <row r="115" spans="1:19" s="540" customFormat="1" ht="14">
      <c r="A115" s="1634">
        <v>7</v>
      </c>
      <c r="B115" s="1627" t="s">
        <v>146</v>
      </c>
      <c r="C115" s="546">
        <v>8.7799999999999994</v>
      </c>
      <c r="D115" s="546">
        <v>1.4</v>
      </c>
      <c r="E115" s="544"/>
      <c r="F115" s="1624">
        <v>1631.7016000000001</v>
      </c>
      <c r="G115" s="1624">
        <f>8.58*F115/10000</f>
        <v>1.3999999728000001</v>
      </c>
      <c r="H115" s="543"/>
      <c r="I115" s="542"/>
      <c r="J115" s="541"/>
      <c r="K115" s="541"/>
      <c r="L115" s="541"/>
      <c r="M115" s="541"/>
      <c r="N115" s="541"/>
    </row>
    <row r="116" spans="1:19" s="540" customFormat="1" ht="14">
      <c r="A116" s="1634"/>
      <c r="B116" s="1629"/>
      <c r="C116" s="546">
        <v>8.4600000000000009</v>
      </c>
      <c r="D116" s="546">
        <v>2.31</v>
      </c>
      <c r="E116" s="544"/>
      <c r="F116" s="1625"/>
      <c r="G116" s="1625"/>
      <c r="H116" s="543"/>
      <c r="I116" s="542"/>
      <c r="J116" s="541"/>
      <c r="K116" s="541"/>
      <c r="L116" s="541"/>
      <c r="M116" s="541"/>
      <c r="N116" s="541"/>
    </row>
    <row r="117" spans="1:19" s="540" customFormat="1" ht="14">
      <c r="A117" s="1634">
        <v>8</v>
      </c>
      <c r="B117" s="1627" t="s">
        <v>115</v>
      </c>
      <c r="C117" s="546">
        <v>9.48</v>
      </c>
      <c r="D117" s="546">
        <v>1.28</v>
      </c>
      <c r="E117" s="544"/>
      <c r="F117" s="1624">
        <v>3720.0549999999998</v>
      </c>
      <c r="G117" s="1624">
        <f>8.58*F117/10000</f>
        <v>3.19180719</v>
      </c>
      <c r="H117" s="543"/>
      <c r="I117" s="542"/>
      <c r="J117" s="541"/>
      <c r="K117" s="541"/>
      <c r="L117" s="541"/>
      <c r="M117" s="541"/>
      <c r="N117" s="541"/>
    </row>
    <row r="118" spans="1:19" s="540" customFormat="1" ht="14">
      <c r="A118" s="1634"/>
      <c r="B118" s="1628"/>
      <c r="C118" s="546">
        <v>9</v>
      </c>
      <c r="D118" s="546">
        <v>1.82</v>
      </c>
      <c r="E118" s="544"/>
      <c r="F118" s="1626"/>
      <c r="G118" s="1626"/>
      <c r="H118" s="543"/>
      <c r="I118" s="542"/>
      <c r="J118" s="541"/>
      <c r="K118" s="541"/>
      <c r="L118" s="541"/>
      <c r="M118" s="541"/>
      <c r="N118" s="541"/>
    </row>
    <row r="119" spans="1:19" s="540" customFormat="1" ht="14">
      <c r="A119" s="1634"/>
      <c r="B119" s="1629"/>
      <c r="C119" s="546">
        <v>8.58</v>
      </c>
      <c r="D119" s="546">
        <v>3.41</v>
      </c>
      <c r="E119" s="544"/>
      <c r="F119" s="1625"/>
      <c r="G119" s="1625"/>
      <c r="H119" s="543"/>
      <c r="I119" s="542"/>
      <c r="J119" s="541"/>
      <c r="K119" s="541"/>
      <c r="L119" s="541"/>
      <c r="M119" s="541"/>
      <c r="N119" s="541"/>
    </row>
    <row r="120" spans="1:19" s="540" customFormat="1" ht="14">
      <c r="A120" s="1634">
        <v>9</v>
      </c>
      <c r="B120" s="1627" t="s">
        <v>150</v>
      </c>
      <c r="C120" s="546">
        <v>9.2100000000000009</v>
      </c>
      <c r="D120" s="546">
        <v>1.65</v>
      </c>
      <c r="E120" s="544"/>
      <c r="F120" s="1624">
        <v>2377.6223</v>
      </c>
      <c r="G120" s="1624">
        <f>8.58*F120/10000</f>
        <v>2.0399999333999999</v>
      </c>
      <c r="H120" s="543"/>
      <c r="I120" s="542"/>
      <c r="J120" s="541"/>
      <c r="K120" s="541"/>
      <c r="L120" s="541"/>
      <c r="M120" s="541"/>
      <c r="N120" s="541"/>
    </row>
    <row r="121" spans="1:19" s="540" customFormat="1" ht="14">
      <c r="A121" s="1634"/>
      <c r="B121" s="1628"/>
      <c r="C121" s="546">
        <v>9</v>
      </c>
      <c r="D121" s="546">
        <v>2.15</v>
      </c>
      <c r="E121" s="544"/>
      <c r="F121" s="1626"/>
      <c r="G121" s="1626"/>
      <c r="H121" s="543"/>
      <c r="I121" s="542"/>
      <c r="J121" s="541"/>
      <c r="K121" s="541"/>
      <c r="L121" s="541"/>
      <c r="M121" s="541"/>
      <c r="N121" s="541"/>
    </row>
    <row r="122" spans="1:19" s="540" customFormat="1" ht="14">
      <c r="A122" s="1634"/>
      <c r="B122" s="1629"/>
      <c r="C122" s="546">
        <v>8.51</v>
      </c>
      <c r="D122" s="546">
        <v>2.63</v>
      </c>
      <c r="E122" s="544"/>
      <c r="F122" s="1625"/>
      <c r="G122" s="1625"/>
      <c r="H122" s="543"/>
      <c r="I122" s="542"/>
      <c r="J122" s="541"/>
      <c r="K122" s="541"/>
      <c r="L122" s="541"/>
      <c r="M122" s="541"/>
      <c r="N122" s="541"/>
    </row>
    <row r="123" spans="1:19" s="529" customFormat="1" ht="14">
      <c r="A123" s="530"/>
      <c r="B123" s="530"/>
      <c r="C123" s="530"/>
    </row>
    <row r="124" spans="1:19" s="529" customFormat="1" ht="14">
      <c r="A124" s="531"/>
      <c r="B124" s="530"/>
      <c r="E124" s="532"/>
      <c r="F124" s="532"/>
    </row>
    <row r="125" spans="1:19" s="529" customFormat="1" ht="14">
      <c r="A125" s="530"/>
      <c r="B125" s="530"/>
      <c r="C125" s="530"/>
      <c r="E125" s="580"/>
      <c r="F125" s="611"/>
    </row>
    <row r="126" spans="1:19" s="530" customFormat="1" ht="14">
      <c r="A126" s="562" t="s">
        <v>106</v>
      </c>
      <c r="B126" s="565" t="s">
        <v>107</v>
      </c>
      <c r="C126" s="564" t="s">
        <v>4</v>
      </c>
      <c r="D126" s="563" t="s">
        <v>108</v>
      </c>
      <c r="E126" s="563" t="s">
        <v>109</v>
      </c>
      <c r="F126" s="562" t="s">
        <v>411</v>
      </c>
      <c r="G126" s="561" t="s">
        <v>950</v>
      </c>
      <c r="H126" s="561" t="s">
        <v>110</v>
      </c>
      <c r="I126" s="561" t="s">
        <v>276</v>
      </c>
      <c r="J126" s="561" t="s">
        <v>117</v>
      </c>
      <c r="K126" s="561" t="s">
        <v>275</v>
      </c>
      <c r="L126" s="562" t="s">
        <v>111</v>
      </c>
      <c r="M126" s="561" t="s">
        <v>949</v>
      </c>
      <c r="N126" s="561" t="s">
        <v>948</v>
      </c>
      <c r="O126" s="561" t="s">
        <v>129</v>
      </c>
      <c r="P126" s="561" t="s">
        <v>220</v>
      </c>
      <c r="Q126" s="537" t="s">
        <v>947</v>
      </c>
      <c r="R126" s="537" t="s">
        <v>946</v>
      </c>
      <c r="S126" s="560" t="s">
        <v>945</v>
      </c>
    </row>
    <row r="127" spans="1:19" s="547" customFormat="1" ht="14">
      <c r="A127" s="554">
        <v>260</v>
      </c>
      <c r="B127" s="559" t="s">
        <v>910</v>
      </c>
      <c r="C127" s="558" t="s">
        <v>911</v>
      </c>
      <c r="D127" s="555">
        <v>11.7</v>
      </c>
      <c r="E127" s="555">
        <v>11.699999950400001</v>
      </c>
      <c r="F127" s="557" t="s">
        <v>1207</v>
      </c>
      <c r="G127" s="555">
        <v>7</v>
      </c>
      <c r="H127" s="555">
        <v>5.34</v>
      </c>
      <c r="I127" s="555">
        <f>H127/G127</f>
        <v>0.76285714285714279</v>
      </c>
      <c r="J127" s="555">
        <v>6.52</v>
      </c>
      <c r="K127" s="555">
        <f>J127/G127</f>
        <v>0.93142857142857138</v>
      </c>
      <c r="L127" s="554">
        <v>8</v>
      </c>
      <c r="M127" s="566">
        <v>43049</v>
      </c>
      <c r="N127" s="555">
        <v>6</v>
      </c>
      <c r="O127" s="555">
        <f>(N127*(1+Q127/10)+R127/10)/J127</f>
        <v>0.92331288343558282</v>
      </c>
      <c r="P127" s="553" t="s">
        <v>221</v>
      </c>
      <c r="Q127" s="554">
        <f>IFERROR(MID(P127,FIND("转",P127)+1,FIND("股",P127)-(FIND("转",P127)+1)),0)</f>
        <v>0</v>
      </c>
      <c r="R127" s="554" t="str">
        <f>IFERROR(MID(P127,FIND("派",P127)+1,FIND("元",P127)-FIND("派",P127)-1),0)</f>
        <v>0.20</v>
      </c>
      <c r="S127" s="553"/>
    </row>
    <row r="128" spans="1:19" s="540" customFormat="1" ht="14">
      <c r="A128" s="547"/>
      <c r="B128" s="551" t="s">
        <v>112</v>
      </c>
      <c r="C128" s="551" t="s">
        <v>113</v>
      </c>
      <c r="D128" s="551" t="s">
        <v>943</v>
      </c>
      <c r="E128" s="552" t="s">
        <v>411</v>
      </c>
      <c r="F128" s="552" t="s">
        <v>942</v>
      </c>
      <c r="G128" s="551" t="s">
        <v>231</v>
      </c>
      <c r="H128" s="551" t="s">
        <v>941</v>
      </c>
      <c r="I128" s="549">
        <f>SUM(G129:G165)</f>
        <v>11.699999950399999</v>
      </c>
      <c r="J128" s="548"/>
      <c r="K128" s="548"/>
      <c r="L128" s="548"/>
      <c r="M128" s="548"/>
      <c r="N128" s="548"/>
    </row>
    <row r="129" spans="1:14" s="540" customFormat="1" ht="14">
      <c r="A129" s="1634">
        <v>1</v>
      </c>
      <c r="B129" s="1627" t="s">
        <v>336</v>
      </c>
      <c r="C129" s="546">
        <v>7</v>
      </c>
      <c r="D129" s="546">
        <v>1.2</v>
      </c>
      <c r="E129" s="544"/>
      <c r="F129" s="546">
        <v>1840.4907000000001</v>
      </c>
      <c r="G129" s="546">
        <v>1.1999999364</v>
      </c>
      <c r="H129" s="543" t="s">
        <v>126</v>
      </c>
      <c r="I129" s="138" t="s">
        <v>909</v>
      </c>
      <c r="J129" s="541"/>
      <c r="K129" s="541"/>
      <c r="L129" s="541"/>
      <c r="M129" s="541"/>
      <c r="N129" s="541"/>
    </row>
    <row r="130" spans="1:14" s="540" customFormat="1" ht="14">
      <c r="A130" s="1634"/>
      <c r="B130" s="1628"/>
      <c r="C130" s="546">
        <v>6.61</v>
      </c>
      <c r="D130" s="546">
        <v>1.2</v>
      </c>
      <c r="E130" s="544"/>
      <c r="F130" s="546"/>
      <c r="G130" s="546"/>
      <c r="H130" s="543"/>
      <c r="I130" s="542"/>
      <c r="J130" s="541"/>
      <c r="K130" s="541"/>
      <c r="L130" s="541"/>
      <c r="M130" s="541"/>
      <c r="N130" s="541"/>
    </row>
    <row r="131" spans="1:14" s="540" customFormat="1" ht="14">
      <c r="A131" s="1634"/>
      <c r="B131" s="1629"/>
      <c r="C131" s="546">
        <v>6.41</v>
      </c>
      <c r="D131" s="546">
        <v>1.2</v>
      </c>
      <c r="E131" s="544"/>
      <c r="F131" s="546"/>
      <c r="G131" s="546"/>
      <c r="H131" s="543"/>
      <c r="I131" s="542"/>
      <c r="J131" s="541"/>
      <c r="K131" s="541"/>
      <c r="L131" s="541"/>
      <c r="M131" s="541"/>
      <c r="N131" s="541"/>
    </row>
    <row r="132" spans="1:14" s="540" customFormat="1" ht="14">
      <c r="A132" s="1634">
        <v>2</v>
      </c>
      <c r="B132" s="1627" t="s">
        <v>173</v>
      </c>
      <c r="C132" s="546">
        <v>6.26</v>
      </c>
      <c r="D132" s="546">
        <v>2</v>
      </c>
      <c r="E132" s="544"/>
      <c r="F132" s="546"/>
      <c r="G132" s="546"/>
      <c r="H132" s="543"/>
      <c r="I132" s="542"/>
      <c r="J132" s="541"/>
      <c r="K132" s="541"/>
      <c r="L132" s="541"/>
      <c r="M132" s="541"/>
      <c r="N132" s="541"/>
    </row>
    <row r="133" spans="1:14" s="540" customFormat="1" ht="14">
      <c r="A133" s="1634"/>
      <c r="B133" s="1629"/>
      <c r="C133" s="546">
        <v>5.91</v>
      </c>
      <c r="D133" s="546">
        <v>3.78</v>
      </c>
      <c r="E133" s="544"/>
      <c r="F133" s="546"/>
      <c r="G133" s="546"/>
      <c r="H133" s="543"/>
      <c r="I133" s="542"/>
      <c r="J133" s="541"/>
      <c r="K133" s="541"/>
      <c r="L133" s="541"/>
      <c r="M133" s="541"/>
      <c r="N133" s="541"/>
    </row>
    <row r="134" spans="1:14" s="540" customFormat="1" ht="14">
      <c r="A134" s="1634">
        <v>3</v>
      </c>
      <c r="B134" s="1627" t="s">
        <v>115</v>
      </c>
      <c r="C134" s="546">
        <v>7.1</v>
      </c>
      <c r="D134" s="546">
        <v>2.76</v>
      </c>
      <c r="E134" s="544"/>
      <c r="F134" s="546">
        <v>4233.1288000000004</v>
      </c>
      <c r="G134" s="546">
        <v>2.7599999775999997</v>
      </c>
      <c r="H134" s="543"/>
      <c r="I134" s="542"/>
      <c r="J134" s="541"/>
      <c r="K134" s="541"/>
      <c r="L134" s="541"/>
      <c r="M134" s="541"/>
      <c r="N134" s="541"/>
    </row>
    <row r="135" spans="1:14" s="540" customFormat="1" ht="14">
      <c r="A135" s="1634"/>
      <c r="B135" s="1628"/>
      <c r="C135" s="546">
        <v>6.4</v>
      </c>
      <c r="D135" s="546">
        <v>4.38</v>
      </c>
      <c r="E135" s="544"/>
      <c r="F135" s="546"/>
      <c r="G135" s="546"/>
      <c r="H135" s="543"/>
      <c r="I135" s="542"/>
      <c r="J135" s="541"/>
      <c r="K135" s="541"/>
      <c r="L135" s="541"/>
      <c r="M135" s="541"/>
      <c r="N135" s="541"/>
    </row>
    <row r="136" spans="1:14" s="540" customFormat="1" ht="14">
      <c r="A136" s="1634"/>
      <c r="B136" s="1629"/>
      <c r="C136" s="546">
        <v>5.72</v>
      </c>
      <c r="D136" s="546">
        <v>6.15</v>
      </c>
      <c r="E136" s="544"/>
      <c r="F136" s="546"/>
      <c r="G136" s="546"/>
      <c r="H136" s="543"/>
      <c r="I136" s="542"/>
      <c r="J136" s="541"/>
      <c r="K136" s="541"/>
      <c r="L136" s="541"/>
      <c r="M136" s="541"/>
      <c r="N136" s="541"/>
    </row>
    <row r="137" spans="1:14" s="540" customFormat="1" ht="14">
      <c r="A137" s="1634">
        <v>4</v>
      </c>
      <c r="B137" s="1627" t="s">
        <v>1206</v>
      </c>
      <c r="C137" s="546">
        <v>6.85</v>
      </c>
      <c r="D137" s="546">
        <v>1.5</v>
      </c>
      <c r="E137" s="544"/>
      <c r="F137" s="546">
        <v>2300.6134000000002</v>
      </c>
      <c r="G137" s="546">
        <v>1.4999999368000001</v>
      </c>
      <c r="H137" s="543"/>
      <c r="I137" s="542"/>
      <c r="J137" s="541"/>
      <c r="K137" s="541"/>
      <c r="L137" s="541"/>
      <c r="M137" s="541"/>
      <c r="N137" s="541"/>
    </row>
    <row r="138" spans="1:14" s="540" customFormat="1" ht="14">
      <c r="A138" s="1634"/>
      <c r="B138" s="1628"/>
      <c r="C138" s="546">
        <v>6.75</v>
      </c>
      <c r="D138" s="546">
        <v>1.5</v>
      </c>
      <c r="E138" s="544"/>
      <c r="F138" s="546"/>
      <c r="G138" s="546"/>
      <c r="H138" s="543"/>
      <c r="I138" s="542"/>
      <c r="J138" s="541"/>
      <c r="K138" s="541"/>
      <c r="L138" s="541"/>
      <c r="M138" s="541"/>
      <c r="N138" s="541"/>
    </row>
    <row r="139" spans="1:14" s="540" customFormat="1" ht="14">
      <c r="A139" s="1634"/>
      <c r="B139" s="1629"/>
      <c r="C139" s="546">
        <v>6.65</v>
      </c>
      <c r="D139" s="546">
        <v>1.5</v>
      </c>
      <c r="E139" s="544"/>
      <c r="F139" s="546"/>
      <c r="G139" s="546"/>
      <c r="H139" s="543"/>
      <c r="I139" s="542"/>
      <c r="J139" s="541"/>
      <c r="K139" s="541"/>
      <c r="L139" s="541"/>
      <c r="M139" s="541"/>
      <c r="N139" s="541"/>
    </row>
    <row r="140" spans="1:14" s="540" customFormat="1" ht="14">
      <c r="A140" s="1634">
        <v>5</v>
      </c>
      <c r="B140" s="1627" t="s">
        <v>127</v>
      </c>
      <c r="C140" s="546">
        <v>5.91</v>
      </c>
      <c r="D140" s="546">
        <v>1.2</v>
      </c>
      <c r="E140" s="544"/>
      <c r="F140" s="546"/>
      <c r="G140" s="546"/>
      <c r="H140" s="543"/>
      <c r="I140" s="542"/>
      <c r="J140" s="541"/>
      <c r="K140" s="541"/>
      <c r="L140" s="541"/>
      <c r="M140" s="541"/>
      <c r="N140" s="541"/>
    </row>
    <row r="141" spans="1:14" s="540" customFormat="1" ht="14">
      <c r="A141" s="1634"/>
      <c r="B141" s="1629"/>
      <c r="C141" s="546">
        <v>5.61</v>
      </c>
      <c r="D141" s="546">
        <v>2.5</v>
      </c>
      <c r="E141" s="544"/>
      <c r="F141" s="546"/>
      <c r="G141" s="546"/>
      <c r="H141" s="543"/>
      <c r="I141" s="542"/>
      <c r="J141" s="541"/>
      <c r="K141" s="541"/>
      <c r="L141" s="541"/>
      <c r="M141" s="541"/>
      <c r="N141" s="541"/>
    </row>
    <row r="142" spans="1:14" s="540" customFormat="1" ht="14">
      <c r="A142" s="547">
        <v>6</v>
      </c>
      <c r="B142" s="554" t="s">
        <v>974</v>
      </c>
      <c r="C142" s="546">
        <v>6.01</v>
      </c>
      <c r="D142" s="546">
        <v>1.1100000000000001</v>
      </c>
      <c r="E142" s="544"/>
      <c r="F142" s="546"/>
      <c r="G142" s="546"/>
      <c r="H142" s="543"/>
      <c r="I142" s="542"/>
      <c r="J142" s="541"/>
      <c r="K142" s="541"/>
      <c r="L142" s="541"/>
      <c r="M142" s="541"/>
      <c r="N142" s="541"/>
    </row>
    <row r="143" spans="1:14" s="540" customFormat="1" ht="14">
      <c r="A143" s="1634">
        <v>7</v>
      </c>
      <c r="B143" s="1627" t="s">
        <v>1205</v>
      </c>
      <c r="C143" s="546">
        <v>7</v>
      </c>
      <c r="D143" s="546">
        <v>1.3</v>
      </c>
      <c r="E143" s="544"/>
      <c r="F143" s="546">
        <v>1993.865</v>
      </c>
      <c r="G143" s="546">
        <v>1.2999999799999999</v>
      </c>
      <c r="H143" s="543"/>
      <c r="I143" s="542"/>
      <c r="J143" s="541"/>
      <c r="K143" s="541"/>
      <c r="L143" s="541"/>
      <c r="M143" s="541"/>
      <c r="N143" s="541"/>
    </row>
    <row r="144" spans="1:14" s="540" customFormat="1" ht="14">
      <c r="A144" s="1634"/>
      <c r="B144" s="1628"/>
      <c r="C144" s="546">
        <v>6.61</v>
      </c>
      <c r="D144" s="546">
        <v>1.3</v>
      </c>
      <c r="E144" s="544"/>
      <c r="F144" s="546"/>
      <c r="G144" s="546"/>
      <c r="H144" s="543"/>
      <c r="I144" s="542"/>
      <c r="J144" s="541"/>
      <c r="K144" s="541"/>
      <c r="L144" s="541"/>
      <c r="M144" s="541"/>
      <c r="N144" s="541"/>
    </row>
    <row r="145" spans="1:14" s="540" customFormat="1" ht="14">
      <c r="A145" s="1634"/>
      <c r="B145" s="1629"/>
      <c r="C145" s="546">
        <v>6.41</v>
      </c>
      <c r="D145" s="546">
        <v>1.3</v>
      </c>
      <c r="E145" s="544"/>
      <c r="F145" s="546"/>
      <c r="G145" s="546"/>
      <c r="H145" s="543"/>
      <c r="I145" s="542"/>
      <c r="J145" s="541"/>
      <c r="K145" s="541"/>
      <c r="L145" s="541"/>
      <c r="M145" s="541"/>
      <c r="N145" s="541"/>
    </row>
    <row r="146" spans="1:14" s="540" customFormat="1" ht="14">
      <c r="A146" s="547">
        <v>8</v>
      </c>
      <c r="B146" s="554" t="s">
        <v>955</v>
      </c>
      <c r="C146" s="546">
        <v>6.02</v>
      </c>
      <c r="D146" s="546">
        <v>1.1100000000000001</v>
      </c>
      <c r="E146" s="544"/>
      <c r="F146" s="546"/>
      <c r="G146" s="546"/>
      <c r="H146" s="543"/>
      <c r="I146" s="542"/>
      <c r="J146" s="541"/>
      <c r="K146" s="541"/>
      <c r="L146" s="541"/>
      <c r="M146" s="541"/>
      <c r="N146" s="541"/>
    </row>
    <row r="147" spans="1:14" s="540" customFormat="1" ht="14">
      <c r="A147" s="547">
        <v>9</v>
      </c>
      <c r="B147" s="554" t="s">
        <v>1142</v>
      </c>
      <c r="C147" s="546">
        <v>6.01</v>
      </c>
      <c r="D147" s="546">
        <v>1.1100000000000001</v>
      </c>
      <c r="E147" s="544"/>
      <c r="F147" s="546"/>
      <c r="G147" s="546"/>
      <c r="H147" s="543"/>
      <c r="I147" s="542"/>
      <c r="J147" s="541"/>
      <c r="K147" s="541"/>
      <c r="L147" s="541"/>
      <c r="M147" s="541"/>
      <c r="N147" s="541"/>
    </row>
    <row r="148" spans="1:14" s="540" customFormat="1" ht="14">
      <c r="A148" s="547">
        <v>10</v>
      </c>
      <c r="B148" s="554" t="s">
        <v>122</v>
      </c>
      <c r="C148" s="546">
        <v>5.83</v>
      </c>
      <c r="D148" s="546">
        <v>1.6</v>
      </c>
      <c r="E148" s="544"/>
      <c r="F148" s="546"/>
      <c r="G148" s="546"/>
      <c r="H148" s="543"/>
      <c r="I148" s="542"/>
      <c r="J148" s="541"/>
      <c r="K148" s="541"/>
      <c r="L148" s="541"/>
      <c r="M148" s="541"/>
      <c r="N148" s="541"/>
    </row>
    <row r="149" spans="1:14" s="540" customFormat="1" ht="14">
      <c r="A149" s="547">
        <v>11</v>
      </c>
      <c r="B149" s="554" t="s">
        <v>505</v>
      </c>
      <c r="C149" s="546">
        <v>5.57</v>
      </c>
      <c r="D149" s="546">
        <v>1.2</v>
      </c>
      <c r="E149" s="544"/>
      <c r="F149" s="546"/>
      <c r="G149" s="546"/>
      <c r="H149" s="543"/>
      <c r="I149" s="542"/>
      <c r="J149" s="541"/>
      <c r="K149" s="541"/>
      <c r="L149" s="541"/>
      <c r="M149" s="541"/>
      <c r="N149" s="541"/>
    </row>
    <row r="150" spans="1:14" s="540" customFormat="1" ht="14">
      <c r="A150" s="1634">
        <v>12</v>
      </c>
      <c r="B150" s="1627" t="s">
        <v>351</v>
      </c>
      <c r="C150" s="546">
        <v>6.26</v>
      </c>
      <c r="D150" s="546">
        <v>2.2200000000000002</v>
      </c>
      <c r="E150" s="544"/>
      <c r="F150" s="546"/>
      <c r="G150" s="546"/>
      <c r="H150" s="543"/>
      <c r="I150" s="542"/>
      <c r="J150" s="541"/>
      <c r="K150" s="541"/>
      <c r="L150" s="541"/>
      <c r="M150" s="541"/>
      <c r="N150" s="541"/>
    </row>
    <row r="151" spans="1:14" s="540" customFormat="1" ht="14">
      <c r="A151" s="1634"/>
      <c r="B151" s="1628"/>
      <c r="C151" s="546">
        <v>5.61</v>
      </c>
      <c r="D151" s="546">
        <v>2.44</v>
      </c>
      <c r="E151" s="544"/>
      <c r="F151" s="546"/>
      <c r="G151" s="546"/>
      <c r="H151" s="543"/>
      <c r="I151" s="542"/>
      <c r="J151" s="541"/>
      <c r="K151" s="541"/>
      <c r="L151" s="541"/>
      <c r="M151" s="541"/>
      <c r="N151" s="541"/>
    </row>
    <row r="152" spans="1:14" s="540" customFormat="1" ht="14">
      <c r="A152" s="1634"/>
      <c r="B152" s="1629"/>
      <c r="C152" s="546">
        <v>5.36</v>
      </c>
      <c r="D152" s="546">
        <v>3.55</v>
      </c>
      <c r="E152" s="544"/>
      <c r="F152" s="546"/>
      <c r="G152" s="546"/>
      <c r="H152" s="543"/>
      <c r="I152" s="542"/>
      <c r="J152" s="541"/>
      <c r="K152" s="541"/>
      <c r="L152" s="541"/>
      <c r="M152" s="541"/>
      <c r="N152" s="541"/>
    </row>
    <row r="153" spans="1:14" s="540" customFormat="1" ht="14">
      <c r="A153" s="1634">
        <v>13</v>
      </c>
      <c r="B153" s="1627" t="s">
        <v>147</v>
      </c>
      <c r="C153" s="546">
        <v>5.35</v>
      </c>
      <c r="D153" s="546">
        <v>1.1100000000000001</v>
      </c>
      <c r="E153" s="544"/>
      <c r="F153" s="546"/>
      <c r="G153" s="546"/>
      <c r="H153" s="543"/>
      <c r="I153" s="542"/>
      <c r="J153" s="541"/>
      <c r="K153" s="541"/>
      <c r="L153" s="541"/>
      <c r="M153" s="541"/>
      <c r="N153" s="541"/>
    </row>
    <row r="154" spans="1:14" s="540" customFormat="1" ht="14">
      <c r="A154" s="1634"/>
      <c r="B154" s="1629"/>
      <c r="C154" s="546">
        <v>5.34</v>
      </c>
      <c r="D154" s="546">
        <v>1.96</v>
      </c>
      <c r="E154" s="544"/>
      <c r="F154" s="546"/>
      <c r="G154" s="546"/>
      <c r="H154" s="543"/>
      <c r="I154" s="542"/>
      <c r="J154" s="541"/>
      <c r="K154" s="541"/>
      <c r="L154" s="541"/>
      <c r="M154" s="541"/>
      <c r="N154" s="541"/>
    </row>
    <row r="155" spans="1:14" s="540" customFormat="1" ht="14">
      <c r="A155" s="1634">
        <v>14</v>
      </c>
      <c r="B155" s="1627" t="s">
        <v>146</v>
      </c>
      <c r="C155" s="546">
        <v>6.52</v>
      </c>
      <c r="D155" s="546">
        <v>1.22</v>
      </c>
      <c r="E155" s="544"/>
      <c r="F155" s="546">
        <v>513.80399999999997</v>
      </c>
      <c r="G155" s="546">
        <v>0.33500020800000002</v>
      </c>
      <c r="H155" s="543"/>
      <c r="I155" s="542"/>
      <c r="J155" s="541"/>
      <c r="K155" s="541"/>
      <c r="L155" s="541"/>
      <c r="M155" s="541"/>
      <c r="N155" s="541"/>
    </row>
    <row r="156" spans="1:14" s="540" customFormat="1" ht="14">
      <c r="A156" s="1634"/>
      <c r="B156" s="1629"/>
      <c r="C156" s="546">
        <v>6.26</v>
      </c>
      <c r="D156" s="546">
        <v>1.87</v>
      </c>
      <c r="E156" s="544"/>
      <c r="F156" s="546"/>
      <c r="G156" s="546"/>
      <c r="H156" s="543"/>
      <c r="I156" s="542"/>
      <c r="J156" s="541"/>
      <c r="K156" s="541"/>
      <c r="L156" s="541"/>
      <c r="M156" s="541"/>
      <c r="N156" s="541"/>
    </row>
    <row r="157" spans="1:14" s="540" customFormat="1" ht="14">
      <c r="A157" s="1634">
        <v>15</v>
      </c>
      <c r="B157" s="1627" t="s">
        <v>1204</v>
      </c>
      <c r="C157" s="546">
        <v>6.6</v>
      </c>
      <c r="D157" s="546">
        <v>1.1100000000000001</v>
      </c>
      <c r="E157" s="544"/>
      <c r="F157" s="546">
        <v>1702.4539</v>
      </c>
      <c r="G157" s="546">
        <v>1.1099999428</v>
      </c>
      <c r="H157" s="543"/>
      <c r="I157" s="542"/>
      <c r="J157" s="541"/>
      <c r="K157" s="541"/>
      <c r="L157" s="541"/>
      <c r="M157" s="541"/>
      <c r="N157" s="541"/>
    </row>
    <row r="158" spans="1:14" s="540" customFormat="1" ht="14">
      <c r="A158" s="1634"/>
      <c r="B158" s="1628"/>
      <c r="C158" s="546">
        <v>5.87</v>
      </c>
      <c r="D158" s="546">
        <v>1.1100000000000001</v>
      </c>
      <c r="E158" s="544"/>
      <c r="F158" s="546"/>
      <c r="G158" s="546"/>
      <c r="H158" s="543"/>
      <c r="I158" s="542"/>
      <c r="J158" s="541"/>
      <c r="K158" s="541"/>
      <c r="L158" s="541"/>
      <c r="M158" s="541"/>
      <c r="N158" s="541"/>
    </row>
    <row r="159" spans="1:14" s="540" customFormat="1" ht="14">
      <c r="A159" s="1634"/>
      <c r="B159" s="1629"/>
      <c r="C159" s="546">
        <v>5.34</v>
      </c>
      <c r="D159" s="546">
        <v>1.1100000000000001</v>
      </c>
      <c r="E159" s="544"/>
      <c r="F159" s="546"/>
      <c r="G159" s="546"/>
      <c r="H159" s="543"/>
      <c r="I159" s="542"/>
      <c r="J159" s="541"/>
      <c r="K159" s="541"/>
      <c r="L159" s="541"/>
      <c r="M159" s="541"/>
      <c r="N159" s="541"/>
    </row>
    <row r="160" spans="1:14" s="540" customFormat="1" ht="14">
      <c r="A160" s="547">
        <v>16</v>
      </c>
      <c r="B160" s="554" t="s">
        <v>121</v>
      </c>
      <c r="C160" s="546">
        <v>5.81</v>
      </c>
      <c r="D160" s="546">
        <v>1.1100000000000001</v>
      </c>
      <c r="E160" s="544"/>
      <c r="F160" s="546"/>
      <c r="G160" s="546"/>
      <c r="H160" s="543"/>
      <c r="I160" s="542"/>
      <c r="J160" s="541"/>
      <c r="K160" s="541"/>
      <c r="L160" s="541"/>
      <c r="M160" s="541"/>
      <c r="N160" s="541"/>
    </row>
    <row r="161" spans="1:19" s="540" customFormat="1" ht="14">
      <c r="A161" s="1634">
        <v>17</v>
      </c>
      <c r="B161" s="1627" t="s">
        <v>1203</v>
      </c>
      <c r="C161" s="546">
        <v>7</v>
      </c>
      <c r="D161" s="546">
        <v>1.74</v>
      </c>
      <c r="E161" s="544"/>
      <c r="F161" s="546">
        <v>2668.7116000000001</v>
      </c>
      <c r="G161" s="546">
        <v>1.7399999631999998</v>
      </c>
      <c r="H161" s="543"/>
      <c r="I161" s="542"/>
      <c r="J161" s="541"/>
      <c r="K161" s="541"/>
      <c r="L161" s="541"/>
      <c r="M161" s="541"/>
      <c r="N161" s="541"/>
    </row>
    <row r="162" spans="1:19" s="540" customFormat="1" ht="14">
      <c r="A162" s="1634"/>
      <c r="B162" s="1628"/>
      <c r="C162" s="546">
        <v>6.61</v>
      </c>
      <c r="D162" s="546">
        <v>1.74</v>
      </c>
      <c r="E162" s="544"/>
      <c r="F162" s="546"/>
      <c r="G162" s="546"/>
      <c r="H162" s="543"/>
      <c r="I162" s="542"/>
      <c r="J162" s="541"/>
      <c r="K162" s="541"/>
      <c r="L162" s="541"/>
      <c r="M162" s="541"/>
      <c r="N162" s="541"/>
    </row>
    <row r="163" spans="1:19" s="540" customFormat="1" ht="14">
      <c r="A163" s="1634"/>
      <c r="B163" s="1629"/>
      <c r="C163" s="546">
        <v>6.41</v>
      </c>
      <c r="D163" s="546">
        <v>1.74</v>
      </c>
      <c r="E163" s="544"/>
      <c r="F163" s="546"/>
      <c r="G163" s="546"/>
      <c r="H163" s="543"/>
      <c r="I163" s="542"/>
      <c r="J163" s="541"/>
      <c r="K163" s="541"/>
      <c r="L163" s="541"/>
      <c r="M163" s="541"/>
      <c r="N163" s="541"/>
    </row>
    <row r="164" spans="1:19" s="540" customFormat="1" ht="14">
      <c r="A164" s="547">
        <v>18</v>
      </c>
      <c r="B164" s="554" t="s">
        <v>385</v>
      </c>
      <c r="C164" s="546">
        <v>6.3</v>
      </c>
      <c r="D164" s="546">
        <v>1.2</v>
      </c>
      <c r="E164" s="544"/>
      <c r="F164" s="546"/>
      <c r="G164" s="546"/>
      <c r="H164" s="543"/>
      <c r="I164" s="542"/>
      <c r="J164" s="541"/>
      <c r="K164" s="541"/>
      <c r="L164" s="541"/>
      <c r="M164" s="541"/>
      <c r="N164" s="541"/>
    </row>
    <row r="165" spans="1:19" s="540" customFormat="1" ht="14">
      <c r="A165" s="547">
        <v>19</v>
      </c>
      <c r="B165" s="554" t="s">
        <v>1202</v>
      </c>
      <c r="C165" s="1658" t="s">
        <v>989</v>
      </c>
      <c r="D165" s="1659"/>
      <c r="E165" s="544"/>
      <c r="F165" s="546">
        <v>2691.7177999999999</v>
      </c>
      <c r="G165" s="546">
        <v>1.7550000056000001</v>
      </c>
      <c r="H165" s="543"/>
      <c r="I165" s="542"/>
      <c r="J165" s="541"/>
      <c r="K165" s="541"/>
      <c r="L165" s="541"/>
      <c r="M165" s="541"/>
      <c r="N165" s="541"/>
    </row>
    <row r="166" spans="1:19" s="529" customFormat="1" ht="14">
      <c r="A166" s="530"/>
      <c r="B166" s="530"/>
      <c r="C166" s="530"/>
    </row>
    <row r="167" spans="1:19" s="529" customFormat="1" ht="14">
      <c r="A167" s="530"/>
      <c r="B167" s="530"/>
      <c r="C167" s="530"/>
    </row>
    <row r="168" spans="1:19" s="529" customFormat="1" ht="14">
      <c r="A168" s="530"/>
      <c r="B168" s="530"/>
      <c r="C168" s="530"/>
    </row>
    <row r="169" spans="1:19" s="530" customFormat="1" ht="14">
      <c r="A169" s="562" t="s">
        <v>106</v>
      </c>
      <c r="B169" s="565" t="s">
        <v>107</v>
      </c>
      <c r="C169" s="564" t="s">
        <v>4</v>
      </c>
      <c r="D169" s="563" t="s">
        <v>108</v>
      </c>
      <c r="E169" s="563" t="s">
        <v>109</v>
      </c>
      <c r="F169" s="562" t="s">
        <v>411</v>
      </c>
      <c r="G169" s="561" t="s">
        <v>950</v>
      </c>
      <c r="H169" s="561" t="s">
        <v>110</v>
      </c>
      <c r="I169" s="561" t="s">
        <v>276</v>
      </c>
      <c r="J169" s="561" t="s">
        <v>117</v>
      </c>
      <c r="K169" s="561" t="s">
        <v>275</v>
      </c>
      <c r="L169" s="562" t="s">
        <v>111</v>
      </c>
      <c r="M169" s="561" t="s">
        <v>949</v>
      </c>
      <c r="N169" s="561" t="s">
        <v>948</v>
      </c>
      <c r="O169" s="561" t="s">
        <v>129</v>
      </c>
      <c r="P169" s="561" t="s">
        <v>220</v>
      </c>
      <c r="Q169" s="537" t="s">
        <v>947</v>
      </c>
      <c r="R169" s="537" t="s">
        <v>946</v>
      </c>
      <c r="S169" s="560" t="s">
        <v>945</v>
      </c>
    </row>
    <row r="170" spans="1:19" s="547" customFormat="1" ht="14">
      <c r="A170" s="554">
        <v>261</v>
      </c>
      <c r="B170" s="632" t="s">
        <v>912</v>
      </c>
      <c r="C170" s="558" t="s">
        <v>913</v>
      </c>
      <c r="D170" s="555">
        <v>16</v>
      </c>
      <c r="E170" s="555">
        <v>13.2</v>
      </c>
      <c r="F170" s="557" t="s">
        <v>1201</v>
      </c>
      <c r="G170" s="555">
        <v>12.97</v>
      </c>
      <c r="H170" s="555">
        <v>12.88</v>
      </c>
      <c r="I170" s="555">
        <f>H170/G170</f>
        <v>0.99306090979182726</v>
      </c>
      <c r="J170" s="555">
        <v>13.2</v>
      </c>
      <c r="K170" s="555">
        <f>J170/G170</f>
        <v>1.0177332305319968</v>
      </c>
      <c r="L170" s="554">
        <v>4</v>
      </c>
      <c r="M170" s="631">
        <v>42684</v>
      </c>
      <c r="N170" s="555">
        <v>12.95</v>
      </c>
      <c r="O170" s="555">
        <f>(N170*(1+Q170/10)+R170/10)/J170</f>
        <v>0.98106060606060608</v>
      </c>
      <c r="P170" s="603" t="s">
        <v>1160</v>
      </c>
      <c r="Q170" s="554">
        <f>IFERROR(MID(P171,FIND("转",P171)+1,FIND("股",P171)-(FIND("转",P171)+1)),0)</f>
        <v>0</v>
      </c>
      <c r="R170" s="554">
        <f>IFERROR(MID(P170,FIND("派",P170)+1,FIND("元",P170)-FIND("派",P170)-1),0)</f>
        <v>0</v>
      </c>
      <c r="S170" s="553" t="s">
        <v>914</v>
      </c>
    </row>
    <row r="171" spans="1:19" s="540" customFormat="1" ht="14">
      <c r="A171" s="547"/>
      <c r="B171" s="551" t="s">
        <v>112</v>
      </c>
      <c r="C171" s="551" t="s">
        <v>113</v>
      </c>
      <c r="D171" s="551" t="s">
        <v>943</v>
      </c>
      <c r="E171" s="552" t="s">
        <v>411</v>
      </c>
      <c r="F171" s="552" t="s">
        <v>942</v>
      </c>
      <c r="G171" s="551" t="s">
        <v>231</v>
      </c>
      <c r="H171" s="551" t="s">
        <v>941</v>
      </c>
      <c r="I171" s="549">
        <f>SUM(G172:G184)</f>
        <v>13.2</v>
      </c>
      <c r="J171" s="548"/>
      <c r="K171" s="548"/>
      <c r="L171" s="548"/>
      <c r="M171" s="548"/>
      <c r="N171" s="548"/>
    </row>
    <row r="172" spans="1:19" s="540" customFormat="1" ht="14">
      <c r="A172" s="1634">
        <v>1</v>
      </c>
      <c r="B172" s="1627" t="s">
        <v>1200</v>
      </c>
      <c r="C172" s="546">
        <v>13.5</v>
      </c>
      <c r="D172" s="546">
        <v>3.9986999999999999</v>
      </c>
      <c r="E172" s="546"/>
      <c r="F172" s="546">
        <v>3030</v>
      </c>
      <c r="G172" s="546">
        <f>13.2*F172/10000</f>
        <v>3.9996</v>
      </c>
      <c r="H172" s="543" t="s">
        <v>126</v>
      </c>
      <c r="I172" s="138" t="s">
        <v>1199</v>
      </c>
      <c r="J172" s="541"/>
      <c r="K172" s="541"/>
      <c r="L172" s="541"/>
      <c r="M172" s="541"/>
      <c r="N172" s="541"/>
    </row>
    <row r="173" spans="1:19" s="540" customFormat="1" ht="14">
      <c r="A173" s="1634"/>
      <c r="B173" s="1628"/>
      <c r="C173" s="546">
        <v>13.2</v>
      </c>
      <c r="D173" s="546">
        <v>3.9996</v>
      </c>
      <c r="E173" s="546"/>
      <c r="F173" s="546"/>
      <c r="G173" s="546"/>
      <c r="H173" s="543"/>
      <c r="I173" s="542"/>
      <c r="J173" s="541"/>
      <c r="K173" s="541"/>
      <c r="L173" s="541"/>
      <c r="M173" s="541"/>
      <c r="N173" s="541"/>
    </row>
    <row r="174" spans="1:19" s="540" customFormat="1" ht="14">
      <c r="A174" s="1634"/>
      <c r="B174" s="1629"/>
      <c r="C174" s="546">
        <v>13.1</v>
      </c>
      <c r="D174" s="546">
        <v>3.9994299999999994</v>
      </c>
      <c r="E174" s="546"/>
      <c r="F174" s="546"/>
      <c r="G174" s="546"/>
      <c r="H174" s="543"/>
      <c r="I174" s="542"/>
      <c r="J174" s="541"/>
      <c r="K174" s="541"/>
      <c r="L174" s="541"/>
      <c r="M174" s="541"/>
      <c r="N174" s="541"/>
    </row>
    <row r="175" spans="1:19" s="540" customFormat="1" ht="14">
      <c r="A175" s="547">
        <v>2</v>
      </c>
      <c r="B175" s="603" t="s">
        <v>1198</v>
      </c>
      <c r="C175" s="546">
        <v>13.3</v>
      </c>
      <c r="D175" s="546">
        <v>2.66</v>
      </c>
      <c r="E175" s="546"/>
      <c r="F175" s="546">
        <v>2000</v>
      </c>
      <c r="G175" s="546">
        <f>13.2*F175/10000</f>
        <v>2.64</v>
      </c>
      <c r="H175" s="543"/>
      <c r="I175" s="542"/>
      <c r="J175" s="541"/>
      <c r="K175" s="541"/>
      <c r="L175" s="541"/>
      <c r="M175" s="541"/>
      <c r="N175" s="541"/>
    </row>
    <row r="176" spans="1:19" s="540" customFormat="1" ht="14">
      <c r="A176" s="1634">
        <v>3</v>
      </c>
      <c r="B176" s="1627" t="s">
        <v>136</v>
      </c>
      <c r="C176" s="546">
        <v>13.21</v>
      </c>
      <c r="D176" s="546">
        <v>3.9669630000000007</v>
      </c>
      <c r="E176" s="546"/>
      <c r="F176" s="546">
        <v>3003</v>
      </c>
      <c r="G176" s="546">
        <f>13.2*F176/10000</f>
        <v>3.9639599999999997</v>
      </c>
      <c r="H176" s="543"/>
      <c r="I176" s="542"/>
      <c r="J176" s="541"/>
      <c r="K176" s="541"/>
      <c r="L176" s="541"/>
      <c r="M176" s="541"/>
      <c r="N176" s="541"/>
    </row>
    <row r="177" spans="1:19" s="540" customFormat="1" ht="14">
      <c r="A177" s="1634"/>
      <c r="B177" s="1628"/>
      <c r="C177" s="546">
        <v>13.1</v>
      </c>
      <c r="D177" s="546">
        <v>4.2679799999999997</v>
      </c>
      <c r="E177" s="546"/>
      <c r="F177" s="546"/>
      <c r="G177" s="546"/>
      <c r="H177" s="543"/>
      <c r="I177" s="542"/>
      <c r="J177" s="541"/>
      <c r="K177" s="541"/>
      <c r="L177" s="541"/>
      <c r="M177" s="541"/>
      <c r="N177" s="541"/>
    </row>
    <row r="178" spans="1:19" s="540" customFormat="1" ht="14">
      <c r="A178" s="1634"/>
      <c r="B178" s="1629"/>
      <c r="C178" s="546">
        <v>13.03</v>
      </c>
      <c r="D178" s="546">
        <v>4.7077390000000001</v>
      </c>
      <c r="E178" s="546"/>
      <c r="F178" s="546"/>
      <c r="G178" s="546"/>
      <c r="H178" s="543"/>
      <c r="I178" s="542"/>
      <c r="J178" s="541"/>
      <c r="K178" s="541"/>
      <c r="L178" s="541"/>
      <c r="M178" s="541"/>
      <c r="N178" s="541"/>
    </row>
    <row r="179" spans="1:19" s="540" customFormat="1" ht="14">
      <c r="A179" s="1634">
        <v>4</v>
      </c>
      <c r="B179" s="1627" t="s">
        <v>1059</v>
      </c>
      <c r="C179" s="546">
        <v>13.2</v>
      </c>
      <c r="D179" s="546">
        <v>2.64</v>
      </c>
      <c r="E179" s="546"/>
      <c r="F179" s="546">
        <v>1967</v>
      </c>
      <c r="G179" s="546">
        <f>13.2*F179/10000</f>
        <v>2.5964399999999999</v>
      </c>
      <c r="H179" s="543"/>
      <c r="I179" s="542"/>
      <c r="J179" s="541"/>
      <c r="K179" s="541"/>
      <c r="L179" s="541"/>
      <c r="M179" s="541"/>
      <c r="N179" s="541"/>
    </row>
    <row r="180" spans="1:19" s="540" customFormat="1" ht="14">
      <c r="A180" s="1634"/>
      <c r="B180" s="1628"/>
      <c r="C180" s="546">
        <v>13.04</v>
      </c>
      <c r="D180" s="546">
        <v>2.6080000000000001</v>
      </c>
      <c r="E180" s="546"/>
      <c r="F180" s="546"/>
      <c r="G180" s="546"/>
      <c r="H180" s="543"/>
      <c r="I180" s="542"/>
      <c r="J180" s="541"/>
      <c r="K180" s="541"/>
      <c r="L180" s="541"/>
      <c r="M180" s="541"/>
      <c r="N180" s="541"/>
    </row>
    <row r="181" spans="1:19" s="540" customFormat="1" ht="14">
      <c r="A181" s="1634"/>
      <c r="B181" s="1629"/>
      <c r="C181" s="546">
        <v>12.88</v>
      </c>
      <c r="D181" s="546">
        <v>2.5760000000000001</v>
      </c>
      <c r="E181" s="546"/>
      <c r="F181" s="546"/>
      <c r="G181" s="546"/>
      <c r="H181" s="543"/>
      <c r="I181" s="542"/>
      <c r="J181" s="541"/>
      <c r="K181" s="541"/>
      <c r="L181" s="541"/>
      <c r="M181" s="541"/>
      <c r="N181" s="541"/>
    </row>
    <row r="182" spans="1:19" s="540" customFormat="1" ht="14">
      <c r="A182" s="1634">
        <v>5</v>
      </c>
      <c r="B182" s="1627" t="s">
        <v>1197</v>
      </c>
      <c r="C182" s="546">
        <v>13</v>
      </c>
      <c r="D182" s="546">
        <v>2.6</v>
      </c>
      <c r="E182" s="546"/>
      <c r="F182" s="546"/>
      <c r="G182" s="546"/>
      <c r="H182" s="543"/>
      <c r="I182" s="542"/>
      <c r="J182" s="541"/>
      <c r="K182" s="541"/>
      <c r="L182" s="541"/>
      <c r="M182" s="541"/>
      <c r="N182" s="541"/>
    </row>
    <row r="183" spans="1:19" s="540" customFormat="1" ht="14">
      <c r="A183" s="1634"/>
      <c r="B183" s="1628"/>
      <c r="C183" s="546">
        <v>12.89</v>
      </c>
      <c r="D183" s="546">
        <v>2.5792889999999997</v>
      </c>
      <c r="E183" s="546"/>
      <c r="F183" s="546"/>
      <c r="G183" s="546"/>
      <c r="H183" s="543"/>
      <c r="I183" s="542"/>
      <c r="J183" s="541"/>
      <c r="K183" s="541"/>
      <c r="L183" s="541"/>
      <c r="M183" s="541"/>
      <c r="N183" s="541"/>
    </row>
    <row r="184" spans="1:19" s="540" customFormat="1" ht="14">
      <c r="A184" s="1634"/>
      <c r="B184" s="1629"/>
      <c r="C184" s="546">
        <v>12.88</v>
      </c>
      <c r="D184" s="546">
        <v>2.5785760000000004</v>
      </c>
      <c r="E184" s="546"/>
      <c r="F184" s="546"/>
      <c r="G184" s="546"/>
      <c r="H184" s="543"/>
      <c r="I184" s="542"/>
      <c r="J184" s="541"/>
      <c r="K184" s="541"/>
      <c r="L184" s="541"/>
      <c r="M184" s="541"/>
      <c r="N184" s="541"/>
    </row>
    <row r="185" spans="1:19" s="529" customFormat="1" ht="14">
      <c r="A185" s="530"/>
      <c r="B185" s="530"/>
      <c r="C185" s="530"/>
      <c r="D185" s="530"/>
      <c r="E185" s="580"/>
      <c r="F185" s="530"/>
    </row>
    <row r="186" spans="1:19" s="529" customFormat="1" ht="14">
      <c r="A186" s="530"/>
      <c r="B186" s="530"/>
      <c r="C186" s="530"/>
      <c r="D186" s="530"/>
      <c r="E186" s="580"/>
    </row>
    <row r="187" spans="1:19" s="529" customFormat="1" ht="14">
      <c r="A187" s="530"/>
      <c r="B187" s="530"/>
      <c r="C187" s="530"/>
      <c r="D187" s="530"/>
      <c r="E187" s="580"/>
    </row>
    <row r="188" spans="1:19" s="530" customFormat="1" ht="14">
      <c r="A188" s="562" t="s">
        <v>106</v>
      </c>
      <c r="B188" s="565" t="s">
        <v>107</v>
      </c>
      <c r="C188" s="564" t="s">
        <v>4</v>
      </c>
      <c r="D188" s="563" t="s">
        <v>108</v>
      </c>
      <c r="E188" s="563" t="s">
        <v>109</v>
      </c>
      <c r="F188" s="562" t="s">
        <v>411</v>
      </c>
      <c r="G188" s="561" t="s">
        <v>950</v>
      </c>
      <c r="H188" s="561" t="s">
        <v>110</v>
      </c>
      <c r="I188" s="561" t="s">
        <v>276</v>
      </c>
      <c r="J188" s="561" t="s">
        <v>117</v>
      </c>
      <c r="K188" s="561" t="s">
        <v>275</v>
      </c>
      <c r="L188" s="562" t="s">
        <v>111</v>
      </c>
      <c r="M188" s="561" t="s">
        <v>949</v>
      </c>
      <c r="N188" s="561" t="s">
        <v>948</v>
      </c>
      <c r="O188" s="561" t="s">
        <v>129</v>
      </c>
      <c r="P188" s="561" t="s">
        <v>220</v>
      </c>
      <c r="Q188" s="537" t="s">
        <v>947</v>
      </c>
      <c r="R188" s="537" t="s">
        <v>946</v>
      </c>
      <c r="S188" s="560" t="s">
        <v>945</v>
      </c>
    </row>
    <row r="189" spans="1:19" s="547" customFormat="1" ht="14">
      <c r="A189" s="554">
        <v>262</v>
      </c>
      <c r="B189" s="559" t="s">
        <v>915</v>
      </c>
      <c r="C189" s="558" t="s">
        <v>916</v>
      </c>
      <c r="D189" s="555">
        <v>10.484999999999999</v>
      </c>
      <c r="E189" s="555">
        <v>10.484999995200001</v>
      </c>
      <c r="F189" s="557" t="s">
        <v>1123</v>
      </c>
      <c r="G189" s="555">
        <v>15.38</v>
      </c>
      <c r="H189" s="555">
        <v>8.3699999999999992</v>
      </c>
      <c r="I189" s="555">
        <f>H189/G189</f>
        <v>0.54421326397919367</v>
      </c>
      <c r="J189" s="555">
        <v>13.94</v>
      </c>
      <c r="K189" s="555">
        <f>J189/G189</f>
        <v>0.90637191157347197</v>
      </c>
      <c r="L189" s="554">
        <v>7</v>
      </c>
      <c r="M189" s="566">
        <v>43052</v>
      </c>
      <c r="N189" s="555">
        <v>20.54</v>
      </c>
      <c r="O189" s="555">
        <f>(N189*(1+Q189/10)+R189/10)/J189</f>
        <v>1.4756067073170731</v>
      </c>
      <c r="P189" s="553" t="s">
        <v>917</v>
      </c>
      <c r="Q189" s="554">
        <f>IFERROR(MID(#REF!,FIND("转",#REF!)+1,FIND("股",#REF!)-(FIND("转",#REF!)+1)),0)</f>
        <v>0</v>
      </c>
      <c r="R189" s="554" t="str">
        <f>IFERROR(MID(P189,FIND("派",P189)+1,FIND("元",P189)-FIND("派",P189)-1),0)</f>
        <v>0.299575</v>
      </c>
      <c r="S189" s="553"/>
    </row>
    <row r="190" spans="1:19" s="540" customFormat="1" ht="14">
      <c r="A190" s="547"/>
      <c r="B190" s="551" t="s">
        <v>112</v>
      </c>
      <c r="C190" s="551" t="s">
        <v>113</v>
      </c>
      <c r="D190" s="551" t="s">
        <v>943</v>
      </c>
      <c r="E190" s="552" t="s">
        <v>411</v>
      </c>
      <c r="F190" s="552" t="s">
        <v>942</v>
      </c>
      <c r="G190" s="551" t="s">
        <v>231</v>
      </c>
      <c r="H190" s="551" t="s">
        <v>941</v>
      </c>
      <c r="I190" s="549">
        <f>SUM(G191:G225)</f>
        <v>10.484999995200001</v>
      </c>
      <c r="J190" s="548"/>
      <c r="K190" s="548"/>
      <c r="L190" s="548"/>
      <c r="M190" s="548"/>
      <c r="N190" s="548"/>
    </row>
    <row r="191" spans="1:19" s="540" customFormat="1" ht="14">
      <c r="A191" s="547">
        <v>1</v>
      </c>
      <c r="B191" s="554" t="s">
        <v>1196</v>
      </c>
      <c r="C191" s="546">
        <v>14.71</v>
      </c>
      <c r="D191" s="546">
        <v>3</v>
      </c>
      <c r="E191" s="544"/>
      <c r="F191" s="546">
        <v>2152.0803000000001</v>
      </c>
      <c r="G191" s="546">
        <v>2.9999999381999998</v>
      </c>
      <c r="H191" s="543" t="s">
        <v>126</v>
      </c>
      <c r="I191" s="138" t="s">
        <v>1195</v>
      </c>
      <c r="J191" s="541"/>
      <c r="K191" s="541"/>
      <c r="L191" s="541"/>
      <c r="M191" s="541"/>
      <c r="N191" s="541"/>
    </row>
    <row r="192" spans="1:19" s="540" customFormat="1" ht="14">
      <c r="A192" s="547">
        <v>2</v>
      </c>
      <c r="B192" s="554" t="s">
        <v>1194</v>
      </c>
      <c r="C192" s="546">
        <v>14.28</v>
      </c>
      <c r="D192" s="546">
        <v>1.0485</v>
      </c>
      <c r="E192" s="544"/>
      <c r="F192" s="546">
        <v>752.15200000000004</v>
      </c>
      <c r="G192" s="546">
        <v>1.048499888</v>
      </c>
      <c r="H192" s="543"/>
      <c r="I192" s="542"/>
      <c r="J192" s="541"/>
      <c r="K192" s="541"/>
      <c r="L192" s="541"/>
      <c r="M192" s="541"/>
      <c r="N192" s="541"/>
    </row>
    <row r="193" spans="1:14" s="540" customFormat="1" ht="14">
      <c r="A193" s="547">
        <v>3</v>
      </c>
      <c r="B193" s="554" t="s">
        <v>1193</v>
      </c>
      <c r="C193" s="546">
        <v>10.5</v>
      </c>
      <c r="D193" s="546">
        <v>1.05</v>
      </c>
      <c r="E193" s="544"/>
      <c r="F193" s="546"/>
      <c r="G193" s="546"/>
      <c r="H193" s="543"/>
      <c r="I193" s="542"/>
      <c r="J193" s="541"/>
      <c r="K193" s="541"/>
      <c r="L193" s="541"/>
      <c r="M193" s="541"/>
      <c r="N193" s="541"/>
    </row>
    <row r="194" spans="1:14" s="540" customFormat="1" ht="14">
      <c r="A194" s="1634">
        <v>4</v>
      </c>
      <c r="B194" s="1627" t="s">
        <v>1142</v>
      </c>
      <c r="C194" s="546">
        <v>9.51</v>
      </c>
      <c r="D194" s="546">
        <v>2.1</v>
      </c>
      <c r="E194" s="544"/>
      <c r="F194" s="546"/>
      <c r="G194" s="546"/>
      <c r="H194" s="543"/>
      <c r="I194" s="542"/>
      <c r="J194" s="541"/>
      <c r="K194" s="541"/>
      <c r="L194" s="541"/>
      <c r="M194" s="541"/>
      <c r="N194" s="541"/>
    </row>
    <row r="195" spans="1:14" s="540" customFormat="1" ht="14">
      <c r="A195" s="1634"/>
      <c r="B195" s="1628"/>
      <c r="C195" s="546">
        <v>11.01</v>
      </c>
      <c r="D195" s="546">
        <v>1.5</v>
      </c>
      <c r="E195" s="544"/>
      <c r="F195" s="546"/>
      <c r="G195" s="546"/>
      <c r="H195" s="543"/>
      <c r="I195" s="542"/>
      <c r="J195" s="541"/>
      <c r="K195" s="541"/>
      <c r="L195" s="541"/>
      <c r="M195" s="541"/>
      <c r="N195" s="541"/>
    </row>
    <row r="196" spans="1:14" s="540" customFormat="1" ht="14">
      <c r="A196" s="1634"/>
      <c r="B196" s="1629"/>
      <c r="C196" s="546">
        <v>12.01</v>
      </c>
      <c r="D196" s="546">
        <v>1.1000000000000001</v>
      </c>
      <c r="E196" s="544"/>
      <c r="F196" s="546"/>
      <c r="G196" s="546"/>
      <c r="H196" s="543"/>
      <c r="I196" s="542"/>
      <c r="J196" s="541"/>
      <c r="K196" s="541"/>
      <c r="L196" s="541"/>
      <c r="M196" s="541"/>
      <c r="N196" s="541"/>
    </row>
    <row r="197" spans="1:14" s="540" customFormat="1" ht="14">
      <c r="A197" s="547">
        <v>5</v>
      </c>
      <c r="B197" s="554" t="s">
        <v>1192</v>
      </c>
      <c r="C197" s="546">
        <v>12.01</v>
      </c>
      <c r="D197" s="546">
        <v>3</v>
      </c>
      <c r="E197" s="544"/>
      <c r="F197" s="546"/>
      <c r="G197" s="546"/>
      <c r="H197" s="543"/>
      <c r="I197" s="542"/>
      <c r="J197" s="541"/>
      <c r="K197" s="541"/>
      <c r="L197" s="541"/>
      <c r="M197" s="541"/>
      <c r="N197" s="541"/>
    </row>
    <row r="198" spans="1:14" s="540" customFormat="1" ht="14">
      <c r="A198" s="547">
        <v>6</v>
      </c>
      <c r="B198" s="554" t="s">
        <v>1191</v>
      </c>
      <c r="C198" s="546">
        <v>15.03</v>
      </c>
      <c r="D198" s="546">
        <v>1.0485</v>
      </c>
      <c r="E198" s="544"/>
      <c r="F198" s="546">
        <v>752.15200000000004</v>
      </c>
      <c r="G198" s="546">
        <v>1.048499888</v>
      </c>
      <c r="H198" s="543"/>
      <c r="I198" s="542"/>
      <c r="J198" s="541"/>
      <c r="K198" s="541"/>
      <c r="L198" s="541"/>
      <c r="M198" s="541"/>
      <c r="N198" s="541"/>
    </row>
    <row r="199" spans="1:14" s="540" customFormat="1" ht="14">
      <c r="A199" s="547">
        <v>7</v>
      </c>
      <c r="B199" s="554" t="s">
        <v>1190</v>
      </c>
      <c r="C199" s="546">
        <v>13.94</v>
      </c>
      <c r="D199" s="546">
        <v>1.2</v>
      </c>
      <c r="E199" s="544"/>
      <c r="F199" s="546">
        <v>393.11369999999999</v>
      </c>
      <c r="G199" s="546">
        <v>0.54800049780000004</v>
      </c>
      <c r="H199" s="543"/>
      <c r="I199" s="542"/>
      <c r="J199" s="541"/>
      <c r="K199" s="541"/>
      <c r="L199" s="541"/>
      <c r="M199" s="541"/>
      <c r="N199" s="541"/>
    </row>
    <row r="200" spans="1:14" s="540" customFormat="1" ht="14">
      <c r="A200" s="547">
        <v>8</v>
      </c>
      <c r="B200" s="554" t="s">
        <v>1189</v>
      </c>
      <c r="C200" s="546">
        <v>10.31</v>
      </c>
      <c r="D200" s="546">
        <v>1.0485</v>
      </c>
      <c r="E200" s="544"/>
      <c r="F200" s="546"/>
      <c r="G200" s="546"/>
      <c r="H200" s="543"/>
      <c r="I200" s="542"/>
      <c r="J200" s="541"/>
      <c r="K200" s="541"/>
      <c r="L200" s="541"/>
      <c r="M200" s="541"/>
      <c r="N200" s="541"/>
    </row>
    <row r="201" spans="1:14" s="540" customFormat="1" ht="14">
      <c r="A201" s="547">
        <v>9</v>
      </c>
      <c r="B201" s="554" t="s">
        <v>1188</v>
      </c>
      <c r="C201" s="546">
        <v>8.42</v>
      </c>
      <c r="D201" s="546">
        <v>3.94</v>
      </c>
      <c r="E201" s="544"/>
      <c r="F201" s="546"/>
      <c r="G201" s="546"/>
      <c r="H201" s="543"/>
      <c r="I201" s="542"/>
      <c r="J201" s="541"/>
      <c r="K201" s="541"/>
      <c r="L201" s="541"/>
      <c r="M201" s="541"/>
      <c r="N201" s="541"/>
    </row>
    <row r="202" spans="1:14" s="540" customFormat="1" ht="14">
      <c r="A202" s="1634">
        <v>10</v>
      </c>
      <c r="B202" s="1627" t="s">
        <v>121</v>
      </c>
      <c r="C202" s="546">
        <v>8.39</v>
      </c>
      <c r="D202" s="546">
        <v>3.1455000000000002</v>
      </c>
      <c r="E202" s="544"/>
      <c r="F202" s="546"/>
      <c r="G202" s="546"/>
      <c r="H202" s="543"/>
      <c r="I202" s="542"/>
      <c r="J202" s="541"/>
      <c r="K202" s="541"/>
      <c r="L202" s="541"/>
      <c r="M202" s="541"/>
      <c r="N202" s="541"/>
    </row>
    <row r="203" spans="1:14" s="540" customFormat="1" ht="14">
      <c r="A203" s="1634"/>
      <c r="B203" s="1628"/>
      <c r="C203" s="546">
        <v>10.81</v>
      </c>
      <c r="D203" s="546">
        <v>2.097</v>
      </c>
      <c r="E203" s="544"/>
      <c r="F203" s="546"/>
      <c r="G203" s="546"/>
      <c r="H203" s="543"/>
      <c r="I203" s="542"/>
      <c r="J203" s="541"/>
      <c r="K203" s="541"/>
      <c r="L203" s="541"/>
      <c r="M203" s="541"/>
      <c r="N203" s="541"/>
    </row>
    <row r="204" spans="1:14" s="540" customFormat="1" ht="14">
      <c r="A204" s="1634"/>
      <c r="B204" s="1629"/>
      <c r="C204" s="546">
        <v>12.58</v>
      </c>
      <c r="D204" s="546">
        <v>1.0485</v>
      </c>
      <c r="E204" s="544"/>
      <c r="F204" s="546"/>
      <c r="G204" s="546"/>
      <c r="H204" s="543"/>
      <c r="I204" s="542"/>
      <c r="J204" s="541"/>
      <c r="K204" s="541"/>
      <c r="L204" s="541"/>
      <c r="M204" s="541"/>
      <c r="N204" s="541"/>
    </row>
    <row r="205" spans="1:14" s="540" customFormat="1" ht="14">
      <c r="A205" s="547">
        <v>11</v>
      </c>
      <c r="B205" s="554" t="s">
        <v>1187</v>
      </c>
      <c r="C205" s="546">
        <v>11.9</v>
      </c>
      <c r="D205" s="546">
        <v>1.0485</v>
      </c>
      <c r="E205" s="544"/>
      <c r="F205" s="546"/>
      <c r="G205" s="546"/>
      <c r="H205" s="543"/>
      <c r="I205" s="542"/>
      <c r="J205" s="541"/>
      <c r="K205" s="541"/>
      <c r="L205" s="541"/>
      <c r="M205" s="541"/>
      <c r="N205" s="541"/>
    </row>
    <row r="206" spans="1:14" s="540" customFormat="1" ht="14">
      <c r="A206" s="547">
        <v>12</v>
      </c>
      <c r="B206" s="554" t="s">
        <v>1186</v>
      </c>
      <c r="C206" s="546">
        <v>13.54</v>
      </c>
      <c r="D206" s="546">
        <v>1.1000000000000001</v>
      </c>
      <c r="E206" s="544"/>
      <c r="F206" s="546"/>
      <c r="G206" s="546"/>
      <c r="H206" s="543"/>
      <c r="I206" s="542"/>
      <c r="J206" s="541"/>
      <c r="K206" s="541"/>
      <c r="L206" s="541"/>
      <c r="M206" s="541"/>
      <c r="N206" s="541"/>
    </row>
    <row r="207" spans="1:14" s="540" customFormat="1" ht="16" customHeight="1">
      <c r="A207" s="1634">
        <v>13</v>
      </c>
      <c r="B207" s="1627" t="s">
        <v>1185</v>
      </c>
      <c r="C207" s="546">
        <v>10.53</v>
      </c>
      <c r="D207" s="546">
        <v>1.9</v>
      </c>
      <c r="E207" s="544"/>
      <c r="F207" s="546"/>
      <c r="G207" s="546"/>
      <c r="H207" s="543"/>
      <c r="I207" s="542"/>
      <c r="J207" s="541"/>
      <c r="K207" s="541"/>
      <c r="L207" s="541"/>
      <c r="M207" s="541"/>
      <c r="N207" s="541"/>
    </row>
    <row r="208" spans="1:14" s="540" customFormat="1" ht="14">
      <c r="A208" s="1634"/>
      <c r="B208" s="1629"/>
      <c r="C208" s="546">
        <v>12.22</v>
      </c>
      <c r="D208" s="546">
        <v>1.2</v>
      </c>
      <c r="E208" s="544"/>
      <c r="F208" s="546"/>
      <c r="G208" s="546"/>
      <c r="H208" s="543"/>
      <c r="I208" s="542"/>
      <c r="J208" s="541"/>
      <c r="K208" s="541"/>
      <c r="L208" s="541"/>
      <c r="M208" s="541"/>
      <c r="N208" s="541"/>
    </row>
    <row r="209" spans="1:14" s="540" customFormat="1" ht="14">
      <c r="A209" s="547">
        <v>14</v>
      </c>
      <c r="B209" s="554" t="s">
        <v>1184</v>
      </c>
      <c r="C209" s="546">
        <v>11</v>
      </c>
      <c r="D209" s="546">
        <v>2.1</v>
      </c>
      <c r="E209" s="544"/>
      <c r="F209" s="546"/>
      <c r="G209" s="546"/>
      <c r="H209" s="543"/>
      <c r="I209" s="542"/>
      <c r="J209" s="541"/>
      <c r="K209" s="541"/>
      <c r="L209" s="541"/>
      <c r="M209" s="541"/>
      <c r="N209" s="541"/>
    </row>
    <row r="210" spans="1:14" s="540" customFormat="1" ht="14">
      <c r="A210" s="1634">
        <v>15</v>
      </c>
      <c r="B210" s="1627" t="s">
        <v>666</v>
      </c>
      <c r="C210" s="546">
        <v>11.03</v>
      </c>
      <c r="D210" s="546">
        <v>2.323</v>
      </c>
      <c r="E210" s="544"/>
      <c r="F210" s="546"/>
      <c r="G210" s="546"/>
      <c r="H210" s="543"/>
      <c r="I210" s="542"/>
      <c r="J210" s="541"/>
      <c r="K210" s="541"/>
      <c r="L210" s="541"/>
      <c r="M210" s="541"/>
      <c r="N210" s="541"/>
    </row>
    <row r="211" spans="1:14" s="540" customFormat="1" ht="16" customHeight="1">
      <c r="A211" s="1634"/>
      <c r="B211" s="1628"/>
      <c r="C211" s="546">
        <v>14.25</v>
      </c>
      <c r="D211" s="546">
        <v>1.32</v>
      </c>
      <c r="E211" s="544"/>
      <c r="F211" s="546">
        <v>946.9153</v>
      </c>
      <c r="G211" s="546">
        <v>1.3199999281999999</v>
      </c>
      <c r="H211" s="543"/>
      <c r="I211" s="542"/>
      <c r="J211" s="541"/>
      <c r="K211" s="541"/>
      <c r="L211" s="541"/>
      <c r="M211" s="541"/>
      <c r="N211" s="541"/>
    </row>
    <row r="212" spans="1:14" s="540" customFormat="1" ht="16" customHeight="1">
      <c r="A212" s="1634"/>
      <c r="B212" s="1629"/>
      <c r="C212" s="546">
        <v>14.91</v>
      </c>
      <c r="D212" s="546">
        <v>1.129</v>
      </c>
      <c r="E212" s="544"/>
      <c r="F212" s="546"/>
      <c r="G212" s="546"/>
      <c r="H212" s="543"/>
      <c r="I212" s="542"/>
      <c r="J212" s="541"/>
      <c r="K212" s="541"/>
      <c r="L212" s="541"/>
      <c r="M212" s="541"/>
      <c r="N212" s="541"/>
    </row>
    <row r="213" spans="1:14" s="540" customFormat="1" ht="16" customHeight="1">
      <c r="A213" s="1634">
        <v>16</v>
      </c>
      <c r="B213" s="1627" t="s">
        <v>1183</v>
      </c>
      <c r="C213" s="546">
        <v>12.4</v>
      </c>
      <c r="D213" s="546">
        <v>2.097</v>
      </c>
      <c r="E213" s="544"/>
      <c r="F213" s="546"/>
      <c r="G213" s="546"/>
      <c r="H213" s="543"/>
      <c r="I213" s="542"/>
      <c r="J213" s="541"/>
      <c r="K213" s="541"/>
      <c r="L213" s="541"/>
      <c r="M213" s="541"/>
      <c r="N213" s="541"/>
    </row>
    <row r="214" spans="1:14" s="540" customFormat="1" ht="14">
      <c r="A214" s="1634"/>
      <c r="B214" s="1629"/>
      <c r="C214" s="546">
        <v>13.17</v>
      </c>
      <c r="D214" s="546">
        <v>1.0485</v>
      </c>
      <c r="E214" s="544"/>
      <c r="F214" s="546"/>
      <c r="G214" s="546"/>
      <c r="H214" s="543"/>
      <c r="I214" s="542"/>
      <c r="J214" s="541"/>
      <c r="K214" s="541"/>
      <c r="L214" s="541"/>
      <c r="M214" s="541"/>
      <c r="N214" s="541"/>
    </row>
    <row r="215" spans="1:14" s="540" customFormat="1" ht="14">
      <c r="A215" s="547">
        <v>17</v>
      </c>
      <c r="B215" s="554" t="s">
        <v>1182</v>
      </c>
      <c r="C215" s="546">
        <v>12.39</v>
      </c>
      <c r="D215" s="546">
        <v>1.06</v>
      </c>
      <c r="E215" s="544"/>
      <c r="F215" s="546"/>
      <c r="G215" s="546"/>
      <c r="H215" s="543"/>
      <c r="I215" s="542"/>
      <c r="J215" s="541"/>
      <c r="K215" s="541"/>
      <c r="L215" s="541"/>
      <c r="M215" s="541"/>
      <c r="N215" s="541"/>
    </row>
    <row r="216" spans="1:14" s="540" customFormat="1" ht="14">
      <c r="A216" s="547">
        <v>18</v>
      </c>
      <c r="B216" s="554" t="s">
        <v>1181</v>
      </c>
      <c r="C216" s="546">
        <v>11.51</v>
      </c>
      <c r="D216" s="546">
        <v>1.0485</v>
      </c>
      <c r="E216" s="544"/>
      <c r="F216" s="546"/>
      <c r="G216" s="546"/>
      <c r="H216" s="543"/>
      <c r="I216" s="542"/>
      <c r="J216" s="541"/>
      <c r="K216" s="541"/>
      <c r="L216" s="541"/>
      <c r="M216" s="541"/>
      <c r="N216" s="541"/>
    </row>
    <row r="217" spans="1:14" s="540" customFormat="1" ht="16" customHeight="1">
      <c r="A217" s="1634">
        <v>19</v>
      </c>
      <c r="B217" s="1627" t="s">
        <v>115</v>
      </c>
      <c r="C217" s="546">
        <v>12.4</v>
      </c>
      <c r="D217" s="546">
        <v>5.38</v>
      </c>
      <c r="E217" s="544"/>
      <c r="F217" s="546"/>
      <c r="G217" s="546"/>
      <c r="H217" s="543"/>
      <c r="I217" s="542"/>
      <c r="J217" s="541"/>
      <c r="K217" s="541"/>
      <c r="L217" s="541"/>
      <c r="M217" s="541"/>
      <c r="N217" s="541"/>
    </row>
    <row r="218" spans="1:14" s="540" customFormat="1" ht="16" customHeight="1">
      <c r="A218" s="1634"/>
      <c r="B218" s="1628"/>
      <c r="C218" s="546">
        <v>13.41</v>
      </c>
      <c r="D218" s="546">
        <v>3.33</v>
      </c>
      <c r="E218" s="544"/>
      <c r="F218" s="546"/>
      <c r="G218" s="546"/>
      <c r="H218" s="543"/>
      <c r="I218" s="542"/>
      <c r="J218" s="541"/>
      <c r="K218" s="541"/>
      <c r="L218" s="541"/>
      <c r="M218" s="541"/>
      <c r="N218" s="541"/>
    </row>
    <row r="219" spans="1:14" s="540" customFormat="1" ht="16" customHeight="1">
      <c r="A219" s="1634"/>
      <c r="B219" s="1629"/>
      <c r="C219" s="546">
        <v>14.25</v>
      </c>
      <c r="D219" s="546">
        <v>1.32</v>
      </c>
      <c r="E219" s="544"/>
      <c r="F219" s="546">
        <v>946.9153</v>
      </c>
      <c r="G219" s="546">
        <v>1.3199999281999999</v>
      </c>
      <c r="H219" s="543"/>
      <c r="I219" s="542"/>
      <c r="J219" s="541"/>
      <c r="K219" s="541"/>
      <c r="L219" s="541"/>
      <c r="M219" s="541"/>
      <c r="N219" s="541"/>
    </row>
    <row r="220" spans="1:14" s="540" customFormat="1" ht="14">
      <c r="A220" s="547">
        <v>20</v>
      </c>
      <c r="B220" s="554" t="s">
        <v>137</v>
      </c>
      <c r="C220" s="546">
        <v>8.77</v>
      </c>
      <c r="D220" s="546">
        <v>1.0489999999999999</v>
      </c>
      <c r="E220" s="544"/>
      <c r="F220" s="546"/>
      <c r="G220" s="546"/>
      <c r="H220" s="543"/>
      <c r="I220" s="542"/>
      <c r="J220" s="541"/>
      <c r="K220" s="541"/>
      <c r="L220" s="541"/>
      <c r="M220" s="541"/>
      <c r="N220" s="541"/>
    </row>
    <row r="221" spans="1:14" s="540" customFormat="1" ht="14">
      <c r="A221" s="547">
        <v>21</v>
      </c>
      <c r="B221" s="554" t="s">
        <v>1180</v>
      </c>
      <c r="C221" s="546">
        <v>12.06</v>
      </c>
      <c r="D221" s="546">
        <v>1.2</v>
      </c>
      <c r="E221" s="544"/>
      <c r="F221" s="546"/>
      <c r="G221" s="546"/>
      <c r="H221" s="543"/>
      <c r="I221" s="542"/>
      <c r="J221" s="541"/>
      <c r="K221" s="541"/>
      <c r="L221" s="541"/>
      <c r="M221" s="541"/>
      <c r="N221" s="541"/>
    </row>
    <row r="222" spans="1:14" s="540" customFormat="1" ht="14">
      <c r="A222" s="547">
        <v>22</v>
      </c>
      <c r="B222" s="554" t="s">
        <v>1179</v>
      </c>
      <c r="C222" s="546">
        <v>10.130000000000001</v>
      </c>
      <c r="D222" s="546">
        <v>1.6</v>
      </c>
      <c r="E222" s="544"/>
      <c r="F222" s="546"/>
      <c r="G222" s="546"/>
      <c r="H222" s="543"/>
      <c r="I222" s="542"/>
      <c r="J222" s="541"/>
      <c r="K222" s="541"/>
      <c r="L222" s="541"/>
      <c r="M222" s="541"/>
      <c r="N222" s="541"/>
    </row>
    <row r="223" spans="1:14" s="540" customFormat="1" ht="16" customHeight="1">
      <c r="A223" s="1634">
        <v>23</v>
      </c>
      <c r="B223" s="1627" t="s">
        <v>951</v>
      </c>
      <c r="C223" s="546">
        <v>13.07</v>
      </c>
      <c r="D223" s="546">
        <v>3.4649999999999999</v>
      </c>
      <c r="E223" s="544"/>
      <c r="F223" s="546"/>
      <c r="G223" s="546"/>
      <c r="H223" s="543"/>
      <c r="I223" s="542"/>
      <c r="J223" s="541"/>
      <c r="K223" s="541"/>
      <c r="L223" s="541"/>
      <c r="M223" s="541"/>
      <c r="N223" s="541"/>
    </row>
    <row r="224" spans="1:14" s="540" customFormat="1" ht="16" customHeight="1">
      <c r="A224" s="1634"/>
      <c r="B224" s="1628"/>
      <c r="C224" s="546">
        <v>14.3</v>
      </c>
      <c r="D224" s="546">
        <v>2.2000000000000002</v>
      </c>
      <c r="E224" s="544"/>
      <c r="F224" s="546">
        <v>1578.1922</v>
      </c>
      <c r="G224" s="546">
        <v>2.1999999267999999</v>
      </c>
      <c r="H224" s="543"/>
      <c r="I224" s="542"/>
      <c r="J224" s="541"/>
      <c r="K224" s="541"/>
      <c r="L224" s="541"/>
      <c r="M224" s="541"/>
      <c r="N224" s="541"/>
    </row>
    <row r="225" spans="1:14" s="540" customFormat="1" ht="16" customHeight="1">
      <c r="A225" s="1634"/>
      <c r="B225" s="1629"/>
      <c r="C225" s="546">
        <v>15.98</v>
      </c>
      <c r="D225" s="546">
        <v>1.1000000000000001</v>
      </c>
      <c r="E225" s="544"/>
      <c r="F225" s="546"/>
      <c r="G225" s="546"/>
      <c r="H225" s="543"/>
      <c r="I225" s="542"/>
      <c r="J225" s="541"/>
      <c r="K225" s="541"/>
      <c r="L225" s="541"/>
      <c r="M225" s="541"/>
      <c r="N225" s="541"/>
    </row>
    <row r="226" spans="1:14" s="529" customFormat="1" ht="14">
      <c r="A226" s="531"/>
      <c r="C226" s="580"/>
      <c r="D226" s="532"/>
    </row>
    <row r="227" spans="1:14" s="529" customFormat="1" ht="14">
      <c r="A227" s="530"/>
      <c r="B227" s="530"/>
      <c r="C227" s="530"/>
      <c r="D227" s="533"/>
    </row>
    <row r="228" spans="1:14" s="529" customFormat="1" ht="14">
      <c r="A228" s="530"/>
      <c r="B228" s="580"/>
      <c r="C228" s="530"/>
    </row>
  </sheetData>
  <mergeCells count="105">
    <mergeCell ref="A52:A54"/>
    <mergeCell ref="B52:B54"/>
    <mergeCell ref="A150:A152"/>
    <mergeCell ref="B150:B152"/>
    <mergeCell ref="A172:A174"/>
    <mergeCell ref="A176:A178"/>
    <mergeCell ref="B106:B108"/>
    <mergeCell ref="A106:A108"/>
    <mergeCell ref="A109:A111"/>
    <mergeCell ref="B109:B111"/>
    <mergeCell ref="B140:B141"/>
    <mergeCell ref="A140:A141"/>
    <mergeCell ref="A143:A145"/>
    <mergeCell ref="B143:B145"/>
    <mergeCell ref="A161:A163"/>
    <mergeCell ref="B161:B163"/>
    <mergeCell ref="A157:A159"/>
    <mergeCell ref="B157:B159"/>
    <mergeCell ref="B155:B156"/>
    <mergeCell ref="A129:A131"/>
    <mergeCell ref="B129:B131"/>
    <mergeCell ref="B132:B133"/>
    <mergeCell ref="A132:A133"/>
    <mergeCell ref="A134:A136"/>
    <mergeCell ref="A223:A225"/>
    <mergeCell ref="B223:B225"/>
    <mergeCell ref="A210:A212"/>
    <mergeCell ref="B210:B212"/>
    <mergeCell ref="C165:D165"/>
    <mergeCell ref="A202:A204"/>
    <mergeCell ref="B207:B208"/>
    <mergeCell ref="A213:A214"/>
    <mergeCell ref="A97:A98"/>
    <mergeCell ref="B97:B98"/>
    <mergeCell ref="A207:A208"/>
    <mergeCell ref="B217:B219"/>
    <mergeCell ref="A194:A196"/>
    <mergeCell ref="B194:B196"/>
    <mergeCell ref="A137:A139"/>
    <mergeCell ref="B202:B204"/>
    <mergeCell ref="B153:B154"/>
    <mergeCell ref="A179:A181"/>
    <mergeCell ref="A182:A184"/>
    <mergeCell ref="B182:B184"/>
    <mergeCell ref="B179:B181"/>
    <mergeCell ref="B176:B178"/>
    <mergeCell ref="B172:B174"/>
    <mergeCell ref="A155:A156"/>
    <mergeCell ref="A120:A122"/>
    <mergeCell ref="B120:B122"/>
    <mergeCell ref="A217:A219"/>
    <mergeCell ref="G115:G116"/>
    <mergeCell ref="F115:F116"/>
    <mergeCell ref="B115:B116"/>
    <mergeCell ref="A115:A116"/>
    <mergeCell ref="A117:A119"/>
    <mergeCell ref="B117:B119"/>
    <mergeCell ref="G117:G119"/>
    <mergeCell ref="F117:F119"/>
    <mergeCell ref="G120:G122"/>
    <mergeCell ref="F120:F122"/>
    <mergeCell ref="A153:A154"/>
    <mergeCell ref="F109:F111"/>
    <mergeCell ref="G109:G111"/>
    <mergeCell ref="G106:G108"/>
    <mergeCell ref="F106:F108"/>
    <mergeCell ref="G97:G98"/>
    <mergeCell ref="F97:F98"/>
    <mergeCell ref="B213:B214"/>
    <mergeCell ref="B134:B136"/>
    <mergeCell ref="B137:B139"/>
    <mergeCell ref="G90:G91"/>
    <mergeCell ref="F90:F91"/>
    <mergeCell ref="G64:G66"/>
    <mergeCell ref="F64:F66"/>
    <mergeCell ref="A84:A86"/>
    <mergeCell ref="B84:B86"/>
    <mergeCell ref="B90:B91"/>
    <mergeCell ref="A90:A91"/>
    <mergeCell ref="G84:G86"/>
    <mergeCell ref="F84:F86"/>
    <mergeCell ref="G9:G11"/>
    <mergeCell ref="F9:F11"/>
    <mergeCell ref="G6:G8"/>
    <mergeCell ref="A74:A76"/>
    <mergeCell ref="B74:B76"/>
    <mergeCell ref="B64:B66"/>
    <mergeCell ref="G70:G71"/>
    <mergeCell ref="G74:G76"/>
    <mergeCell ref="F74:F76"/>
    <mergeCell ref="F70:F71"/>
    <mergeCell ref="C17:D17"/>
    <mergeCell ref="C28:D28"/>
    <mergeCell ref="B70:B71"/>
    <mergeCell ref="A70:A71"/>
    <mergeCell ref="A64:A66"/>
    <mergeCell ref="F6:F8"/>
    <mergeCell ref="A9:A11"/>
    <mergeCell ref="B9:B11"/>
    <mergeCell ref="B49:B51"/>
    <mergeCell ref="A49:A51"/>
    <mergeCell ref="A6:A8"/>
    <mergeCell ref="B6:B8"/>
    <mergeCell ref="B56:B57"/>
    <mergeCell ref="A56:A57"/>
  </mergeCells>
  <phoneticPr fontId="139" type="noConversion"/>
  <hyperlinks>
    <hyperlink ref="I6" r:id="rId1" xr:uid="{00000000-0004-0000-0D00-000000000000}"/>
    <hyperlink ref="I24" r:id="rId2" xr:uid="{00000000-0004-0000-0D00-000001000000}"/>
    <hyperlink ref="I35" r:id="rId3" xr:uid="{00000000-0004-0000-0D00-000002000000}"/>
    <hyperlink ref="I44" r:id="rId4" xr:uid="{00000000-0004-0000-0D00-000003000000}"/>
    <hyperlink ref="I64" r:id="rId5" xr:uid="{00000000-0004-0000-0D00-000004000000}"/>
    <hyperlink ref="I83" r:id="rId6" xr:uid="{00000000-0004-0000-0D00-000005000000}"/>
    <hyperlink ref="I105" r:id="rId7" xr:uid="{00000000-0004-0000-0D00-000006000000}"/>
    <hyperlink ref="I129" r:id="rId8" xr:uid="{00000000-0004-0000-0D00-000007000000}"/>
    <hyperlink ref="I172" r:id="rId9" xr:uid="{00000000-0004-0000-0D00-000008000000}"/>
    <hyperlink ref="I191" r:id="rId10" xr:uid="{00000000-0004-0000-0D00-000009000000}"/>
  </hyperlink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78"/>
  <sheetViews>
    <sheetView topLeftCell="A149" workbookViewId="0">
      <selection activeCell="B181" sqref="B181"/>
    </sheetView>
  </sheetViews>
  <sheetFormatPr defaultColWidth="10.83203125" defaultRowHeight="14"/>
  <cols>
    <col min="1" max="1" width="7.5" style="530" customWidth="1"/>
    <col min="2" max="2" width="37.33203125" style="530" customWidth="1"/>
    <col min="3" max="3" width="14" style="530" customWidth="1"/>
    <col min="4" max="5" width="17" style="529" customWidth="1"/>
    <col min="6" max="6" width="23.6640625" style="529" customWidth="1"/>
    <col min="7" max="14" width="17" style="529" customWidth="1"/>
    <col min="15" max="16" width="10.83203125" style="529"/>
    <col min="17" max="19" width="0" style="529" hidden="1" customWidth="1"/>
    <col min="20" max="16384" width="10.83203125" style="529"/>
  </cols>
  <sheetData>
    <row r="1" spans="1:19" s="24" customFormat="1">
      <c r="B1" s="24" t="s">
        <v>1281</v>
      </c>
    </row>
    <row r="2" spans="1:19" s="24" customFormat="1"/>
    <row r="3" spans="1:19" s="530" customFormat="1">
      <c r="A3" s="562" t="s">
        <v>106</v>
      </c>
      <c r="B3" s="565" t="s">
        <v>107</v>
      </c>
      <c r="C3" s="564" t="s">
        <v>4</v>
      </c>
      <c r="D3" s="563" t="s">
        <v>108</v>
      </c>
      <c r="E3" s="563" t="s">
        <v>109</v>
      </c>
      <c r="F3" s="562" t="s">
        <v>411</v>
      </c>
      <c r="G3" s="561" t="s">
        <v>950</v>
      </c>
      <c r="H3" s="561" t="s">
        <v>110</v>
      </c>
      <c r="I3" s="561" t="s">
        <v>276</v>
      </c>
      <c r="J3" s="561" t="s">
        <v>117</v>
      </c>
      <c r="K3" s="561" t="s">
        <v>275</v>
      </c>
      <c r="L3" s="562" t="s">
        <v>111</v>
      </c>
      <c r="M3" s="561" t="s">
        <v>949</v>
      </c>
      <c r="N3" s="561" t="s">
        <v>948</v>
      </c>
      <c r="O3" s="561" t="s">
        <v>129</v>
      </c>
      <c r="P3" s="561" t="s">
        <v>220</v>
      </c>
      <c r="Q3" s="537" t="s">
        <v>947</v>
      </c>
      <c r="R3" s="537" t="s">
        <v>946</v>
      </c>
      <c r="S3" s="560" t="s">
        <v>945</v>
      </c>
    </row>
    <row r="4" spans="1:19" s="547" customFormat="1">
      <c r="A4" s="554">
        <v>263</v>
      </c>
      <c r="B4" s="559" t="s">
        <v>918</v>
      </c>
      <c r="C4" s="558" t="s">
        <v>919</v>
      </c>
      <c r="D4" s="555">
        <v>6</v>
      </c>
      <c r="E4" s="555">
        <v>5.9999999523999996</v>
      </c>
      <c r="F4" s="557" t="s">
        <v>1207</v>
      </c>
      <c r="G4" s="555">
        <v>17.559999999999999</v>
      </c>
      <c r="H4" s="555">
        <v>14.31</v>
      </c>
      <c r="I4" s="555">
        <f>H4/G4</f>
        <v>0.81492027334851946</v>
      </c>
      <c r="J4" s="555">
        <v>16.18</v>
      </c>
      <c r="K4" s="555">
        <f>J4/G4</f>
        <v>0.92141230068337132</v>
      </c>
      <c r="L4" s="554">
        <v>9</v>
      </c>
      <c r="M4" s="566">
        <v>43052</v>
      </c>
      <c r="N4" s="555">
        <v>11.12</v>
      </c>
      <c r="O4" s="555">
        <f>(N4*(1+Q4/10)+R4/10)/J4</f>
        <v>0.68788627935723112</v>
      </c>
      <c r="P4" s="553" t="s">
        <v>920</v>
      </c>
      <c r="Q4" s="554">
        <f>IFERROR(MID(P4,FIND("转",P4)+1,FIND("股",P4)-(FIND("转",P4)+1)),0)</f>
        <v>0</v>
      </c>
      <c r="R4" s="554" t="str">
        <f>IFERROR(MID(P4,FIND("派",P4)+1,FIND("元",P4)-FIND("派",P4)-1),0)</f>
        <v>0.10</v>
      </c>
      <c r="S4" s="553"/>
    </row>
    <row r="5" spans="1:19" s="540" customFormat="1">
      <c r="A5" s="547"/>
      <c r="B5" s="551" t="s">
        <v>112</v>
      </c>
      <c r="C5" s="551" t="s">
        <v>113</v>
      </c>
      <c r="D5" s="551" t="s">
        <v>943</v>
      </c>
      <c r="E5" s="552" t="s">
        <v>411</v>
      </c>
      <c r="F5" s="552" t="s">
        <v>942</v>
      </c>
      <c r="G5" s="551" t="s">
        <v>231</v>
      </c>
      <c r="H5" s="551" t="s">
        <v>941</v>
      </c>
      <c r="I5" s="549">
        <f>SUM(G6:G29)</f>
        <v>5.9999999524000005</v>
      </c>
      <c r="J5" s="548"/>
      <c r="K5" s="548"/>
      <c r="L5" s="548"/>
      <c r="M5" s="548"/>
      <c r="N5" s="548"/>
    </row>
    <row r="6" spans="1:19" s="540" customFormat="1">
      <c r="A6" s="1634">
        <v>1</v>
      </c>
      <c r="B6" s="1666" t="s">
        <v>227</v>
      </c>
      <c r="C6" s="546">
        <v>15.98</v>
      </c>
      <c r="D6" s="546">
        <v>0.6</v>
      </c>
      <c r="E6" s="637"/>
      <c r="F6" s="577"/>
      <c r="G6" s="577"/>
      <c r="H6" s="543" t="s">
        <v>126</v>
      </c>
      <c r="I6" s="138" t="s">
        <v>1280</v>
      </c>
      <c r="J6" s="541"/>
      <c r="K6" s="541"/>
      <c r="L6" s="541"/>
      <c r="M6" s="541"/>
      <c r="N6" s="541"/>
    </row>
    <row r="7" spans="1:19" s="540" customFormat="1">
      <c r="A7" s="1634"/>
      <c r="B7" s="1667"/>
      <c r="C7" s="546">
        <v>15.52</v>
      </c>
      <c r="D7" s="546">
        <v>0.6</v>
      </c>
      <c r="E7" s="637"/>
      <c r="F7" s="577"/>
      <c r="G7" s="577"/>
      <c r="H7" s="543"/>
      <c r="I7" s="138"/>
      <c r="J7" s="541"/>
      <c r="K7" s="541"/>
      <c r="L7" s="541"/>
      <c r="M7" s="541"/>
      <c r="N7" s="541"/>
    </row>
    <row r="8" spans="1:19" s="540" customFormat="1">
      <c r="A8" s="1634">
        <v>2</v>
      </c>
      <c r="B8" s="1666" t="s">
        <v>1204</v>
      </c>
      <c r="C8" s="546">
        <v>16.579999999999998</v>
      </c>
      <c r="D8" s="546">
        <v>0.6</v>
      </c>
      <c r="E8" s="637"/>
      <c r="F8" s="1669">
        <v>370.82810000000001</v>
      </c>
      <c r="G8" s="1669">
        <v>0.59999986579999998</v>
      </c>
      <c r="H8" s="543"/>
      <c r="I8" s="138"/>
      <c r="J8" s="541"/>
      <c r="K8" s="541"/>
      <c r="L8" s="541"/>
      <c r="M8" s="541"/>
      <c r="N8" s="541"/>
    </row>
    <row r="9" spans="1:19" s="540" customFormat="1">
      <c r="A9" s="1634"/>
      <c r="B9" s="1668"/>
      <c r="C9" s="546">
        <v>15.74</v>
      </c>
      <c r="D9" s="546">
        <v>0.6</v>
      </c>
      <c r="E9" s="637"/>
      <c r="F9" s="1670"/>
      <c r="G9" s="1670"/>
      <c r="H9" s="543"/>
      <c r="I9" s="138"/>
      <c r="J9" s="541"/>
      <c r="K9" s="541"/>
      <c r="L9" s="541"/>
      <c r="M9" s="541"/>
      <c r="N9" s="541"/>
    </row>
    <row r="10" spans="1:19" s="540" customFormat="1">
      <c r="A10" s="1634"/>
      <c r="B10" s="1667"/>
      <c r="C10" s="546">
        <v>14.31</v>
      </c>
      <c r="D10" s="546">
        <v>0.6</v>
      </c>
      <c r="E10" s="637"/>
      <c r="F10" s="1671"/>
      <c r="G10" s="1671"/>
      <c r="H10" s="543"/>
      <c r="I10" s="138"/>
      <c r="J10" s="541"/>
      <c r="K10" s="541"/>
      <c r="L10" s="541"/>
      <c r="M10" s="541"/>
      <c r="N10" s="541"/>
    </row>
    <row r="11" spans="1:19" s="540" customFormat="1">
      <c r="A11" s="547">
        <v>3</v>
      </c>
      <c r="B11" s="636" t="s">
        <v>1279</v>
      </c>
      <c r="C11" s="546">
        <v>15.58</v>
      </c>
      <c r="D11" s="546">
        <v>0.6</v>
      </c>
      <c r="E11" s="637"/>
      <c r="F11" s="577"/>
      <c r="G11" s="577"/>
      <c r="H11" s="543"/>
      <c r="I11" s="542"/>
      <c r="J11" s="541"/>
      <c r="K11" s="541"/>
      <c r="L11" s="541"/>
      <c r="M11" s="541"/>
      <c r="N11" s="541"/>
    </row>
    <row r="12" spans="1:19" s="540" customFormat="1">
      <c r="A12" s="547">
        <v>4</v>
      </c>
      <c r="B12" s="636" t="s">
        <v>1278</v>
      </c>
      <c r="C12" s="546">
        <v>15.81</v>
      </c>
      <c r="D12" s="546">
        <v>0.63</v>
      </c>
      <c r="E12" s="637"/>
      <c r="F12" s="577"/>
      <c r="G12" s="577"/>
      <c r="H12" s="543"/>
      <c r="I12" s="542"/>
      <c r="J12" s="541"/>
      <c r="K12" s="541"/>
      <c r="L12" s="541"/>
      <c r="M12" s="541"/>
      <c r="N12" s="541"/>
    </row>
    <row r="13" spans="1:19" s="540" customFormat="1">
      <c r="A13" s="547">
        <v>5</v>
      </c>
      <c r="B13" s="636" t="s">
        <v>1277</v>
      </c>
      <c r="C13" s="546">
        <v>16.18</v>
      </c>
      <c r="D13" s="546">
        <v>0.9</v>
      </c>
      <c r="E13" s="637"/>
      <c r="F13" s="539">
        <v>24.722300000000001</v>
      </c>
      <c r="G13" s="539">
        <v>4.0000681400000002E-2</v>
      </c>
      <c r="H13" s="543"/>
      <c r="I13" s="542"/>
      <c r="J13" s="541"/>
      <c r="K13" s="541"/>
      <c r="L13" s="541"/>
      <c r="M13" s="541"/>
      <c r="N13" s="541"/>
    </row>
    <row r="14" spans="1:19" s="540" customFormat="1">
      <c r="A14" s="547">
        <v>6</v>
      </c>
      <c r="B14" s="636" t="s">
        <v>1276</v>
      </c>
      <c r="C14" s="546">
        <v>14.51</v>
      </c>
      <c r="D14" s="546">
        <v>0.62</v>
      </c>
      <c r="E14" s="637"/>
      <c r="F14" s="577"/>
      <c r="G14" s="577"/>
      <c r="H14" s="543"/>
      <c r="I14" s="542"/>
      <c r="J14" s="541"/>
      <c r="K14" s="541"/>
      <c r="L14" s="541"/>
      <c r="M14" s="541"/>
      <c r="N14" s="541"/>
    </row>
    <row r="15" spans="1:19" s="540" customFormat="1">
      <c r="A15" s="547">
        <v>7</v>
      </c>
      <c r="B15" s="636" t="s">
        <v>1275</v>
      </c>
      <c r="C15" s="546">
        <v>14.86</v>
      </c>
      <c r="D15" s="546">
        <v>0.6</v>
      </c>
      <c r="E15" s="637"/>
      <c r="F15" s="577"/>
      <c r="G15" s="577"/>
      <c r="H15" s="543"/>
      <c r="I15" s="542"/>
      <c r="J15" s="541"/>
      <c r="K15" s="541"/>
      <c r="L15" s="541"/>
      <c r="M15" s="541"/>
      <c r="N15" s="541"/>
    </row>
    <row r="16" spans="1:19" s="540" customFormat="1">
      <c r="A16" s="547">
        <v>8</v>
      </c>
      <c r="B16" s="636" t="s">
        <v>1274</v>
      </c>
      <c r="C16" s="546">
        <v>15.21</v>
      </c>
      <c r="D16" s="546">
        <v>0.6</v>
      </c>
      <c r="E16" s="637"/>
      <c r="F16" s="577"/>
      <c r="G16" s="577"/>
      <c r="H16" s="543"/>
      <c r="I16" s="542"/>
      <c r="J16" s="541"/>
      <c r="K16" s="541"/>
      <c r="L16" s="541"/>
      <c r="M16" s="541"/>
      <c r="N16" s="541"/>
    </row>
    <row r="17" spans="1:14" s="540" customFormat="1">
      <c r="A17" s="1634">
        <v>9</v>
      </c>
      <c r="B17" s="1666" t="s">
        <v>115</v>
      </c>
      <c r="C17" s="546">
        <v>16.57</v>
      </c>
      <c r="D17" s="546">
        <v>0.75</v>
      </c>
      <c r="E17" s="637"/>
      <c r="F17" s="1669">
        <v>463.53519999999997</v>
      </c>
      <c r="G17" s="1669">
        <v>0.74999995360000005</v>
      </c>
      <c r="H17" s="543"/>
      <c r="I17" s="542"/>
      <c r="J17" s="541"/>
      <c r="K17" s="541"/>
      <c r="L17" s="541"/>
      <c r="M17" s="541"/>
      <c r="N17" s="541"/>
    </row>
    <row r="18" spans="1:14" s="540" customFormat="1">
      <c r="A18" s="1634"/>
      <c r="B18" s="1668"/>
      <c r="C18" s="546">
        <v>15.36</v>
      </c>
      <c r="D18" s="546">
        <v>1.43</v>
      </c>
      <c r="E18" s="637"/>
      <c r="F18" s="1670"/>
      <c r="G18" s="1670"/>
      <c r="H18" s="543"/>
      <c r="I18" s="542"/>
      <c r="J18" s="541"/>
      <c r="K18" s="541"/>
      <c r="L18" s="541"/>
      <c r="M18" s="541"/>
      <c r="N18" s="541"/>
    </row>
    <row r="19" spans="1:14" s="540" customFormat="1">
      <c r="A19" s="1634"/>
      <c r="B19" s="1667"/>
      <c r="C19" s="546">
        <v>14.83</v>
      </c>
      <c r="D19" s="546">
        <v>1.94</v>
      </c>
      <c r="E19" s="637"/>
      <c r="F19" s="1671"/>
      <c r="G19" s="1671"/>
      <c r="H19" s="543"/>
      <c r="I19" s="542"/>
      <c r="J19" s="541"/>
      <c r="K19" s="541"/>
      <c r="L19" s="541"/>
      <c r="M19" s="541"/>
      <c r="N19" s="541"/>
    </row>
    <row r="20" spans="1:14" s="540" customFormat="1">
      <c r="A20" s="547">
        <v>10</v>
      </c>
      <c r="B20" s="636" t="s">
        <v>1273</v>
      </c>
      <c r="C20" s="546">
        <v>16.600000000000001</v>
      </c>
      <c r="D20" s="546">
        <v>0.6</v>
      </c>
      <c r="E20" s="637"/>
      <c r="F20" s="539">
        <v>370.82810000000001</v>
      </c>
      <c r="G20" s="539">
        <v>0.59999986579999998</v>
      </c>
      <c r="H20" s="543"/>
      <c r="I20" s="542"/>
      <c r="J20" s="541"/>
      <c r="K20" s="541"/>
      <c r="L20" s="541"/>
      <c r="M20" s="541"/>
      <c r="N20" s="541"/>
    </row>
    <row r="21" spans="1:14" s="540" customFormat="1">
      <c r="A21" s="1634">
        <v>11</v>
      </c>
      <c r="B21" s="1666" t="s">
        <v>148</v>
      </c>
      <c r="C21" s="546">
        <v>17.55</v>
      </c>
      <c r="D21" s="546">
        <v>0.7</v>
      </c>
      <c r="E21" s="637"/>
      <c r="F21" s="1669">
        <v>562.42269999999996</v>
      </c>
      <c r="G21" s="1669">
        <v>0.90999992860000001</v>
      </c>
      <c r="H21" s="543"/>
      <c r="I21" s="542"/>
      <c r="J21" s="541"/>
      <c r="K21" s="541"/>
      <c r="L21" s="541"/>
      <c r="M21" s="541"/>
      <c r="N21" s="541"/>
    </row>
    <row r="22" spans="1:14" s="540" customFormat="1">
      <c r="A22" s="1634"/>
      <c r="B22" s="1668"/>
      <c r="C22" s="546">
        <v>17.45</v>
      </c>
      <c r="D22" s="546">
        <v>0.8</v>
      </c>
      <c r="E22" s="637"/>
      <c r="F22" s="1670"/>
      <c r="G22" s="1670"/>
      <c r="H22" s="543"/>
      <c r="I22" s="542"/>
      <c r="J22" s="541"/>
      <c r="K22" s="541"/>
      <c r="L22" s="541"/>
      <c r="M22" s="541"/>
      <c r="N22" s="541"/>
    </row>
    <row r="23" spans="1:14" s="540" customFormat="1">
      <c r="A23" s="1634"/>
      <c r="B23" s="1667"/>
      <c r="C23" s="546">
        <v>16.57</v>
      </c>
      <c r="D23" s="546">
        <v>0.91</v>
      </c>
      <c r="E23" s="637"/>
      <c r="F23" s="1671"/>
      <c r="G23" s="1671"/>
      <c r="H23" s="543"/>
      <c r="I23" s="542"/>
      <c r="J23" s="541"/>
      <c r="K23" s="541"/>
      <c r="L23" s="541"/>
      <c r="M23" s="541"/>
      <c r="N23" s="541"/>
    </row>
    <row r="24" spans="1:14" s="540" customFormat="1">
      <c r="A24" s="547">
        <v>12</v>
      </c>
      <c r="B24" s="636" t="s">
        <v>1272</v>
      </c>
      <c r="C24" s="546">
        <v>17.55</v>
      </c>
      <c r="D24" s="546">
        <v>0.62</v>
      </c>
      <c r="E24" s="637"/>
      <c r="F24" s="539">
        <v>383.1891</v>
      </c>
      <c r="G24" s="539">
        <v>0.6199999638</v>
      </c>
      <c r="H24" s="543"/>
      <c r="I24" s="542"/>
      <c r="J24" s="541"/>
      <c r="K24" s="541"/>
      <c r="L24" s="541"/>
      <c r="M24" s="541"/>
      <c r="N24" s="541"/>
    </row>
    <row r="25" spans="1:14" s="540" customFormat="1">
      <c r="A25" s="547">
        <v>13</v>
      </c>
      <c r="B25" s="636" t="s">
        <v>353</v>
      </c>
      <c r="C25" s="546">
        <v>14.9</v>
      </c>
      <c r="D25" s="546">
        <v>0.62</v>
      </c>
      <c r="E25" s="637"/>
      <c r="F25" s="577"/>
      <c r="G25" s="577"/>
      <c r="H25" s="543"/>
      <c r="I25" s="542"/>
      <c r="J25" s="541"/>
      <c r="K25" s="541"/>
      <c r="L25" s="541"/>
      <c r="M25" s="541"/>
      <c r="N25" s="541"/>
    </row>
    <row r="26" spans="1:14" s="540" customFormat="1">
      <c r="A26" s="547">
        <v>14</v>
      </c>
      <c r="B26" s="636" t="s">
        <v>1271</v>
      </c>
      <c r="C26" s="546">
        <v>16.8</v>
      </c>
      <c r="D26" s="546">
        <v>1.2</v>
      </c>
      <c r="E26" s="637"/>
      <c r="F26" s="539">
        <v>741.65629999999999</v>
      </c>
      <c r="G26" s="539">
        <v>1.1999998934</v>
      </c>
      <c r="H26" s="543"/>
      <c r="I26" s="542"/>
      <c r="J26" s="541"/>
      <c r="K26" s="541"/>
      <c r="L26" s="541"/>
      <c r="M26" s="541"/>
      <c r="N26" s="541"/>
    </row>
    <row r="27" spans="1:14" s="540" customFormat="1">
      <c r="A27" s="547">
        <v>15</v>
      </c>
      <c r="B27" s="636" t="s">
        <v>1270</v>
      </c>
      <c r="C27" s="546">
        <v>16.66</v>
      </c>
      <c r="D27" s="546">
        <v>0.68</v>
      </c>
      <c r="E27" s="637"/>
      <c r="F27" s="539">
        <v>420.27190000000002</v>
      </c>
      <c r="G27" s="539">
        <v>0.67999993420000004</v>
      </c>
      <c r="H27" s="543"/>
      <c r="I27" s="542"/>
      <c r="J27" s="541"/>
      <c r="K27" s="541"/>
      <c r="L27" s="541"/>
      <c r="M27" s="541"/>
      <c r="N27" s="541"/>
    </row>
    <row r="28" spans="1:14" s="540" customFormat="1">
      <c r="A28" s="547">
        <v>16</v>
      </c>
      <c r="B28" s="636" t="s">
        <v>1269</v>
      </c>
      <c r="C28" s="546">
        <v>14.8</v>
      </c>
      <c r="D28" s="546">
        <v>0.6</v>
      </c>
      <c r="E28" s="546"/>
      <c r="F28" s="577"/>
      <c r="G28" s="577"/>
      <c r="H28" s="543"/>
      <c r="I28" s="542"/>
      <c r="J28" s="541"/>
      <c r="K28" s="541"/>
      <c r="L28" s="541"/>
      <c r="M28" s="541"/>
      <c r="N28" s="541"/>
    </row>
    <row r="29" spans="1:14">
      <c r="A29" s="530">
        <v>17</v>
      </c>
      <c r="B29" s="536" t="s">
        <v>1268</v>
      </c>
      <c r="C29" s="1672" t="s">
        <v>989</v>
      </c>
      <c r="D29" s="1673"/>
      <c r="E29" s="605"/>
      <c r="F29" s="539">
        <v>370.82810000000001</v>
      </c>
      <c r="G29" s="539">
        <v>0.59999986579999998</v>
      </c>
    </row>
    <row r="30" spans="1:14">
      <c r="A30" s="531"/>
      <c r="B30" s="529"/>
      <c r="C30" s="529"/>
      <c r="E30" s="580"/>
      <c r="F30" s="532"/>
    </row>
    <row r="31" spans="1:14">
      <c r="C31" s="529"/>
      <c r="E31" s="580"/>
      <c r="F31" s="532"/>
    </row>
    <row r="32" spans="1:14">
      <c r="C32" s="529"/>
      <c r="E32" s="580"/>
      <c r="F32" s="532"/>
    </row>
    <row r="33" spans="1:19" s="530" customFormat="1">
      <c r="A33" s="562" t="s">
        <v>106</v>
      </c>
      <c r="B33" s="565" t="s">
        <v>107</v>
      </c>
      <c r="C33" s="564" t="s">
        <v>4</v>
      </c>
      <c r="D33" s="563" t="s">
        <v>108</v>
      </c>
      <c r="E33" s="563" t="s">
        <v>109</v>
      </c>
      <c r="F33" s="562" t="s">
        <v>411</v>
      </c>
      <c r="G33" s="561" t="s">
        <v>950</v>
      </c>
      <c r="H33" s="561" t="s">
        <v>110</v>
      </c>
      <c r="I33" s="561" t="s">
        <v>276</v>
      </c>
      <c r="J33" s="561" t="s">
        <v>117</v>
      </c>
      <c r="K33" s="561" t="s">
        <v>275</v>
      </c>
      <c r="L33" s="562" t="s">
        <v>111</v>
      </c>
      <c r="M33" s="561" t="s">
        <v>949</v>
      </c>
      <c r="N33" s="561" t="s">
        <v>948</v>
      </c>
      <c r="O33" s="561" t="s">
        <v>129</v>
      </c>
      <c r="P33" s="561" t="s">
        <v>220</v>
      </c>
      <c r="Q33" s="537" t="s">
        <v>947</v>
      </c>
      <c r="R33" s="537" t="s">
        <v>946</v>
      </c>
      <c r="S33" s="560" t="s">
        <v>945</v>
      </c>
    </row>
    <row r="34" spans="1:19" s="547" customFormat="1">
      <c r="A34" s="554">
        <v>264</v>
      </c>
      <c r="B34" s="559" t="s">
        <v>922</v>
      </c>
      <c r="C34" s="558" t="s">
        <v>923</v>
      </c>
      <c r="D34" s="555">
        <v>13.665857000000001</v>
      </c>
      <c r="E34" s="555">
        <v>13.665856737</v>
      </c>
      <c r="F34" s="557" t="s">
        <v>1207</v>
      </c>
      <c r="G34" s="555">
        <v>38.18</v>
      </c>
      <c r="H34" s="555">
        <v>19.93</v>
      </c>
      <c r="I34" s="555">
        <f>H34/G34</f>
        <v>0.52200104766893662</v>
      </c>
      <c r="J34" s="555">
        <v>37.83</v>
      </c>
      <c r="K34" s="555">
        <f>J34/G34</f>
        <v>0.99083289680460973</v>
      </c>
      <c r="L34" s="554">
        <v>7</v>
      </c>
      <c r="M34" s="566">
        <v>43052</v>
      </c>
      <c r="N34" s="555">
        <v>25.9</v>
      </c>
      <c r="O34" s="555">
        <f>(N34*(1+Q34/10)+R34/10)/J34</f>
        <v>1.7145122918318796</v>
      </c>
      <c r="P34" s="553" t="s">
        <v>924</v>
      </c>
      <c r="Q34" s="554" t="str">
        <f>IFERROR(MID(P34,FIND("转",P34)+1,FIND("股",P34)-(FIND("转",P34)+1)),0)</f>
        <v>15</v>
      </c>
      <c r="R34" s="554" t="str">
        <f>IFERROR(MID(P34,FIND("派",P34)+1,FIND("元",P34)-FIND("派",P34)-1),0)</f>
        <v>1.1</v>
      </c>
      <c r="S34" s="553"/>
    </row>
    <row r="35" spans="1:19" s="540" customFormat="1">
      <c r="A35" s="547"/>
      <c r="B35" s="551" t="s">
        <v>112</v>
      </c>
      <c r="C35" s="551" t="s">
        <v>113</v>
      </c>
      <c r="D35" s="551" t="s">
        <v>943</v>
      </c>
      <c r="E35" s="552" t="s">
        <v>411</v>
      </c>
      <c r="F35" s="552" t="s">
        <v>942</v>
      </c>
      <c r="G35" s="551" t="s">
        <v>231</v>
      </c>
      <c r="H35" s="551" t="s">
        <v>941</v>
      </c>
      <c r="I35" s="549">
        <f>SUM(G36:G76)</f>
        <v>13.665856737</v>
      </c>
      <c r="J35" s="548"/>
      <c r="K35" s="548"/>
      <c r="L35" s="548"/>
      <c r="M35" s="548"/>
      <c r="N35" s="548"/>
    </row>
    <row r="36" spans="1:19" s="540" customFormat="1">
      <c r="A36" s="547">
        <v>1</v>
      </c>
      <c r="B36" s="554" t="s">
        <v>1267</v>
      </c>
      <c r="C36" s="546">
        <v>38.28</v>
      </c>
      <c r="D36" s="546">
        <v>1.69</v>
      </c>
      <c r="E36" s="544"/>
      <c r="F36" s="546">
        <v>446.7353</v>
      </c>
      <c r="G36" s="546">
        <v>1.6899996399000001</v>
      </c>
      <c r="H36" s="543" t="s">
        <v>126</v>
      </c>
      <c r="I36" s="138" t="s">
        <v>921</v>
      </c>
      <c r="J36" s="541"/>
      <c r="K36" s="541"/>
      <c r="L36" s="541"/>
      <c r="M36" s="541"/>
      <c r="N36" s="541"/>
    </row>
    <row r="37" spans="1:19" s="540" customFormat="1">
      <c r="A37" s="547">
        <v>2</v>
      </c>
      <c r="B37" s="554" t="s">
        <v>1266</v>
      </c>
      <c r="C37" s="546">
        <v>38.18</v>
      </c>
      <c r="D37" s="546">
        <v>1.55</v>
      </c>
      <c r="E37" s="544"/>
      <c r="F37" s="546">
        <v>409.72770000000003</v>
      </c>
      <c r="G37" s="546">
        <v>1.5499998891</v>
      </c>
      <c r="H37" s="543"/>
      <c r="I37" s="138"/>
      <c r="J37" s="541"/>
      <c r="K37" s="541"/>
      <c r="L37" s="541"/>
      <c r="M37" s="541"/>
      <c r="N37" s="541"/>
    </row>
    <row r="38" spans="1:19" s="540" customFormat="1">
      <c r="A38" s="547">
        <v>3</v>
      </c>
      <c r="B38" s="554" t="s">
        <v>115</v>
      </c>
      <c r="C38" s="546">
        <v>38.18</v>
      </c>
      <c r="D38" s="546">
        <v>3</v>
      </c>
      <c r="E38" s="544"/>
      <c r="F38" s="546">
        <v>793.02139999999997</v>
      </c>
      <c r="G38" s="546">
        <v>2.9999999561999999</v>
      </c>
      <c r="H38" s="543"/>
      <c r="I38" s="138"/>
      <c r="J38" s="541"/>
      <c r="K38" s="541"/>
      <c r="L38" s="541"/>
      <c r="M38" s="541"/>
      <c r="N38" s="541"/>
    </row>
    <row r="39" spans="1:19" s="540" customFormat="1">
      <c r="A39" s="547">
        <v>4</v>
      </c>
      <c r="B39" s="554" t="s">
        <v>1265</v>
      </c>
      <c r="C39" s="546">
        <v>38.08</v>
      </c>
      <c r="D39" s="546">
        <v>2.73</v>
      </c>
      <c r="E39" s="544"/>
      <c r="F39" s="546">
        <v>721.64940000000001</v>
      </c>
      <c r="G39" s="546">
        <v>2.7299996801999997</v>
      </c>
      <c r="H39" s="543"/>
      <c r="I39" s="138"/>
      <c r="J39" s="541"/>
      <c r="K39" s="541"/>
      <c r="L39" s="541"/>
      <c r="M39" s="541"/>
      <c r="N39" s="541"/>
    </row>
    <row r="40" spans="1:19" s="540" customFormat="1">
      <c r="A40" s="547">
        <v>5</v>
      </c>
      <c r="B40" s="554" t="s">
        <v>1264</v>
      </c>
      <c r="C40" s="546">
        <v>38.08</v>
      </c>
      <c r="D40" s="546">
        <v>2</v>
      </c>
      <c r="E40" s="544"/>
      <c r="F40" s="546">
        <v>528.68089999999995</v>
      </c>
      <c r="G40" s="546">
        <v>1.9999998447</v>
      </c>
      <c r="H40" s="543"/>
      <c r="I40" s="542"/>
      <c r="J40" s="541"/>
      <c r="K40" s="541"/>
      <c r="L40" s="541"/>
      <c r="M40" s="541"/>
      <c r="N40" s="541"/>
    </row>
    <row r="41" spans="1:19" s="540" customFormat="1">
      <c r="A41" s="547">
        <v>6</v>
      </c>
      <c r="B41" s="554" t="s">
        <v>1070</v>
      </c>
      <c r="C41" s="546">
        <v>38.08</v>
      </c>
      <c r="D41" s="546">
        <v>2.27</v>
      </c>
      <c r="E41" s="544"/>
      <c r="F41" s="546">
        <v>600.05280000000005</v>
      </c>
      <c r="G41" s="546">
        <v>2.2699997424</v>
      </c>
      <c r="H41" s="543"/>
      <c r="I41" s="542"/>
      <c r="J41" s="541"/>
      <c r="K41" s="541"/>
      <c r="L41" s="541"/>
      <c r="M41" s="541"/>
      <c r="N41" s="541"/>
    </row>
    <row r="42" spans="1:19" s="540" customFormat="1">
      <c r="A42" s="547">
        <v>7</v>
      </c>
      <c r="B42" s="554" t="s">
        <v>1263</v>
      </c>
      <c r="C42" s="546">
        <v>37.83</v>
      </c>
      <c r="D42" s="546">
        <v>1.5</v>
      </c>
      <c r="E42" s="544"/>
      <c r="F42" s="546">
        <v>112.5715</v>
      </c>
      <c r="G42" s="546">
        <v>0.42585798450000001</v>
      </c>
      <c r="H42" s="543"/>
      <c r="I42" s="542"/>
      <c r="J42" s="541"/>
      <c r="K42" s="541"/>
      <c r="L42" s="541"/>
      <c r="M42" s="541"/>
      <c r="N42" s="541"/>
    </row>
    <row r="43" spans="1:19" s="540" customFormat="1">
      <c r="A43" s="547">
        <v>8</v>
      </c>
      <c r="B43" s="554" t="s">
        <v>1262</v>
      </c>
      <c r="C43" s="546">
        <v>37.68</v>
      </c>
      <c r="D43" s="546">
        <v>1.78</v>
      </c>
      <c r="E43" s="544"/>
      <c r="F43" s="546"/>
      <c r="G43" s="546"/>
      <c r="H43" s="543"/>
      <c r="I43" s="542"/>
      <c r="J43" s="541"/>
      <c r="K43" s="541"/>
      <c r="L43" s="541"/>
      <c r="M43" s="541"/>
      <c r="N43" s="541"/>
    </row>
    <row r="44" spans="1:19" s="540" customFormat="1">
      <c r="A44" s="547">
        <v>9</v>
      </c>
      <c r="B44" s="554" t="s">
        <v>1261</v>
      </c>
      <c r="C44" s="546">
        <v>36.479999999999997</v>
      </c>
      <c r="D44" s="546">
        <v>1.5</v>
      </c>
      <c r="E44" s="544"/>
      <c r="F44" s="546"/>
      <c r="G44" s="546"/>
      <c r="H44" s="543"/>
      <c r="I44" s="542"/>
      <c r="J44" s="541"/>
      <c r="K44" s="541"/>
      <c r="L44" s="541"/>
      <c r="M44" s="541"/>
      <c r="N44" s="541"/>
    </row>
    <row r="45" spans="1:19" s="540" customFormat="1">
      <c r="A45" s="547">
        <v>10</v>
      </c>
      <c r="B45" s="554" t="s">
        <v>1260</v>
      </c>
      <c r="C45" s="546">
        <v>35.78</v>
      </c>
      <c r="D45" s="546">
        <v>1.5</v>
      </c>
      <c r="E45" s="544"/>
      <c r="F45" s="546"/>
      <c r="G45" s="546"/>
      <c r="H45" s="543"/>
      <c r="I45" s="542"/>
      <c r="J45" s="541"/>
      <c r="K45" s="541"/>
      <c r="L45" s="541"/>
      <c r="M45" s="541"/>
      <c r="N45" s="541"/>
    </row>
    <row r="46" spans="1:19" s="540" customFormat="1">
      <c r="A46" s="547">
        <v>11</v>
      </c>
      <c r="B46" s="554" t="s">
        <v>1259</v>
      </c>
      <c r="C46" s="546">
        <v>35.08</v>
      </c>
      <c r="D46" s="546">
        <v>1.5</v>
      </c>
      <c r="E46" s="544"/>
      <c r="F46" s="546"/>
      <c r="G46" s="546"/>
      <c r="H46" s="543"/>
      <c r="I46" s="542"/>
      <c r="J46" s="541"/>
      <c r="K46" s="541"/>
      <c r="L46" s="541"/>
      <c r="M46" s="541"/>
      <c r="N46" s="541"/>
    </row>
    <row r="47" spans="1:19" s="540" customFormat="1">
      <c r="A47" s="547">
        <v>12</v>
      </c>
      <c r="B47" s="554" t="s">
        <v>1258</v>
      </c>
      <c r="C47" s="546">
        <v>35.03</v>
      </c>
      <c r="D47" s="546">
        <v>1.5</v>
      </c>
      <c r="E47" s="544"/>
      <c r="F47" s="546"/>
      <c r="G47" s="546"/>
      <c r="H47" s="543"/>
      <c r="I47" s="542"/>
      <c r="J47" s="541"/>
      <c r="K47" s="541"/>
      <c r="L47" s="541"/>
      <c r="M47" s="541"/>
      <c r="N47" s="541"/>
    </row>
    <row r="48" spans="1:19" s="540" customFormat="1">
      <c r="A48" s="547">
        <v>13</v>
      </c>
      <c r="B48" s="554" t="s">
        <v>522</v>
      </c>
      <c r="C48" s="546">
        <v>34.28</v>
      </c>
      <c r="D48" s="546">
        <v>2.2999999999999998</v>
      </c>
      <c r="E48" s="544"/>
      <c r="F48" s="546"/>
      <c r="G48" s="546"/>
      <c r="H48" s="543"/>
      <c r="I48" s="542"/>
      <c r="J48" s="541"/>
      <c r="K48" s="541"/>
      <c r="L48" s="541"/>
      <c r="M48" s="541"/>
      <c r="N48" s="541"/>
    </row>
    <row r="49" spans="1:14" s="540" customFormat="1">
      <c r="A49" s="547">
        <v>14</v>
      </c>
      <c r="B49" s="554" t="s">
        <v>576</v>
      </c>
      <c r="C49" s="546">
        <v>34.18</v>
      </c>
      <c r="D49" s="546">
        <v>1.5</v>
      </c>
      <c r="E49" s="544"/>
      <c r="F49" s="546"/>
      <c r="G49" s="546"/>
      <c r="H49" s="543"/>
      <c r="I49" s="542"/>
      <c r="J49" s="541"/>
      <c r="K49" s="541"/>
      <c r="L49" s="541"/>
      <c r="M49" s="541"/>
      <c r="N49" s="541"/>
    </row>
    <row r="50" spans="1:14" s="540" customFormat="1">
      <c r="A50" s="547">
        <v>15</v>
      </c>
      <c r="B50" s="554" t="s">
        <v>136</v>
      </c>
      <c r="C50" s="546">
        <v>34.08</v>
      </c>
      <c r="D50" s="546">
        <v>1.6</v>
      </c>
      <c r="E50" s="544"/>
      <c r="F50" s="546"/>
      <c r="G50" s="546"/>
      <c r="H50" s="543"/>
      <c r="I50" s="542"/>
      <c r="J50" s="541"/>
      <c r="K50" s="541"/>
      <c r="L50" s="541"/>
      <c r="M50" s="541"/>
      <c r="N50" s="541"/>
    </row>
    <row r="51" spans="1:14" s="540" customFormat="1">
      <c r="A51" s="547">
        <v>16</v>
      </c>
      <c r="B51" s="554" t="s">
        <v>1257</v>
      </c>
      <c r="C51" s="546">
        <v>33.979999999999997</v>
      </c>
      <c r="D51" s="546">
        <v>1.85</v>
      </c>
      <c r="E51" s="544"/>
      <c r="F51" s="546"/>
      <c r="G51" s="546"/>
      <c r="H51" s="543"/>
      <c r="I51" s="542"/>
      <c r="J51" s="541"/>
      <c r="K51" s="541"/>
      <c r="L51" s="541"/>
      <c r="M51" s="541"/>
      <c r="N51" s="541"/>
    </row>
    <row r="52" spans="1:14" s="540" customFormat="1">
      <c r="A52" s="547">
        <v>17</v>
      </c>
      <c r="B52" s="554" t="s">
        <v>1256</v>
      </c>
      <c r="C52" s="546">
        <v>33.479999999999997</v>
      </c>
      <c r="D52" s="546">
        <v>1.5</v>
      </c>
      <c r="E52" s="544"/>
      <c r="F52" s="546"/>
      <c r="G52" s="546"/>
      <c r="H52" s="543"/>
      <c r="I52" s="542"/>
      <c r="J52" s="541"/>
      <c r="K52" s="541"/>
      <c r="L52" s="541"/>
      <c r="M52" s="541"/>
      <c r="N52" s="541"/>
    </row>
    <row r="53" spans="1:14" s="540" customFormat="1">
      <c r="A53" s="547">
        <v>18</v>
      </c>
      <c r="B53" s="554" t="s">
        <v>385</v>
      </c>
      <c r="C53" s="546">
        <v>33.33</v>
      </c>
      <c r="D53" s="546">
        <v>1.5</v>
      </c>
      <c r="E53" s="544"/>
      <c r="F53" s="546"/>
      <c r="G53" s="546"/>
      <c r="H53" s="543"/>
      <c r="I53" s="542"/>
      <c r="J53" s="541"/>
      <c r="K53" s="541"/>
      <c r="L53" s="541"/>
      <c r="M53" s="541"/>
      <c r="N53" s="541"/>
    </row>
    <row r="54" spans="1:14" s="540" customFormat="1">
      <c r="A54" s="547">
        <v>19</v>
      </c>
      <c r="B54" s="554" t="s">
        <v>1255</v>
      </c>
      <c r="C54" s="546">
        <v>33.28</v>
      </c>
      <c r="D54" s="546">
        <v>1.5</v>
      </c>
      <c r="E54" s="544"/>
      <c r="F54" s="546"/>
      <c r="G54" s="546"/>
      <c r="H54" s="543"/>
      <c r="I54" s="542"/>
      <c r="J54" s="541"/>
      <c r="K54" s="541"/>
      <c r="L54" s="541"/>
      <c r="M54" s="541"/>
      <c r="N54" s="541"/>
    </row>
    <row r="55" spans="1:14" s="540" customFormat="1">
      <c r="A55" s="547">
        <v>20</v>
      </c>
      <c r="B55" s="554" t="s">
        <v>229</v>
      </c>
      <c r="C55" s="546">
        <v>33.130000000000003</v>
      </c>
      <c r="D55" s="546">
        <v>1.5</v>
      </c>
      <c r="E55" s="544"/>
      <c r="F55" s="546"/>
      <c r="G55" s="546"/>
      <c r="H55" s="543"/>
      <c r="I55" s="542"/>
      <c r="J55" s="541"/>
      <c r="K55" s="541"/>
      <c r="L55" s="541"/>
      <c r="M55" s="541"/>
      <c r="N55" s="541"/>
    </row>
    <row r="56" spans="1:14" s="540" customFormat="1">
      <c r="A56" s="547">
        <v>21</v>
      </c>
      <c r="B56" s="554" t="s">
        <v>173</v>
      </c>
      <c r="C56" s="546">
        <v>33.08</v>
      </c>
      <c r="D56" s="546">
        <v>2.31</v>
      </c>
      <c r="E56" s="544"/>
      <c r="F56" s="546"/>
      <c r="G56" s="546"/>
      <c r="H56" s="543"/>
      <c r="I56" s="542"/>
      <c r="J56" s="541"/>
      <c r="K56" s="541"/>
      <c r="L56" s="541"/>
      <c r="M56" s="541"/>
      <c r="N56" s="541"/>
    </row>
    <row r="57" spans="1:14" s="540" customFormat="1">
      <c r="A57" s="547">
        <v>22</v>
      </c>
      <c r="B57" s="554" t="s">
        <v>1254</v>
      </c>
      <c r="C57" s="546">
        <v>32.58</v>
      </c>
      <c r="D57" s="546">
        <v>1.5</v>
      </c>
      <c r="E57" s="544"/>
      <c r="F57" s="546"/>
      <c r="G57" s="546"/>
      <c r="H57" s="543"/>
      <c r="I57" s="542"/>
      <c r="J57" s="541"/>
      <c r="K57" s="541"/>
      <c r="L57" s="541"/>
      <c r="M57" s="541"/>
      <c r="N57" s="541"/>
    </row>
    <row r="58" spans="1:14" s="540" customFormat="1">
      <c r="A58" s="547">
        <v>23</v>
      </c>
      <c r="B58" s="554" t="s">
        <v>1253</v>
      </c>
      <c r="C58" s="546">
        <v>32.43</v>
      </c>
      <c r="D58" s="546">
        <v>1.73</v>
      </c>
      <c r="E58" s="544"/>
      <c r="F58" s="546"/>
      <c r="G58" s="546"/>
      <c r="H58" s="543"/>
      <c r="I58" s="542"/>
      <c r="J58" s="541"/>
      <c r="K58" s="541"/>
      <c r="L58" s="541"/>
      <c r="M58" s="541"/>
      <c r="N58" s="541"/>
    </row>
    <row r="59" spans="1:14" s="540" customFormat="1">
      <c r="A59" s="547">
        <v>24</v>
      </c>
      <c r="B59" s="554" t="s">
        <v>228</v>
      </c>
      <c r="C59" s="546">
        <v>32.28</v>
      </c>
      <c r="D59" s="546">
        <v>2.62</v>
      </c>
      <c r="E59" s="544"/>
      <c r="F59" s="546"/>
      <c r="G59" s="546"/>
      <c r="H59" s="543"/>
      <c r="I59" s="542"/>
      <c r="J59" s="541"/>
      <c r="K59" s="541"/>
      <c r="L59" s="541"/>
      <c r="M59" s="541"/>
      <c r="N59" s="541"/>
    </row>
    <row r="60" spans="1:14" s="540" customFormat="1">
      <c r="A60" s="547">
        <v>25</v>
      </c>
      <c r="B60" s="554" t="s">
        <v>300</v>
      </c>
      <c r="C60" s="546">
        <v>32.130000000000003</v>
      </c>
      <c r="D60" s="546">
        <v>1.5</v>
      </c>
      <c r="E60" s="544"/>
      <c r="F60" s="546"/>
      <c r="G60" s="546"/>
      <c r="H60" s="543"/>
      <c r="I60" s="542"/>
      <c r="J60" s="541"/>
      <c r="K60" s="541"/>
      <c r="L60" s="541"/>
      <c r="M60" s="541"/>
      <c r="N60" s="541"/>
    </row>
    <row r="61" spans="1:14" s="540" customFormat="1">
      <c r="A61" s="547">
        <v>26</v>
      </c>
      <c r="B61" s="554" t="s">
        <v>1252</v>
      </c>
      <c r="C61" s="546">
        <v>32.03</v>
      </c>
      <c r="D61" s="546">
        <v>1.55</v>
      </c>
      <c r="E61" s="544"/>
      <c r="F61" s="546"/>
      <c r="G61" s="546"/>
      <c r="H61" s="543"/>
      <c r="I61" s="542"/>
      <c r="J61" s="541"/>
      <c r="K61" s="541"/>
      <c r="L61" s="541"/>
      <c r="M61" s="541"/>
      <c r="N61" s="541"/>
    </row>
    <row r="62" spans="1:14" s="540" customFormat="1">
      <c r="A62" s="547">
        <v>27</v>
      </c>
      <c r="B62" s="554" t="s">
        <v>1251</v>
      </c>
      <c r="C62" s="546">
        <v>31.98</v>
      </c>
      <c r="D62" s="546">
        <v>1.5</v>
      </c>
      <c r="E62" s="544"/>
      <c r="F62" s="546"/>
      <c r="G62" s="546"/>
      <c r="H62" s="543"/>
      <c r="I62" s="542"/>
      <c r="J62" s="541"/>
      <c r="K62" s="541"/>
      <c r="L62" s="541"/>
      <c r="M62" s="541"/>
      <c r="N62" s="541"/>
    </row>
    <row r="63" spans="1:14" s="540" customFormat="1">
      <c r="A63" s="547">
        <v>28</v>
      </c>
      <c r="B63" s="554" t="s">
        <v>1250</v>
      </c>
      <c r="C63" s="546">
        <v>31.88</v>
      </c>
      <c r="D63" s="546">
        <v>1.5</v>
      </c>
      <c r="E63" s="544"/>
      <c r="F63" s="546"/>
      <c r="G63" s="546"/>
      <c r="H63" s="543"/>
      <c r="I63" s="542"/>
      <c r="J63" s="541"/>
      <c r="K63" s="541"/>
      <c r="L63" s="541"/>
      <c r="M63" s="541"/>
      <c r="N63" s="541"/>
    </row>
    <row r="64" spans="1:14" s="540" customFormat="1">
      <c r="A64" s="547">
        <v>29</v>
      </c>
      <c r="B64" s="554" t="s">
        <v>1249</v>
      </c>
      <c r="C64" s="546">
        <v>31.88</v>
      </c>
      <c r="D64" s="546">
        <v>1.6</v>
      </c>
      <c r="E64" s="544"/>
      <c r="F64" s="546"/>
      <c r="G64" s="546"/>
      <c r="H64" s="543"/>
      <c r="I64" s="542"/>
      <c r="J64" s="541"/>
      <c r="K64" s="541"/>
      <c r="L64" s="541"/>
      <c r="M64" s="541"/>
      <c r="N64" s="541"/>
    </row>
    <row r="65" spans="1:19" s="540" customFormat="1">
      <c r="A65" s="547">
        <v>30</v>
      </c>
      <c r="B65" s="554" t="s">
        <v>505</v>
      </c>
      <c r="C65" s="546">
        <v>31.28</v>
      </c>
      <c r="D65" s="546">
        <v>1.5</v>
      </c>
      <c r="E65" s="544"/>
      <c r="F65" s="546"/>
      <c r="G65" s="546"/>
      <c r="H65" s="543"/>
      <c r="I65" s="542"/>
      <c r="J65" s="541"/>
      <c r="K65" s="541"/>
      <c r="L65" s="541"/>
      <c r="M65" s="541"/>
      <c r="N65" s="541"/>
    </row>
    <row r="66" spans="1:19" s="540" customFormat="1">
      <c r="A66" s="547">
        <v>31</v>
      </c>
      <c r="B66" s="554" t="s">
        <v>1055</v>
      </c>
      <c r="C66" s="546">
        <v>31.08</v>
      </c>
      <c r="D66" s="546">
        <v>1.5</v>
      </c>
      <c r="E66" s="544"/>
      <c r="F66" s="546"/>
      <c r="G66" s="546"/>
      <c r="H66" s="543"/>
      <c r="I66" s="542"/>
      <c r="J66" s="541"/>
      <c r="K66" s="541"/>
      <c r="L66" s="541"/>
      <c r="M66" s="541"/>
      <c r="N66" s="541"/>
    </row>
    <row r="67" spans="1:19" s="540" customFormat="1">
      <c r="A67" s="547">
        <v>32</v>
      </c>
      <c r="B67" s="554" t="s">
        <v>1248</v>
      </c>
      <c r="C67" s="546">
        <v>30.18</v>
      </c>
      <c r="D67" s="546">
        <v>1.5</v>
      </c>
      <c r="E67" s="544"/>
      <c r="F67" s="546"/>
      <c r="G67" s="546"/>
      <c r="H67" s="543"/>
      <c r="I67" s="542"/>
      <c r="J67" s="541"/>
      <c r="K67" s="541"/>
      <c r="L67" s="541"/>
      <c r="M67" s="541"/>
      <c r="N67" s="541"/>
    </row>
    <row r="68" spans="1:19" s="540" customFormat="1">
      <c r="A68" s="547">
        <v>33</v>
      </c>
      <c r="B68" s="554" t="s">
        <v>1247</v>
      </c>
      <c r="C68" s="546">
        <v>29.88</v>
      </c>
      <c r="D68" s="546">
        <v>1.77</v>
      </c>
      <c r="E68" s="544"/>
      <c r="F68" s="546"/>
      <c r="G68" s="546"/>
      <c r="H68" s="543"/>
      <c r="I68" s="542"/>
      <c r="J68" s="541"/>
      <c r="K68" s="541"/>
      <c r="L68" s="541"/>
      <c r="M68" s="541"/>
      <c r="N68" s="541"/>
    </row>
    <row r="69" spans="1:19" s="540" customFormat="1">
      <c r="A69" s="547">
        <v>34</v>
      </c>
      <c r="B69" s="554" t="s">
        <v>278</v>
      </c>
      <c r="C69" s="546">
        <v>29.58</v>
      </c>
      <c r="D69" s="546">
        <v>1.63</v>
      </c>
      <c r="E69" s="544"/>
      <c r="F69" s="546"/>
      <c r="G69" s="546"/>
      <c r="H69" s="543"/>
      <c r="I69" s="542"/>
      <c r="J69" s="541"/>
      <c r="K69" s="541"/>
      <c r="L69" s="541"/>
      <c r="M69" s="541"/>
      <c r="N69" s="541"/>
    </row>
    <row r="70" spans="1:19" s="540" customFormat="1">
      <c r="A70" s="547">
        <v>35</v>
      </c>
      <c r="B70" s="554" t="s">
        <v>1246</v>
      </c>
      <c r="C70" s="546">
        <v>29.33</v>
      </c>
      <c r="D70" s="546">
        <v>2.5</v>
      </c>
      <c r="E70" s="544"/>
      <c r="F70" s="546"/>
      <c r="G70" s="546"/>
      <c r="H70" s="543"/>
      <c r="I70" s="542"/>
      <c r="J70" s="541"/>
      <c r="K70" s="541"/>
      <c r="L70" s="541"/>
      <c r="M70" s="541"/>
      <c r="N70" s="541"/>
    </row>
    <row r="71" spans="1:19" s="540" customFormat="1">
      <c r="A71" s="547">
        <v>36</v>
      </c>
      <c r="B71" s="554" t="s">
        <v>666</v>
      </c>
      <c r="C71" s="546">
        <v>28.88</v>
      </c>
      <c r="D71" s="546">
        <v>1.5</v>
      </c>
      <c r="E71" s="544"/>
      <c r="F71" s="546"/>
      <c r="G71" s="546"/>
      <c r="H71" s="543"/>
      <c r="I71" s="542"/>
      <c r="J71" s="541"/>
      <c r="K71" s="541"/>
      <c r="L71" s="541"/>
      <c r="M71" s="541"/>
      <c r="N71" s="541"/>
    </row>
    <row r="72" spans="1:19" s="540" customFormat="1">
      <c r="A72" s="547">
        <v>37</v>
      </c>
      <c r="B72" s="554" t="s">
        <v>1245</v>
      </c>
      <c r="C72" s="546">
        <v>26.63</v>
      </c>
      <c r="D72" s="546">
        <v>1.5</v>
      </c>
      <c r="E72" s="544"/>
      <c r="F72" s="546"/>
      <c r="G72" s="546"/>
      <c r="H72" s="543"/>
      <c r="I72" s="542"/>
      <c r="J72" s="541"/>
      <c r="K72" s="541"/>
      <c r="L72" s="541"/>
      <c r="M72" s="541"/>
      <c r="N72" s="541"/>
    </row>
    <row r="73" spans="1:19" s="540" customFormat="1">
      <c r="A73" s="547">
        <v>38</v>
      </c>
      <c r="B73" s="554" t="s">
        <v>1244</v>
      </c>
      <c r="C73" s="546">
        <v>25.38</v>
      </c>
      <c r="D73" s="546">
        <v>1.5</v>
      </c>
      <c r="E73" s="544"/>
      <c r="F73" s="546"/>
      <c r="G73" s="546"/>
      <c r="H73" s="543"/>
      <c r="I73" s="542"/>
      <c r="J73" s="541"/>
      <c r="K73" s="541"/>
      <c r="L73" s="541"/>
      <c r="M73" s="541"/>
      <c r="N73" s="541"/>
    </row>
    <row r="74" spans="1:19" s="540" customFormat="1">
      <c r="A74" s="547">
        <v>39</v>
      </c>
      <c r="B74" s="554" t="s">
        <v>974</v>
      </c>
      <c r="C74" s="546">
        <v>25.03</v>
      </c>
      <c r="D74" s="546">
        <v>1.5</v>
      </c>
      <c r="E74" s="544"/>
      <c r="F74" s="546"/>
      <c r="G74" s="546"/>
      <c r="H74" s="543"/>
      <c r="I74" s="542"/>
      <c r="J74" s="541"/>
      <c r="K74" s="541"/>
      <c r="L74" s="541"/>
      <c r="M74" s="541"/>
      <c r="N74" s="541"/>
    </row>
    <row r="75" spans="1:19" s="540" customFormat="1">
      <c r="A75" s="547">
        <v>40</v>
      </c>
      <c r="B75" s="554" t="s">
        <v>1243</v>
      </c>
      <c r="C75" s="546">
        <v>24.98</v>
      </c>
      <c r="D75" s="546">
        <v>2</v>
      </c>
      <c r="E75" s="544"/>
      <c r="F75" s="546"/>
      <c r="G75" s="546"/>
      <c r="H75" s="543"/>
      <c r="I75" s="542"/>
      <c r="J75" s="541"/>
      <c r="K75" s="541"/>
      <c r="L75" s="541"/>
      <c r="M75" s="541"/>
      <c r="N75" s="541"/>
    </row>
    <row r="76" spans="1:19" s="540" customFormat="1">
      <c r="A76" s="547">
        <v>41</v>
      </c>
      <c r="B76" s="554" t="s">
        <v>8</v>
      </c>
      <c r="C76" s="546">
        <v>22.03</v>
      </c>
      <c r="D76" s="546">
        <v>1.5</v>
      </c>
      <c r="E76" s="544"/>
      <c r="F76" s="546"/>
      <c r="G76" s="546"/>
      <c r="H76" s="543"/>
      <c r="I76" s="542"/>
      <c r="J76" s="541"/>
      <c r="K76" s="541"/>
      <c r="L76" s="541"/>
      <c r="M76" s="541"/>
      <c r="N76" s="541"/>
    </row>
    <row r="80" spans="1:19" s="530" customFormat="1">
      <c r="A80" s="562" t="s">
        <v>106</v>
      </c>
      <c r="B80" s="565" t="s">
        <v>107</v>
      </c>
      <c r="C80" s="564" t="s">
        <v>4</v>
      </c>
      <c r="D80" s="563" t="s">
        <v>108</v>
      </c>
      <c r="E80" s="563" t="s">
        <v>109</v>
      </c>
      <c r="F80" s="562" t="s">
        <v>411</v>
      </c>
      <c r="G80" s="561" t="s">
        <v>950</v>
      </c>
      <c r="H80" s="561" t="s">
        <v>110</v>
      </c>
      <c r="I80" s="561" t="s">
        <v>276</v>
      </c>
      <c r="J80" s="561" t="s">
        <v>117</v>
      </c>
      <c r="K80" s="561" t="s">
        <v>275</v>
      </c>
      <c r="L80" s="562" t="s">
        <v>111</v>
      </c>
      <c r="M80" s="561" t="s">
        <v>949</v>
      </c>
      <c r="N80" s="561" t="s">
        <v>948</v>
      </c>
      <c r="O80" s="561" t="s">
        <v>129</v>
      </c>
      <c r="P80" s="561" t="s">
        <v>220</v>
      </c>
      <c r="Q80" s="537" t="s">
        <v>947</v>
      </c>
      <c r="R80" s="537" t="s">
        <v>946</v>
      </c>
      <c r="S80" s="560" t="s">
        <v>945</v>
      </c>
    </row>
    <row r="81" spans="1:19" s="547" customFormat="1">
      <c r="A81" s="554">
        <v>265</v>
      </c>
      <c r="B81" s="559" t="s">
        <v>926</v>
      </c>
      <c r="C81" s="558" t="s">
        <v>927</v>
      </c>
      <c r="D81" s="555">
        <v>20</v>
      </c>
      <c r="E81" s="555">
        <v>19.9999999584</v>
      </c>
      <c r="F81" s="557" t="s">
        <v>1217</v>
      </c>
      <c r="G81" s="555">
        <v>7.03</v>
      </c>
      <c r="H81" s="555">
        <v>5.12</v>
      </c>
      <c r="I81" s="555">
        <f>H81/G81</f>
        <v>0.72830725462304413</v>
      </c>
      <c r="J81" s="555">
        <v>6.72</v>
      </c>
      <c r="K81" s="555">
        <f>J81/G81</f>
        <v>0.95590327169274536</v>
      </c>
      <c r="L81" s="554">
        <v>7</v>
      </c>
      <c r="M81" s="566">
        <v>43053</v>
      </c>
      <c r="N81" s="555">
        <v>7.02</v>
      </c>
      <c r="O81" s="555">
        <f>(N81*(1+Q81/10)+R81/10)/J81</f>
        <v>1.0625</v>
      </c>
      <c r="P81" s="553" t="s">
        <v>876</v>
      </c>
      <c r="Q81" s="554">
        <f>IFERROR(MID(P81,FIND("转",P81)+1,FIND("股",P81)-(FIND("转",P81)+1)),0)</f>
        <v>0</v>
      </c>
      <c r="R81" s="554" t="str">
        <f>IFERROR(MID(P81,FIND("派",P81)+1,FIND("元",P81)-FIND("派",P81)-1),0)</f>
        <v>1.20</v>
      </c>
      <c r="S81" s="553"/>
    </row>
    <row r="82" spans="1:19" s="540" customFormat="1">
      <c r="A82" s="547"/>
      <c r="B82" s="551" t="s">
        <v>112</v>
      </c>
      <c r="C82" s="551" t="s">
        <v>113</v>
      </c>
      <c r="D82" s="551" t="s">
        <v>943</v>
      </c>
      <c r="E82" s="552" t="s">
        <v>411</v>
      </c>
      <c r="F82" s="552" t="s">
        <v>942</v>
      </c>
      <c r="G82" s="551" t="s">
        <v>231</v>
      </c>
      <c r="H82" s="551" t="s">
        <v>941</v>
      </c>
      <c r="I82" s="549">
        <f>SUM(G83:G131)</f>
        <v>19.9999999584</v>
      </c>
      <c r="J82" s="548"/>
      <c r="K82" s="548"/>
      <c r="L82" s="548"/>
      <c r="M82" s="548"/>
      <c r="N82" s="548"/>
    </row>
    <row r="83" spans="1:19" s="540" customFormat="1">
      <c r="A83" s="1634">
        <v>1</v>
      </c>
      <c r="B83" s="1627" t="s">
        <v>371</v>
      </c>
      <c r="C83" s="546">
        <v>6.2</v>
      </c>
      <c r="D83" s="546">
        <v>2</v>
      </c>
      <c r="E83" s="544"/>
      <c r="F83" s="546"/>
      <c r="G83" s="546"/>
      <c r="H83" s="543" t="s">
        <v>126</v>
      </c>
      <c r="I83" s="138" t="s">
        <v>925</v>
      </c>
      <c r="J83" s="541"/>
      <c r="K83" s="541"/>
      <c r="L83" s="541"/>
      <c r="M83" s="541"/>
      <c r="N83" s="541"/>
    </row>
    <row r="84" spans="1:19" s="540" customFormat="1">
      <c r="A84" s="1634"/>
      <c r="B84" s="1629"/>
      <c r="C84" s="546">
        <v>6.05</v>
      </c>
      <c r="D84" s="546">
        <v>4</v>
      </c>
      <c r="E84" s="544"/>
      <c r="F84" s="546"/>
      <c r="G84" s="546"/>
      <c r="H84" s="543"/>
      <c r="I84" s="138"/>
      <c r="J84" s="541"/>
      <c r="K84" s="541"/>
      <c r="L84" s="541"/>
      <c r="M84" s="541"/>
      <c r="N84" s="541"/>
    </row>
    <row r="85" spans="1:19" s="540" customFormat="1">
      <c r="A85" s="1634">
        <v>2</v>
      </c>
      <c r="B85" s="1627" t="s">
        <v>951</v>
      </c>
      <c r="C85" s="546">
        <v>7.28</v>
      </c>
      <c r="D85" s="546">
        <v>2</v>
      </c>
      <c r="E85" s="544"/>
      <c r="F85" s="1624">
        <v>2976.1904</v>
      </c>
      <c r="G85" s="1624">
        <v>1.9999999488</v>
      </c>
      <c r="H85" s="543"/>
      <c r="I85" s="138"/>
      <c r="J85" s="541"/>
      <c r="K85" s="541"/>
      <c r="L85" s="541"/>
      <c r="M85" s="541"/>
      <c r="N85" s="541"/>
    </row>
    <row r="86" spans="1:19" s="540" customFormat="1">
      <c r="A86" s="1634"/>
      <c r="B86" s="1628"/>
      <c r="C86" s="546">
        <v>6.23</v>
      </c>
      <c r="D86" s="546">
        <v>3.5</v>
      </c>
      <c r="E86" s="544"/>
      <c r="F86" s="1626"/>
      <c r="G86" s="1626"/>
      <c r="H86" s="543"/>
      <c r="I86" s="542"/>
      <c r="J86" s="541"/>
      <c r="K86" s="541"/>
      <c r="L86" s="541"/>
      <c r="M86" s="541"/>
      <c r="N86" s="541"/>
    </row>
    <row r="87" spans="1:19" s="540" customFormat="1">
      <c r="A87" s="1634"/>
      <c r="B87" s="1629"/>
      <c r="C87" s="546">
        <v>5.81</v>
      </c>
      <c r="D87" s="546">
        <v>4.5</v>
      </c>
      <c r="E87" s="544"/>
      <c r="F87" s="1625"/>
      <c r="G87" s="1625"/>
      <c r="H87" s="543"/>
      <c r="I87" s="542"/>
      <c r="J87" s="541"/>
      <c r="K87" s="541"/>
      <c r="L87" s="541"/>
      <c r="M87" s="541"/>
      <c r="N87" s="541"/>
    </row>
    <row r="88" spans="1:19" s="540" customFormat="1">
      <c r="A88" s="1634">
        <v>3</v>
      </c>
      <c r="B88" s="1627" t="s">
        <v>173</v>
      </c>
      <c r="C88" s="546">
        <v>6.72</v>
      </c>
      <c r="D88" s="546">
        <v>2.71</v>
      </c>
      <c r="E88" s="544"/>
      <c r="F88" s="1624">
        <v>2752.9765000000002</v>
      </c>
      <c r="G88" s="1624">
        <v>1.8500002080000002</v>
      </c>
      <c r="H88" s="543"/>
      <c r="I88" s="542"/>
      <c r="J88" s="541"/>
      <c r="K88" s="541"/>
      <c r="L88" s="541"/>
      <c r="M88" s="541"/>
      <c r="N88" s="541"/>
    </row>
    <row r="89" spans="1:19" s="540" customFormat="1">
      <c r="A89" s="1634"/>
      <c r="B89" s="1629"/>
      <c r="C89" s="546">
        <v>6.37</v>
      </c>
      <c r="D89" s="546">
        <v>5.24</v>
      </c>
      <c r="E89" s="544"/>
      <c r="F89" s="1625"/>
      <c r="G89" s="1625"/>
      <c r="H89" s="543"/>
      <c r="I89" s="542"/>
      <c r="J89" s="541"/>
      <c r="K89" s="541"/>
      <c r="L89" s="541"/>
      <c r="M89" s="541"/>
      <c r="N89" s="541"/>
    </row>
    <row r="90" spans="1:19" s="540" customFormat="1">
      <c r="A90" s="1634">
        <v>4</v>
      </c>
      <c r="B90" s="1627" t="s">
        <v>115</v>
      </c>
      <c r="C90" s="546">
        <v>6.86</v>
      </c>
      <c r="D90" s="546">
        <v>2</v>
      </c>
      <c r="E90" s="544"/>
      <c r="F90" s="1624">
        <v>2976.1904</v>
      </c>
      <c r="G90" s="1624">
        <v>1.9999999488</v>
      </c>
      <c r="H90" s="543"/>
      <c r="I90" s="542"/>
      <c r="J90" s="541"/>
      <c r="K90" s="541"/>
      <c r="L90" s="541"/>
      <c r="M90" s="541"/>
      <c r="N90" s="541"/>
    </row>
    <row r="91" spans="1:19" s="540" customFormat="1">
      <c r="A91" s="1634"/>
      <c r="B91" s="1628"/>
      <c r="C91" s="546">
        <v>6.3</v>
      </c>
      <c r="D91" s="546">
        <v>4.6900000000000004</v>
      </c>
      <c r="E91" s="544"/>
      <c r="F91" s="1626"/>
      <c r="G91" s="1626"/>
      <c r="H91" s="543"/>
      <c r="I91" s="542"/>
      <c r="J91" s="541"/>
      <c r="K91" s="541"/>
      <c r="L91" s="541"/>
      <c r="M91" s="541"/>
      <c r="N91" s="541"/>
    </row>
    <row r="92" spans="1:19" s="540" customFormat="1">
      <c r="A92" s="1634"/>
      <c r="B92" s="1629"/>
      <c r="C92" s="546">
        <v>5.88</v>
      </c>
      <c r="D92" s="546">
        <v>6.59</v>
      </c>
      <c r="E92" s="544"/>
      <c r="F92" s="1625"/>
      <c r="G92" s="1625"/>
      <c r="H92" s="543"/>
      <c r="I92" s="542"/>
      <c r="J92" s="541"/>
      <c r="K92" s="541"/>
      <c r="L92" s="541"/>
      <c r="M92" s="541"/>
      <c r="N92" s="541"/>
    </row>
    <row r="93" spans="1:19" s="540" customFormat="1">
      <c r="A93" s="547">
        <v>5</v>
      </c>
      <c r="B93" s="554" t="s">
        <v>133</v>
      </c>
      <c r="C93" s="546">
        <v>5.75</v>
      </c>
      <c r="D93" s="546">
        <v>2</v>
      </c>
      <c r="E93" s="544"/>
      <c r="F93" s="546"/>
      <c r="G93" s="546"/>
      <c r="H93" s="543"/>
      <c r="I93" s="542"/>
      <c r="J93" s="541"/>
      <c r="K93" s="541"/>
      <c r="L93" s="541"/>
      <c r="M93" s="541"/>
      <c r="N93" s="541"/>
    </row>
    <row r="94" spans="1:19" s="540" customFormat="1">
      <c r="A94" s="1634">
        <v>6</v>
      </c>
      <c r="B94" s="1627" t="s">
        <v>127</v>
      </c>
      <c r="C94" s="546">
        <v>6.32</v>
      </c>
      <c r="D94" s="546">
        <v>2.1</v>
      </c>
      <c r="E94" s="544"/>
      <c r="F94" s="1624"/>
      <c r="G94" s="1624"/>
      <c r="H94" s="543"/>
      <c r="I94" s="542"/>
      <c r="J94" s="541"/>
      <c r="K94" s="541"/>
      <c r="L94" s="541"/>
      <c r="M94" s="541"/>
      <c r="N94" s="541"/>
    </row>
    <row r="95" spans="1:19" s="540" customFormat="1">
      <c r="A95" s="1634"/>
      <c r="B95" s="1629"/>
      <c r="C95" s="546">
        <v>5.72</v>
      </c>
      <c r="D95" s="546">
        <v>3.5</v>
      </c>
      <c r="E95" s="544"/>
      <c r="F95" s="1625"/>
      <c r="G95" s="1625"/>
      <c r="H95" s="543"/>
      <c r="I95" s="542"/>
      <c r="J95" s="541"/>
      <c r="K95" s="541"/>
      <c r="L95" s="541"/>
      <c r="M95" s="541"/>
      <c r="N95" s="541"/>
    </row>
    <row r="96" spans="1:19" s="540" customFormat="1">
      <c r="A96" s="547">
        <v>7</v>
      </c>
      <c r="B96" s="554" t="s">
        <v>974</v>
      </c>
      <c r="C96" s="546">
        <v>6.01</v>
      </c>
      <c r="D96" s="546">
        <v>2</v>
      </c>
      <c r="E96" s="544"/>
      <c r="F96" s="546"/>
      <c r="G96" s="546"/>
      <c r="H96" s="543"/>
      <c r="I96" s="542"/>
      <c r="J96" s="541"/>
      <c r="K96" s="541"/>
      <c r="L96" s="541"/>
      <c r="M96" s="541"/>
      <c r="N96" s="541"/>
    </row>
    <row r="97" spans="1:14" s="540" customFormat="1">
      <c r="A97" s="547">
        <v>8</v>
      </c>
      <c r="B97" s="554" t="s">
        <v>384</v>
      </c>
      <c r="C97" s="546">
        <v>6.15</v>
      </c>
      <c r="D97" s="546">
        <v>2</v>
      </c>
      <c r="E97" s="544"/>
      <c r="F97" s="546"/>
      <c r="G97" s="546"/>
      <c r="H97" s="543"/>
      <c r="I97" s="542"/>
      <c r="J97" s="541"/>
      <c r="K97" s="541"/>
      <c r="L97" s="541"/>
      <c r="M97" s="541"/>
      <c r="N97" s="541"/>
    </row>
    <row r="98" spans="1:14" s="540" customFormat="1">
      <c r="A98" s="547">
        <v>9</v>
      </c>
      <c r="B98" s="554" t="s">
        <v>1142</v>
      </c>
      <c r="C98" s="546">
        <v>6.31</v>
      </c>
      <c r="D98" s="546">
        <v>2</v>
      </c>
      <c r="E98" s="544"/>
      <c r="F98" s="546"/>
      <c r="G98" s="546"/>
      <c r="H98" s="543"/>
      <c r="I98" s="542"/>
      <c r="J98" s="541"/>
      <c r="K98" s="541"/>
      <c r="L98" s="541"/>
      <c r="M98" s="541"/>
      <c r="N98" s="541"/>
    </row>
    <row r="99" spans="1:14" s="540" customFormat="1">
      <c r="A99" s="547">
        <v>10</v>
      </c>
      <c r="B99" s="554" t="s">
        <v>1242</v>
      </c>
      <c r="C99" s="546">
        <v>6.92</v>
      </c>
      <c r="D99" s="546">
        <v>4</v>
      </c>
      <c r="E99" s="544"/>
      <c r="F99" s="546"/>
      <c r="G99" s="546"/>
      <c r="H99" s="543"/>
      <c r="I99" s="542"/>
      <c r="J99" s="541"/>
      <c r="K99" s="541"/>
      <c r="L99" s="541"/>
      <c r="M99" s="541"/>
      <c r="N99" s="541"/>
    </row>
    <row r="100" spans="1:14" s="540" customFormat="1">
      <c r="A100" s="1634">
        <v>11</v>
      </c>
      <c r="B100" s="1627" t="s">
        <v>136</v>
      </c>
      <c r="C100" s="546">
        <v>6.21</v>
      </c>
      <c r="D100" s="546">
        <v>2</v>
      </c>
      <c r="E100" s="544"/>
      <c r="F100" s="1624"/>
      <c r="G100" s="1624"/>
      <c r="H100" s="543"/>
      <c r="I100" s="542"/>
      <c r="J100" s="541"/>
      <c r="K100" s="541"/>
      <c r="L100" s="541"/>
      <c r="M100" s="541"/>
      <c r="N100" s="541"/>
    </row>
    <row r="101" spans="1:14" s="540" customFormat="1">
      <c r="A101" s="1634"/>
      <c r="B101" s="1628"/>
      <c r="C101" s="546">
        <v>6.06</v>
      </c>
      <c r="D101" s="546">
        <v>2.1</v>
      </c>
      <c r="E101" s="544"/>
      <c r="F101" s="1626"/>
      <c r="G101" s="1626"/>
      <c r="H101" s="543"/>
      <c r="I101" s="542"/>
      <c r="J101" s="541"/>
      <c r="K101" s="541"/>
      <c r="L101" s="541"/>
      <c r="M101" s="541"/>
      <c r="N101" s="541"/>
    </row>
    <row r="102" spans="1:14" s="540" customFormat="1">
      <c r="A102" s="1634"/>
      <c r="B102" s="1629"/>
      <c r="C102" s="546">
        <v>6</v>
      </c>
      <c r="D102" s="546">
        <v>3.1</v>
      </c>
      <c r="E102" s="544"/>
      <c r="F102" s="1625"/>
      <c r="G102" s="1625"/>
      <c r="H102" s="543"/>
      <c r="I102" s="542"/>
      <c r="J102" s="541"/>
      <c r="K102" s="541"/>
      <c r="L102" s="541"/>
      <c r="M102" s="541"/>
      <c r="N102" s="541"/>
    </row>
    <row r="103" spans="1:14" s="540" customFormat="1">
      <c r="A103" s="547">
        <v>12</v>
      </c>
      <c r="B103" s="554" t="s">
        <v>358</v>
      </c>
      <c r="C103" s="546">
        <v>6</v>
      </c>
      <c r="D103" s="546">
        <v>2</v>
      </c>
      <c r="E103" s="544"/>
      <c r="F103" s="546"/>
      <c r="G103" s="546"/>
      <c r="H103" s="543"/>
      <c r="I103" s="542"/>
      <c r="J103" s="541"/>
      <c r="K103" s="541"/>
      <c r="L103" s="541"/>
      <c r="M103" s="541"/>
      <c r="N103" s="541"/>
    </row>
    <row r="104" spans="1:14" s="540" customFormat="1">
      <c r="A104" s="1634">
        <v>13</v>
      </c>
      <c r="B104" s="1627" t="s">
        <v>522</v>
      </c>
      <c r="C104" s="546">
        <v>6.8</v>
      </c>
      <c r="D104" s="546">
        <v>2.15</v>
      </c>
      <c r="E104" s="544"/>
      <c r="F104" s="1624">
        <v>3199.4047</v>
      </c>
      <c r="G104" s="1624">
        <v>2.1499999584</v>
      </c>
      <c r="H104" s="543"/>
      <c r="I104" s="542"/>
      <c r="J104" s="541"/>
      <c r="K104" s="541"/>
      <c r="L104" s="541"/>
      <c r="M104" s="541"/>
      <c r="N104" s="541"/>
    </row>
    <row r="105" spans="1:14" s="540" customFormat="1">
      <c r="A105" s="1634"/>
      <c r="B105" s="1629"/>
      <c r="C105" s="546">
        <v>6.37</v>
      </c>
      <c r="D105" s="546">
        <v>4.1500000000000004</v>
      </c>
      <c r="E105" s="544"/>
      <c r="F105" s="1625"/>
      <c r="G105" s="1625"/>
      <c r="H105" s="543"/>
      <c r="I105" s="542"/>
      <c r="J105" s="541"/>
      <c r="K105" s="541"/>
      <c r="L105" s="541"/>
      <c r="M105" s="541"/>
      <c r="N105" s="541"/>
    </row>
    <row r="106" spans="1:14" s="540" customFormat="1">
      <c r="A106" s="547">
        <v>14</v>
      </c>
      <c r="B106" s="554" t="s">
        <v>122</v>
      </c>
      <c r="C106" s="546">
        <v>5.51</v>
      </c>
      <c r="D106" s="546">
        <v>2.8</v>
      </c>
      <c r="E106" s="544"/>
      <c r="F106" s="546"/>
      <c r="G106" s="546"/>
      <c r="H106" s="543"/>
      <c r="I106" s="542"/>
      <c r="J106" s="541"/>
      <c r="K106" s="541"/>
      <c r="L106" s="541"/>
      <c r="M106" s="541"/>
      <c r="N106" s="541"/>
    </row>
    <row r="107" spans="1:14" s="540" customFormat="1">
      <c r="A107" s="547">
        <v>15</v>
      </c>
      <c r="B107" s="554" t="s">
        <v>119</v>
      </c>
      <c r="C107" s="546">
        <v>5.68</v>
      </c>
      <c r="D107" s="546">
        <v>2</v>
      </c>
      <c r="E107" s="544"/>
      <c r="F107" s="546"/>
      <c r="G107" s="546"/>
      <c r="H107" s="543"/>
      <c r="I107" s="542"/>
      <c r="J107" s="541"/>
      <c r="K107" s="541"/>
      <c r="L107" s="541"/>
      <c r="M107" s="541"/>
      <c r="N107" s="541"/>
    </row>
    <row r="108" spans="1:14" s="540" customFormat="1">
      <c r="A108" s="1634">
        <v>16</v>
      </c>
      <c r="B108" s="1627" t="s">
        <v>666</v>
      </c>
      <c r="C108" s="546">
        <v>6.4</v>
      </c>
      <c r="D108" s="546">
        <v>2</v>
      </c>
      <c r="E108" s="544"/>
      <c r="F108" s="1624"/>
      <c r="G108" s="1624"/>
      <c r="H108" s="543"/>
      <c r="I108" s="542"/>
      <c r="J108" s="541"/>
      <c r="K108" s="541"/>
      <c r="L108" s="541"/>
      <c r="M108" s="541"/>
      <c r="N108" s="541"/>
    </row>
    <row r="109" spans="1:14" s="540" customFormat="1">
      <c r="A109" s="1634"/>
      <c r="B109" s="1629"/>
      <c r="C109" s="546">
        <v>6.11</v>
      </c>
      <c r="D109" s="546">
        <v>2.1</v>
      </c>
      <c r="E109" s="544"/>
      <c r="F109" s="1625"/>
      <c r="G109" s="1625"/>
      <c r="H109" s="543"/>
      <c r="I109" s="542"/>
      <c r="J109" s="541"/>
      <c r="K109" s="541"/>
      <c r="L109" s="541"/>
      <c r="M109" s="541"/>
      <c r="N109" s="541"/>
    </row>
    <row r="110" spans="1:14" s="540" customFormat="1">
      <c r="A110" s="547">
        <v>17</v>
      </c>
      <c r="B110" s="554" t="s">
        <v>1241</v>
      </c>
      <c r="C110" s="546">
        <v>6.44</v>
      </c>
      <c r="D110" s="546">
        <v>2</v>
      </c>
      <c r="E110" s="544"/>
      <c r="F110" s="546"/>
      <c r="G110" s="546"/>
      <c r="H110" s="543"/>
      <c r="I110" s="542"/>
      <c r="J110" s="541"/>
      <c r="K110" s="541"/>
      <c r="L110" s="541"/>
      <c r="M110" s="541"/>
      <c r="N110" s="541"/>
    </row>
    <row r="111" spans="1:14" s="540" customFormat="1">
      <c r="A111" s="547">
        <v>18</v>
      </c>
      <c r="B111" s="554" t="s">
        <v>351</v>
      </c>
      <c r="C111" s="546">
        <v>5.15</v>
      </c>
      <c r="D111" s="546">
        <v>2</v>
      </c>
      <c r="E111" s="544"/>
      <c r="F111" s="546"/>
      <c r="G111" s="546"/>
      <c r="H111" s="543"/>
      <c r="I111" s="542"/>
      <c r="J111" s="541"/>
      <c r="K111" s="541"/>
      <c r="L111" s="541"/>
      <c r="M111" s="541"/>
      <c r="N111" s="541"/>
    </row>
    <row r="112" spans="1:14" s="540" customFormat="1">
      <c r="A112" s="547">
        <v>19</v>
      </c>
      <c r="B112" s="554" t="s">
        <v>1240</v>
      </c>
      <c r="C112" s="546">
        <v>6</v>
      </c>
      <c r="D112" s="546">
        <v>2</v>
      </c>
      <c r="E112" s="544"/>
      <c r="F112" s="546"/>
      <c r="G112" s="546"/>
      <c r="H112" s="543"/>
      <c r="I112" s="542"/>
      <c r="J112" s="541"/>
      <c r="K112" s="541"/>
      <c r="L112" s="541"/>
      <c r="M112" s="541"/>
      <c r="N112" s="541"/>
    </row>
    <row r="113" spans="1:14" s="540" customFormat="1">
      <c r="A113" s="547">
        <v>20</v>
      </c>
      <c r="B113" s="554" t="s">
        <v>311</v>
      </c>
      <c r="C113" s="546">
        <v>5.6</v>
      </c>
      <c r="D113" s="546">
        <v>2</v>
      </c>
      <c r="E113" s="544"/>
      <c r="F113" s="546"/>
      <c r="G113" s="546"/>
      <c r="H113" s="543"/>
      <c r="I113" s="542"/>
      <c r="J113" s="541"/>
      <c r="K113" s="541"/>
      <c r="L113" s="541"/>
      <c r="M113" s="541"/>
      <c r="N113" s="541"/>
    </row>
    <row r="114" spans="1:14" s="540" customFormat="1">
      <c r="A114" s="1634">
        <v>21</v>
      </c>
      <c r="B114" s="1627" t="s">
        <v>147</v>
      </c>
      <c r="C114" s="546">
        <v>5.86</v>
      </c>
      <c r="D114" s="546">
        <v>2</v>
      </c>
      <c r="E114" s="544"/>
      <c r="F114" s="1624"/>
      <c r="G114" s="1624"/>
      <c r="H114" s="543"/>
      <c r="I114" s="542"/>
      <c r="J114" s="541"/>
      <c r="K114" s="541"/>
      <c r="L114" s="541"/>
      <c r="M114" s="541"/>
      <c r="N114" s="541"/>
    </row>
    <row r="115" spans="1:14" s="540" customFormat="1">
      <c r="A115" s="1634"/>
      <c r="B115" s="1629"/>
      <c r="C115" s="546">
        <v>5.85</v>
      </c>
      <c r="D115" s="546">
        <v>2.65</v>
      </c>
      <c r="E115" s="544"/>
      <c r="F115" s="1625"/>
      <c r="G115" s="1625"/>
      <c r="H115" s="543"/>
      <c r="I115" s="542"/>
      <c r="J115" s="541"/>
      <c r="K115" s="541"/>
      <c r="L115" s="541"/>
      <c r="M115" s="541"/>
      <c r="N115" s="541"/>
    </row>
    <row r="116" spans="1:14" s="540" customFormat="1">
      <c r="A116" s="547">
        <v>22</v>
      </c>
      <c r="B116" s="554" t="s">
        <v>152</v>
      </c>
      <c r="C116" s="546">
        <v>6.25</v>
      </c>
      <c r="D116" s="546">
        <v>2</v>
      </c>
      <c r="E116" s="544"/>
      <c r="F116" s="546"/>
      <c r="G116" s="546"/>
      <c r="H116" s="543"/>
      <c r="I116" s="542"/>
      <c r="J116" s="541"/>
      <c r="K116" s="541"/>
      <c r="L116" s="541"/>
      <c r="M116" s="541"/>
      <c r="N116" s="541"/>
    </row>
    <row r="117" spans="1:14" s="540" customFormat="1">
      <c r="A117" s="1634">
        <v>23</v>
      </c>
      <c r="B117" s="1627" t="s">
        <v>285</v>
      </c>
      <c r="C117" s="546">
        <v>6.89</v>
      </c>
      <c r="D117" s="546">
        <v>6</v>
      </c>
      <c r="E117" s="544"/>
      <c r="F117" s="1624">
        <v>8928.5714000000007</v>
      </c>
      <c r="G117" s="1624">
        <v>5.9999999808000002</v>
      </c>
      <c r="H117" s="543"/>
      <c r="I117" s="542"/>
      <c r="J117" s="541"/>
      <c r="K117" s="541"/>
      <c r="L117" s="541"/>
      <c r="M117" s="541"/>
      <c r="N117" s="541"/>
    </row>
    <row r="118" spans="1:14" s="540" customFormat="1">
      <c r="A118" s="1634"/>
      <c r="B118" s="1629"/>
      <c r="C118" s="546">
        <v>6.23</v>
      </c>
      <c r="D118" s="546">
        <v>8</v>
      </c>
      <c r="E118" s="544"/>
      <c r="F118" s="1625"/>
      <c r="G118" s="1625"/>
      <c r="H118" s="543"/>
      <c r="I118" s="542"/>
      <c r="J118" s="541"/>
      <c r="K118" s="541"/>
      <c r="L118" s="541"/>
      <c r="M118" s="541"/>
      <c r="N118" s="541"/>
    </row>
    <row r="119" spans="1:14" s="540" customFormat="1">
      <c r="A119" s="547">
        <v>24</v>
      </c>
      <c r="B119" s="554" t="s">
        <v>146</v>
      </c>
      <c r="C119" s="546">
        <v>6.42</v>
      </c>
      <c r="D119" s="546">
        <v>2</v>
      </c>
      <c r="E119" s="544"/>
      <c r="F119" s="546"/>
      <c r="G119" s="546"/>
      <c r="H119" s="543"/>
      <c r="I119" s="542"/>
      <c r="J119" s="541"/>
      <c r="K119" s="541"/>
      <c r="L119" s="541"/>
      <c r="M119" s="541"/>
      <c r="N119" s="541"/>
    </row>
    <row r="120" spans="1:14" s="540" customFormat="1">
      <c r="A120" s="547">
        <v>25</v>
      </c>
      <c r="B120" s="554" t="s">
        <v>125</v>
      </c>
      <c r="C120" s="546">
        <v>7.01</v>
      </c>
      <c r="D120" s="546">
        <v>2</v>
      </c>
      <c r="E120" s="544"/>
      <c r="F120" s="546">
        <v>2976.1904</v>
      </c>
      <c r="G120" s="546">
        <v>1.9999999488</v>
      </c>
      <c r="H120" s="543"/>
      <c r="I120" s="542"/>
      <c r="J120" s="541"/>
      <c r="K120" s="541"/>
      <c r="L120" s="541"/>
      <c r="M120" s="541"/>
      <c r="N120" s="541"/>
    </row>
    <row r="121" spans="1:14" s="540" customFormat="1">
      <c r="A121" s="547">
        <v>26</v>
      </c>
      <c r="B121" s="554" t="s">
        <v>1239</v>
      </c>
      <c r="C121" s="546">
        <v>6.97</v>
      </c>
      <c r="D121" s="546">
        <v>4</v>
      </c>
      <c r="E121" s="544"/>
      <c r="F121" s="546">
        <v>5952.3809000000001</v>
      </c>
      <c r="G121" s="546">
        <v>3.9999999648000002</v>
      </c>
      <c r="H121" s="543"/>
      <c r="I121" s="542"/>
      <c r="J121" s="541"/>
      <c r="K121" s="541"/>
      <c r="L121" s="541"/>
      <c r="M121" s="541"/>
      <c r="N121" s="541"/>
    </row>
    <row r="122" spans="1:14" s="540" customFormat="1">
      <c r="A122" s="547">
        <v>27</v>
      </c>
      <c r="B122" s="554" t="s">
        <v>121</v>
      </c>
      <c r="C122" s="546">
        <v>5.8</v>
      </c>
      <c r="D122" s="546">
        <v>2.2000000000000002</v>
      </c>
      <c r="E122" s="544"/>
      <c r="F122" s="546"/>
      <c r="G122" s="546"/>
      <c r="H122" s="543"/>
      <c r="I122" s="542"/>
      <c r="J122" s="541"/>
      <c r="K122" s="541"/>
      <c r="L122" s="541"/>
      <c r="M122" s="541"/>
      <c r="N122" s="541"/>
    </row>
    <row r="123" spans="1:14" s="540" customFormat="1">
      <c r="A123" s="547">
        <v>28</v>
      </c>
      <c r="B123" s="554" t="s">
        <v>579</v>
      </c>
      <c r="C123" s="546">
        <v>6.72</v>
      </c>
      <c r="D123" s="546">
        <v>2.41</v>
      </c>
      <c r="E123" s="544"/>
      <c r="F123" s="546"/>
      <c r="G123" s="546"/>
      <c r="H123" s="543"/>
      <c r="I123" s="542"/>
      <c r="J123" s="541"/>
      <c r="K123" s="541"/>
      <c r="L123" s="541"/>
      <c r="M123" s="541"/>
      <c r="N123" s="541"/>
    </row>
    <row r="124" spans="1:14" s="540" customFormat="1">
      <c r="A124" s="547">
        <v>29</v>
      </c>
      <c r="B124" s="554" t="s">
        <v>459</v>
      </c>
      <c r="C124" s="546">
        <v>6.31</v>
      </c>
      <c r="D124" s="546">
        <v>2</v>
      </c>
      <c r="E124" s="544"/>
      <c r="F124" s="546"/>
      <c r="G124" s="546"/>
      <c r="H124" s="543"/>
      <c r="I124" s="542"/>
      <c r="J124" s="541"/>
      <c r="K124" s="541"/>
      <c r="L124" s="541"/>
      <c r="M124" s="541"/>
      <c r="N124" s="541"/>
    </row>
    <row r="125" spans="1:14" s="540" customFormat="1">
      <c r="A125" s="1634">
        <v>30</v>
      </c>
      <c r="B125" s="1627" t="s">
        <v>300</v>
      </c>
      <c r="C125" s="546">
        <v>6.54</v>
      </c>
      <c r="D125" s="546">
        <v>2</v>
      </c>
      <c r="E125" s="544"/>
      <c r="F125" s="1624"/>
      <c r="G125" s="1624"/>
      <c r="H125" s="543"/>
      <c r="I125" s="542"/>
      <c r="J125" s="541"/>
      <c r="K125" s="541"/>
      <c r="L125" s="541"/>
      <c r="M125" s="541"/>
      <c r="N125" s="541"/>
    </row>
    <row r="126" spans="1:14" s="540" customFormat="1">
      <c r="A126" s="1634"/>
      <c r="B126" s="1629"/>
      <c r="C126" s="546">
        <v>5.85</v>
      </c>
      <c r="D126" s="546">
        <v>2.2999999999999998</v>
      </c>
      <c r="E126" s="544"/>
      <c r="F126" s="1625"/>
      <c r="G126" s="1625"/>
      <c r="H126" s="543"/>
      <c r="I126" s="542"/>
      <c r="J126" s="541"/>
      <c r="K126" s="541"/>
      <c r="L126" s="541"/>
      <c r="M126" s="541"/>
      <c r="N126" s="541"/>
    </row>
    <row r="127" spans="1:14" s="540" customFormat="1">
      <c r="A127" s="547">
        <v>31</v>
      </c>
      <c r="B127" s="554" t="s">
        <v>1056</v>
      </c>
      <c r="C127" s="546">
        <v>6.21</v>
      </c>
      <c r="D127" s="546">
        <v>2</v>
      </c>
      <c r="E127" s="544"/>
      <c r="F127" s="546"/>
      <c r="G127" s="546"/>
      <c r="H127" s="543"/>
      <c r="I127" s="542"/>
      <c r="J127" s="541"/>
      <c r="K127" s="541"/>
      <c r="L127" s="541"/>
      <c r="M127" s="541"/>
      <c r="N127" s="541"/>
    </row>
    <row r="128" spans="1:14" s="540" customFormat="1">
      <c r="A128" s="547">
        <v>32</v>
      </c>
      <c r="B128" s="554" t="s">
        <v>13</v>
      </c>
      <c r="C128" s="546">
        <v>5.78</v>
      </c>
      <c r="D128" s="546">
        <v>2.1</v>
      </c>
      <c r="E128" s="544"/>
      <c r="F128" s="546"/>
      <c r="G128" s="546"/>
      <c r="H128" s="543"/>
      <c r="I128" s="542"/>
      <c r="J128" s="541"/>
      <c r="K128" s="541"/>
      <c r="L128" s="541"/>
      <c r="M128" s="541"/>
      <c r="N128" s="541"/>
    </row>
    <row r="129" spans="1:19" s="540" customFormat="1">
      <c r="A129" s="1634">
        <v>33</v>
      </c>
      <c r="B129" s="1627" t="s">
        <v>316</v>
      </c>
      <c r="C129" s="546">
        <v>6.6</v>
      </c>
      <c r="D129" s="546">
        <v>2.2599999999999998</v>
      </c>
      <c r="E129" s="544"/>
      <c r="F129" s="1624"/>
      <c r="G129" s="1624"/>
      <c r="H129" s="543"/>
      <c r="I129" s="542"/>
      <c r="J129" s="541"/>
      <c r="K129" s="541"/>
      <c r="L129" s="541"/>
      <c r="M129" s="541"/>
      <c r="N129" s="541"/>
    </row>
    <row r="130" spans="1:19" s="540" customFormat="1">
      <c r="A130" s="1634"/>
      <c r="B130" s="1628"/>
      <c r="C130" s="546">
        <v>6.37</v>
      </c>
      <c r="D130" s="546">
        <v>5.42</v>
      </c>
      <c r="E130" s="544"/>
      <c r="F130" s="1626"/>
      <c r="G130" s="1626"/>
      <c r="H130" s="543"/>
      <c r="I130" s="542"/>
      <c r="J130" s="541"/>
      <c r="K130" s="541"/>
      <c r="L130" s="541"/>
      <c r="M130" s="541"/>
      <c r="N130" s="541"/>
    </row>
    <row r="131" spans="1:19" s="540" customFormat="1">
      <c r="A131" s="1634"/>
      <c r="B131" s="1629"/>
      <c r="C131" s="546">
        <v>6</v>
      </c>
      <c r="D131" s="546">
        <v>5.62</v>
      </c>
      <c r="E131" s="544"/>
      <c r="F131" s="1625"/>
      <c r="G131" s="1625"/>
      <c r="H131" s="543"/>
      <c r="I131" s="542"/>
      <c r="J131" s="541"/>
      <c r="K131" s="541"/>
      <c r="L131" s="541"/>
      <c r="M131" s="541"/>
      <c r="N131" s="541"/>
    </row>
    <row r="135" spans="1:19" s="530" customFormat="1">
      <c r="A135" s="562" t="s">
        <v>106</v>
      </c>
      <c r="B135" s="565" t="s">
        <v>107</v>
      </c>
      <c r="C135" s="564" t="s">
        <v>4</v>
      </c>
      <c r="D135" s="563" t="s">
        <v>108</v>
      </c>
      <c r="E135" s="563" t="s">
        <v>109</v>
      </c>
      <c r="F135" s="562" t="s">
        <v>411</v>
      </c>
      <c r="G135" s="561" t="s">
        <v>950</v>
      </c>
      <c r="H135" s="561" t="s">
        <v>110</v>
      </c>
      <c r="I135" s="561" t="s">
        <v>276</v>
      </c>
      <c r="J135" s="561" t="s">
        <v>117</v>
      </c>
      <c r="K135" s="561" t="s">
        <v>275</v>
      </c>
      <c r="L135" s="562" t="s">
        <v>111</v>
      </c>
      <c r="M135" s="561" t="s">
        <v>949</v>
      </c>
      <c r="N135" s="561" t="s">
        <v>948</v>
      </c>
      <c r="O135" s="561" t="s">
        <v>129</v>
      </c>
      <c r="P135" s="561" t="s">
        <v>220</v>
      </c>
      <c r="Q135" s="537" t="s">
        <v>947</v>
      </c>
      <c r="R135" s="537" t="s">
        <v>946</v>
      </c>
      <c r="S135" s="560" t="s">
        <v>945</v>
      </c>
    </row>
    <row r="136" spans="1:19" s="547" customFormat="1">
      <c r="A136" s="554">
        <v>266</v>
      </c>
      <c r="B136" s="559" t="s">
        <v>929</v>
      </c>
      <c r="C136" s="558" t="s">
        <v>930</v>
      </c>
      <c r="D136" s="555">
        <v>25</v>
      </c>
      <c r="E136" s="555">
        <v>24.999999947999999</v>
      </c>
      <c r="F136" s="557" t="s">
        <v>1238</v>
      </c>
      <c r="G136" s="555">
        <v>14.51</v>
      </c>
      <c r="H136" s="555">
        <v>11.77</v>
      </c>
      <c r="I136" s="555">
        <f>H136/G136</f>
        <v>0.8111647139903515</v>
      </c>
      <c r="J136" s="555">
        <v>12.6</v>
      </c>
      <c r="K136" s="555">
        <f>J136/G136</f>
        <v>0.86836664369400407</v>
      </c>
      <c r="L136" s="554">
        <v>8</v>
      </c>
      <c r="M136" s="566">
        <v>43053</v>
      </c>
      <c r="N136" s="555">
        <v>6.39</v>
      </c>
      <c r="O136" s="555">
        <f>(N136*(1+Q136/10)+R136/10)/J136</f>
        <v>1.0162698412698412</v>
      </c>
      <c r="P136" s="553" t="s">
        <v>931</v>
      </c>
      <c r="Q136" s="554" t="str">
        <f>IFERROR(MID(P136,FIND("转",P136)+1,FIND("股",P136)-(FIND("转",P136)+1)),0)</f>
        <v>10</v>
      </c>
      <c r="R136" s="554" t="str">
        <f>IFERROR(MID(P136,FIND("派",P136)+1,FIND("元",P136)-FIND("派",P136)-1),0)</f>
        <v>0.25</v>
      </c>
      <c r="S136" s="553"/>
    </row>
    <row r="137" spans="1:19" s="540" customFormat="1">
      <c r="A137" s="547"/>
      <c r="B137" s="551" t="s">
        <v>112</v>
      </c>
      <c r="C137" s="551" t="s">
        <v>113</v>
      </c>
      <c r="D137" s="551" t="s">
        <v>943</v>
      </c>
      <c r="E137" s="552" t="s">
        <v>411</v>
      </c>
      <c r="F137" s="552" t="s">
        <v>942</v>
      </c>
      <c r="G137" s="551" t="s">
        <v>231</v>
      </c>
      <c r="H137" s="551" t="s">
        <v>941</v>
      </c>
      <c r="I137" s="549">
        <f>SUM(G138:G160)</f>
        <v>24.999999948000003</v>
      </c>
      <c r="J137" s="548"/>
      <c r="K137" s="548"/>
      <c r="L137" s="548"/>
      <c r="M137" s="548"/>
      <c r="N137" s="548"/>
    </row>
    <row r="138" spans="1:19" s="540" customFormat="1">
      <c r="A138" s="547">
        <v>1</v>
      </c>
      <c r="B138" s="554" t="s">
        <v>225</v>
      </c>
      <c r="C138" s="546">
        <v>13.91</v>
      </c>
      <c r="D138" s="546">
        <v>2.5</v>
      </c>
      <c r="E138" s="544"/>
      <c r="F138" s="546">
        <v>1984.1269</v>
      </c>
      <c r="G138" s="546">
        <v>2.4999998940000001</v>
      </c>
      <c r="H138" s="543" t="s">
        <v>126</v>
      </c>
      <c r="I138" s="138" t="s">
        <v>928</v>
      </c>
      <c r="J138" s="541"/>
      <c r="K138" s="541"/>
      <c r="L138" s="541"/>
      <c r="M138" s="541"/>
      <c r="N138" s="541"/>
    </row>
    <row r="139" spans="1:19" s="540" customFormat="1">
      <c r="A139" s="1634">
        <v>2</v>
      </c>
      <c r="B139" s="1627" t="s">
        <v>1237</v>
      </c>
      <c r="C139" s="546">
        <v>16.5</v>
      </c>
      <c r="D139" s="546">
        <v>2.5</v>
      </c>
      <c r="E139" s="544"/>
      <c r="F139" s="1624">
        <v>1984.1269</v>
      </c>
      <c r="G139" s="1624">
        <v>2.4999998940000001</v>
      </c>
      <c r="H139" s="543"/>
      <c r="I139" s="138"/>
      <c r="J139" s="541"/>
      <c r="K139" s="541"/>
      <c r="L139" s="541"/>
      <c r="M139" s="541"/>
      <c r="N139" s="541"/>
    </row>
    <row r="140" spans="1:19" s="540" customFormat="1">
      <c r="A140" s="1634"/>
      <c r="B140" s="1628"/>
      <c r="C140" s="546">
        <v>14.66</v>
      </c>
      <c r="D140" s="546">
        <v>2.5</v>
      </c>
      <c r="E140" s="544"/>
      <c r="F140" s="1626"/>
      <c r="G140" s="1626"/>
      <c r="H140" s="543"/>
      <c r="I140" s="542"/>
      <c r="J140" s="541"/>
      <c r="K140" s="541"/>
      <c r="L140" s="541"/>
      <c r="M140" s="541"/>
      <c r="N140" s="541"/>
    </row>
    <row r="141" spans="1:19" s="540" customFormat="1">
      <c r="A141" s="1634"/>
      <c r="B141" s="1629"/>
      <c r="C141" s="546">
        <v>13</v>
      </c>
      <c r="D141" s="546">
        <v>2.5</v>
      </c>
      <c r="E141" s="544"/>
      <c r="F141" s="1625"/>
      <c r="G141" s="1625"/>
      <c r="H141" s="543"/>
      <c r="I141" s="542"/>
      <c r="J141" s="541"/>
      <c r="K141" s="541"/>
      <c r="L141" s="541"/>
      <c r="M141" s="541"/>
      <c r="N141" s="541"/>
    </row>
    <row r="142" spans="1:19" s="540" customFormat="1">
      <c r="A142" s="547">
        <v>3</v>
      </c>
      <c r="B142" s="554" t="s">
        <v>127</v>
      </c>
      <c r="C142" s="546">
        <v>12.72</v>
      </c>
      <c r="D142" s="546">
        <v>2.5</v>
      </c>
      <c r="E142" s="544"/>
      <c r="F142" s="546">
        <v>1984.1269</v>
      </c>
      <c r="G142" s="546">
        <v>2.4999998940000001</v>
      </c>
      <c r="H142" s="543"/>
      <c r="I142" s="542"/>
      <c r="J142" s="541"/>
      <c r="K142" s="541"/>
      <c r="L142" s="541"/>
      <c r="M142" s="541"/>
      <c r="N142" s="541"/>
    </row>
    <row r="143" spans="1:19" s="540" customFormat="1">
      <c r="A143" s="547">
        <v>4</v>
      </c>
      <c r="B143" s="554" t="s">
        <v>1236</v>
      </c>
      <c r="C143" s="546">
        <v>14.9</v>
      </c>
      <c r="D143" s="546">
        <v>2.5</v>
      </c>
      <c r="E143" s="544"/>
      <c r="F143" s="546">
        <v>1984.1269</v>
      </c>
      <c r="G143" s="546">
        <v>2.4999998940000001</v>
      </c>
      <c r="H143" s="543"/>
      <c r="I143" s="542"/>
      <c r="J143" s="541"/>
      <c r="K143" s="541"/>
      <c r="L143" s="541"/>
      <c r="M143" s="541"/>
      <c r="N143" s="541"/>
    </row>
    <row r="144" spans="1:19" s="540" customFormat="1">
      <c r="A144" s="547">
        <v>5</v>
      </c>
      <c r="B144" s="554" t="s">
        <v>505</v>
      </c>
      <c r="C144" s="546">
        <v>11.78</v>
      </c>
      <c r="D144" s="546">
        <v>2.5</v>
      </c>
      <c r="E144" s="544"/>
      <c r="F144" s="546"/>
      <c r="G144" s="546"/>
      <c r="H144" s="543"/>
      <c r="I144" s="542"/>
      <c r="J144" s="541"/>
      <c r="K144" s="541"/>
      <c r="L144" s="541"/>
      <c r="M144" s="541"/>
      <c r="N144" s="541"/>
    </row>
    <row r="145" spans="1:14" s="540" customFormat="1">
      <c r="A145" s="547">
        <v>6</v>
      </c>
      <c r="B145" s="554" t="s">
        <v>131</v>
      </c>
      <c r="C145" s="546">
        <v>11.77</v>
      </c>
      <c r="D145" s="546">
        <v>2.5</v>
      </c>
      <c r="E145" s="544"/>
      <c r="F145" s="546"/>
      <c r="G145" s="546"/>
      <c r="H145" s="543"/>
      <c r="I145" s="542"/>
      <c r="J145" s="541"/>
      <c r="K145" s="541"/>
      <c r="L145" s="541"/>
      <c r="M145" s="541"/>
      <c r="N145" s="541"/>
    </row>
    <row r="146" spans="1:14" s="540" customFormat="1">
      <c r="A146" s="1634">
        <v>7</v>
      </c>
      <c r="B146" s="1627" t="s">
        <v>173</v>
      </c>
      <c r="C146" s="546">
        <v>13.08</v>
      </c>
      <c r="D146" s="546">
        <v>2.7</v>
      </c>
      <c r="E146" s="544"/>
      <c r="F146" s="1624">
        <v>2619.0475999999999</v>
      </c>
      <c r="G146" s="1624">
        <v>3.2999999760000001</v>
      </c>
      <c r="H146" s="543"/>
      <c r="I146" s="542"/>
      <c r="J146" s="541"/>
      <c r="K146" s="541"/>
      <c r="L146" s="541"/>
      <c r="M146" s="541"/>
      <c r="N146" s="541"/>
    </row>
    <row r="147" spans="1:14" s="540" customFormat="1">
      <c r="A147" s="1634"/>
      <c r="B147" s="1629"/>
      <c r="C147" s="546">
        <v>12.68</v>
      </c>
      <c r="D147" s="546">
        <v>3.3</v>
      </c>
      <c r="E147" s="544"/>
      <c r="F147" s="1625"/>
      <c r="G147" s="1625"/>
      <c r="H147" s="543"/>
      <c r="I147" s="542"/>
      <c r="J147" s="541"/>
      <c r="K147" s="541"/>
      <c r="L147" s="541"/>
      <c r="M147" s="541"/>
      <c r="N147" s="541"/>
    </row>
    <row r="148" spans="1:14" s="540" customFormat="1">
      <c r="A148" s="547">
        <v>8</v>
      </c>
      <c r="B148" s="554" t="s">
        <v>121</v>
      </c>
      <c r="C148" s="546">
        <v>11.77</v>
      </c>
      <c r="D148" s="546">
        <v>2.5</v>
      </c>
      <c r="E148" s="544"/>
      <c r="F148" s="546"/>
      <c r="G148" s="546"/>
      <c r="H148" s="543"/>
      <c r="I148" s="542"/>
      <c r="J148" s="541"/>
      <c r="K148" s="541"/>
      <c r="L148" s="541"/>
      <c r="M148" s="541"/>
      <c r="N148" s="541"/>
    </row>
    <row r="149" spans="1:14" s="540" customFormat="1" ht="16" customHeight="1">
      <c r="A149" s="547">
        <v>9</v>
      </c>
      <c r="B149" s="554" t="s">
        <v>1235</v>
      </c>
      <c r="C149" s="546">
        <v>12</v>
      </c>
      <c r="D149" s="546">
        <v>2.52</v>
      </c>
      <c r="E149" s="544"/>
      <c r="F149" s="546"/>
      <c r="G149" s="546"/>
      <c r="H149" s="543"/>
      <c r="I149" s="542"/>
      <c r="J149" s="541"/>
      <c r="K149" s="541"/>
      <c r="L149" s="541"/>
      <c r="M149" s="541"/>
      <c r="N149" s="541"/>
    </row>
    <row r="150" spans="1:14" s="540" customFormat="1">
      <c r="A150" s="547">
        <v>10</v>
      </c>
      <c r="B150" s="554" t="s">
        <v>300</v>
      </c>
      <c r="C150" s="546">
        <v>13.25</v>
      </c>
      <c r="D150" s="546">
        <v>2.6</v>
      </c>
      <c r="E150" s="544"/>
      <c r="F150" s="546">
        <v>2063.4920000000002</v>
      </c>
      <c r="G150" s="546">
        <v>2.5999999200000001</v>
      </c>
      <c r="H150" s="543"/>
      <c r="I150" s="542"/>
      <c r="J150" s="541"/>
      <c r="K150" s="541"/>
      <c r="L150" s="541"/>
      <c r="M150" s="541"/>
      <c r="N150" s="541"/>
    </row>
    <row r="151" spans="1:14" s="540" customFormat="1">
      <c r="A151" s="1634">
        <v>11</v>
      </c>
      <c r="B151" s="1627" t="s">
        <v>371</v>
      </c>
      <c r="C151" s="546">
        <v>11.98</v>
      </c>
      <c r="D151" s="546">
        <v>2.5</v>
      </c>
      <c r="E151" s="544"/>
      <c r="F151" s="546"/>
      <c r="G151" s="546"/>
      <c r="H151" s="543"/>
      <c r="I151" s="542"/>
      <c r="J151" s="541"/>
      <c r="K151" s="541"/>
      <c r="L151" s="541"/>
      <c r="M151" s="541"/>
      <c r="N151" s="541"/>
    </row>
    <row r="152" spans="1:14" s="540" customFormat="1">
      <c r="A152" s="1634"/>
      <c r="B152" s="1628"/>
      <c r="C152" s="546">
        <v>11.88</v>
      </c>
      <c r="D152" s="546">
        <v>2.5</v>
      </c>
      <c r="E152" s="544"/>
      <c r="F152" s="546"/>
      <c r="G152" s="546"/>
      <c r="H152" s="543"/>
      <c r="I152" s="542"/>
      <c r="J152" s="541"/>
      <c r="K152" s="541"/>
      <c r="L152" s="541"/>
      <c r="M152" s="541"/>
      <c r="N152" s="541"/>
    </row>
    <row r="153" spans="1:14" s="540" customFormat="1">
      <c r="A153" s="1634"/>
      <c r="B153" s="1629"/>
      <c r="C153" s="546">
        <v>11.78</v>
      </c>
      <c r="D153" s="546">
        <v>2.5</v>
      </c>
      <c r="E153" s="544"/>
      <c r="F153" s="546"/>
      <c r="G153" s="546"/>
      <c r="H153" s="543"/>
      <c r="I153" s="542"/>
      <c r="J153" s="541"/>
      <c r="K153" s="541"/>
      <c r="L153" s="541"/>
      <c r="M153" s="541"/>
      <c r="N153" s="541"/>
    </row>
    <row r="154" spans="1:14" s="540" customFormat="1">
      <c r="A154" s="1634">
        <v>12</v>
      </c>
      <c r="B154" s="1627" t="s">
        <v>115</v>
      </c>
      <c r="C154" s="546">
        <v>12.6</v>
      </c>
      <c r="D154" s="546">
        <v>2.5</v>
      </c>
      <c r="E154" s="544"/>
      <c r="F154" s="546"/>
      <c r="G154" s="546"/>
      <c r="H154" s="543"/>
      <c r="I154" s="542"/>
      <c r="J154" s="541"/>
      <c r="K154" s="541"/>
      <c r="L154" s="541"/>
      <c r="M154" s="541"/>
      <c r="N154" s="541"/>
    </row>
    <row r="155" spans="1:14" s="540" customFormat="1">
      <c r="A155" s="1634"/>
      <c r="B155" s="1628"/>
      <c r="C155" s="546">
        <v>12.13</v>
      </c>
      <c r="D155" s="546">
        <v>3.3</v>
      </c>
      <c r="E155" s="544"/>
      <c r="F155" s="546"/>
      <c r="G155" s="546"/>
      <c r="H155" s="543"/>
      <c r="I155" s="542"/>
      <c r="J155" s="541"/>
      <c r="K155" s="541"/>
      <c r="L155" s="541"/>
      <c r="M155" s="541"/>
      <c r="N155" s="541"/>
    </row>
    <row r="156" spans="1:14" s="540" customFormat="1">
      <c r="A156" s="1634"/>
      <c r="B156" s="1629"/>
      <c r="C156" s="546">
        <v>11.8</v>
      </c>
      <c r="D156" s="546">
        <v>4.5</v>
      </c>
      <c r="E156" s="544"/>
      <c r="F156" s="546"/>
      <c r="G156" s="546"/>
      <c r="H156" s="543"/>
      <c r="I156" s="542"/>
      <c r="J156" s="541"/>
      <c r="K156" s="541"/>
      <c r="L156" s="541"/>
      <c r="M156" s="541"/>
      <c r="N156" s="541"/>
    </row>
    <row r="157" spans="1:14" s="540" customFormat="1">
      <c r="A157" s="547">
        <v>13</v>
      </c>
      <c r="B157" s="554" t="s">
        <v>1065</v>
      </c>
      <c r="C157" s="546">
        <v>13.5</v>
      </c>
      <c r="D157" s="546">
        <v>2.5</v>
      </c>
      <c r="E157" s="544"/>
      <c r="F157" s="546">
        <v>1984.1269</v>
      </c>
      <c r="G157" s="546">
        <v>2.4999998940000001</v>
      </c>
      <c r="H157" s="543"/>
      <c r="I157" s="542"/>
      <c r="J157" s="541"/>
      <c r="K157" s="541"/>
      <c r="L157" s="541"/>
      <c r="M157" s="541"/>
      <c r="N157" s="541"/>
    </row>
    <row r="158" spans="1:14" s="540" customFormat="1">
      <c r="A158" s="1634">
        <v>14</v>
      </c>
      <c r="B158" s="1627" t="s">
        <v>147</v>
      </c>
      <c r="C158" s="546">
        <v>11.85</v>
      </c>
      <c r="D158" s="546">
        <v>2.5</v>
      </c>
      <c r="E158" s="544"/>
      <c r="F158" s="546"/>
      <c r="G158" s="546"/>
      <c r="H158" s="543"/>
      <c r="I158" s="542"/>
      <c r="J158" s="541"/>
      <c r="K158" s="541"/>
      <c r="L158" s="541"/>
      <c r="M158" s="541"/>
      <c r="N158" s="541"/>
    </row>
    <row r="159" spans="1:14" s="540" customFormat="1">
      <c r="A159" s="1634"/>
      <c r="B159" s="1629"/>
      <c r="C159" s="546">
        <v>11.84</v>
      </c>
      <c r="D159" s="546">
        <v>3.3</v>
      </c>
      <c r="E159" s="544"/>
      <c r="F159" s="546"/>
      <c r="G159" s="546"/>
      <c r="H159" s="543"/>
      <c r="I159" s="542"/>
      <c r="J159" s="541"/>
      <c r="K159" s="541"/>
      <c r="L159" s="541"/>
      <c r="M159" s="541"/>
      <c r="N159" s="541"/>
    </row>
    <row r="160" spans="1:14" s="540" customFormat="1">
      <c r="A160" s="547">
        <v>15</v>
      </c>
      <c r="B160" s="554" t="s">
        <v>1234</v>
      </c>
      <c r="C160" s="546">
        <v>12.6</v>
      </c>
      <c r="D160" s="546">
        <v>20</v>
      </c>
      <c r="E160" s="544"/>
      <c r="F160" s="546">
        <v>5238.0956999999999</v>
      </c>
      <c r="G160" s="546">
        <v>6.6000005820000007</v>
      </c>
      <c r="H160" s="543"/>
      <c r="I160" s="542"/>
      <c r="J160" s="541"/>
      <c r="K160" s="541"/>
      <c r="L160" s="541"/>
      <c r="M160" s="541"/>
      <c r="N160" s="541"/>
    </row>
    <row r="164" spans="1:19" s="530" customFormat="1">
      <c r="A164" s="562" t="s">
        <v>106</v>
      </c>
      <c r="B164" s="565" t="s">
        <v>107</v>
      </c>
      <c r="C164" s="564" t="s">
        <v>4</v>
      </c>
      <c r="D164" s="563" t="s">
        <v>108</v>
      </c>
      <c r="E164" s="563" t="s">
        <v>109</v>
      </c>
      <c r="F164" s="562" t="s">
        <v>411</v>
      </c>
      <c r="G164" s="561" t="s">
        <v>950</v>
      </c>
      <c r="H164" s="561" t="s">
        <v>110</v>
      </c>
      <c r="I164" s="561" t="s">
        <v>276</v>
      </c>
      <c r="J164" s="561" t="s">
        <v>117</v>
      </c>
      <c r="K164" s="561" t="s">
        <v>275</v>
      </c>
      <c r="L164" s="562" t="s">
        <v>111</v>
      </c>
      <c r="M164" s="561" t="s">
        <v>949</v>
      </c>
      <c r="N164" s="561" t="s">
        <v>948</v>
      </c>
      <c r="O164" s="561" t="s">
        <v>129</v>
      </c>
      <c r="P164" s="561" t="s">
        <v>220</v>
      </c>
      <c r="Q164" s="537" t="s">
        <v>947</v>
      </c>
      <c r="R164" s="537" t="s">
        <v>946</v>
      </c>
      <c r="S164" s="560" t="s">
        <v>945</v>
      </c>
    </row>
    <row r="165" spans="1:19" s="547" customFormat="1">
      <c r="A165" s="1627">
        <v>267</v>
      </c>
      <c r="B165" s="1650" t="s">
        <v>932</v>
      </c>
      <c r="C165" s="1650" t="s">
        <v>933</v>
      </c>
      <c r="D165" s="1647">
        <v>32.5</v>
      </c>
      <c r="E165" s="1647">
        <v>14.079999573</v>
      </c>
      <c r="F165" s="557" t="s">
        <v>1094</v>
      </c>
      <c r="G165" s="555">
        <v>13.85</v>
      </c>
      <c r="H165" s="555">
        <v>12.58</v>
      </c>
      <c r="I165" s="555">
        <f>H165/G165</f>
        <v>0.90830324909747295</v>
      </c>
      <c r="J165" s="606">
        <v>12.58</v>
      </c>
      <c r="K165" s="555">
        <f>J165/G165</f>
        <v>0.90830324909747295</v>
      </c>
      <c r="L165" s="1627">
        <v>4</v>
      </c>
      <c r="M165" s="1655">
        <v>43053</v>
      </c>
      <c r="N165" s="1647">
        <v>8.27</v>
      </c>
      <c r="O165" s="1647">
        <f>(N165*(1+Q165/10)+R165/10)/J165</f>
        <v>0.6591414944356121</v>
      </c>
      <c r="P165" s="1674" t="s">
        <v>286</v>
      </c>
      <c r="Q165" s="1627">
        <f>IFERROR(MID(P165,FIND("转",P165)+1,FIND("股",P165)-(FIND("转",P165)+1)),0)</f>
        <v>0</v>
      </c>
      <c r="R165" s="1627" t="str">
        <f>IFERROR(MID(P165,FIND("派",P165)+1,FIND("元",P165)-FIND("派",P165)-1),0)</f>
        <v>0.22</v>
      </c>
      <c r="S165" s="553"/>
    </row>
    <row r="166" spans="1:19" s="547" customFormat="1" ht="16" customHeight="1">
      <c r="A166" s="1629"/>
      <c r="B166" s="1652"/>
      <c r="C166" s="1652"/>
      <c r="D166" s="1648"/>
      <c r="E166" s="1648"/>
      <c r="F166" s="557" t="s">
        <v>1233</v>
      </c>
      <c r="G166" s="555">
        <v>13.08</v>
      </c>
      <c r="H166" s="555">
        <v>12.58</v>
      </c>
      <c r="I166" s="555">
        <f>H166/G166</f>
        <v>0.96177370030581044</v>
      </c>
      <c r="J166" s="555">
        <v>12.58</v>
      </c>
      <c r="K166" s="555">
        <f>J166/G166</f>
        <v>0.96177370030581044</v>
      </c>
      <c r="L166" s="1629"/>
      <c r="M166" s="1657"/>
      <c r="N166" s="1648"/>
      <c r="O166" s="1648"/>
      <c r="P166" s="1675"/>
      <c r="Q166" s="1629"/>
      <c r="R166" s="1629"/>
      <c r="S166" s="553"/>
    </row>
    <row r="167" spans="1:19" s="540" customFormat="1">
      <c r="A167" s="547"/>
      <c r="B167" s="620" t="s">
        <v>1024</v>
      </c>
      <c r="C167" s="620" t="s">
        <v>113</v>
      </c>
      <c r="D167" s="620" t="s">
        <v>943</v>
      </c>
      <c r="E167" s="621" t="s">
        <v>411</v>
      </c>
      <c r="F167" s="621" t="s">
        <v>942</v>
      </c>
      <c r="G167" s="620" t="s">
        <v>231</v>
      </c>
      <c r="H167" s="551" t="s">
        <v>941</v>
      </c>
      <c r="I167" s="549">
        <f>SUM(G168:G176)</f>
        <v>14.079999781599998</v>
      </c>
      <c r="J167" s="548"/>
      <c r="K167" s="548"/>
      <c r="L167" s="548"/>
      <c r="M167" s="548"/>
      <c r="N167" s="548"/>
    </row>
    <row r="168" spans="1:19" s="540" customFormat="1">
      <c r="A168" s="1634">
        <v>1</v>
      </c>
      <c r="B168" s="1627" t="s">
        <v>115</v>
      </c>
      <c r="C168" s="546">
        <v>12.6</v>
      </c>
      <c r="D168" s="546">
        <v>3.26</v>
      </c>
      <c r="E168" s="544"/>
      <c r="F168" s="546"/>
      <c r="G168" s="546"/>
      <c r="H168" s="543" t="s">
        <v>126</v>
      </c>
      <c r="I168" s="138" t="s">
        <v>1232</v>
      </c>
      <c r="J168" s="541"/>
      <c r="K168" s="541"/>
      <c r="L168" s="541"/>
      <c r="M168" s="541"/>
      <c r="N168" s="541"/>
    </row>
    <row r="169" spans="1:19" s="540" customFormat="1">
      <c r="A169" s="1634"/>
      <c r="B169" s="1629"/>
      <c r="C169" s="546">
        <v>12.58</v>
      </c>
      <c r="D169" s="546">
        <v>3.32</v>
      </c>
      <c r="E169" s="544"/>
      <c r="F169" s="546">
        <f>G169/I165*10000</f>
        <v>36551.669316375192</v>
      </c>
      <c r="G169" s="546">
        <f>D169</f>
        <v>3.32</v>
      </c>
      <c r="H169" s="543"/>
      <c r="I169" s="542"/>
      <c r="J169" s="541"/>
      <c r="K169" s="541"/>
      <c r="L169" s="541"/>
      <c r="M169" s="541"/>
      <c r="N169" s="541"/>
    </row>
    <row r="170" spans="1:19" s="540" customFormat="1">
      <c r="A170" s="547"/>
      <c r="B170" s="547"/>
      <c r="C170" s="567"/>
      <c r="D170" s="567"/>
      <c r="E170" s="568"/>
      <c r="F170" s="567"/>
      <c r="G170" s="567"/>
      <c r="H170" s="543"/>
      <c r="I170" s="542"/>
      <c r="J170" s="541"/>
      <c r="K170" s="541"/>
      <c r="L170" s="541"/>
      <c r="M170" s="541"/>
      <c r="N170" s="541"/>
    </row>
    <row r="171" spans="1:19" s="540" customFormat="1">
      <c r="A171" s="547"/>
      <c r="B171" s="1661" t="s">
        <v>1231</v>
      </c>
      <c r="C171" s="1661"/>
      <c r="D171" s="1661"/>
      <c r="E171" s="1661"/>
      <c r="F171" s="1661"/>
      <c r="G171" s="1661"/>
      <c r="H171" s="543"/>
      <c r="I171" s="542"/>
      <c r="J171" s="541"/>
      <c r="K171" s="541"/>
      <c r="L171" s="541"/>
      <c r="M171" s="541"/>
      <c r="N171" s="541"/>
    </row>
    <row r="172" spans="1:19" s="540" customFormat="1">
      <c r="A172" s="547"/>
      <c r="B172" s="634" t="s">
        <v>112</v>
      </c>
      <c r="C172" s="634" t="s">
        <v>113</v>
      </c>
      <c r="D172" s="634" t="s">
        <v>943</v>
      </c>
      <c r="E172" s="635" t="s">
        <v>411</v>
      </c>
      <c r="F172" s="635" t="s">
        <v>942</v>
      </c>
      <c r="G172" s="634" t="s">
        <v>231</v>
      </c>
      <c r="H172" s="543"/>
      <c r="I172" s="542"/>
      <c r="J172" s="541"/>
      <c r="K172" s="541"/>
      <c r="L172" s="541"/>
      <c r="M172" s="541"/>
      <c r="N172" s="541"/>
    </row>
    <row r="173" spans="1:19" s="540" customFormat="1">
      <c r="A173" s="547">
        <v>1</v>
      </c>
      <c r="B173" s="554" t="s">
        <v>115</v>
      </c>
      <c r="C173" s="546">
        <v>12.58</v>
      </c>
      <c r="D173" s="546">
        <v>0.3</v>
      </c>
      <c r="E173" s="544"/>
      <c r="F173" s="546">
        <v>238.4736020667724</v>
      </c>
      <c r="G173" s="546">
        <f>D173</f>
        <v>0.3</v>
      </c>
      <c r="H173" s="543"/>
      <c r="I173" s="542"/>
      <c r="J173" s="541"/>
      <c r="K173" s="541"/>
      <c r="L173" s="541"/>
      <c r="M173" s="541"/>
      <c r="N173" s="541"/>
    </row>
    <row r="174" spans="1:19" s="540" customFormat="1">
      <c r="A174" s="547">
        <v>2</v>
      </c>
      <c r="B174" s="554" t="s">
        <v>1087</v>
      </c>
      <c r="C174" s="546">
        <v>12.58</v>
      </c>
      <c r="D174" s="546">
        <v>9.75</v>
      </c>
      <c r="E174" s="544"/>
      <c r="F174" s="546">
        <v>7750.3973999999998</v>
      </c>
      <c r="G174" s="546">
        <v>9.7499999291999995</v>
      </c>
      <c r="H174" s="543"/>
      <c r="I174" s="542"/>
      <c r="J174" s="541"/>
      <c r="K174" s="541"/>
      <c r="L174" s="541"/>
      <c r="M174" s="541"/>
      <c r="N174" s="541"/>
    </row>
    <row r="175" spans="1:19" s="540" customFormat="1">
      <c r="A175" s="547">
        <v>3</v>
      </c>
      <c r="B175" s="554" t="s">
        <v>130</v>
      </c>
      <c r="C175" s="546">
        <v>12.58</v>
      </c>
      <c r="D175" s="546">
        <v>0.4</v>
      </c>
      <c r="E175" s="544"/>
      <c r="F175" s="546">
        <v>317.96499999999997</v>
      </c>
      <c r="G175" s="546">
        <v>0.39999996999999998</v>
      </c>
      <c r="H175" s="543"/>
      <c r="I175" s="542"/>
      <c r="J175" s="541"/>
      <c r="K175" s="541"/>
      <c r="L175" s="541"/>
      <c r="M175" s="541"/>
      <c r="N175" s="541"/>
    </row>
    <row r="176" spans="1:19" s="540" customFormat="1">
      <c r="A176" s="547">
        <v>4</v>
      </c>
      <c r="B176" s="554" t="s">
        <v>148</v>
      </c>
      <c r="C176" s="546">
        <v>12.58</v>
      </c>
      <c r="D176" s="546">
        <v>0.31</v>
      </c>
      <c r="E176" s="544"/>
      <c r="F176" s="546">
        <v>246.4228</v>
      </c>
      <c r="G176" s="546">
        <v>0.30999988239999998</v>
      </c>
      <c r="H176" s="543"/>
      <c r="I176" s="542"/>
      <c r="J176" s="541"/>
      <c r="K176" s="541"/>
      <c r="L176" s="541"/>
      <c r="M176" s="541"/>
      <c r="N176" s="541"/>
    </row>
    <row r="178" spans="6:6">
      <c r="F178" s="534"/>
    </row>
  </sheetData>
  <mergeCells count="90">
    <mergeCell ref="G108:G109"/>
    <mergeCell ref="F108:F109"/>
    <mergeCell ref="G104:G105"/>
    <mergeCell ref="F104:F105"/>
    <mergeCell ref="G88:G89"/>
    <mergeCell ref="G90:G92"/>
    <mergeCell ref="F90:F92"/>
    <mergeCell ref="F88:F89"/>
    <mergeCell ref="F94:F95"/>
    <mergeCell ref="G100:G102"/>
    <mergeCell ref="F100:F102"/>
    <mergeCell ref="N165:N166"/>
    <mergeCell ref="O165:O166"/>
    <mergeCell ref="P165:P166"/>
    <mergeCell ref="Q165:Q166"/>
    <mergeCell ref="R165:R166"/>
    <mergeCell ref="G17:G19"/>
    <mergeCell ref="F17:F19"/>
    <mergeCell ref="G8:G10"/>
    <mergeCell ref="F8:F10"/>
    <mergeCell ref="A83:A84"/>
    <mergeCell ref="B83:B84"/>
    <mergeCell ref="A21:A23"/>
    <mergeCell ref="B21:B23"/>
    <mergeCell ref="C29:D29"/>
    <mergeCell ref="G21:G23"/>
    <mergeCell ref="F21:F23"/>
    <mergeCell ref="A6:A7"/>
    <mergeCell ref="B6:B7"/>
    <mergeCell ref="A8:A10"/>
    <mergeCell ref="B8:B10"/>
    <mergeCell ref="A17:A19"/>
    <mergeCell ref="B17:B19"/>
    <mergeCell ref="A100:A102"/>
    <mergeCell ref="B100:B102"/>
    <mergeCell ref="A104:A105"/>
    <mergeCell ref="B104:B105"/>
    <mergeCell ref="A85:A87"/>
    <mergeCell ref="B85:B87"/>
    <mergeCell ref="A88:A89"/>
    <mergeCell ref="B88:B89"/>
    <mergeCell ref="A90:A92"/>
    <mergeCell ref="B90:B92"/>
    <mergeCell ref="M165:M166"/>
    <mergeCell ref="L165:L166"/>
    <mergeCell ref="B129:B131"/>
    <mergeCell ref="C165:C166"/>
    <mergeCell ref="B171:G171"/>
    <mergeCell ref="D165:D166"/>
    <mergeCell ref="E165:E166"/>
    <mergeCell ref="B158:B159"/>
    <mergeCell ref="B154:B156"/>
    <mergeCell ref="B151:B153"/>
    <mergeCell ref="G139:G141"/>
    <mergeCell ref="F139:F141"/>
    <mergeCell ref="G146:G147"/>
    <mergeCell ref="F146:F147"/>
    <mergeCell ref="A139:A141"/>
    <mergeCell ref="A146:A147"/>
    <mergeCell ref="B139:B141"/>
    <mergeCell ref="B146:B147"/>
    <mergeCell ref="B168:B169"/>
    <mergeCell ref="A165:A166"/>
    <mergeCell ref="B165:B166"/>
    <mergeCell ref="A151:A153"/>
    <mergeCell ref="A154:A156"/>
    <mergeCell ref="A158:A159"/>
    <mergeCell ref="A168:A169"/>
    <mergeCell ref="G117:G118"/>
    <mergeCell ref="F117:F118"/>
    <mergeCell ref="A129:A131"/>
    <mergeCell ref="G85:G87"/>
    <mergeCell ref="F85:F87"/>
    <mergeCell ref="G94:G95"/>
    <mergeCell ref="G114:G115"/>
    <mergeCell ref="F114:F115"/>
    <mergeCell ref="G125:G126"/>
    <mergeCell ref="F125:F126"/>
    <mergeCell ref="A125:A126"/>
    <mergeCell ref="B125:B126"/>
    <mergeCell ref="G129:G131"/>
    <mergeCell ref="F129:F131"/>
    <mergeCell ref="A94:A95"/>
    <mergeCell ref="B94:B95"/>
    <mergeCell ref="A108:A109"/>
    <mergeCell ref="B108:B109"/>
    <mergeCell ref="A114:A115"/>
    <mergeCell ref="B114:B115"/>
    <mergeCell ref="A117:A118"/>
    <mergeCell ref="B117:B118"/>
  </mergeCells>
  <phoneticPr fontId="139" type="noConversion"/>
  <hyperlinks>
    <hyperlink ref="I6" r:id="rId1" xr:uid="{00000000-0004-0000-0E00-000000000000}"/>
    <hyperlink ref="I36" r:id="rId2" xr:uid="{00000000-0004-0000-0E00-000001000000}"/>
    <hyperlink ref="I83" r:id="rId3" xr:uid="{00000000-0004-0000-0E00-000002000000}"/>
    <hyperlink ref="I138" r:id="rId4" xr:uid="{00000000-0004-0000-0E00-000003000000}"/>
    <hyperlink ref="I168" r:id="rId5" xr:uid="{00000000-0004-0000-0E00-000004000000}"/>
  </hyperlinks>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315"/>
  <sheetViews>
    <sheetView topLeftCell="A298" workbookViewId="0">
      <selection activeCell="A232" sqref="A232"/>
    </sheetView>
  </sheetViews>
  <sheetFormatPr defaultColWidth="8.83203125" defaultRowHeight="14"/>
  <cols>
    <col min="1" max="2" width="11.33203125" style="24" customWidth="1"/>
    <col min="3" max="3" width="22.83203125" style="24" customWidth="1"/>
    <col min="4" max="4" width="13" style="24" customWidth="1"/>
    <col min="5" max="5" width="16" style="24" customWidth="1"/>
    <col min="6" max="6" width="13.6640625" style="24" customWidth="1"/>
    <col min="7" max="7" width="14.33203125" style="24" customWidth="1"/>
    <col min="8" max="9" width="12.33203125" style="24" bestFit="1" customWidth="1"/>
    <col min="10" max="10" width="8.83203125" style="24"/>
    <col min="11" max="11" width="8.6640625" style="24" bestFit="1" customWidth="1"/>
    <col min="12" max="12" width="12.33203125" style="24" bestFit="1" customWidth="1"/>
    <col min="13" max="13" width="11.83203125" style="24" customWidth="1"/>
    <col min="14" max="14" width="13.1640625" style="24" customWidth="1"/>
    <col min="15" max="15" width="10.5" style="24" bestFit="1" customWidth="1"/>
    <col min="16" max="16" width="11.33203125" style="24" bestFit="1" customWidth="1"/>
    <col min="17" max="17" width="9.6640625" style="24" customWidth="1"/>
    <col min="18" max="18" width="11.5" style="24" customWidth="1"/>
    <col min="19" max="19" width="8.6640625" style="24" bestFit="1" customWidth="1"/>
    <col min="20" max="20" width="7.6640625" style="24" customWidth="1"/>
    <col min="21" max="21" width="8" style="24" customWidth="1"/>
    <col min="22" max="22" width="13" style="24" bestFit="1" customWidth="1"/>
    <col min="23" max="16384" width="8.83203125" style="24"/>
  </cols>
  <sheetData>
    <row r="1" spans="1:16">
      <c r="A1" s="24" t="s">
        <v>2071</v>
      </c>
    </row>
    <row r="3" spans="1:16" s="162" customFormat="1">
      <c r="A3" s="164" t="s">
        <v>1315</v>
      </c>
      <c r="B3" s="164"/>
      <c r="C3" s="164" t="s">
        <v>107</v>
      </c>
      <c r="D3" s="164" t="s">
        <v>4</v>
      </c>
      <c r="E3" s="166" t="s">
        <v>108</v>
      </c>
      <c r="F3" s="166" t="s">
        <v>109</v>
      </c>
      <c r="G3" s="164" t="s">
        <v>1314</v>
      </c>
      <c r="H3" s="164" t="s">
        <v>1313</v>
      </c>
      <c r="I3" s="165" t="s">
        <v>1312</v>
      </c>
      <c r="J3" s="163" t="s">
        <v>1311</v>
      </c>
      <c r="K3" s="163" t="s">
        <v>110</v>
      </c>
      <c r="L3" s="163" t="s">
        <v>1310</v>
      </c>
      <c r="M3" s="164" t="s">
        <v>111</v>
      </c>
      <c r="N3" s="163" t="s">
        <v>949</v>
      </c>
      <c r="O3" s="163" t="s">
        <v>948</v>
      </c>
      <c r="P3" s="163" t="s">
        <v>129</v>
      </c>
    </row>
    <row r="4" spans="1:16">
      <c r="A4" s="24">
        <v>268</v>
      </c>
      <c r="B4" s="161" t="s">
        <v>1409</v>
      </c>
      <c r="C4" s="1" t="s">
        <v>1408</v>
      </c>
      <c r="D4" s="1" t="s">
        <v>1407</v>
      </c>
      <c r="E4" s="3">
        <v>15</v>
      </c>
      <c r="F4" s="3">
        <v>12.621700000000001</v>
      </c>
      <c r="G4" s="124">
        <v>42671</v>
      </c>
      <c r="H4" s="24" t="s">
        <v>1406</v>
      </c>
      <c r="I4" s="130">
        <v>19.05</v>
      </c>
      <c r="J4" s="3">
        <v>18.98</v>
      </c>
      <c r="K4" s="24">
        <v>16.100000000000001</v>
      </c>
      <c r="L4" s="159">
        <v>0.99632545931758532</v>
      </c>
      <c r="M4" s="24">
        <v>4</v>
      </c>
      <c r="N4" s="2">
        <v>42690</v>
      </c>
      <c r="O4" s="24">
        <v>19.89</v>
      </c>
      <c r="P4" s="157">
        <v>1.047945205479452</v>
      </c>
    </row>
    <row r="5" spans="1:16" s="162" customFormat="1">
      <c r="C5" s="16" t="s">
        <v>112</v>
      </c>
      <c r="D5" s="16" t="s">
        <v>113</v>
      </c>
      <c r="E5" s="16" t="s">
        <v>1305</v>
      </c>
      <c r="F5" s="17" t="s">
        <v>1304</v>
      </c>
      <c r="G5" s="16" t="s">
        <v>1303</v>
      </c>
      <c r="I5" s="239"/>
      <c r="J5" s="239"/>
    </row>
    <row r="6" spans="1:16" s="162" customFormat="1">
      <c r="C6" s="266" t="s">
        <v>1286</v>
      </c>
      <c r="D6" s="248">
        <v>19.53</v>
      </c>
      <c r="E6" s="265">
        <f>299999997.99/100000000</f>
        <v>2.9999999799000001</v>
      </c>
      <c r="F6" s="257">
        <v>1567</v>
      </c>
      <c r="G6" s="245">
        <v>2.97</v>
      </c>
      <c r="I6" s="239"/>
      <c r="J6" s="239"/>
    </row>
    <row r="7" spans="1:16" s="162" customFormat="1">
      <c r="C7" s="269"/>
      <c r="D7" s="248">
        <v>19.350000000000001</v>
      </c>
      <c r="E7" s="265">
        <f>299999981.25/100000000</f>
        <v>2.9999998125</v>
      </c>
      <c r="F7" s="259"/>
      <c r="G7" s="259"/>
      <c r="I7" s="239"/>
      <c r="J7" s="239"/>
    </row>
    <row r="8" spans="1:16" s="162" customFormat="1">
      <c r="C8" s="47"/>
      <c r="D8" s="248">
        <v>19.14</v>
      </c>
      <c r="E8" s="265">
        <f>299999996.34/100000000</f>
        <v>2.9999999633999996</v>
      </c>
      <c r="F8" s="259"/>
      <c r="G8" s="259"/>
      <c r="I8" s="239"/>
      <c r="J8" s="239"/>
    </row>
    <row r="9" spans="1:16" s="162" customFormat="1">
      <c r="C9" s="266" t="s">
        <v>332</v>
      </c>
      <c r="D9" s="248">
        <v>19.510000000000002</v>
      </c>
      <c r="E9" s="265">
        <f>409710000/100000000</f>
        <v>4.0971000000000002</v>
      </c>
      <c r="F9" s="257">
        <v>2140</v>
      </c>
      <c r="G9" s="245">
        <v>4.0599999999999996</v>
      </c>
      <c r="I9" s="239"/>
      <c r="J9" s="239"/>
    </row>
    <row r="10" spans="1:16" s="162" customFormat="1">
      <c r="C10" s="269"/>
      <c r="D10" s="248">
        <v>19.32</v>
      </c>
      <c r="E10" s="265">
        <f>409584000/100000000</f>
        <v>4.0958399999999999</v>
      </c>
      <c r="F10" s="259"/>
      <c r="G10" s="259"/>
      <c r="I10" s="239"/>
      <c r="J10" s="239"/>
    </row>
    <row r="11" spans="1:16" s="162" customFormat="1">
      <c r="C11" s="47"/>
      <c r="D11" s="248">
        <v>19.13</v>
      </c>
      <c r="E11" s="265">
        <f>409382000/100000000</f>
        <v>4.09382</v>
      </c>
      <c r="F11" s="257"/>
      <c r="G11" s="245"/>
      <c r="I11" s="239"/>
      <c r="J11" s="239"/>
    </row>
    <row r="12" spans="1:16" s="162" customFormat="1">
      <c r="C12" s="266" t="s">
        <v>1117</v>
      </c>
      <c r="D12" s="248">
        <v>19.18</v>
      </c>
      <c r="E12" s="265">
        <f>255094000/100000000</f>
        <v>2.5509400000000002</v>
      </c>
      <c r="F12" s="257">
        <v>1330</v>
      </c>
      <c r="G12" s="245">
        <v>2.52</v>
      </c>
      <c r="I12" s="239"/>
      <c r="J12" s="239"/>
    </row>
    <row r="13" spans="1:16">
      <c r="C13" s="267"/>
      <c r="D13" s="248">
        <v>18.98</v>
      </c>
      <c r="E13" s="265">
        <f>398580000/100000000</f>
        <v>3.9857999999999998</v>
      </c>
      <c r="F13" s="20"/>
      <c r="G13" s="268"/>
    </row>
    <row r="14" spans="1:16">
      <c r="C14" s="266" t="s">
        <v>336</v>
      </c>
      <c r="D14" s="248">
        <v>18.95</v>
      </c>
      <c r="E14" s="265">
        <f>413110000/100000000</f>
        <v>4.1311</v>
      </c>
      <c r="F14" s="20">
        <v>1612</v>
      </c>
      <c r="G14" s="268">
        <v>3.06</v>
      </c>
    </row>
    <row r="15" spans="1:16">
      <c r="C15" s="47"/>
      <c r="D15" s="248">
        <v>17.149999999999999</v>
      </c>
      <c r="E15" s="265">
        <f>424977000/100000000</f>
        <v>4.2497699999999998</v>
      </c>
      <c r="F15" s="20"/>
      <c r="G15" s="20"/>
      <c r="H15" s="264"/>
    </row>
    <row r="16" spans="1:16">
      <c r="C16" s="267"/>
      <c r="D16" s="248">
        <v>18.09</v>
      </c>
      <c r="E16" s="265">
        <f>240597000/100000000</f>
        <v>2.4059699999999999</v>
      </c>
      <c r="F16" s="11"/>
      <c r="G16" s="20"/>
      <c r="H16" s="264"/>
    </row>
    <row r="17" spans="1:16">
      <c r="C17" s="266" t="s">
        <v>115</v>
      </c>
      <c r="D17" s="248">
        <v>17.14</v>
      </c>
      <c r="E17" s="265">
        <f>297036200/100000000</f>
        <v>2.9703620000000002</v>
      </c>
      <c r="F17" s="11"/>
      <c r="G17" s="11"/>
      <c r="H17" s="264"/>
    </row>
    <row r="18" spans="1:16">
      <c r="C18" s="47"/>
      <c r="D18" s="248">
        <v>16.579999999999998</v>
      </c>
      <c r="E18" s="265">
        <f>448157400/100000000</f>
        <v>4.4815740000000002</v>
      </c>
      <c r="F18" s="11"/>
      <c r="G18" s="11"/>
      <c r="H18" s="264"/>
    </row>
    <row r="19" spans="1:16">
      <c r="C19" s="266" t="s">
        <v>121</v>
      </c>
      <c r="D19" s="248">
        <v>16.8</v>
      </c>
      <c r="E19" s="265">
        <f>223440000/100000000</f>
        <v>2.2343999999999999</v>
      </c>
      <c r="F19" s="11"/>
      <c r="G19" s="11"/>
      <c r="H19" s="264"/>
    </row>
    <row r="20" spans="1:16">
      <c r="C20" s="266" t="s">
        <v>146</v>
      </c>
      <c r="D20" s="248">
        <v>16.649999999999999</v>
      </c>
      <c r="E20" s="265">
        <f>232000000/100000000</f>
        <v>2.3199999999999998</v>
      </c>
      <c r="F20" s="11"/>
      <c r="G20" s="11"/>
      <c r="H20" s="264"/>
    </row>
    <row r="21" spans="1:16">
      <c r="H21" s="264"/>
    </row>
    <row r="22" spans="1:16">
      <c r="H22" s="264"/>
    </row>
    <row r="23" spans="1:16">
      <c r="H23" s="264"/>
    </row>
    <row r="24" spans="1:16" s="162" customFormat="1">
      <c r="A24" s="164" t="s">
        <v>1315</v>
      </c>
      <c r="B24" s="164"/>
      <c r="C24" s="164" t="s">
        <v>107</v>
      </c>
      <c r="D24" s="164" t="s">
        <v>4</v>
      </c>
      <c r="E24" s="166" t="s">
        <v>108</v>
      </c>
      <c r="F24" s="166" t="s">
        <v>109</v>
      </c>
      <c r="G24" s="164" t="s">
        <v>1314</v>
      </c>
      <c r="H24" s="164" t="s">
        <v>1313</v>
      </c>
      <c r="I24" s="165" t="s">
        <v>1312</v>
      </c>
      <c r="J24" s="163" t="s">
        <v>1311</v>
      </c>
      <c r="K24" s="163" t="s">
        <v>110</v>
      </c>
      <c r="L24" s="163" t="s">
        <v>1310</v>
      </c>
      <c r="M24" s="164" t="s">
        <v>111</v>
      </c>
      <c r="N24" s="163" t="s">
        <v>949</v>
      </c>
      <c r="O24" s="163" t="s">
        <v>948</v>
      </c>
      <c r="P24" s="163" t="s">
        <v>129</v>
      </c>
    </row>
    <row r="25" spans="1:16">
      <c r="A25" s="24">
        <v>269</v>
      </c>
      <c r="B25" s="161" t="s">
        <v>1405</v>
      </c>
      <c r="C25" s="1" t="s">
        <v>1404</v>
      </c>
      <c r="D25" s="1" t="s">
        <v>1403</v>
      </c>
      <c r="E25" s="3">
        <v>3.3073504499999999</v>
      </c>
      <c r="F25" s="3">
        <v>3.3073504439999999</v>
      </c>
      <c r="G25" s="124">
        <v>42657</v>
      </c>
      <c r="H25" s="24" t="s">
        <v>151</v>
      </c>
      <c r="I25" s="130">
        <v>15.8</v>
      </c>
      <c r="J25" s="3">
        <v>15.15</v>
      </c>
      <c r="K25" s="24">
        <v>9.67</v>
      </c>
      <c r="L25" s="159">
        <v>0.95886075949367089</v>
      </c>
      <c r="M25" s="24">
        <v>6</v>
      </c>
      <c r="N25" s="2">
        <v>43055</v>
      </c>
      <c r="O25" s="24">
        <v>4.0199999999999996</v>
      </c>
      <c r="P25" s="157">
        <v>0.74693069306930682</v>
      </c>
    </row>
    <row r="26" spans="1:16" s="162" customFormat="1">
      <c r="C26" s="179" t="s">
        <v>112</v>
      </c>
      <c r="D26" s="179" t="s">
        <v>113</v>
      </c>
      <c r="E26" s="179" t="s">
        <v>1305</v>
      </c>
      <c r="F26" s="180" t="s">
        <v>1304</v>
      </c>
      <c r="G26" s="179" t="s">
        <v>1303</v>
      </c>
      <c r="I26" s="239"/>
      <c r="J26" s="239"/>
    </row>
    <row r="27" spans="1:16" s="162" customFormat="1">
      <c r="C27" s="249" t="s">
        <v>328</v>
      </c>
      <c r="D27" s="248">
        <v>15.8</v>
      </c>
      <c r="E27" s="247">
        <v>0.6</v>
      </c>
      <c r="F27" s="246">
        <f>3960396/10000</f>
        <v>396.03960000000001</v>
      </c>
      <c r="G27" s="245">
        <f>IFERROR(F27*J$25/10000,"")</f>
        <v>0.59999999400000004</v>
      </c>
      <c r="I27" s="239"/>
      <c r="J27" s="239"/>
      <c r="K27" s="263"/>
      <c r="L27" s="262"/>
      <c r="M27" s="262"/>
      <c r="N27" s="262"/>
      <c r="O27" s="261"/>
      <c r="P27" s="260"/>
    </row>
    <row r="28" spans="1:16" s="162" customFormat="1">
      <c r="C28" s="249" t="s">
        <v>955</v>
      </c>
      <c r="D28" s="248">
        <v>16.5</v>
      </c>
      <c r="E28" s="247">
        <v>0.75</v>
      </c>
      <c r="F28" s="246">
        <f>5280528/10000</f>
        <v>528.05280000000005</v>
      </c>
      <c r="G28" s="245">
        <f>IFERROR(F28*J$25/10000,"")</f>
        <v>0.79999999200000016</v>
      </c>
      <c r="I28" s="239"/>
      <c r="J28" s="239"/>
      <c r="K28" s="263"/>
      <c r="L28" s="262"/>
      <c r="M28" s="262"/>
      <c r="N28" s="262"/>
      <c r="O28" s="261"/>
      <c r="P28" s="260"/>
    </row>
    <row r="29" spans="1:16" s="162" customFormat="1">
      <c r="C29" s="249"/>
      <c r="D29" s="248">
        <v>15.55</v>
      </c>
      <c r="E29" s="247">
        <f>8000/10000</f>
        <v>0.8</v>
      </c>
      <c r="F29" s="259"/>
      <c r="G29" s="245"/>
      <c r="I29" s="239"/>
      <c r="J29" s="239"/>
      <c r="K29" s="250"/>
      <c r="L29" s="252"/>
      <c r="M29" s="250"/>
      <c r="N29" s="250"/>
      <c r="O29" s="241"/>
      <c r="P29" s="240"/>
    </row>
    <row r="30" spans="1:16" s="162" customFormat="1" ht="19">
      <c r="B30" s="24"/>
      <c r="C30" s="249"/>
      <c r="D30" s="248">
        <v>15.07</v>
      </c>
      <c r="E30" s="247">
        <v>1.2</v>
      </c>
      <c r="F30" s="257"/>
      <c r="G30" s="245"/>
      <c r="I30" s="239"/>
      <c r="J30" s="239"/>
      <c r="K30" s="256"/>
      <c r="L30" s="258"/>
      <c r="M30" s="254"/>
      <c r="N30" s="250"/>
      <c r="O30" s="241"/>
      <c r="P30" s="253"/>
    </row>
    <row r="31" spans="1:16" s="162" customFormat="1">
      <c r="C31" s="249" t="s">
        <v>295</v>
      </c>
      <c r="D31" s="248">
        <v>15.5</v>
      </c>
      <c r="E31" s="247">
        <f>5000/10000</f>
        <v>0.5</v>
      </c>
      <c r="F31" s="246">
        <f>3300330/10000</f>
        <v>330.03300000000002</v>
      </c>
      <c r="G31" s="245">
        <f>IFERROR(F31*J$25/10000,"")</f>
        <v>0.49999999500000003</v>
      </c>
      <c r="I31" s="239"/>
      <c r="J31" s="239"/>
      <c r="K31" s="250"/>
      <c r="L31" s="252"/>
      <c r="M31" s="250"/>
      <c r="N31" s="250"/>
      <c r="O31" s="241"/>
      <c r="P31" s="251"/>
    </row>
    <row r="32" spans="1:16" s="162" customFormat="1">
      <c r="C32" s="249" t="s">
        <v>139</v>
      </c>
      <c r="D32" s="248">
        <v>15.35</v>
      </c>
      <c r="E32" s="247">
        <f>5000/10000</f>
        <v>0.5</v>
      </c>
      <c r="F32" s="257"/>
      <c r="G32" s="245"/>
      <c r="I32" s="239"/>
      <c r="J32" s="239"/>
      <c r="K32" s="120"/>
      <c r="L32" s="120"/>
      <c r="M32" s="120"/>
      <c r="N32" s="250"/>
      <c r="O32" s="241"/>
      <c r="P32" s="67"/>
    </row>
    <row r="33" spans="1:18" s="162" customFormat="1">
      <c r="C33" s="249"/>
      <c r="D33" s="248">
        <v>15.01</v>
      </c>
      <c r="E33" s="247">
        <f>7700/10000</f>
        <v>0.77</v>
      </c>
      <c r="F33" s="246">
        <f>3300330/10000</f>
        <v>330.03300000000002</v>
      </c>
      <c r="G33" s="245">
        <f>IFERROR(F33*J$25/10000,"")</f>
        <v>0.49999999500000003</v>
      </c>
      <c r="I33" s="239"/>
      <c r="J33" s="239"/>
      <c r="K33" s="250"/>
      <c r="L33" s="252"/>
      <c r="M33" s="250"/>
      <c r="N33" s="250"/>
      <c r="O33" s="241"/>
      <c r="P33" s="240"/>
    </row>
    <row r="34" spans="1:18" ht="13" customHeight="1">
      <c r="C34" s="249"/>
      <c r="D34" s="248">
        <v>14.3</v>
      </c>
      <c r="E34" s="247">
        <f>15800/10000</f>
        <v>1.58</v>
      </c>
      <c r="F34" s="19"/>
      <c r="G34" s="245"/>
      <c r="K34" s="256"/>
      <c r="L34" s="255"/>
      <c r="M34" s="254"/>
      <c r="N34" s="250"/>
      <c r="O34" s="241"/>
      <c r="P34" s="253"/>
    </row>
    <row r="35" spans="1:18">
      <c r="C35" s="249" t="s">
        <v>1402</v>
      </c>
      <c r="D35" s="248">
        <v>15.32</v>
      </c>
      <c r="E35" s="247">
        <f>5000/10000</f>
        <v>0.5</v>
      </c>
      <c r="F35" s="246">
        <f>3300330/10000</f>
        <v>330.03300000000002</v>
      </c>
      <c r="G35" s="245">
        <f>IFERROR(F35*J$25/10000,"")</f>
        <v>0.49999999500000003</v>
      </c>
      <c r="K35" s="250"/>
      <c r="L35" s="252"/>
      <c r="M35" s="250"/>
      <c r="N35" s="250"/>
      <c r="O35" s="241"/>
      <c r="P35" s="251"/>
    </row>
    <row r="36" spans="1:18">
      <c r="C36" s="249" t="s">
        <v>1401</v>
      </c>
      <c r="D36" s="248"/>
      <c r="E36" s="11"/>
      <c r="F36" s="20"/>
      <c r="G36" s="245"/>
      <c r="K36" s="120"/>
      <c r="L36" s="120"/>
      <c r="M36" s="120"/>
      <c r="N36" s="250"/>
      <c r="O36" s="241"/>
      <c r="P36" s="67"/>
    </row>
    <row r="37" spans="1:18">
      <c r="C37" s="249" t="s">
        <v>1400</v>
      </c>
      <c r="D37" s="248">
        <v>15.15</v>
      </c>
      <c r="E37" s="247">
        <f>12000/10000</f>
        <v>1.2</v>
      </c>
      <c r="F37" s="246">
        <f>2688782/10000</f>
        <v>268.87819999999999</v>
      </c>
      <c r="G37" s="245">
        <f>IFERROR(F37*J$25/10000,"")</f>
        <v>0.40735047299999999</v>
      </c>
      <c r="K37" s="1679"/>
      <c r="L37" s="243"/>
      <c r="M37" s="244"/>
      <c r="N37" s="244"/>
      <c r="O37" s="244"/>
      <c r="P37" s="244"/>
    </row>
    <row r="38" spans="1:18">
      <c r="K38" s="1679"/>
      <c r="L38" s="243"/>
      <c r="M38" s="242"/>
      <c r="N38" s="242"/>
      <c r="O38" s="241"/>
      <c r="P38" s="240"/>
    </row>
    <row r="39" spans="1:18">
      <c r="K39" s="242"/>
      <c r="L39" s="243"/>
      <c r="M39" s="242"/>
      <c r="N39" s="242"/>
      <c r="O39" s="241"/>
      <c r="P39" s="240"/>
    </row>
    <row r="40" spans="1:18">
      <c r="K40" s="242"/>
      <c r="L40" s="243"/>
      <c r="M40" s="242"/>
      <c r="N40" s="242"/>
      <c r="O40" s="241"/>
      <c r="P40" s="240"/>
    </row>
    <row r="41" spans="1:18" s="162" customFormat="1">
      <c r="A41" s="164" t="s">
        <v>1315</v>
      </c>
      <c r="B41" s="164"/>
      <c r="C41" s="164" t="s">
        <v>107</v>
      </c>
      <c r="D41" s="164" t="s">
        <v>4</v>
      </c>
      <c r="E41" s="166" t="s">
        <v>108</v>
      </c>
      <c r="F41" s="166" t="s">
        <v>109</v>
      </c>
      <c r="G41" s="164" t="s">
        <v>1314</v>
      </c>
      <c r="H41" s="164" t="s">
        <v>1313</v>
      </c>
      <c r="I41" s="165" t="s">
        <v>1312</v>
      </c>
      <c r="J41" s="163" t="s">
        <v>1311</v>
      </c>
      <c r="K41" s="163" t="s">
        <v>110</v>
      </c>
      <c r="L41" s="163" t="s">
        <v>1310</v>
      </c>
      <c r="M41" s="164" t="s">
        <v>111</v>
      </c>
      <c r="N41" s="163" t="s">
        <v>949</v>
      </c>
      <c r="O41" s="163" t="s">
        <v>948</v>
      </c>
      <c r="P41" s="163" t="s">
        <v>129</v>
      </c>
    </row>
    <row r="42" spans="1:18">
      <c r="A42" s="24">
        <v>270</v>
      </c>
      <c r="B42" s="161" t="s">
        <v>1399</v>
      </c>
      <c r="C42" s="1" t="s">
        <v>1398</v>
      </c>
      <c r="D42" s="1" t="s">
        <v>1397</v>
      </c>
      <c r="E42" s="3">
        <v>3.835</v>
      </c>
      <c r="F42" s="3">
        <v>3.8349999764999998</v>
      </c>
      <c r="G42" s="124">
        <v>42664</v>
      </c>
      <c r="H42" s="24" t="s">
        <v>151</v>
      </c>
      <c r="I42" s="130">
        <v>17.39</v>
      </c>
      <c r="J42" s="3">
        <v>15.95</v>
      </c>
      <c r="K42" s="24">
        <v>14.35</v>
      </c>
      <c r="L42" s="159">
        <v>0.91719378953421504</v>
      </c>
      <c r="M42" s="24">
        <v>5</v>
      </c>
      <c r="N42" s="2">
        <v>43055</v>
      </c>
      <c r="O42" s="24">
        <v>10.39</v>
      </c>
      <c r="P42" s="157">
        <v>0.66081504702194371</v>
      </c>
    </row>
    <row r="43" spans="1:18" s="162" customFormat="1">
      <c r="C43" s="16" t="s">
        <v>112</v>
      </c>
      <c r="D43" s="16" t="s">
        <v>113</v>
      </c>
      <c r="E43" s="16" t="s">
        <v>1305</v>
      </c>
      <c r="F43" s="17" t="s">
        <v>1304</v>
      </c>
      <c r="G43" s="16" t="s">
        <v>1303</v>
      </c>
      <c r="I43" s="239"/>
      <c r="J43" s="239"/>
    </row>
    <row r="44" spans="1:18">
      <c r="C44" s="11" t="str">
        <f t="shared" ref="C44:C48" si="0">IF(J46=0,"",J46)</f>
        <v>嘉实基金管理有限公司</v>
      </c>
      <c r="D44" s="11">
        <f t="shared" ref="D44:D48" si="1">K46</f>
        <v>15.25</v>
      </c>
      <c r="E44" s="10">
        <f t="shared" ref="E44:E48" si="2">M46/10000</f>
        <v>0.73199999999999998</v>
      </c>
      <c r="F44" s="11" t="str">
        <f t="shared" ref="F44:F60" si="3">IFERROR(VLOOKUP(C44,P$45:R$49,2,FALSE)/10000,"")</f>
        <v/>
      </c>
      <c r="G44" s="11" t="str">
        <f t="shared" ref="G44:G60" si="4">IFERROR(F44*J$42/10000,"")</f>
        <v/>
      </c>
      <c r="I44" s="1680" t="s">
        <v>118</v>
      </c>
      <c r="J44" s="1680" t="s">
        <v>424</v>
      </c>
      <c r="K44" s="225" t="s">
        <v>1396</v>
      </c>
      <c r="L44" s="1681" t="s">
        <v>1395</v>
      </c>
      <c r="M44" s="1682" t="s">
        <v>393</v>
      </c>
      <c r="N44" s="478"/>
      <c r="O44" s="85" t="s">
        <v>118</v>
      </c>
      <c r="P44" s="225" t="s">
        <v>1320</v>
      </c>
      <c r="Q44" s="225" t="s">
        <v>323</v>
      </c>
      <c r="R44" s="225" t="s">
        <v>1346</v>
      </c>
    </row>
    <row r="45" spans="1:18">
      <c r="C45" s="11" t="str">
        <f t="shared" si="0"/>
        <v/>
      </c>
      <c r="D45" s="11">
        <f t="shared" si="1"/>
        <v>15.05</v>
      </c>
      <c r="E45" s="10">
        <f t="shared" si="2"/>
        <v>1.8812500000000001</v>
      </c>
      <c r="F45" s="11" t="str">
        <f t="shared" si="3"/>
        <v/>
      </c>
      <c r="G45" s="11" t="str">
        <f t="shared" si="4"/>
        <v/>
      </c>
      <c r="I45" s="1680"/>
      <c r="J45" s="1680"/>
      <c r="K45" s="225" t="s">
        <v>1389</v>
      </c>
      <c r="L45" s="1681"/>
      <c r="M45" s="1682"/>
      <c r="N45" s="478"/>
      <c r="O45" s="237">
        <v>1</v>
      </c>
      <c r="P45" s="192" t="s">
        <v>1394</v>
      </c>
      <c r="Q45" s="236">
        <v>4800000</v>
      </c>
      <c r="R45" s="234">
        <v>76560000</v>
      </c>
    </row>
    <row r="46" spans="1:18">
      <c r="C46" s="11" t="str">
        <f t="shared" si="0"/>
        <v>国投瑞银基金管理有限公司</v>
      </c>
      <c r="D46" s="11">
        <f t="shared" si="1"/>
        <v>17</v>
      </c>
      <c r="E46" s="10">
        <f t="shared" si="2"/>
        <v>0.81599999999999995</v>
      </c>
      <c r="F46" s="10">
        <f t="shared" si="3"/>
        <v>480</v>
      </c>
      <c r="G46" s="11">
        <f t="shared" si="4"/>
        <v>0.76559999999999995</v>
      </c>
      <c r="I46" s="238"/>
      <c r="J46" s="192" t="s">
        <v>228</v>
      </c>
      <c r="K46" s="471">
        <v>15.25</v>
      </c>
      <c r="L46" s="471">
        <v>480</v>
      </c>
      <c r="M46" s="472">
        <v>7320</v>
      </c>
      <c r="N46" s="478"/>
      <c r="O46" s="237">
        <v>2</v>
      </c>
      <c r="P46" s="192" t="s">
        <v>233</v>
      </c>
      <c r="Q46" s="236">
        <v>4800000</v>
      </c>
      <c r="R46" s="234">
        <v>76560000</v>
      </c>
    </row>
    <row r="47" spans="1:18">
      <c r="C47" s="11" t="str">
        <f t="shared" si="0"/>
        <v>第一创业证券股份有限公司</v>
      </c>
      <c r="D47" s="11">
        <f t="shared" si="1"/>
        <v>14.83</v>
      </c>
      <c r="E47" s="10">
        <f t="shared" si="2"/>
        <v>1.49783</v>
      </c>
      <c r="F47" s="10" t="str">
        <f t="shared" si="3"/>
        <v/>
      </c>
      <c r="G47" s="11" t="str">
        <f t="shared" si="4"/>
        <v/>
      </c>
      <c r="I47" s="470">
        <v>1</v>
      </c>
      <c r="J47" s="25"/>
      <c r="K47" s="471">
        <v>15.05</v>
      </c>
      <c r="L47" s="234">
        <v>1250</v>
      </c>
      <c r="M47" s="472">
        <v>18812.5</v>
      </c>
      <c r="N47" s="478"/>
      <c r="O47" s="237">
        <v>3</v>
      </c>
      <c r="P47" s="192" t="s">
        <v>955</v>
      </c>
      <c r="Q47" s="236">
        <v>4800000</v>
      </c>
      <c r="R47" s="234">
        <v>76560000</v>
      </c>
    </row>
    <row r="48" spans="1:18">
      <c r="C48" s="11" t="str">
        <f t="shared" si="0"/>
        <v>深圳平安大华汇通财富管理有限公司限公司</v>
      </c>
      <c r="D48" s="11">
        <f t="shared" si="1"/>
        <v>15.83</v>
      </c>
      <c r="E48" s="10">
        <f t="shared" si="2"/>
        <v>0.75983999999999996</v>
      </c>
      <c r="F48" s="10" t="str">
        <f t="shared" si="3"/>
        <v/>
      </c>
      <c r="G48" s="11" t="str">
        <f t="shared" si="4"/>
        <v/>
      </c>
      <c r="I48" s="470">
        <v>2</v>
      </c>
      <c r="J48" s="192" t="s">
        <v>955</v>
      </c>
      <c r="K48" s="471">
        <v>17</v>
      </c>
      <c r="L48" s="471">
        <v>480</v>
      </c>
      <c r="M48" s="472">
        <v>8160</v>
      </c>
      <c r="N48" s="478"/>
      <c r="O48" s="237">
        <v>4</v>
      </c>
      <c r="P48" s="192" t="s">
        <v>173</v>
      </c>
      <c r="Q48" s="236">
        <v>4900000</v>
      </c>
      <c r="R48" s="234">
        <v>78155000</v>
      </c>
    </row>
    <row r="49" spans="3:18">
      <c r="C49" s="11" t="str">
        <f t="shared" ref="C49:C60" si="5">IF(J52=0,"",J52)</f>
        <v>国泰基金管理有限公司</v>
      </c>
      <c r="D49" s="11">
        <f t="shared" ref="D49:D60" si="6">K52</f>
        <v>17.059999999999999</v>
      </c>
      <c r="E49" s="10">
        <f t="shared" ref="E49:E60" si="7">M52/10000</f>
        <v>0.81888000000000005</v>
      </c>
      <c r="F49" s="10">
        <f t="shared" si="3"/>
        <v>480</v>
      </c>
      <c r="G49" s="11">
        <f t="shared" si="4"/>
        <v>0.76559999999999995</v>
      </c>
      <c r="I49" s="470">
        <v>3</v>
      </c>
      <c r="J49" s="192" t="s">
        <v>127</v>
      </c>
      <c r="K49" s="471">
        <v>14.83</v>
      </c>
      <c r="L49" s="234">
        <v>1010</v>
      </c>
      <c r="M49" s="472">
        <v>14978.3</v>
      </c>
      <c r="N49" s="478"/>
      <c r="O49" s="237">
        <v>5</v>
      </c>
      <c r="P49" s="192" t="s">
        <v>115</v>
      </c>
      <c r="Q49" s="236">
        <v>4743887</v>
      </c>
      <c r="R49" s="234">
        <v>75664997.650000006</v>
      </c>
    </row>
    <row r="50" spans="3:18">
      <c r="C50" s="11" t="str">
        <f t="shared" si="5"/>
        <v>博时基金管理有限公司</v>
      </c>
      <c r="D50" s="11">
        <f t="shared" si="6"/>
        <v>16.149999999999999</v>
      </c>
      <c r="E50" s="10">
        <f t="shared" si="7"/>
        <v>0.79135</v>
      </c>
      <c r="F50" s="10">
        <f t="shared" si="3"/>
        <v>490</v>
      </c>
      <c r="G50" s="11">
        <f t="shared" si="4"/>
        <v>0.78154999999999997</v>
      </c>
      <c r="I50" s="1676">
        <v>4</v>
      </c>
      <c r="J50" s="192" t="s">
        <v>3166</v>
      </c>
      <c r="K50" s="1677">
        <v>15.83</v>
      </c>
      <c r="L50" s="1677">
        <v>480</v>
      </c>
      <c r="M50" s="1678">
        <v>7598.4</v>
      </c>
      <c r="N50" s="478"/>
      <c r="O50" s="25"/>
      <c r="P50" s="25"/>
      <c r="Q50" s="25"/>
      <c r="R50" s="25"/>
    </row>
    <row r="51" spans="3:18">
      <c r="C51" s="11" t="str">
        <f t="shared" si="5"/>
        <v>平安大华基金管理有限公司</v>
      </c>
      <c r="D51" s="11">
        <f t="shared" si="6"/>
        <v>15.24</v>
      </c>
      <c r="E51" s="10">
        <f t="shared" si="7"/>
        <v>0.94487999999999994</v>
      </c>
      <c r="F51" s="10" t="str">
        <f t="shared" si="3"/>
        <v/>
      </c>
      <c r="G51" s="11" t="str">
        <f t="shared" si="4"/>
        <v/>
      </c>
      <c r="I51" s="1676"/>
      <c r="J51" s="192"/>
      <c r="K51" s="1677"/>
      <c r="L51" s="1677"/>
      <c r="M51" s="1678"/>
      <c r="N51" s="478"/>
      <c r="O51" s="25"/>
      <c r="P51" s="25"/>
      <c r="Q51" s="25"/>
      <c r="R51" s="25"/>
    </row>
    <row r="52" spans="3:18">
      <c r="C52" s="11" t="str">
        <f t="shared" si="5"/>
        <v/>
      </c>
      <c r="D52" s="11">
        <f t="shared" si="6"/>
        <v>15.12</v>
      </c>
      <c r="E52" s="10">
        <f t="shared" si="7"/>
        <v>0.96767999999999987</v>
      </c>
      <c r="F52" s="10" t="str">
        <f t="shared" si="3"/>
        <v/>
      </c>
      <c r="G52" s="11" t="str">
        <f t="shared" si="4"/>
        <v/>
      </c>
      <c r="I52" s="470">
        <v>5</v>
      </c>
      <c r="J52" s="192" t="s">
        <v>233</v>
      </c>
      <c r="K52" s="471">
        <v>17.059999999999999</v>
      </c>
      <c r="L52" s="471">
        <v>480</v>
      </c>
      <c r="M52" s="472">
        <v>8188.8</v>
      </c>
      <c r="N52" s="478"/>
      <c r="O52" s="25"/>
      <c r="P52" s="25"/>
      <c r="Q52" s="25"/>
      <c r="R52" s="25"/>
    </row>
    <row r="53" spans="3:18">
      <c r="C53" s="11" t="str">
        <f t="shared" si="5"/>
        <v>财通基金管理有限公司</v>
      </c>
      <c r="D53" s="11">
        <f t="shared" si="6"/>
        <v>15.95</v>
      </c>
      <c r="E53" s="10">
        <f t="shared" si="7"/>
        <v>1.0686500000000001</v>
      </c>
      <c r="F53" s="10">
        <f t="shared" si="3"/>
        <v>474.38869999999997</v>
      </c>
      <c r="G53" s="11">
        <f t="shared" si="4"/>
        <v>0.75664997649999999</v>
      </c>
      <c r="I53" s="470">
        <v>6</v>
      </c>
      <c r="J53" s="192" t="s">
        <v>173</v>
      </c>
      <c r="K53" s="471">
        <v>16.149999999999999</v>
      </c>
      <c r="L53" s="471">
        <v>490</v>
      </c>
      <c r="M53" s="472">
        <v>7913.5</v>
      </c>
      <c r="N53" s="478"/>
      <c r="O53" s="25"/>
      <c r="P53" s="25"/>
      <c r="Q53" s="25"/>
      <c r="R53" s="25"/>
    </row>
    <row r="54" spans="3:18">
      <c r="C54" s="11" t="str">
        <f t="shared" si="5"/>
        <v/>
      </c>
      <c r="D54" s="11">
        <f t="shared" si="6"/>
        <v>15.5</v>
      </c>
      <c r="E54" s="10">
        <f t="shared" si="7"/>
        <v>1.4259999999999999</v>
      </c>
      <c r="F54" s="10" t="str">
        <f t="shared" si="3"/>
        <v/>
      </c>
      <c r="G54" s="11" t="str">
        <f t="shared" si="4"/>
        <v/>
      </c>
      <c r="I54" s="235"/>
      <c r="J54" s="192" t="s">
        <v>146</v>
      </c>
      <c r="K54" s="471">
        <v>15.24</v>
      </c>
      <c r="L54" s="471">
        <v>620</v>
      </c>
      <c r="M54" s="472">
        <v>9448.7999999999993</v>
      </c>
      <c r="N54" s="478"/>
      <c r="O54" s="25"/>
      <c r="P54" s="25"/>
      <c r="Q54" s="25"/>
      <c r="R54" s="25"/>
    </row>
    <row r="55" spans="3:18">
      <c r="C55" s="11" t="str">
        <f t="shared" si="5"/>
        <v/>
      </c>
      <c r="D55" s="11">
        <f t="shared" si="6"/>
        <v>15</v>
      </c>
      <c r="E55" s="10">
        <f t="shared" si="7"/>
        <v>1.65</v>
      </c>
      <c r="F55" s="10" t="str">
        <f t="shared" si="3"/>
        <v/>
      </c>
      <c r="G55" s="11" t="str">
        <f t="shared" si="4"/>
        <v/>
      </c>
      <c r="I55" s="470">
        <v>7</v>
      </c>
      <c r="J55" s="25"/>
      <c r="K55" s="471">
        <v>15.12</v>
      </c>
      <c r="L55" s="471">
        <v>640</v>
      </c>
      <c r="M55" s="472">
        <v>9676.7999999999993</v>
      </c>
      <c r="N55" s="478"/>
      <c r="O55" s="25"/>
      <c r="P55" s="25"/>
      <c r="Q55" s="25"/>
      <c r="R55" s="25"/>
    </row>
    <row r="56" spans="3:18" ht="17.5">
      <c r="C56" s="11" t="str">
        <f t="shared" si="5"/>
        <v>信诚基金管理有限公司</v>
      </c>
      <c r="D56" s="11">
        <f t="shared" si="6"/>
        <v>14.62</v>
      </c>
      <c r="E56" s="10">
        <f t="shared" si="7"/>
        <v>0.70176000000000005</v>
      </c>
      <c r="F56" s="10" t="str">
        <f t="shared" si="3"/>
        <v/>
      </c>
      <c r="G56" s="11" t="str">
        <f t="shared" si="4"/>
        <v/>
      </c>
      <c r="I56" s="198"/>
      <c r="J56" s="192" t="s">
        <v>115</v>
      </c>
      <c r="K56" s="471">
        <v>15.95</v>
      </c>
      <c r="L56" s="471">
        <v>670</v>
      </c>
      <c r="M56" s="472">
        <v>10686.5</v>
      </c>
      <c r="N56" s="478"/>
      <c r="O56" s="25"/>
      <c r="P56" s="25"/>
      <c r="Q56" s="25"/>
      <c r="R56" s="25"/>
    </row>
    <row r="57" spans="3:18">
      <c r="C57" s="11" t="str">
        <f t="shared" si="5"/>
        <v>北信瑞丰基金管理有限公司</v>
      </c>
      <c r="D57" s="11">
        <f t="shared" si="6"/>
        <v>15.8</v>
      </c>
      <c r="E57" s="10">
        <f t="shared" si="7"/>
        <v>0.79</v>
      </c>
      <c r="F57" s="10" t="str">
        <f t="shared" si="3"/>
        <v/>
      </c>
      <c r="G57" s="11" t="str">
        <f t="shared" si="4"/>
        <v/>
      </c>
      <c r="I57" s="470">
        <v>8</v>
      </c>
      <c r="J57" s="25"/>
      <c r="K57" s="471">
        <v>15.5</v>
      </c>
      <c r="L57" s="471">
        <v>920</v>
      </c>
      <c r="M57" s="472">
        <v>14260</v>
      </c>
      <c r="N57" s="478"/>
      <c r="O57" s="25"/>
      <c r="P57" s="25"/>
      <c r="Q57" s="25"/>
      <c r="R57" s="25"/>
    </row>
    <row r="58" spans="3:18">
      <c r="C58" s="11" t="str">
        <f t="shared" si="5"/>
        <v>华安基金管理有限公司</v>
      </c>
      <c r="D58" s="11">
        <f t="shared" si="6"/>
        <v>15.63</v>
      </c>
      <c r="E58" s="10">
        <f t="shared" si="7"/>
        <v>0.85965000000000003</v>
      </c>
      <c r="F58" s="10" t="str">
        <f t="shared" si="3"/>
        <v/>
      </c>
      <c r="G58" s="11" t="str">
        <f t="shared" si="4"/>
        <v/>
      </c>
      <c r="I58" s="25"/>
      <c r="J58" s="25"/>
      <c r="K58" s="471">
        <v>15</v>
      </c>
      <c r="L58" s="234">
        <v>1100</v>
      </c>
      <c r="M58" s="472">
        <v>16500</v>
      </c>
      <c r="N58" s="478"/>
      <c r="O58" s="25"/>
      <c r="P58" s="25"/>
      <c r="Q58" s="25"/>
      <c r="R58" s="25"/>
    </row>
    <row r="59" spans="3:18">
      <c r="C59" s="11" t="str">
        <f t="shared" si="5"/>
        <v>李洪国</v>
      </c>
      <c r="D59" s="11">
        <f t="shared" si="6"/>
        <v>17.3</v>
      </c>
      <c r="E59" s="10">
        <f t="shared" si="7"/>
        <v>0.83040000000000003</v>
      </c>
      <c r="F59" s="10">
        <f t="shared" si="3"/>
        <v>480</v>
      </c>
      <c r="G59" s="11">
        <f t="shared" si="4"/>
        <v>0.76559999999999995</v>
      </c>
      <c r="I59" s="470">
        <v>9</v>
      </c>
      <c r="J59" s="192" t="s">
        <v>300</v>
      </c>
      <c r="K59" s="471">
        <v>14.62</v>
      </c>
      <c r="L59" s="471">
        <v>480</v>
      </c>
      <c r="M59" s="472">
        <v>7017.6</v>
      </c>
      <c r="N59" s="478"/>
      <c r="O59" s="25"/>
      <c r="P59" s="25"/>
      <c r="Q59" s="25"/>
      <c r="R59" s="25"/>
    </row>
    <row r="60" spans="3:18">
      <c r="C60" s="11" t="str">
        <f t="shared" si="5"/>
        <v>诺安基金管理有限公司</v>
      </c>
      <c r="D60" s="11">
        <f t="shared" si="6"/>
        <v>14.55</v>
      </c>
      <c r="E60" s="10">
        <f t="shared" si="7"/>
        <v>0.69840000000000002</v>
      </c>
      <c r="F60" s="11" t="str">
        <f t="shared" si="3"/>
        <v/>
      </c>
      <c r="G60" s="11" t="str">
        <f t="shared" si="4"/>
        <v/>
      </c>
      <c r="I60" s="470">
        <v>10</v>
      </c>
      <c r="J60" s="192" t="s">
        <v>336</v>
      </c>
      <c r="K60" s="471">
        <v>15.8</v>
      </c>
      <c r="L60" s="471">
        <v>500</v>
      </c>
      <c r="M60" s="472">
        <v>7900</v>
      </c>
      <c r="N60" s="478"/>
      <c r="O60" s="25"/>
      <c r="P60" s="25"/>
      <c r="Q60" s="25"/>
      <c r="R60" s="25"/>
    </row>
    <row r="61" spans="3:18">
      <c r="C61" s="24" t="str">
        <f>IF(J65=0,"",J65)</f>
        <v/>
      </c>
      <c r="I61" s="470">
        <v>11</v>
      </c>
      <c r="J61" s="192" t="s">
        <v>136</v>
      </c>
      <c r="K61" s="471">
        <v>15.63</v>
      </c>
      <c r="L61" s="471">
        <v>550</v>
      </c>
      <c r="M61" s="472">
        <v>8596.5</v>
      </c>
      <c r="N61" s="478"/>
      <c r="O61" s="25"/>
      <c r="P61" s="25"/>
      <c r="Q61" s="25"/>
      <c r="R61" s="25"/>
    </row>
    <row r="62" spans="3:18">
      <c r="I62" s="470">
        <v>12</v>
      </c>
      <c r="J62" s="192" t="s">
        <v>1394</v>
      </c>
      <c r="K62" s="471">
        <v>17.3</v>
      </c>
      <c r="L62" s="471">
        <v>480</v>
      </c>
      <c r="M62" s="472">
        <v>8304</v>
      </c>
      <c r="N62" s="478"/>
      <c r="O62" s="25"/>
      <c r="P62" s="25"/>
      <c r="Q62" s="25"/>
      <c r="R62" s="25"/>
    </row>
    <row r="63" spans="3:18">
      <c r="I63" s="470">
        <v>13</v>
      </c>
      <c r="J63" s="192" t="s">
        <v>147</v>
      </c>
      <c r="K63" s="471">
        <v>14.55</v>
      </c>
      <c r="L63" s="471">
        <v>480</v>
      </c>
      <c r="M63" s="472">
        <v>6984</v>
      </c>
      <c r="N63" s="478"/>
      <c r="O63" s="25"/>
      <c r="P63" s="25"/>
      <c r="Q63" s="25"/>
      <c r="R63" s="25"/>
    </row>
    <row r="64" spans="3:18">
      <c r="I64" s="482"/>
      <c r="J64" s="479"/>
      <c r="K64" s="480"/>
      <c r="L64" s="480"/>
      <c r="M64" s="481"/>
      <c r="N64" s="478"/>
      <c r="O64" s="25"/>
      <c r="P64" s="25"/>
      <c r="Q64" s="25"/>
      <c r="R64" s="25"/>
    </row>
    <row r="66" spans="1:19" s="162" customFormat="1">
      <c r="A66" s="164" t="s">
        <v>1315</v>
      </c>
      <c r="B66" s="164"/>
      <c r="C66" s="164" t="s">
        <v>107</v>
      </c>
      <c r="D66" s="164" t="s">
        <v>4</v>
      </c>
      <c r="E66" s="166" t="s">
        <v>108</v>
      </c>
      <c r="F66" s="166" t="s">
        <v>109</v>
      </c>
      <c r="G66" s="164" t="s">
        <v>1314</v>
      </c>
      <c r="H66" s="164" t="s">
        <v>1313</v>
      </c>
      <c r="I66" s="165" t="s">
        <v>1312</v>
      </c>
      <c r="J66" s="163" t="s">
        <v>1311</v>
      </c>
      <c r="K66" s="163" t="s">
        <v>110</v>
      </c>
      <c r="L66" s="163" t="s">
        <v>1310</v>
      </c>
      <c r="M66" s="164" t="s">
        <v>111</v>
      </c>
      <c r="N66" s="163" t="s">
        <v>949</v>
      </c>
      <c r="O66" s="163" t="s">
        <v>948</v>
      </c>
      <c r="P66" s="163" t="s">
        <v>129</v>
      </c>
    </row>
    <row r="67" spans="1:19">
      <c r="A67" s="24">
        <v>271</v>
      </c>
      <c r="B67" s="161" t="s">
        <v>1393</v>
      </c>
      <c r="C67" s="1" t="s">
        <v>1392</v>
      </c>
      <c r="D67" s="1" t="s">
        <v>1391</v>
      </c>
      <c r="E67" s="3">
        <v>10</v>
      </c>
      <c r="F67" s="3">
        <v>9.9999999639000006</v>
      </c>
      <c r="G67" s="124">
        <v>42662</v>
      </c>
      <c r="H67" s="24" t="s">
        <v>204</v>
      </c>
      <c r="I67" s="130">
        <v>20.059999999999999</v>
      </c>
      <c r="J67" s="3">
        <v>17.91</v>
      </c>
      <c r="K67" s="160">
        <v>16.71</v>
      </c>
      <c r="L67" s="159">
        <v>0.89282153539381859</v>
      </c>
      <c r="M67" s="24">
        <v>8</v>
      </c>
      <c r="N67" s="2">
        <v>43056</v>
      </c>
      <c r="O67" s="24">
        <v>10.94</v>
      </c>
      <c r="P67" s="157">
        <v>0.61083193746510323</v>
      </c>
    </row>
    <row r="68" spans="1:19" s="162" customFormat="1">
      <c r="C68" s="16" t="s">
        <v>112</v>
      </c>
      <c r="D68" s="16" t="s">
        <v>113</v>
      </c>
      <c r="E68" s="16" t="s">
        <v>1305</v>
      </c>
      <c r="F68" s="17" t="s">
        <v>1304</v>
      </c>
      <c r="G68" s="16" t="s">
        <v>1303</v>
      </c>
      <c r="I68" s="469" t="s">
        <v>118</v>
      </c>
      <c r="J68" s="469" t="s">
        <v>296</v>
      </c>
      <c r="K68" s="469" t="s">
        <v>1390</v>
      </c>
      <c r="L68" s="469" t="s">
        <v>1300</v>
      </c>
      <c r="M68" s="233"/>
      <c r="N68" s="1680" t="s">
        <v>118</v>
      </c>
      <c r="O68" s="1680" t="s">
        <v>296</v>
      </c>
      <c r="P68" s="225" t="s">
        <v>488</v>
      </c>
      <c r="Q68" s="85" t="s">
        <v>401</v>
      </c>
      <c r="R68" s="225" t="s">
        <v>1311</v>
      </c>
      <c r="S68" s="85" t="s">
        <v>160</v>
      </c>
    </row>
    <row r="69" spans="1:19">
      <c r="C69" s="11" t="str">
        <f t="shared" ref="C69:C81" si="8">IF(J69=0,"",J69)</f>
        <v>中融基金管理有限公司</v>
      </c>
      <c r="D69" s="11">
        <f t="shared" ref="D69:D81" si="9">K69</f>
        <v>20.5</v>
      </c>
      <c r="E69" s="10">
        <f t="shared" ref="E69:E81" si="10">L69/100000000</f>
        <v>2</v>
      </c>
      <c r="F69" s="10">
        <f t="shared" ref="F69:F81" si="11">IFERROR(VLOOKUP(C69,O$71:S$88,5,FALSE)/10000,"")</f>
        <v>1116.6940999999999</v>
      </c>
      <c r="G69" s="10">
        <f t="shared" ref="G69:G81" si="12">IFERROR(F69*J$67/10000,"")</f>
        <v>1.9999991330999998</v>
      </c>
      <c r="I69" s="470">
        <v>1</v>
      </c>
      <c r="J69" s="204" t="s">
        <v>629</v>
      </c>
      <c r="K69" s="470">
        <v>20.5</v>
      </c>
      <c r="L69" s="470">
        <v>200000000</v>
      </c>
      <c r="M69" s="25"/>
      <c r="N69" s="1680"/>
      <c r="O69" s="1680"/>
      <c r="P69" s="225" t="s">
        <v>1389</v>
      </c>
      <c r="Q69" s="85" t="s">
        <v>1316</v>
      </c>
      <c r="R69" s="225" t="s">
        <v>1389</v>
      </c>
      <c r="S69" s="85" t="s">
        <v>1317</v>
      </c>
    </row>
    <row r="70" spans="1:19">
      <c r="C70" s="11" t="str">
        <f t="shared" si="8"/>
        <v>宝盈基金管理有限公司</v>
      </c>
      <c r="D70" s="11">
        <f t="shared" si="9"/>
        <v>18.600000000000001</v>
      </c>
      <c r="E70" s="10">
        <f t="shared" si="10"/>
        <v>1</v>
      </c>
      <c r="F70" s="10">
        <f t="shared" si="11"/>
        <v>558.34720000000004</v>
      </c>
      <c r="G70" s="10">
        <f t="shared" si="12"/>
        <v>0.99999983520000002</v>
      </c>
      <c r="I70" s="1676">
        <v>2</v>
      </c>
      <c r="J70" s="203" t="s">
        <v>332</v>
      </c>
      <c r="K70" s="470">
        <v>18.600000000000001</v>
      </c>
      <c r="L70" s="167">
        <v>100000000</v>
      </c>
      <c r="M70" s="25"/>
      <c r="N70" s="146"/>
      <c r="O70" s="232"/>
      <c r="P70" s="146"/>
      <c r="Q70" s="146"/>
      <c r="R70" s="156"/>
      <c r="S70" s="146"/>
    </row>
    <row r="71" spans="1:19">
      <c r="C71" s="11" t="str">
        <f t="shared" si="8"/>
        <v/>
      </c>
      <c r="D71" s="11">
        <f t="shared" si="9"/>
        <v>17</v>
      </c>
      <c r="E71" s="10">
        <f t="shared" si="10"/>
        <v>1.2</v>
      </c>
      <c r="F71" s="10" t="str">
        <f t="shared" si="11"/>
        <v/>
      </c>
      <c r="G71" s="10" t="str">
        <f t="shared" si="12"/>
        <v/>
      </c>
      <c r="I71" s="1676"/>
      <c r="J71" s="25"/>
      <c r="K71" s="470">
        <v>17</v>
      </c>
      <c r="L71" s="167">
        <v>120000000</v>
      </c>
      <c r="M71" s="25"/>
      <c r="N71" s="168">
        <v>1</v>
      </c>
      <c r="O71" s="204" t="s">
        <v>629</v>
      </c>
      <c r="P71" s="190">
        <v>20.5</v>
      </c>
      <c r="Q71" s="193">
        <v>200000000</v>
      </c>
      <c r="R71" s="156"/>
      <c r="S71" s="168">
        <v>11166941</v>
      </c>
    </row>
    <row r="72" spans="1:19" ht="17">
      <c r="C72" s="11" t="str">
        <f t="shared" si="8"/>
        <v>财通基金管理有限公司</v>
      </c>
      <c r="D72" s="11">
        <f t="shared" si="9"/>
        <v>18.5</v>
      </c>
      <c r="E72" s="10">
        <f t="shared" si="10"/>
        <v>1.08</v>
      </c>
      <c r="F72" s="10">
        <f t="shared" si="11"/>
        <v>1122.2768000000001</v>
      </c>
      <c r="G72" s="10">
        <f t="shared" si="12"/>
        <v>2.0099977488</v>
      </c>
      <c r="I72" s="231"/>
      <c r="J72" s="203" t="s">
        <v>115</v>
      </c>
      <c r="K72" s="470">
        <v>18.5</v>
      </c>
      <c r="L72" s="167">
        <v>108000000</v>
      </c>
      <c r="M72" s="25"/>
      <c r="N72" s="231"/>
      <c r="O72" s="229"/>
      <c r="P72" s="190">
        <v>18.600000000000001</v>
      </c>
      <c r="Q72" s="193">
        <v>100000000</v>
      </c>
      <c r="R72" s="156"/>
      <c r="S72" s="231"/>
    </row>
    <row r="73" spans="1:19" ht="16.5">
      <c r="C73" s="11" t="str">
        <f t="shared" si="8"/>
        <v/>
      </c>
      <c r="D73" s="11">
        <f t="shared" si="9"/>
        <v>18</v>
      </c>
      <c r="E73" s="10">
        <f t="shared" si="10"/>
        <v>2.0099999999999998</v>
      </c>
      <c r="F73" s="10" t="str">
        <f t="shared" si="11"/>
        <v/>
      </c>
      <c r="G73" s="10" t="str">
        <f t="shared" si="12"/>
        <v/>
      </c>
      <c r="I73" s="470">
        <v>3</v>
      </c>
      <c r="J73" s="25"/>
      <c r="K73" s="470">
        <v>18</v>
      </c>
      <c r="L73" s="167">
        <v>201000000</v>
      </c>
      <c r="M73" s="25"/>
      <c r="N73" s="168">
        <v>2</v>
      </c>
      <c r="O73" s="203" t="s">
        <v>332</v>
      </c>
      <c r="P73" s="168">
        <v>17</v>
      </c>
      <c r="Q73" s="193">
        <v>120000000</v>
      </c>
      <c r="R73" s="229"/>
      <c r="S73" s="191">
        <v>5583472</v>
      </c>
    </row>
    <row r="74" spans="1:19">
      <c r="C74" s="11" t="str">
        <f t="shared" si="8"/>
        <v/>
      </c>
      <c r="D74" s="11">
        <f t="shared" si="9"/>
        <v>16.75</v>
      </c>
      <c r="E74" s="10">
        <f t="shared" si="10"/>
        <v>2.67</v>
      </c>
      <c r="F74" s="10" t="str">
        <f t="shared" si="11"/>
        <v/>
      </c>
      <c r="G74" s="10" t="str">
        <f t="shared" si="12"/>
        <v/>
      </c>
      <c r="I74" s="64"/>
      <c r="J74" s="64"/>
      <c r="K74" s="470">
        <v>16.75</v>
      </c>
      <c r="L74" s="167">
        <v>267000000</v>
      </c>
      <c r="M74" s="25"/>
      <c r="N74" s="168">
        <v>3</v>
      </c>
      <c r="O74" s="204" t="s">
        <v>1142</v>
      </c>
      <c r="P74" s="190">
        <v>18.309999999999999</v>
      </c>
      <c r="Q74" s="193">
        <v>100000000</v>
      </c>
      <c r="R74" s="191">
        <v>17.91</v>
      </c>
      <c r="S74" s="168">
        <v>5583472</v>
      </c>
    </row>
    <row r="75" spans="1:19">
      <c r="C75" s="11" t="str">
        <f t="shared" si="8"/>
        <v>国信证券股份有限公司</v>
      </c>
      <c r="D75" s="11">
        <f t="shared" si="9"/>
        <v>18.309999999999999</v>
      </c>
      <c r="E75" s="10">
        <f t="shared" si="10"/>
        <v>1</v>
      </c>
      <c r="F75" s="10">
        <f t="shared" si="11"/>
        <v>558.34720000000004</v>
      </c>
      <c r="G75" s="10">
        <f t="shared" si="12"/>
        <v>0.99999983520000002</v>
      </c>
      <c r="I75" s="470">
        <v>4</v>
      </c>
      <c r="J75" s="204" t="s">
        <v>1142</v>
      </c>
      <c r="K75" s="470">
        <v>18.309999999999999</v>
      </c>
      <c r="L75" s="167">
        <v>100000000</v>
      </c>
      <c r="M75" s="25"/>
      <c r="N75" s="168">
        <v>4</v>
      </c>
      <c r="O75" s="204" t="s">
        <v>278</v>
      </c>
      <c r="P75" s="190">
        <v>18.28</v>
      </c>
      <c r="Q75" s="193">
        <v>103000000</v>
      </c>
      <c r="R75" s="64"/>
      <c r="S75" s="168">
        <v>5750976</v>
      </c>
    </row>
    <row r="76" spans="1:19">
      <c r="C76" s="11" t="str">
        <f t="shared" si="8"/>
        <v>金鹰基金管理有限公司</v>
      </c>
      <c r="D76" s="11">
        <f t="shared" si="9"/>
        <v>18.28</v>
      </c>
      <c r="E76" s="10">
        <f t="shared" si="10"/>
        <v>1.03</v>
      </c>
      <c r="F76" s="10">
        <f t="shared" si="11"/>
        <v>575.09760000000006</v>
      </c>
      <c r="G76" s="10">
        <f t="shared" si="12"/>
        <v>1.0299998016</v>
      </c>
      <c r="I76" s="1676">
        <v>5</v>
      </c>
      <c r="J76" s="203" t="s">
        <v>278</v>
      </c>
      <c r="K76" s="470">
        <v>18.28</v>
      </c>
      <c r="L76" s="167">
        <v>103000000</v>
      </c>
      <c r="M76" s="25"/>
      <c r="N76" s="227"/>
      <c r="O76" s="227"/>
      <c r="P76" s="190">
        <v>17.88</v>
      </c>
      <c r="Q76" s="193">
        <v>121000000</v>
      </c>
      <c r="R76" s="227"/>
      <c r="S76" s="227"/>
    </row>
    <row r="77" spans="1:19" ht="17">
      <c r="C77" s="11" t="str">
        <f t="shared" si="8"/>
        <v/>
      </c>
      <c r="D77" s="11">
        <f t="shared" si="9"/>
        <v>17.88</v>
      </c>
      <c r="E77" s="10">
        <f t="shared" si="10"/>
        <v>1.21</v>
      </c>
      <c r="F77" s="10" t="str">
        <f t="shared" si="11"/>
        <v/>
      </c>
      <c r="G77" s="10" t="str">
        <f t="shared" si="12"/>
        <v/>
      </c>
      <c r="I77" s="1676"/>
      <c r="J77" s="25"/>
      <c r="K77" s="470">
        <v>17.88</v>
      </c>
      <c r="L77" s="167">
        <v>121000000</v>
      </c>
      <c r="M77" s="25"/>
      <c r="N77" s="231"/>
      <c r="O77" s="204"/>
      <c r="P77" s="231"/>
      <c r="Q77" s="231"/>
      <c r="R77" s="227"/>
      <c r="S77" s="231"/>
    </row>
    <row r="78" spans="1:19">
      <c r="C78" s="11" t="str">
        <f t="shared" si="8"/>
        <v>深圳市融通资本管理股份有限公司</v>
      </c>
      <c r="D78" s="11">
        <f t="shared" si="9"/>
        <v>18.28</v>
      </c>
      <c r="E78" s="10">
        <f t="shared" si="10"/>
        <v>1</v>
      </c>
      <c r="F78" s="10">
        <f t="shared" si="11"/>
        <v>558.34720000000004</v>
      </c>
      <c r="G78" s="10">
        <f t="shared" si="12"/>
        <v>0.99999983520000002</v>
      </c>
      <c r="I78" s="470">
        <v>6</v>
      </c>
      <c r="J78" s="204" t="s">
        <v>1072</v>
      </c>
      <c r="K78" s="470">
        <v>18.28</v>
      </c>
      <c r="L78" s="167">
        <v>100000000</v>
      </c>
      <c r="M78" s="25"/>
      <c r="N78" s="168">
        <v>5</v>
      </c>
      <c r="O78" s="204" t="s">
        <v>1388</v>
      </c>
      <c r="P78" s="190">
        <v>18.28</v>
      </c>
      <c r="Q78" s="193">
        <v>100000000</v>
      </c>
      <c r="R78" s="227"/>
      <c r="S78" s="191">
        <v>5583472</v>
      </c>
    </row>
    <row r="79" spans="1:19">
      <c r="C79" s="11" t="str">
        <f t="shared" si="8"/>
        <v>华泰柏瑞基金管理有限公司</v>
      </c>
      <c r="D79" s="11">
        <f t="shared" si="9"/>
        <v>18.28</v>
      </c>
      <c r="E79" s="10">
        <f t="shared" si="10"/>
        <v>1.1000000000000001</v>
      </c>
      <c r="F79" s="10">
        <f t="shared" si="11"/>
        <v>614.18200000000002</v>
      </c>
      <c r="G79" s="10">
        <f t="shared" si="12"/>
        <v>1.0999999620000001</v>
      </c>
      <c r="I79" s="470">
        <v>7</v>
      </c>
      <c r="J79" s="204" t="s">
        <v>122</v>
      </c>
      <c r="K79" s="470">
        <v>18.28</v>
      </c>
      <c r="L79" s="167">
        <v>110000000</v>
      </c>
      <c r="M79" s="25"/>
      <c r="N79" s="64"/>
      <c r="O79" s="25"/>
      <c r="P79" s="64"/>
      <c r="Q79" s="64"/>
      <c r="R79" s="227"/>
      <c r="S79" s="64"/>
    </row>
    <row r="80" spans="1:19" ht="17">
      <c r="C80" s="11" t="str">
        <f t="shared" si="8"/>
        <v>北信瑞丰基金管理有限公司</v>
      </c>
      <c r="D80" s="11">
        <f t="shared" si="9"/>
        <v>17.91</v>
      </c>
      <c r="E80" s="10">
        <f t="shared" si="10"/>
        <v>1.2250000000000001</v>
      </c>
      <c r="F80" s="10">
        <f t="shared" si="11"/>
        <v>480.18079999999998</v>
      </c>
      <c r="G80" s="10">
        <f t="shared" si="12"/>
        <v>0.86000381280000004</v>
      </c>
      <c r="I80" s="1676">
        <v>8</v>
      </c>
      <c r="J80" s="203" t="s">
        <v>336</v>
      </c>
      <c r="K80" s="470">
        <v>17.91</v>
      </c>
      <c r="L80" s="167">
        <v>122500000</v>
      </c>
      <c r="M80" s="25"/>
      <c r="N80" s="231"/>
      <c r="O80" s="25"/>
      <c r="P80" s="231"/>
      <c r="Q80" s="231"/>
      <c r="R80" s="227"/>
      <c r="S80" s="231"/>
    </row>
    <row r="81" spans="1:22">
      <c r="C81" s="11" t="str">
        <f t="shared" si="8"/>
        <v/>
      </c>
      <c r="D81" s="11">
        <f t="shared" si="9"/>
        <v>17.329999999999998</v>
      </c>
      <c r="E81" s="10">
        <f t="shared" si="10"/>
        <v>1.2350000000000001</v>
      </c>
      <c r="F81" s="10" t="str">
        <f t="shared" si="11"/>
        <v/>
      </c>
      <c r="G81" s="10" t="str">
        <f t="shared" si="12"/>
        <v/>
      </c>
      <c r="I81" s="1676"/>
      <c r="J81" s="25"/>
      <c r="K81" s="470">
        <v>17.329999999999998</v>
      </c>
      <c r="L81" s="167">
        <v>123500000</v>
      </c>
      <c r="M81" s="25"/>
      <c r="N81" s="168">
        <v>6</v>
      </c>
      <c r="O81" s="204" t="s">
        <v>1365</v>
      </c>
      <c r="P81" s="190">
        <v>18.28</v>
      </c>
      <c r="Q81" s="193">
        <v>110000000</v>
      </c>
      <c r="R81" s="227"/>
      <c r="S81" s="191">
        <v>6141820</v>
      </c>
    </row>
    <row r="82" spans="1:22">
      <c r="C82" s="11"/>
      <c r="D82" s="11">
        <v>16.71</v>
      </c>
      <c r="E82" s="10">
        <f>125000000/100000000</f>
        <v>1.25</v>
      </c>
      <c r="F82" s="11" t="str">
        <f t="shared" ref="F82" si="13">IFERROR(VLOOKUP(C82,O$71:S$88,5,FALSE)/10000,"")</f>
        <v/>
      </c>
      <c r="G82" s="11"/>
      <c r="I82" s="25"/>
      <c r="J82" s="25"/>
      <c r="K82" s="25"/>
      <c r="L82" s="25"/>
      <c r="M82" s="25"/>
      <c r="N82" s="64"/>
      <c r="O82" s="204"/>
      <c r="P82" s="64"/>
      <c r="Q82" s="64"/>
      <c r="R82" s="227"/>
      <c r="S82" s="64"/>
    </row>
    <row r="83" spans="1:22">
      <c r="C83" s="11" t="s">
        <v>127</v>
      </c>
      <c r="D83" s="11">
        <v>17.02</v>
      </c>
      <c r="E83" s="10">
        <v>1</v>
      </c>
      <c r="F83" s="11"/>
      <c r="G83" s="11"/>
      <c r="I83" s="25"/>
      <c r="J83" s="25"/>
      <c r="K83" s="25"/>
      <c r="L83" s="25"/>
      <c r="M83" s="25"/>
      <c r="N83" s="156"/>
      <c r="O83" s="174"/>
      <c r="P83" s="190">
        <v>18.5</v>
      </c>
      <c r="Q83" s="193">
        <v>108000000</v>
      </c>
      <c r="R83" s="227"/>
      <c r="S83" s="156"/>
    </row>
    <row r="84" spans="1:22" ht="16">
      <c r="C84" s="11" t="s">
        <v>955</v>
      </c>
      <c r="D84" s="11">
        <v>16.82</v>
      </c>
      <c r="E84" s="10">
        <v>1</v>
      </c>
      <c r="F84" s="11"/>
      <c r="G84" s="11"/>
      <c r="I84" s="25"/>
      <c r="J84" s="25"/>
      <c r="K84" s="25"/>
      <c r="L84" s="25"/>
      <c r="M84" s="25"/>
      <c r="N84" s="228"/>
      <c r="O84" s="230"/>
      <c r="P84" s="168">
        <v>18</v>
      </c>
      <c r="Q84" s="193">
        <v>201000000</v>
      </c>
      <c r="R84" s="227"/>
      <c r="S84" s="228"/>
    </row>
    <row r="85" spans="1:22">
      <c r="C85" s="11" t="s">
        <v>131</v>
      </c>
      <c r="D85" s="11">
        <v>16.739999999999998</v>
      </c>
      <c r="E85" s="10">
        <v>2.54</v>
      </c>
      <c r="F85" s="11"/>
      <c r="G85" s="11"/>
      <c r="I85" s="25"/>
      <c r="J85" s="25"/>
      <c r="K85" s="25"/>
      <c r="L85" s="25"/>
      <c r="M85" s="25"/>
      <c r="N85" s="168">
        <v>7</v>
      </c>
      <c r="O85" s="203" t="s">
        <v>115</v>
      </c>
      <c r="P85" s="190">
        <v>16.75</v>
      </c>
      <c r="Q85" s="193">
        <v>267000000</v>
      </c>
      <c r="R85" s="227"/>
      <c r="S85" s="191">
        <v>11222768</v>
      </c>
    </row>
    <row r="86" spans="1:22" ht="16.5">
      <c r="C86" s="11" t="s">
        <v>147</v>
      </c>
      <c r="D86" s="11">
        <v>16.72</v>
      </c>
      <c r="E86" s="10">
        <v>1</v>
      </c>
      <c r="F86" s="11"/>
      <c r="G86" s="11"/>
      <c r="I86" s="25"/>
      <c r="J86" s="25"/>
      <c r="K86" s="25"/>
      <c r="L86" s="25"/>
      <c r="M86" s="25"/>
      <c r="N86" s="156"/>
      <c r="O86" s="229"/>
      <c r="P86" s="190">
        <v>17.91</v>
      </c>
      <c r="Q86" s="193">
        <v>122500000</v>
      </c>
      <c r="R86" s="227"/>
      <c r="S86" s="156"/>
    </row>
    <row r="87" spans="1:22" ht="15">
      <c r="C87" s="11"/>
      <c r="D87" s="11">
        <v>16.71</v>
      </c>
      <c r="E87" s="10">
        <v>1.75</v>
      </c>
      <c r="F87" s="11"/>
      <c r="G87" s="11"/>
      <c r="I87" s="25"/>
      <c r="J87" s="25"/>
      <c r="K87" s="25"/>
      <c r="L87" s="25"/>
      <c r="M87" s="25"/>
      <c r="N87" s="228"/>
      <c r="O87" s="25"/>
      <c r="P87" s="190">
        <v>17.329999999999998</v>
      </c>
      <c r="Q87" s="193">
        <v>122500000</v>
      </c>
      <c r="R87" s="227"/>
      <c r="S87" s="228"/>
    </row>
    <row r="88" spans="1:22">
      <c r="I88" s="25"/>
      <c r="J88" s="25"/>
      <c r="K88" s="25"/>
      <c r="L88" s="25"/>
      <c r="M88" s="25"/>
      <c r="N88" s="168">
        <v>8</v>
      </c>
      <c r="O88" s="203" t="s">
        <v>336</v>
      </c>
      <c r="P88" s="190">
        <v>16.71</v>
      </c>
      <c r="Q88" s="193">
        <v>125000000</v>
      </c>
      <c r="R88" s="227"/>
      <c r="S88" s="191">
        <v>4801808</v>
      </c>
    </row>
    <row r="89" spans="1:22">
      <c r="E89" s="483"/>
    </row>
    <row r="91" spans="1:22" s="162" customFormat="1">
      <c r="A91" s="164" t="s">
        <v>1315</v>
      </c>
      <c r="B91" s="164"/>
      <c r="C91" s="164" t="s">
        <v>107</v>
      </c>
      <c r="D91" s="164" t="s">
        <v>4</v>
      </c>
      <c r="E91" s="166" t="s">
        <v>108</v>
      </c>
      <c r="F91" s="166" t="s">
        <v>109</v>
      </c>
      <c r="G91" s="164" t="s">
        <v>1314</v>
      </c>
      <c r="H91" s="164" t="s">
        <v>1313</v>
      </c>
      <c r="I91" s="165" t="s">
        <v>1312</v>
      </c>
      <c r="J91" s="163" t="s">
        <v>1311</v>
      </c>
      <c r="K91" s="163" t="s">
        <v>110</v>
      </c>
      <c r="L91" s="163" t="s">
        <v>1310</v>
      </c>
      <c r="M91" s="164" t="s">
        <v>111</v>
      </c>
      <c r="N91" s="163" t="s">
        <v>949</v>
      </c>
      <c r="O91" s="163" t="s">
        <v>948</v>
      </c>
      <c r="P91" s="163" t="s">
        <v>129</v>
      </c>
    </row>
    <row r="92" spans="1:22">
      <c r="A92" s="24">
        <v>272</v>
      </c>
      <c r="B92" s="161" t="s">
        <v>1387</v>
      </c>
      <c r="C92" s="1" t="s">
        <v>1386</v>
      </c>
      <c r="D92" s="1" t="s">
        <v>1385</v>
      </c>
      <c r="E92" s="3">
        <v>18.7042</v>
      </c>
      <c r="F92" s="3">
        <v>18.704199854799999</v>
      </c>
      <c r="G92" s="124">
        <v>42668</v>
      </c>
      <c r="H92" s="24" t="s">
        <v>151</v>
      </c>
      <c r="I92" s="130">
        <v>27.15</v>
      </c>
      <c r="J92" s="3">
        <v>25.58</v>
      </c>
      <c r="K92" s="24">
        <v>15.53</v>
      </c>
      <c r="L92" s="159">
        <v>0.94217311233885814</v>
      </c>
      <c r="M92" s="24">
        <v>7</v>
      </c>
      <c r="N92" s="2">
        <v>43059</v>
      </c>
      <c r="O92" s="24">
        <v>9.81</v>
      </c>
      <c r="P92" s="157">
        <v>0.84566067240031295</v>
      </c>
    </row>
    <row r="93" spans="1:22">
      <c r="C93" s="16" t="s">
        <v>112</v>
      </c>
      <c r="D93" s="16" t="s">
        <v>113</v>
      </c>
      <c r="E93" s="16" t="s">
        <v>1305</v>
      </c>
      <c r="F93" s="17" t="s">
        <v>1304</v>
      </c>
      <c r="G93" s="16" t="s">
        <v>1303</v>
      </c>
      <c r="I93" s="196" t="s">
        <v>118</v>
      </c>
      <c r="J93" s="226"/>
      <c r="K93" s="85" t="s">
        <v>488</v>
      </c>
      <c r="L93" s="225" t="s">
        <v>401</v>
      </c>
      <c r="M93" s="196" t="s">
        <v>1383</v>
      </c>
      <c r="N93" s="85" t="s">
        <v>1318</v>
      </c>
      <c r="O93" s="25"/>
      <c r="P93" s="213" t="s">
        <v>118</v>
      </c>
      <c r="Q93" s="192"/>
      <c r="R93" s="212" t="s">
        <v>1384</v>
      </c>
      <c r="S93" s="213" t="s">
        <v>1383</v>
      </c>
      <c r="T93" s="192"/>
      <c r="U93" s="224" t="s">
        <v>160</v>
      </c>
      <c r="V93" s="213" t="s">
        <v>1382</v>
      </c>
    </row>
    <row r="94" spans="1:22">
      <c r="C94" s="11" t="str">
        <f t="shared" ref="C94:C131" si="14">IF(J95=0,"",J95)</f>
        <v>天治基金管理有限公司</v>
      </c>
      <c r="D94" s="11">
        <f t="shared" ref="D94:D129" si="15">K95</f>
        <v>28.28</v>
      </c>
      <c r="E94" s="11">
        <f t="shared" ref="E94:E129" si="16">L95/10000</f>
        <v>1.9</v>
      </c>
      <c r="F94" s="11">
        <f t="shared" ref="F94:F129" si="17">IFERROR(VLOOKUP(C94,Q$95:V$106,5,FALSE)/10000,"")</f>
        <v>742.76769999999999</v>
      </c>
      <c r="G94" s="10">
        <f t="shared" ref="G94:G129" si="18">IFERROR(F94*J$92/10000,"")</f>
        <v>1.8999997765999996</v>
      </c>
      <c r="I94" s="196"/>
      <c r="J94" s="85" t="s">
        <v>499</v>
      </c>
      <c r="K94" s="85" t="s">
        <v>1381</v>
      </c>
      <c r="L94" s="225" t="s">
        <v>1333</v>
      </c>
      <c r="M94" s="196"/>
      <c r="N94" s="85" t="s">
        <v>1316</v>
      </c>
      <c r="O94" s="25"/>
      <c r="P94" s="213"/>
      <c r="Q94" s="209" t="s">
        <v>499</v>
      </c>
      <c r="R94" s="212" t="s">
        <v>1380</v>
      </c>
      <c r="S94" s="213"/>
      <c r="T94" s="212" t="s">
        <v>1346</v>
      </c>
      <c r="U94" s="224" t="s">
        <v>1317</v>
      </c>
      <c r="V94" s="213"/>
    </row>
    <row r="95" spans="1:22">
      <c r="C95" s="11" t="str">
        <f t="shared" si="14"/>
        <v>北京东富新投投资管理中心（有限合伙）</v>
      </c>
      <c r="D95" s="11">
        <f t="shared" si="15"/>
        <v>27.98</v>
      </c>
      <c r="E95" s="11">
        <f t="shared" si="16"/>
        <v>3</v>
      </c>
      <c r="F95" s="11">
        <f t="shared" si="17"/>
        <v>1172.7911999999999</v>
      </c>
      <c r="G95" s="10">
        <f t="shared" si="18"/>
        <v>2.9999998895999993</v>
      </c>
      <c r="I95" s="192">
        <v>1</v>
      </c>
      <c r="J95" s="192" t="s">
        <v>1379</v>
      </c>
      <c r="K95" s="192">
        <v>28.28</v>
      </c>
      <c r="L95" s="205">
        <v>19000</v>
      </c>
      <c r="M95" s="205">
        <v>19000</v>
      </c>
      <c r="N95" s="205">
        <v>189999977.66</v>
      </c>
      <c r="O95" s="25"/>
      <c r="P95" s="214">
        <v>1</v>
      </c>
      <c r="Q95" s="183" t="s">
        <v>1379</v>
      </c>
      <c r="R95" s="214">
        <v>28.28</v>
      </c>
      <c r="S95" s="217">
        <v>19000</v>
      </c>
      <c r="T95" s="217">
        <v>189999977.66</v>
      </c>
      <c r="U95" s="219">
        <v>7427677</v>
      </c>
      <c r="V95" s="174">
        <v>12</v>
      </c>
    </row>
    <row r="96" spans="1:22">
      <c r="C96" s="11" t="str">
        <f t="shared" si="14"/>
        <v>北信瑞丰基金管理有限公司</v>
      </c>
      <c r="D96" s="11">
        <f t="shared" si="15"/>
        <v>27.5</v>
      </c>
      <c r="E96" s="11">
        <f t="shared" si="16"/>
        <v>1.9</v>
      </c>
      <c r="F96" s="11">
        <f t="shared" si="17"/>
        <v>754.49559999999997</v>
      </c>
      <c r="G96" s="10">
        <f t="shared" si="18"/>
        <v>1.9299997447999999</v>
      </c>
      <c r="I96" s="204">
        <v>2</v>
      </c>
      <c r="J96" s="192" t="s">
        <v>1378</v>
      </c>
      <c r="K96" s="204">
        <v>27.98</v>
      </c>
      <c r="L96" s="202">
        <v>30000</v>
      </c>
      <c r="M96" s="206">
        <v>30000</v>
      </c>
      <c r="N96" s="223">
        <v>299999988.95999998</v>
      </c>
      <c r="O96" s="25"/>
      <c r="P96" s="214">
        <v>2</v>
      </c>
      <c r="Q96" s="183" t="s">
        <v>1378</v>
      </c>
      <c r="R96" s="214">
        <v>27.98</v>
      </c>
      <c r="S96" s="217">
        <v>30000</v>
      </c>
      <c r="T96" s="217">
        <v>299999988.95999998</v>
      </c>
      <c r="U96" s="219">
        <v>11727912</v>
      </c>
      <c r="V96" s="174">
        <v>12</v>
      </c>
    </row>
    <row r="97" spans="3:22" ht="17">
      <c r="C97" s="11" t="str">
        <f t="shared" si="14"/>
        <v/>
      </c>
      <c r="D97" s="11">
        <f t="shared" si="15"/>
        <v>27.1</v>
      </c>
      <c r="E97" s="11">
        <f t="shared" si="16"/>
        <v>1.92</v>
      </c>
      <c r="F97" s="11" t="str">
        <f t="shared" si="17"/>
        <v/>
      </c>
      <c r="G97" s="10" t="str">
        <f t="shared" si="18"/>
        <v/>
      </c>
      <c r="I97" s="204">
        <v>3</v>
      </c>
      <c r="J97" s="192" t="s">
        <v>336</v>
      </c>
      <c r="K97" s="204">
        <v>27.5</v>
      </c>
      <c r="L97" s="202">
        <v>19000</v>
      </c>
      <c r="M97" s="206">
        <v>19000</v>
      </c>
      <c r="N97" s="154"/>
      <c r="O97" s="25"/>
      <c r="P97" s="221"/>
      <c r="Q97" s="222"/>
      <c r="R97" s="214">
        <v>27.5</v>
      </c>
      <c r="S97" s="217">
        <v>19000</v>
      </c>
      <c r="T97" s="221"/>
      <c r="U97" s="221"/>
      <c r="V97" s="221"/>
    </row>
    <row r="98" spans="3:22">
      <c r="C98" s="11" t="str">
        <f t="shared" si="14"/>
        <v/>
      </c>
      <c r="D98" s="11">
        <f t="shared" si="15"/>
        <v>26.6</v>
      </c>
      <c r="E98" s="11">
        <f t="shared" si="16"/>
        <v>1.93</v>
      </c>
      <c r="F98" s="11" t="str">
        <f t="shared" si="17"/>
        <v/>
      </c>
      <c r="G98" s="10" t="str">
        <f t="shared" si="18"/>
        <v/>
      </c>
      <c r="I98" s="25"/>
      <c r="J98" s="25"/>
      <c r="K98" s="204">
        <v>27.1</v>
      </c>
      <c r="L98" s="202">
        <v>19200</v>
      </c>
      <c r="M98" s="206">
        <v>19200</v>
      </c>
      <c r="N98" s="206">
        <v>192999974.47999999</v>
      </c>
      <c r="O98" s="25"/>
      <c r="P98" s="214">
        <v>3</v>
      </c>
      <c r="Q98" s="183" t="s">
        <v>336</v>
      </c>
      <c r="R98" s="214">
        <v>27.1</v>
      </c>
      <c r="S98" s="217">
        <v>19200</v>
      </c>
      <c r="T98" s="216">
        <v>192999974.47999999</v>
      </c>
      <c r="U98" s="215">
        <v>7544956</v>
      </c>
      <c r="V98" s="214">
        <v>12</v>
      </c>
    </row>
    <row r="99" spans="3:22">
      <c r="C99" s="11" t="str">
        <f t="shared" si="14"/>
        <v>华融天泽投资有限公司</v>
      </c>
      <c r="D99" s="11">
        <f t="shared" si="15"/>
        <v>27</v>
      </c>
      <c r="E99" s="11">
        <f t="shared" si="16"/>
        <v>4</v>
      </c>
      <c r="F99" s="11">
        <f t="shared" si="17"/>
        <v>1563.7216000000001</v>
      </c>
      <c r="G99" s="10">
        <f t="shared" si="18"/>
        <v>3.9999998527999998</v>
      </c>
      <c r="I99" s="64"/>
      <c r="J99" s="64"/>
      <c r="K99" s="204">
        <v>26.6</v>
      </c>
      <c r="L99" s="202">
        <v>19300</v>
      </c>
      <c r="M99" s="206">
        <v>19300</v>
      </c>
      <c r="N99" s="64"/>
      <c r="O99" s="25"/>
      <c r="P99" s="64"/>
      <c r="Q99" s="64"/>
      <c r="R99" s="214">
        <v>26.6</v>
      </c>
      <c r="S99" s="217">
        <v>19300</v>
      </c>
      <c r="T99" s="64"/>
      <c r="U99" s="64"/>
      <c r="V99" s="64"/>
    </row>
    <row r="100" spans="3:22" ht="17">
      <c r="C100" s="11" t="str">
        <f t="shared" si="14"/>
        <v/>
      </c>
      <c r="D100" s="11">
        <f t="shared" si="15"/>
        <v>26.5</v>
      </c>
      <c r="E100" s="11">
        <f t="shared" si="16"/>
        <v>4</v>
      </c>
      <c r="F100" s="11" t="str">
        <f t="shared" si="17"/>
        <v/>
      </c>
      <c r="G100" s="10" t="str">
        <f t="shared" si="18"/>
        <v/>
      </c>
      <c r="I100" s="204">
        <v>4</v>
      </c>
      <c r="J100" s="192" t="s">
        <v>1377</v>
      </c>
      <c r="K100" s="204">
        <v>27</v>
      </c>
      <c r="L100" s="202">
        <v>40000</v>
      </c>
      <c r="M100" s="206">
        <v>40000</v>
      </c>
      <c r="N100" s="154"/>
      <c r="O100" s="25"/>
      <c r="P100" s="221"/>
      <c r="Q100" s="222"/>
      <c r="R100" s="214">
        <v>27</v>
      </c>
      <c r="S100" s="217">
        <v>40000</v>
      </c>
      <c r="T100" s="221"/>
      <c r="U100" s="221"/>
      <c r="V100" s="221"/>
    </row>
    <row r="101" spans="3:22">
      <c r="C101" s="11" t="str">
        <f t="shared" si="14"/>
        <v/>
      </c>
      <c r="D101" s="11">
        <f t="shared" si="15"/>
        <v>26</v>
      </c>
      <c r="E101" s="11">
        <f t="shared" si="16"/>
        <v>4</v>
      </c>
      <c r="F101" s="11" t="str">
        <f t="shared" si="17"/>
        <v/>
      </c>
      <c r="G101" s="10" t="str">
        <f t="shared" si="18"/>
        <v/>
      </c>
      <c r="I101" s="25"/>
      <c r="J101" s="25"/>
      <c r="K101" s="204">
        <v>26.5</v>
      </c>
      <c r="L101" s="202">
        <v>40000</v>
      </c>
      <c r="M101" s="206">
        <v>40000</v>
      </c>
      <c r="N101" s="206">
        <v>399999985.27999997</v>
      </c>
      <c r="O101" s="25"/>
      <c r="P101" s="214">
        <v>4</v>
      </c>
      <c r="Q101" s="183" t="s">
        <v>1377</v>
      </c>
      <c r="R101" s="214">
        <v>26.5</v>
      </c>
      <c r="S101" s="217">
        <v>40000</v>
      </c>
      <c r="T101" s="216">
        <v>399999985.27999997</v>
      </c>
      <c r="U101" s="220">
        <v>15637216</v>
      </c>
      <c r="V101" s="214">
        <v>12</v>
      </c>
    </row>
    <row r="102" spans="3:22">
      <c r="C102" s="11" t="str">
        <f t="shared" si="14"/>
        <v>西部利得基金管理有限公司</v>
      </c>
      <c r="D102" s="11">
        <f t="shared" si="15"/>
        <v>26</v>
      </c>
      <c r="E102" s="11">
        <f t="shared" si="16"/>
        <v>2.85</v>
      </c>
      <c r="F102" s="11">
        <f t="shared" si="17"/>
        <v>1114.1515999999999</v>
      </c>
      <c r="G102" s="10">
        <f t="shared" si="18"/>
        <v>2.8499997927999998</v>
      </c>
      <c r="I102" s="64"/>
      <c r="J102" s="64"/>
      <c r="K102" s="204">
        <v>26</v>
      </c>
      <c r="L102" s="202">
        <v>40000</v>
      </c>
      <c r="M102" s="206">
        <v>40000</v>
      </c>
      <c r="N102" s="64"/>
      <c r="O102" s="25"/>
      <c r="P102" s="64"/>
      <c r="Q102" s="64"/>
      <c r="R102" s="214">
        <v>26</v>
      </c>
      <c r="S102" s="217">
        <v>40000</v>
      </c>
      <c r="T102" s="64"/>
      <c r="U102" s="64"/>
      <c r="V102" s="64"/>
    </row>
    <row r="103" spans="3:22">
      <c r="C103" s="11" t="str">
        <f t="shared" si="14"/>
        <v>中信建投基金管理有限公司</v>
      </c>
      <c r="D103" s="11">
        <f t="shared" si="15"/>
        <v>25.8</v>
      </c>
      <c r="E103" s="11">
        <f t="shared" si="16"/>
        <v>2.61</v>
      </c>
      <c r="F103" s="11">
        <f t="shared" si="17"/>
        <v>1020.3283</v>
      </c>
      <c r="G103" s="10">
        <f t="shared" si="18"/>
        <v>2.6099997913999999</v>
      </c>
      <c r="I103" s="192">
        <v>5</v>
      </c>
      <c r="J103" s="192" t="s">
        <v>1376</v>
      </c>
      <c r="K103" s="192">
        <v>26</v>
      </c>
      <c r="L103" s="205">
        <v>28500</v>
      </c>
      <c r="M103" s="205">
        <v>28500</v>
      </c>
      <c r="N103" s="205">
        <v>284999979.27999997</v>
      </c>
      <c r="O103" s="25"/>
      <c r="P103" s="214">
        <v>5</v>
      </c>
      <c r="Q103" s="183" t="s">
        <v>1376</v>
      </c>
      <c r="R103" s="214">
        <v>26</v>
      </c>
      <c r="S103" s="217">
        <v>28500</v>
      </c>
      <c r="T103" s="217">
        <v>284999979.27999997</v>
      </c>
      <c r="U103" s="219">
        <v>11141516</v>
      </c>
      <c r="V103" s="174">
        <v>12</v>
      </c>
    </row>
    <row r="104" spans="3:22">
      <c r="C104" s="11" t="str">
        <f t="shared" si="14"/>
        <v>博时基金管理有限公司</v>
      </c>
      <c r="D104" s="11">
        <f t="shared" si="15"/>
        <v>25.58</v>
      </c>
      <c r="E104" s="11">
        <f t="shared" si="16"/>
        <v>3.47</v>
      </c>
      <c r="F104" s="11">
        <f t="shared" si="17"/>
        <v>943.78459999999995</v>
      </c>
      <c r="G104" s="10">
        <f t="shared" si="18"/>
        <v>2.4142010067999995</v>
      </c>
      <c r="I104" s="192">
        <v>6</v>
      </c>
      <c r="J104" s="192" t="s">
        <v>1375</v>
      </c>
      <c r="K104" s="192">
        <v>25.8</v>
      </c>
      <c r="L104" s="205">
        <v>26100</v>
      </c>
      <c r="M104" s="205">
        <v>26100</v>
      </c>
      <c r="N104" s="205">
        <v>260999979.13999999</v>
      </c>
      <c r="O104" s="25"/>
      <c r="P104" s="214">
        <v>6</v>
      </c>
      <c r="Q104" s="183" t="s">
        <v>1375</v>
      </c>
      <c r="R104" s="214">
        <v>25.8</v>
      </c>
      <c r="S104" s="217">
        <v>26100</v>
      </c>
      <c r="T104" s="217">
        <v>260999979.13999999</v>
      </c>
      <c r="U104" s="219">
        <v>10203283</v>
      </c>
      <c r="V104" s="174">
        <v>12</v>
      </c>
    </row>
    <row r="105" spans="3:22">
      <c r="C105" s="11" t="str">
        <f t="shared" si="14"/>
        <v/>
      </c>
      <c r="D105" s="11">
        <f t="shared" si="15"/>
        <v>24.23</v>
      </c>
      <c r="E105" s="11">
        <f t="shared" si="16"/>
        <v>3.97</v>
      </c>
      <c r="F105" s="11" t="str">
        <f t="shared" si="17"/>
        <v/>
      </c>
      <c r="G105" s="10" t="str">
        <f t="shared" si="18"/>
        <v/>
      </c>
      <c r="I105" s="204">
        <v>7</v>
      </c>
      <c r="J105" s="192" t="s">
        <v>1374</v>
      </c>
      <c r="K105" s="204">
        <v>25.58</v>
      </c>
      <c r="L105" s="202">
        <v>34700</v>
      </c>
      <c r="M105" s="206">
        <v>34700</v>
      </c>
      <c r="N105" s="208"/>
      <c r="O105" s="25"/>
      <c r="P105" s="218"/>
      <c r="Q105" s="183"/>
      <c r="R105" s="214">
        <v>25.58</v>
      </c>
      <c r="S105" s="217">
        <v>34700</v>
      </c>
      <c r="T105" s="218"/>
      <c r="U105" s="218"/>
      <c r="V105" s="218"/>
    </row>
    <row r="106" spans="3:22">
      <c r="C106" s="11" t="str">
        <f t="shared" si="14"/>
        <v>大成基金管理有限公司</v>
      </c>
      <c r="D106" s="11">
        <f t="shared" si="15"/>
        <v>25.58</v>
      </c>
      <c r="E106" s="11">
        <f t="shared" si="16"/>
        <v>1.9</v>
      </c>
      <c r="F106" s="11" t="str">
        <f t="shared" si="17"/>
        <v/>
      </c>
      <c r="G106" s="10" t="str">
        <f t="shared" si="18"/>
        <v/>
      </c>
      <c r="I106" s="25"/>
      <c r="J106" s="192"/>
      <c r="K106" s="204">
        <v>24.23</v>
      </c>
      <c r="L106" s="202">
        <v>39700</v>
      </c>
      <c r="M106" s="206">
        <v>39700</v>
      </c>
      <c r="N106" s="206">
        <v>241420100.68000001</v>
      </c>
      <c r="O106" s="25"/>
      <c r="P106" s="214">
        <v>7</v>
      </c>
      <c r="Q106" s="183" t="s">
        <v>1374</v>
      </c>
      <c r="R106" s="214">
        <v>24.23</v>
      </c>
      <c r="S106" s="217">
        <v>39700</v>
      </c>
      <c r="T106" s="216">
        <v>241420100.68000001</v>
      </c>
      <c r="U106" s="215">
        <v>9437846</v>
      </c>
      <c r="V106" s="214">
        <v>12</v>
      </c>
    </row>
    <row r="107" spans="3:22">
      <c r="C107" s="11" t="str">
        <f t="shared" si="14"/>
        <v/>
      </c>
      <c r="D107" s="11">
        <f t="shared" si="15"/>
        <v>24.6</v>
      </c>
      <c r="E107" s="11">
        <f t="shared" si="16"/>
        <v>1.92</v>
      </c>
      <c r="F107" s="11" t="str">
        <f t="shared" si="17"/>
        <v/>
      </c>
      <c r="G107" s="10" t="str">
        <f t="shared" si="18"/>
        <v/>
      </c>
      <c r="I107" s="192">
        <v>8</v>
      </c>
      <c r="J107" s="192" t="s">
        <v>1373</v>
      </c>
      <c r="K107" s="192">
        <v>25.58</v>
      </c>
      <c r="L107" s="205">
        <v>19000</v>
      </c>
      <c r="M107" s="205">
        <v>19000</v>
      </c>
      <c r="N107" s="192" t="s">
        <v>294</v>
      </c>
      <c r="O107" s="25"/>
      <c r="P107" s="213" t="s">
        <v>1293</v>
      </c>
      <c r="Q107" s="213"/>
      <c r="R107" s="212" t="s">
        <v>294</v>
      </c>
      <c r="S107" s="212" t="s">
        <v>294</v>
      </c>
      <c r="T107" s="211">
        <v>1870419985.48</v>
      </c>
      <c r="U107" s="210">
        <v>73120406</v>
      </c>
      <c r="V107" s="209" t="s">
        <v>294</v>
      </c>
    </row>
    <row r="108" spans="3:22">
      <c r="C108" s="11" t="str">
        <f t="shared" si="14"/>
        <v>九泰基金管理有限公司</v>
      </c>
      <c r="D108" s="11">
        <f t="shared" si="15"/>
        <v>23</v>
      </c>
      <c r="E108" s="11">
        <f t="shared" si="16"/>
        <v>1.97</v>
      </c>
      <c r="F108" s="11" t="str">
        <f t="shared" si="17"/>
        <v/>
      </c>
      <c r="G108" s="10" t="str">
        <f t="shared" si="18"/>
        <v/>
      </c>
      <c r="I108" s="154"/>
      <c r="J108" s="208"/>
      <c r="K108" s="204">
        <v>24.6</v>
      </c>
      <c r="L108" s="202">
        <v>19200</v>
      </c>
      <c r="M108" s="206">
        <v>19200</v>
      </c>
      <c r="N108" s="154"/>
      <c r="O108" s="25"/>
      <c r="P108" s="25"/>
      <c r="Q108" s="25"/>
      <c r="R108" s="25"/>
      <c r="S108" s="25"/>
      <c r="T108" s="25"/>
      <c r="U108" s="25"/>
      <c r="V108" s="25"/>
    </row>
    <row r="109" spans="3:22">
      <c r="C109" s="11" t="str">
        <f t="shared" si="14"/>
        <v/>
      </c>
      <c r="D109" s="11">
        <f t="shared" si="15"/>
        <v>21.05</v>
      </c>
      <c r="E109" s="11">
        <f t="shared" si="16"/>
        <v>2.02</v>
      </c>
      <c r="F109" s="11" t="str">
        <f t="shared" si="17"/>
        <v/>
      </c>
      <c r="G109" s="10" t="str">
        <f t="shared" si="18"/>
        <v/>
      </c>
      <c r="I109" s="204">
        <v>9</v>
      </c>
      <c r="J109" s="192" t="s">
        <v>666</v>
      </c>
      <c r="K109" s="204">
        <v>23</v>
      </c>
      <c r="L109" s="202">
        <v>19700</v>
      </c>
      <c r="M109" s="206">
        <v>19700</v>
      </c>
      <c r="N109" s="201" t="s">
        <v>294</v>
      </c>
      <c r="O109" s="25"/>
      <c r="P109" s="25"/>
      <c r="Q109" s="25"/>
      <c r="R109" s="25"/>
      <c r="S109" s="25"/>
      <c r="T109" s="25"/>
      <c r="U109" s="25"/>
      <c r="V109" s="25"/>
    </row>
    <row r="110" spans="3:22">
      <c r="C110" s="11" t="str">
        <f t="shared" si="14"/>
        <v>嘉实基金管理有限公司</v>
      </c>
      <c r="D110" s="11">
        <f t="shared" si="15"/>
        <v>24.31</v>
      </c>
      <c r="E110" s="11">
        <f t="shared" si="16"/>
        <v>2.5</v>
      </c>
      <c r="F110" s="11" t="str">
        <f t="shared" si="17"/>
        <v/>
      </c>
      <c r="G110" s="10" t="str">
        <f t="shared" si="18"/>
        <v/>
      </c>
      <c r="I110" s="64"/>
      <c r="J110" s="64"/>
      <c r="K110" s="204">
        <v>21.05</v>
      </c>
      <c r="L110" s="202">
        <v>20200</v>
      </c>
      <c r="M110" s="206">
        <v>20200</v>
      </c>
      <c r="N110" s="64"/>
      <c r="O110" s="25"/>
      <c r="P110" s="25"/>
      <c r="Q110" s="25"/>
      <c r="R110" s="25"/>
      <c r="S110" s="25"/>
      <c r="T110" s="25"/>
      <c r="U110" s="25"/>
      <c r="V110" s="25"/>
    </row>
    <row r="111" spans="3:22">
      <c r="C111" s="11" t="str">
        <f t="shared" si="14"/>
        <v/>
      </c>
      <c r="D111" s="11">
        <f t="shared" si="15"/>
        <v>22.46</v>
      </c>
      <c r="E111" s="11">
        <f t="shared" si="16"/>
        <v>3.5</v>
      </c>
      <c r="F111" s="11" t="str">
        <f t="shared" si="17"/>
        <v/>
      </c>
      <c r="G111" s="10" t="str">
        <f t="shared" si="18"/>
        <v/>
      </c>
      <c r="I111" s="203">
        <v>10</v>
      </c>
      <c r="J111" s="192" t="s">
        <v>1372</v>
      </c>
      <c r="K111" s="204">
        <v>24.31</v>
      </c>
      <c r="L111" s="202">
        <v>25000</v>
      </c>
      <c r="M111" s="206">
        <v>25000</v>
      </c>
      <c r="N111" s="208"/>
      <c r="O111" s="25"/>
      <c r="P111" s="25"/>
      <c r="Q111" s="25"/>
      <c r="R111" s="25"/>
      <c r="S111" s="25"/>
      <c r="T111" s="25"/>
      <c r="U111" s="25"/>
      <c r="V111" s="25"/>
    </row>
    <row r="112" spans="3:22">
      <c r="C112" s="11" t="str">
        <f t="shared" si="14"/>
        <v>财通基金管理有限公司</v>
      </c>
      <c r="D112" s="11">
        <f t="shared" si="15"/>
        <v>24.24</v>
      </c>
      <c r="E112" s="11">
        <f t="shared" si="16"/>
        <v>1.93</v>
      </c>
      <c r="F112" s="11" t="str">
        <f t="shared" si="17"/>
        <v/>
      </c>
      <c r="G112" s="10" t="str">
        <f t="shared" si="18"/>
        <v/>
      </c>
      <c r="I112" s="25"/>
      <c r="J112" s="192"/>
      <c r="K112" s="204">
        <v>22.46</v>
      </c>
      <c r="L112" s="202">
        <v>35000</v>
      </c>
      <c r="M112" s="206">
        <v>35000</v>
      </c>
      <c r="N112" s="201" t="s">
        <v>294</v>
      </c>
      <c r="O112" s="25"/>
      <c r="P112" s="25"/>
      <c r="Q112" s="25"/>
      <c r="R112" s="25"/>
      <c r="S112" s="25"/>
      <c r="T112" s="25"/>
      <c r="U112" s="25"/>
      <c r="V112" s="25"/>
    </row>
    <row r="113" spans="3:22">
      <c r="C113" s="11" t="str">
        <f t="shared" si="14"/>
        <v/>
      </c>
      <c r="D113" s="11">
        <f t="shared" si="15"/>
        <v>23.94</v>
      </c>
      <c r="E113" s="11">
        <f t="shared" si="16"/>
        <v>2.94</v>
      </c>
      <c r="F113" s="11" t="str">
        <f t="shared" si="17"/>
        <v/>
      </c>
      <c r="G113" s="10" t="str">
        <f t="shared" si="18"/>
        <v/>
      </c>
      <c r="I113" s="203">
        <v>11</v>
      </c>
      <c r="J113" s="192" t="s">
        <v>115</v>
      </c>
      <c r="K113" s="204">
        <v>24.24</v>
      </c>
      <c r="L113" s="202">
        <v>19300</v>
      </c>
      <c r="M113" s="206">
        <v>19300</v>
      </c>
      <c r="N113" s="154"/>
      <c r="O113" s="25"/>
      <c r="P113" s="25"/>
      <c r="Q113" s="25"/>
      <c r="R113" s="25"/>
      <c r="S113" s="25"/>
      <c r="T113" s="25"/>
      <c r="U113" s="25"/>
      <c r="V113" s="25"/>
    </row>
    <row r="114" spans="3:22">
      <c r="C114" s="11" t="str">
        <f t="shared" si="14"/>
        <v/>
      </c>
      <c r="D114" s="11">
        <f t="shared" si="15"/>
        <v>22.8</v>
      </c>
      <c r="E114" s="11">
        <f t="shared" si="16"/>
        <v>4</v>
      </c>
      <c r="F114" s="11" t="str">
        <f t="shared" si="17"/>
        <v/>
      </c>
      <c r="G114" s="10" t="str">
        <f t="shared" si="18"/>
        <v/>
      </c>
      <c r="I114" s="25"/>
      <c r="J114" s="25"/>
      <c r="K114" s="204">
        <v>23.94</v>
      </c>
      <c r="L114" s="202">
        <v>29400</v>
      </c>
      <c r="M114" s="206">
        <v>29400</v>
      </c>
      <c r="N114" s="201" t="s">
        <v>294</v>
      </c>
      <c r="O114" s="25"/>
      <c r="P114" s="25"/>
      <c r="Q114" s="25"/>
      <c r="R114" s="25"/>
      <c r="S114" s="25"/>
      <c r="T114" s="25"/>
      <c r="U114" s="25"/>
      <c r="V114" s="25"/>
    </row>
    <row r="115" spans="3:22">
      <c r="C115" s="11" t="str">
        <f t="shared" si="14"/>
        <v>平安大华基金管理有限公司</v>
      </c>
      <c r="D115" s="11">
        <f t="shared" si="15"/>
        <v>24.23</v>
      </c>
      <c r="E115" s="11">
        <f t="shared" si="16"/>
        <v>1.94</v>
      </c>
      <c r="F115" s="11" t="str">
        <f t="shared" si="17"/>
        <v/>
      </c>
      <c r="G115" s="10" t="str">
        <f t="shared" si="18"/>
        <v/>
      </c>
      <c r="I115" s="64"/>
      <c r="J115" s="64"/>
      <c r="K115" s="204">
        <v>22.8</v>
      </c>
      <c r="L115" s="202">
        <v>40000</v>
      </c>
      <c r="M115" s="206">
        <v>40000</v>
      </c>
      <c r="N115" s="64"/>
      <c r="O115" s="25"/>
      <c r="P115" s="25"/>
      <c r="Q115" s="25"/>
      <c r="R115" s="25"/>
      <c r="S115" s="25"/>
      <c r="T115" s="25"/>
      <c r="U115" s="25"/>
      <c r="V115" s="25"/>
    </row>
    <row r="116" spans="3:22">
      <c r="C116" s="11" t="str">
        <f t="shared" si="14"/>
        <v>第一创业证券股份有限公司</v>
      </c>
      <c r="D116" s="11">
        <f t="shared" si="15"/>
        <v>23.32</v>
      </c>
      <c r="E116" s="11">
        <f t="shared" si="16"/>
        <v>2</v>
      </c>
      <c r="F116" s="11" t="str">
        <f t="shared" si="17"/>
        <v/>
      </c>
      <c r="G116" s="10" t="str">
        <f t="shared" si="18"/>
        <v/>
      </c>
      <c r="I116" s="192">
        <v>12</v>
      </c>
      <c r="J116" s="192" t="s">
        <v>1371</v>
      </c>
      <c r="K116" s="192">
        <v>24.23</v>
      </c>
      <c r="L116" s="205">
        <v>19400</v>
      </c>
      <c r="M116" s="205">
        <v>19400</v>
      </c>
      <c r="N116" s="192" t="s">
        <v>294</v>
      </c>
      <c r="O116" s="25"/>
      <c r="P116" s="25"/>
      <c r="Q116" s="25"/>
      <c r="R116" s="25"/>
      <c r="S116" s="25"/>
      <c r="T116" s="25"/>
      <c r="U116" s="25"/>
      <c r="V116" s="25"/>
    </row>
    <row r="117" spans="3:22">
      <c r="C117" s="11" t="str">
        <f t="shared" si="14"/>
        <v/>
      </c>
      <c r="D117" s="11">
        <f t="shared" si="15"/>
        <v>22.03</v>
      </c>
      <c r="E117" s="11">
        <f t="shared" si="16"/>
        <v>3.5</v>
      </c>
      <c r="F117" s="11" t="str">
        <f t="shared" si="17"/>
        <v/>
      </c>
      <c r="G117" s="10" t="str">
        <f t="shared" si="18"/>
        <v/>
      </c>
      <c r="I117" s="203">
        <v>13</v>
      </c>
      <c r="J117" s="192" t="s">
        <v>1370</v>
      </c>
      <c r="K117" s="204">
        <v>23.32</v>
      </c>
      <c r="L117" s="202">
        <v>20000</v>
      </c>
      <c r="M117" s="206">
        <v>20000</v>
      </c>
      <c r="N117" s="208"/>
      <c r="O117" s="25"/>
      <c r="P117" s="25"/>
      <c r="Q117" s="25"/>
      <c r="R117" s="25"/>
      <c r="S117" s="25"/>
      <c r="T117" s="25"/>
      <c r="U117" s="25"/>
      <c r="V117" s="25"/>
    </row>
    <row r="118" spans="3:22">
      <c r="C118" s="11" t="str">
        <f t="shared" si="14"/>
        <v>信诚基金管理有限公司</v>
      </c>
      <c r="D118" s="11">
        <f t="shared" si="15"/>
        <v>22.21</v>
      </c>
      <c r="E118" s="11">
        <f t="shared" si="16"/>
        <v>1.91</v>
      </c>
      <c r="F118" s="11" t="str">
        <f t="shared" si="17"/>
        <v/>
      </c>
      <c r="G118" s="10" t="str">
        <f t="shared" si="18"/>
        <v/>
      </c>
      <c r="I118" s="25"/>
      <c r="J118" s="192"/>
      <c r="K118" s="204">
        <v>22.03</v>
      </c>
      <c r="L118" s="202">
        <v>35000</v>
      </c>
      <c r="M118" s="206">
        <v>35000</v>
      </c>
      <c r="N118" s="201" t="s">
        <v>294</v>
      </c>
      <c r="O118" s="25"/>
      <c r="P118" s="25"/>
      <c r="Q118" s="25"/>
      <c r="R118" s="25"/>
      <c r="S118" s="25"/>
      <c r="T118" s="25"/>
      <c r="U118" s="25"/>
      <c r="V118" s="25"/>
    </row>
    <row r="119" spans="3:22">
      <c r="C119" s="11" t="str">
        <f t="shared" si="14"/>
        <v>中国银河证券股份有限公司</v>
      </c>
      <c r="D119" s="11">
        <f t="shared" si="15"/>
        <v>22.01</v>
      </c>
      <c r="E119" s="11">
        <f t="shared" si="16"/>
        <v>2</v>
      </c>
      <c r="F119" s="11" t="str">
        <f t="shared" si="17"/>
        <v/>
      </c>
      <c r="G119" s="10" t="str">
        <f t="shared" si="18"/>
        <v/>
      </c>
      <c r="I119" s="192">
        <v>14</v>
      </c>
      <c r="J119" s="192" t="s">
        <v>1369</v>
      </c>
      <c r="K119" s="192">
        <v>22.21</v>
      </c>
      <c r="L119" s="205">
        <v>19100</v>
      </c>
      <c r="M119" s="205">
        <v>19100</v>
      </c>
      <c r="N119" s="192" t="s">
        <v>294</v>
      </c>
      <c r="O119" s="25"/>
      <c r="P119" s="25"/>
      <c r="Q119" s="25"/>
      <c r="R119" s="25"/>
      <c r="S119" s="25"/>
      <c r="T119" s="25"/>
      <c r="U119" s="25"/>
      <c r="V119" s="25"/>
    </row>
    <row r="120" spans="3:22">
      <c r="C120" s="11" t="str">
        <f t="shared" si="14"/>
        <v>华鑫证券有限责任公司</v>
      </c>
      <c r="D120" s="11">
        <f t="shared" si="15"/>
        <v>21.54</v>
      </c>
      <c r="E120" s="11">
        <f t="shared" si="16"/>
        <v>2.1</v>
      </c>
      <c r="F120" s="11" t="str">
        <f t="shared" si="17"/>
        <v/>
      </c>
      <c r="G120" s="10" t="str">
        <f t="shared" si="18"/>
        <v/>
      </c>
      <c r="I120" s="192">
        <v>15</v>
      </c>
      <c r="J120" s="192" t="s">
        <v>1368</v>
      </c>
      <c r="K120" s="192">
        <v>22.01</v>
      </c>
      <c r="L120" s="205">
        <v>20000</v>
      </c>
      <c r="M120" s="205">
        <v>20000</v>
      </c>
      <c r="N120" s="192" t="s">
        <v>294</v>
      </c>
      <c r="O120" s="25"/>
      <c r="P120" s="25"/>
      <c r="Q120" s="25"/>
      <c r="R120" s="25"/>
      <c r="S120" s="25"/>
      <c r="T120" s="25"/>
      <c r="U120" s="25"/>
      <c r="V120" s="25"/>
    </row>
    <row r="121" spans="3:22">
      <c r="C121" s="11" t="str">
        <f t="shared" si="14"/>
        <v>申万菱信基金管理有限公司</v>
      </c>
      <c r="D121" s="11">
        <f t="shared" si="15"/>
        <v>20.8</v>
      </c>
      <c r="E121" s="11">
        <f t="shared" si="16"/>
        <v>2.1</v>
      </c>
      <c r="F121" s="11" t="str">
        <f t="shared" si="17"/>
        <v/>
      </c>
      <c r="G121" s="10" t="str">
        <f t="shared" si="18"/>
        <v/>
      </c>
      <c r="I121" s="192">
        <v>16</v>
      </c>
      <c r="J121" s="192" t="s">
        <v>1367</v>
      </c>
      <c r="K121" s="192">
        <v>21.54</v>
      </c>
      <c r="L121" s="205">
        <v>21000</v>
      </c>
      <c r="M121" s="205">
        <v>21000</v>
      </c>
      <c r="N121" s="192" t="s">
        <v>294</v>
      </c>
      <c r="O121" s="25"/>
      <c r="P121" s="25"/>
      <c r="Q121" s="25"/>
      <c r="R121" s="25"/>
      <c r="S121" s="25"/>
      <c r="T121" s="25"/>
      <c r="U121" s="25"/>
      <c r="V121" s="25"/>
    </row>
    <row r="122" spans="3:22">
      <c r="C122" s="11" t="str">
        <f t="shared" si="14"/>
        <v/>
      </c>
      <c r="D122" s="11">
        <f t="shared" si="15"/>
        <v>17.8</v>
      </c>
      <c r="E122" s="11">
        <f t="shared" si="16"/>
        <v>4</v>
      </c>
      <c r="F122" s="11" t="str">
        <f t="shared" si="17"/>
        <v/>
      </c>
      <c r="G122" s="10" t="str">
        <f t="shared" si="18"/>
        <v/>
      </c>
      <c r="I122" s="203">
        <v>17</v>
      </c>
      <c r="J122" s="192" t="s">
        <v>1366</v>
      </c>
      <c r="K122" s="204">
        <v>20.8</v>
      </c>
      <c r="L122" s="202">
        <v>21000</v>
      </c>
      <c r="M122" s="206">
        <v>21000</v>
      </c>
      <c r="N122" s="207"/>
      <c r="O122" s="25"/>
      <c r="P122" s="25"/>
      <c r="Q122" s="25"/>
      <c r="R122" s="25"/>
      <c r="S122" s="25"/>
      <c r="T122" s="25"/>
      <c r="U122" s="25"/>
      <c r="V122" s="25"/>
    </row>
    <row r="123" spans="3:22">
      <c r="C123" s="11" t="str">
        <f t="shared" si="14"/>
        <v>华泰柏瑞基金管理有限公司</v>
      </c>
      <c r="D123" s="11">
        <f t="shared" si="15"/>
        <v>20.28</v>
      </c>
      <c r="E123" s="11">
        <f t="shared" si="16"/>
        <v>2.8</v>
      </c>
      <c r="F123" s="11" t="str">
        <f t="shared" si="17"/>
        <v/>
      </c>
      <c r="G123" s="10" t="str">
        <f t="shared" si="18"/>
        <v/>
      </c>
      <c r="I123" s="25"/>
      <c r="J123" s="192"/>
      <c r="K123" s="204">
        <v>17.8</v>
      </c>
      <c r="L123" s="202">
        <v>40000</v>
      </c>
      <c r="M123" s="206">
        <v>40000</v>
      </c>
      <c r="N123" s="201" t="s">
        <v>294</v>
      </c>
      <c r="O123" s="25"/>
      <c r="P123" s="25"/>
      <c r="Q123" s="25"/>
      <c r="R123" s="25"/>
      <c r="S123" s="25"/>
      <c r="T123" s="25"/>
      <c r="U123" s="25"/>
      <c r="V123" s="25"/>
    </row>
    <row r="124" spans="3:22">
      <c r="C124" s="11" t="str">
        <f t="shared" si="14"/>
        <v>民生通惠资产管理有限公司</v>
      </c>
      <c r="D124" s="11">
        <f t="shared" si="15"/>
        <v>20.149999999999999</v>
      </c>
      <c r="E124" s="11">
        <f t="shared" si="16"/>
        <v>1.9</v>
      </c>
      <c r="F124" s="11" t="str">
        <f t="shared" si="17"/>
        <v/>
      </c>
      <c r="G124" s="10" t="str">
        <f t="shared" si="18"/>
        <v/>
      </c>
      <c r="I124" s="204">
        <v>18</v>
      </c>
      <c r="J124" s="204" t="s">
        <v>1365</v>
      </c>
      <c r="K124" s="204">
        <v>20.28</v>
      </c>
      <c r="L124" s="202">
        <v>28000</v>
      </c>
      <c r="M124" s="206">
        <v>28000</v>
      </c>
      <c r="N124" s="201" t="s">
        <v>294</v>
      </c>
      <c r="O124" s="25"/>
      <c r="P124" s="25"/>
      <c r="Q124" s="25"/>
      <c r="R124" s="25"/>
      <c r="S124" s="25"/>
      <c r="T124" s="25"/>
      <c r="U124" s="25"/>
      <c r="V124" s="25"/>
    </row>
    <row r="125" spans="3:22">
      <c r="C125" s="11" t="str">
        <f t="shared" si="14"/>
        <v>南京瑞达信沨股权投资合伙企业（有限合伙）</v>
      </c>
      <c r="D125" s="11">
        <f t="shared" si="15"/>
        <v>18.8</v>
      </c>
      <c r="E125" s="11">
        <f t="shared" si="16"/>
        <v>1.9</v>
      </c>
      <c r="F125" s="11" t="str">
        <f t="shared" si="17"/>
        <v/>
      </c>
      <c r="G125" s="10" t="str">
        <f t="shared" si="18"/>
        <v/>
      </c>
      <c r="I125" s="192">
        <v>19</v>
      </c>
      <c r="J125" s="192" t="s">
        <v>1364</v>
      </c>
      <c r="K125" s="192">
        <v>20.149999999999999</v>
      </c>
      <c r="L125" s="205">
        <v>19000</v>
      </c>
      <c r="M125" s="205">
        <v>19000</v>
      </c>
      <c r="N125" s="192" t="s">
        <v>294</v>
      </c>
      <c r="O125" s="25"/>
      <c r="P125" s="25"/>
      <c r="Q125" s="25"/>
      <c r="R125" s="25"/>
      <c r="S125" s="25"/>
      <c r="T125" s="25"/>
      <c r="U125" s="25"/>
      <c r="V125" s="25"/>
    </row>
    <row r="126" spans="3:22">
      <c r="C126" s="11" t="str">
        <f t="shared" si="14"/>
        <v>南京誉信投资中心（有限合伙）</v>
      </c>
      <c r="D126" s="11">
        <f t="shared" si="15"/>
        <v>18.68</v>
      </c>
      <c r="E126" s="11">
        <f t="shared" si="16"/>
        <v>1.9</v>
      </c>
      <c r="F126" s="11" t="str">
        <f t="shared" si="17"/>
        <v/>
      </c>
      <c r="G126" s="10" t="str">
        <f t="shared" si="18"/>
        <v/>
      </c>
      <c r="I126" s="192">
        <v>20</v>
      </c>
      <c r="J126" s="192" t="s">
        <v>1363</v>
      </c>
      <c r="K126" s="192">
        <v>18.8</v>
      </c>
      <c r="L126" s="205">
        <v>19000</v>
      </c>
      <c r="M126" s="205">
        <v>19000</v>
      </c>
      <c r="N126" s="192" t="s">
        <v>294</v>
      </c>
      <c r="O126" s="25"/>
      <c r="P126" s="25"/>
      <c r="Q126" s="25"/>
      <c r="R126" s="25"/>
      <c r="S126" s="25"/>
      <c r="T126" s="25"/>
      <c r="U126" s="25"/>
      <c r="V126" s="25"/>
    </row>
    <row r="127" spans="3:22">
      <c r="C127" s="11" t="str">
        <f t="shared" si="14"/>
        <v/>
      </c>
      <c r="D127" s="11">
        <f t="shared" si="15"/>
        <v>16.809999999999999</v>
      </c>
      <c r="E127" s="11">
        <f t="shared" si="16"/>
        <v>2.2999999999999998</v>
      </c>
      <c r="F127" s="11" t="str">
        <f t="shared" si="17"/>
        <v/>
      </c>
      <c r="G127" s="10" t="str">
        <f t="shared" si="18"/>
        <v/>
      </c>
      <c r="I127" s="192">
        <v>21</v>
      </c>
      <c r="J127" s="192" t="s">
        <v>1362</v>
      </c>
      <c r="K127" s="192">
        <v>18.68</v>
      </c>
      <c r="L127" s="205">
        <v>19000</v>
      </c>
      <c r="M127" s="205">
        <v>19000</v>
      </c>
      <c r="N127" s="192" t="s">
        <v>294</v>
      </c>
      <c r="O127" s="25"/>
      <c r="P127" s="25"/>
      <c r="Q127" s="25"/>
      <c r="R127" s="25"/>
      <c r="S127" s="25"/>
      <c r="T127" s="25"/>
      <c r="U127" s="25"/>
      <c r="V127" s="25"/>
    </row>
    <row r="128" spans="3:22">
      <c r="C128" s="11" t="str">
        <f t="shared" si="14"/>
        <v>兴业全球基金管理有限公司</v>
      </c>
      <c r="D128" s="11">
        <f t="shared" si="15"/>
        <v>15.56</v>
      </c>
      <c r="E128" s="11">
        <f t="shared" si="16"/>
        <v>4</v>
      </c>
      <c r="F128" s="11" t="str">
        <f t="shared" si="17"/>
        <v/>
      </c>
      <c r="G128" s="10" t="str">
        <f t="shared" si="18"/>
        <v/>
      </c>
      <c r="I128" s="25"/>
      <c r="J128" s="192"/>
      <c r="K128" s="192">
        <v>16.809999999999999</v>
      </c>
      <c r="L128" s="205">
        <v>23000</v>
      </c>
      <c r="M128" s="205">
        <v>23000</v>
      </c>
      <c r="N128" s="192" t="s">
        <v>294</v>
      </c>
      <c r="O128" s="25"/>
      <c r="P128" s="25"/>
      <c r="Q128" s="25"/>
      <c r="R128" s="25"/>
      <c r="S128" s="25"/>
      <c r="T128" s="25"/>
      <c r="U128" s="25"/>
      <c r="V128" s="25"/>
    </row>
    <row r="129" spans="1:22">
      <c r="C129" s="11" t="str">
        <f t="shared" si="14"/>
        <v>山东高速投资基金管理有限公司</v>
      </c>
      <c r="D129" s="11" t="str">
        <f t="shared" si="15"/>
        <v>23.05（无效申购）</v>
      </c>
      <c r="E129" s="11">
        <f t="shared" si="16"/>
        <v>1.9</v>
      </c>
      <c r="F129" s="11" t="str">
        <f t="shared" si="17"/>
        <v/>
      </c>
      <c r="G129" s="10" t="str">
        <f t="shared" si="18"/>
        <v/>
      </c>
      <c r="I129" s="192">
        <v>22</v>
      </c>
      <c r="J129" s="192" t="s">
        <v>1361</v>
      </c>
      <c r="K129" s="192">
        <v>15.56</v>
      </c>
      <c r="L129" s="205">
        <v>40000</v>
      </c>
      <c r="M129" s="205">
        <v>40000</v>
      </c>
      <c r="N129" s="192" t="s">
        <v>294</v>
      </c>
      <c r="O129" s="25"/>
      <c r="P129" s="25"/>
      <c r="Q129" s="25"/>
      <c r="R129" s="25"/>
      <c r="S129" s="25"/>
      <c r="T129" s="25"/>
      <c r="U129" s="25"/>
      <c r="V129" s="25"/>
    </row>
    <row r="130" spans="1:22">
      <c r="C130" s="24" t="str">
        <f t="shared" si="14"/>
        <v/>
      </c>
      <c r="I130" s="204">
        <v>23</v>
      </c>
      <c r="J130" s="192" t="s">
        <v>1360</v>
      </c>
      <c r="K130" s="203" t="s">
        <v>1359</v>
      </c>
      <c r="L130" s="202">
        <v>19000</v>
      </c>
      <c r="M130" s="201">
        <v>0</v>
      </c>
      <c r="N130" s="154"/>
      <c r="O130" s="25"/>
      <c r="P130" s="25"/>
      <c r="Q130" s="25"/>
      <c r="R130" s="25"/>
      <c r="S130" s="25"/>
      <c r="T130" s="25"/>
      <c r="U130" s="25"/>
      <c r="V130" s="25"/>
    </row>
    <row r="131" spans="1:22">
      <c r="C131" s="24" t="str">
        <f t="shared" si="14"/>
        <v/>
      </c>
    </row>
    <row r="133" spans="1:22" s="162" customFormat="1">
      <c r="A133" s="164" t="s">
        <v>1315</v>
      </c>
      <c r="B133" s="164"/>
      <c r="C133" s="164" t="s">
        <v>107</v>
      </c>
      <c r="D133" s="164" t="s">
        <v>4</v>
      </c>
      <c r="E133" s="166" t="s">
        <v>108</v>
      </c>
      <c r="F133" s="166" t="s">
        <v>109</v>
      </c>
      <c r="G133" s="164" t="s">
        <v>1314</v>
      </c>
      <c r="H133" s="164" t="s">
        <v>1313</v>
      </c>
      <c r="I133" s="165" t="s">
        <v>1312</v>
      </c>
      <c r="J133" s="163" t="s">
        <v>1311</v>
      </c>
      <c r="K133" s="163" t="s">
        <v>110</v>
      </c>
      <c r="L133" s="163" t="s">
        <v>1310</v>
      </c>
      <c r="M133" s="164" t="s">
        <v>111</v>
      </c>
      <c r="N133" s="163" t="s">
        <v>949</v>
      </c>
      <c r="O133" s="163" t="s">
        <v>948</v>
      </c>
      <c r="P133" s="163" t="s">
        <v>129</v>
      </c>
    </row>
    <row r="134" spans="1:22">
      <c r="A134" s="24">
        <v>273</v>
      </c>
      <c r="B134" s="161" t="s">
        <v>1358</v>
      </c>
      <c r="C134" s="1" t="s">
        <v>1357</v>
      </c>
      <c r="D134" s="1" t="s">
        <v>1356</v>
      </c>
      <c r="E134" s="3">
        <v>16.705538000000001</v>
      </c>
      <c r="F134" s="3">
        <v>16.705537843199998</v>
      </c>
      <c r="G134" s="124">
        <v>42660</v>
      </c>
      <c r="H134" s="24" t="s">
        <v>151</v>
      </c>
      <c r="I134" s="130">
        <v>35.869999999999997</v>
      </c>
      <c r="J134" s="3">
        <v>30.72</v>
      </c>
      <c r="K134" s="160">
        <v>30.72</v>
      </c>
      <c r="L134" s="159">
        <v>0.85642598271536108</v>
      </c>
      <c r="M134" s="24">
        <v>8</v>
      </c>
      <c r="N134" s="2">
        <v>43059</v>
      </c>
      <c r="O134" s="24">
        <v>23.67</v>
      </c>
      <c r="P134" s="157">
        <v>0.77050781250000011</v>
      </c>
    </row>
    <row r="135" spans="1:22">
      <c r="C135" s="179" t="s">
        <v>112</v>
      </c>
      <c r="D135" s="179" t="s">
        <v>113</v>
      </c>
      <c r="E135" s="179" t="s">
        <v>1305</v>
      </c>
      <c r="F135" s="180" t="s">
        <v>1304</v>
      </c>
      <c r="G135" s="179" t="s">
        <v>1303</v>
      </c>
      <c r="I135" s="200" t="s">
        <v>1355</v>
      </c>
      <c r="J135" s="196" t="s">
        <v>296</v>
      </c>
      <c r="K135" s="196" t="s">
        <v>1350</v>
      </c>
      <c r="L135" s="196" t="s">
        <v>1349</v>
      </c>
      <c r="M135" s="196" t="s">
        <v>1348</v>
      </c>
      <c r="N135" s="25"/>
      <c r="O135" s="85" t="s">
        <v>118</v>
      </c>
      <c r="P135" s="85" t="s">
        <v>296</v>
      </c>
      <c r="Q135" s="196" t="s">
        <v>323</v>
      </c>
      <c r="R135" s="85" t="s">
        <v>1346</v>
      </c>
    </row>
    <row r="136" spans="1:22">
      <c r="C136" s="11" t="str">
        <f t="shared" ref="C136:C151" si="19">IF(J136=0,"",J136)</f>
        <v>渤海汇金证券资产管理有限公司</v>
      </c>
      <c r="D136" s="11">
        <f t="shared" ref="D136:D152" si="20">K136</f>
        <v>36.049999999999997</v>
      </c>
      <c r="E136" s="10">
        <f t="shared" ref="E136:E152" si="21">M136/10000</f>
        <v>1.70156</v>
      </c>
      <c r="F136" s="10">
        <f t="shared" ref="F136:F152" si="22">IFERROR(VLOOKUP(C136,P$136:R$143,2,FALSE)/10000,"")</f>
        <v>554.66010000000006</v>
      </c>
      <c r="G136" s="10">
        <f t="shared" ref="G136:G152" si="23">IFERROR(F136*J$134/10000,"")</f>
        <v>1.7039158272000001</v>
      </c>
      <c r="I136" s="168">
        <v>1</v>
      </c>
      <c r="J136" s="192" t="s">
        <v>1347</v>
      </c>
      <c r="K136" s="191">
        <v>36.049999999999997</v>
      </c>
      <c r="L136" s="190">
        <v>472</v>
      </c>
      <c r="M136" s="189">
        <v>17015.599999999999</v>
      </c>
      <c r="N136" s="25"/>
      <c r="O136" s="168">
        <v>1</v>
      </c>
      <c r="P136" s="192" t="s">
        <v>1345</v>
      </c>
      <c r="Q136" s="193">
        <v>5546601</v>
      </c>
      <c r="R136" s="197">
        <v>170391582.72</v>
      </c>
    </row>
    <row r="137" spans="1:22">
      <c r="C137" s="11" t="str">
        <f t="shared" si="19"/>
        <v/>
      </c>
      <c r="D137" s="11">
        <f t="shared" si="20"/>
        <v>35.06</v>
      </c>
      <c r="E137" s="10">
        <f t="shared" si="21"/>
        <v>1.703916</v>
      </c>
      <c r="F137" s="10" t="str">
        <f t="shared" si="22"/>
        <v/>
      </c>
      <c r="G137" s="10" t="str">
        <f t="shared" si="23"/>
        <v/>
      </c>
      <c r="I137" s="25"/>
      <c r="J137" s="192"/>
      <c r="K137" s="191">
        <v>35.06</v>
      </c>
      <c r="L137" s="190">
        <v>486</v>
      </c>
      <c r="M137" s="189">
        <v>17039.16</v>
      </c>
      <c r="N137" s="25"/>
      <c r="O137" s="168">
        <v>2</v>
      </c>
      <c r="P137" s="192" t="s">
        <v>1344</v>
      </c>
      <c r="Q137" s="193">
        <v>5541666</v>
      </c>
      <c r="R137" s="197">
        <v>170239979.52000001</v>
      </c>
    </row>
    <row r="138" spans="1:22">
      <c r="C138" s="11" t="str">
        <f t="shared" si="19"/>
        <v>银河资本资产管理有限公司</v>
      </c>
      <c r="D138" s="11">
        <f t="shared" si="20"/>
        <v>32</v>
      </c>
      <c r="E138" s="10">
        <f t="shared" si="21"/>
        <v>1.7023999999999999</v>
      </c>
      <c r="F138" s="10">
        <f t="shared" si="22"/>
        <v>554.16660000000002</v>
      </c>
      <c r="G138" s="10">
        <f t="shared" si="23"/>
        <v>1.7023997952000001</v>
      </c>
      <c r="I138" s="168">
        <v>2</v>
      </c>
      <c r="J138" s="192" t="s">
        <v>1344</v>
      </c>
      <c r="K138" s="191">
        <v>32</v>
      </c>
      <c r="L138" s="190">
        <v>532</v>
      </c>
      <c r="M138" s="189">
        <v>17024</v>
      </c>
      <c r="N138" s="25"/>
      <c r="O138" s="168">
        <v>3</v>
      </c>
      <c r="P138" s="192" t="s">
        <v>1343</v>
      </c>
      <c r="Q138" s="193">
        <v>5625000</v>
      </c>
      <c r="R138" s="197">
        <v>172800000</v>
      </c>
    </row>
    <row r="139" spans="1:22">
      <c r="C139" s="11" t="str">
        <f t="shared" si="19"/>
        <v>中国航空发动机集团有限公司</v>
      </c>
      <c r="D139" s="11">
        <f t="shared" si="20"/>
        <v>32</v>
      </c>
      <c r="E139" s="10">
        <f t="shared" si="21"/>
        <v>1.728</v>
      </c>
      <c r="F139" s="10">
        <f t="shared" si="22"/>
        <v>562.5</v>
      </c>
      <c r="G139" s="10">
        <f t="shared" si="23"/>
        <v>1.728</v>
      </c>
      <c r="I139" s="168">
        <v>3</v>
      </c>
      <c r="J139" s="192" t="s">
        <v>1343</v>
      </c>
      <c r="K139" s="191">
        <v>32</v>
      </c>
      <c r="L139" s="190">
        <v>540</v>
      </c>
      <c r="M139" s="189">
        <v>17280</v>
      </c>
      <c r="N139" s="25"/>
      <c r="O139" s="168">
        <v>4</v>
      </c>
      <c r="P139" s="192" t="s">
        <v>666</v>
      </c>
      <c r="Q139" s="193">
        <v>7410000</v>
      </c>
      <c r="R139" s="197">
        <v>227635200</v>
      </c>
    </row>
    <row r="140" spans="1:22">
      <c r="C140" s="11" t="str">
        <f t="shared" si="19"/>
        <v/>
      </c>
      <c r="D140" s="11">
        <f t="shared" si="20"/>
        <v>31.2</v>
      </c>
      <c r="E140" s="10">
        <f t="shared" si="21"/>
        <v>1.716</v>
      </c>
      <c r="F140" s="10" t="str">
        <f t="shared" si="22"/>
        <v/>
      </c>
      <c r="G140" s="10" t="str">
        <f t="shared" si="23"/>
        <v/>
      </c>
      <c r="I140" s="25"/>
      <c r="J140" s="25"/>
      <c r="K140" s="191">
        <v>31.2</v>
      </c>
      <c r="L140" s="190">
        <v>550</v>
      </c>
      <c r="M140" s="189">
        <v>17160</v>
      </c>
      <c r="N140" s="25"/>
      <c r="O140" s="168">
        <v>5</v>
      </c>
      <c r="P140" s="192" t="s">
        <v>544</v>
      </c>
      <c r="Q140" s="193">
        <v>5195862</v>
      </c>
      <c r="R140" s="197">
        <v>159616880.63999999</v>
      </c>
    </row>
    <row r="141" spans="1:22">
      <c r="C141" s="11" t="str">
        <f t="shared" si="19"/>
        <v/>
      </c>
      <c r="D141" s="11">
        <f t="shared" si="20"/>
        <v>30.75</v>
      </c>
      <c r="E141" s="10">
        <f t="shared" si="21"/>
        <v>1.722</v>
      </c>
      <c r="F141" s="10" t="str">
        <f t="shared" si="22"/>
        <v/>
      </c>
      <c r="G141" s="10" t="str">
        <f t="shared" si="23"/>
        <v/>
      </c>
      <c r="I141" s="64"/>
      <c r="J141" s="64"/>
      <c r="K141" s="191">
        <v>30.75</v>
      </c>
      <c r="L141" s="190">
        <v>560</v>
      </c>
      <c r="M141" s="189">
        <v>17220</v>
      </c>
      <c r="N141" s="25"/>
      <c r="O141" s="168">
        <v>6</v>
      </c>
      <c r="P141" s="192" t="s">
        <v>146</v>
      </c>
      <c r="Q141" s="193">
        <v>5734023</v>
      </c>
      <c r="R141" s="197">
        <v>176149186.56</v>
      </c>
    </row>
    <row r="142" spans="1:22">
      <c r="C142" s="11" t="str">
        <f t="shared" si="19"/>
        <v>九泰基金管理有限公司</v>
      </c>
      <c r="D142" s="11">
        <f t="shared" si="20"/>
        <v>33</v>
      </c>
      <c r="E142" s="10">
        <f t="shared" si="21"/>
        <v>1.8348</v>
      </c>
      <c r="F142" s="10">
        <f t="shared" si="22"/>
        <v>741</v>
      </c>
      <c r="G142" s="10">
        <f t="shared" si="23"/>
        <v>2.2763520000000002</v>
      </c>
      <c r="I142" s="168">
        <v>4</v>
      </c>
      <c r="J142" s="192" t="s">
        <v>666</v>
      </c>
      <c r="K142" s="191">
        <v>33</v>
      </c>
      <c r="L142" s="190">
        <v>556</v>
      </c>
      <c r="M142" s="189">
        <v>18348</v>
      </c>
      <c r="N142" s="25"/>
      <c r="O142" s="168">
        <v>7</v>
      </c>
      <c r="P142" s="192" t="s">
        <v>115</v>
      </c>
      <c r="Q142" s="193">
        <v>12828157</v>
      </c>
      <c r="R142" s="197">
        <v>394080983.04000002</v>
      </c>
    </row>
    <row r="143" spans="1:22">
      <c r="C143" s="11" t="str">
        <f t="shared" si="19"/>
        <v/>
      </c>
      <c r="D143" s="11">
        <f t="shared" si="20"/>
        <v>32.1</v>
      </c>
      <c r="E143" s="10">
        <f t="shared" si="21"/>
        <v>2.1346500000000002</v>
      </c>
      <c r="F143" s="10" t="str">
        <f t="shared" si="22"/>
        <v/>
      </c>
      <c r="G143" s="10" t="str">
        <f t="shared" si="23"/>
        <v/>
      </c>
      <c r="I143" s="25"/>
      <c r="J143" s="25"/>
      <c r="K143" s="191">
        <v>32.1</v>
      </c>
      <c r="L143" s="190">
        <v>665</v>
      </c>
      <c r="M143" s="189">
        <v>21346.5</v>
      </c>
      <c r="N143" s="25"/>
      <c r="O143" s="168">
        <v>8</v>
      </c>
      <c r="P143" s="192" t="s">
        <v>594</v>
      </c>
      <c r="Q143" s="193">
        <v>6498697</v>
      </c>
      <c r="R143" s="197">
        <v>199639971.84</v>
      </c>
    </row>
    <row r="144" spans="1:22">
      <c r="C144" s="11" t="str">
        <f t="shared" si="19"/>
        <v/>
      </c>
      <c r="D144" s="11">
        <f t="shared" si="20"/>
        <v>30.72</v>
      </c>
      <c r="E144" s="10">
        <f t="shared" si="21"/>
        <v>2.2763520000000002</v>
      </c>
      <c r="F144" s="10" t="str">
        <f t="shared" si="22"/>
        <v/>
      </c>
      <c r="G144" s="10" t="str">
        <f t="shared" si="23"/>
        <v/>
      </c>
      <c r="I144" s="64"/>
      <c r="J144" s="64"/>
      <c r="K144" s="191">
        <v>30.72</v>
      </c>
      <c r="L144" s="190">
        <v>741</v>
      </c>
      <c r="M144" s="189">
        <v>22763.52</v>
      </c>
      <c r="N144" s="25"/>
      <c r="O144" s="196" t="s">
        <v>1293</v>
      </c>
      <c r="P144" s="196"/>
      <c r="Q144" s="195">
        <v>54380006</v>
      </c>
      <c r="R144" s="194">
        <v>1670553784.3199999</v>
      </c>
    </row>
    <row r="145" spans="1:22">
      <c r="C145" s="11" t="str">
        <f t="shared" si="19"/>
        <v>国机资本控股有限公司</v>
      </c>
      <c r="D145" s="11">
        <f t="shared" si="20"/>
        <v>30.72</v>
      </c>
      <c r="E145" s="10">
        <f t="shared" si="21"/>
        <v>1.7018880000000001</v>
      </c>
      <c r="F145" s="10">
        <f t="shared" si="22"/>
        <v>519.58619999999996</v>
      </c>
      <c r="G145" s="10">
        <f t="shared" si="23"/>
        <v>1.5961688063999999</v>
      </c>
      <c r="I145" s="168">
        <v>5</v>
      </c>
      <c r="J145" s="192" t="s">
        <v>544</v>
      </c>
      <c r="K145" s="191">
        <v>30.72</v>
      </c>
      <c r="L145" s="190">
        <v>554</v>
      </c>
      <c r="M145" s="189">
        <v>17018.88</v>
      </c>
      <c r="N145" s="25"/>
      <c r="O145" s="25"/>
      <c r="P145" s="25"/>
      <c r="Q145" s="25"/>
      <c r="R145" s="25"/>
    </row>
    <row r="146" spans="1:22">
      <c r="C146" s="11" t="str">
        <f t="shared" si="19"/>
        <v>平安大华基金管理有限公司</v>
      </c>
      <c r="D146" s="11">
        <f t="shared" si="20"/>
        <v>32.44</v>
      </c>
      <c r="E146" s="10">
        <f t="shared" si="21"/>
        <v>1.7614919999999998</v>
      </c>
      <c r="F146" s="10">
        <f t="shared" si="22"/>
        <v>573.40229999999997</v>
      </c>
      <c r="G146" s="10">
        <f t="shared" si="23"/>
        <v>1.7614918655999998</v>
      </c>
      <c r="I146" s="168">
        <v>6</v>
      </c>
      <c r="J146" s="192" t="s">
        <v>146</v>
      </c>
      <c r="K146" s="191">
        <v>32.44</v>
      </c>
      <c r="L146" s="190">
        <v>543</v>
      </c>
      <c r="M146" s="189">
        <v>17614.919999999998</v>
      </c>
      <c r="N146" s="25"/>
      <c r="O146" s="25"/>
      <c r="P146" s="25"/>
      <c r="Q146" s="25"/>
      <c r="R146" s="25"/>
    </row>
    <row r="147" spans="1:22">
      <c r="C147" s="11" t="str">
        <f t="shared" si="19"/>
        <v>财通基金管理有限公司</v>
      </c>
      <c r="D147" s="11">
        <f t="shared" si="20"/>
        <v>33.17</v>
      </c>
      <c r="E147" s="10">
        <f t="shared" si="21"/>
        <v>1.7049380000000001</v>
      </c>
      <c r="F147" s="10">
        <f t="shared" si="22"/>
        <v>1282.8157000000001</v>
      </c>
      <c r="G147" s="10">
        <f t="shared" si="23"/>
        <v>3.9408098304000001</v>
      </c>
      <c r="I147" s="168">
        <v>7</v>
      </c>
      <c r="J147" s="192" t="s">
        <v>115</v>
      </c>
      <c r="K147" s="191">
        <v>33.17</v>
      </c>
      <c r="L147" s="190">
        <v>514</v>
      </c>
      <c r="M147" s="189">
        <v>17049.38</v>
      </c>
      <c r="N147" s="25"/>
      <c r="O147" s="25"/>
      <c r="P147" s="25"/>
      <c r="Q147" s="25"/>
      <c r="R147" s="25"/>
    </row>
    <row r="148" spans="1:22">
      <c r="C148" s="11" t="str">
        <f t="shared" si="19"/>
        <v/>
      </c>
      <c r="D148" s="11">
        <f t="shared" si="20"/>
        <v>32.44</v>
      </c>
      <c r="E148" s="10">
        <f t="shared" si="21"/>
        <v>3.1207279999999997</v>
      </c>
      <c r="F148" s="10" t="str">
        <f t="shared" si="22"/>
        <v/>
      </c>
      <c r="G148" s="10" t="str">
        <f t="shared" si="23"/>
        <v/>
      </c>
      <c r="I148" s="25"/>
      <c r="J148" s="25"/>
      <c r="K148" s="191">
        <v>32.44</v>
      </c>
      <c r="L148" s="190">
        <v>962</v>
      </c>
      <c r="M148" s="189">
        <v>31207.279999999999</v>
      </c>
      <c r="N148" s="25"/>
      <c r="O148" s="25"/>
      <c r="P148" s="25"/>
      <c r="Q148" s="25"/>
      <c r="R148" s="25"/>
    </row>
    <row r="149" spans="1:22">
      <c r="C149" s="11" t="str">
        <f t="shared" si="19"/>
        <v/>
      </c>
      <c r="D149" s="11">
        <f t="shared" si="20"/>
        <v>31.03</v>
      </c>
      <c r="E149" s="10">
        <f t="shared" si="21"/>
        <v>3.9408099999999999</v>
      </c>
      <c r="F149" s="10" t="str">
        <f t="shared" si="22"/>
        <v/>
      </c>
      <c r="G149" s="10" t="str">
        <f t="shared" si="23"/>
        <v/>
      </c>
      <c r="I149" s="64"/>
      <c r="J149" s="64"/>
      <c r="K149" s="191">
        <v>31.03</v>
      </c>
      <c r="L149" s="193">
        <v>1270</v>
      </c>
      <c r="M149" s="189">
        <v>39408.1</v>
      </c>
      <c r="N149" s="25"/>
      <c r="O149" s="25"/>
      <c r="P149" s="25"/>
      <c r="Q149" s="25"/>
      <c r="R149" s="25"/>
    </row>
    <row r="150" spans="1:22">
      <c r="C150" s="11" t="str">
        <f t="shared" si="19"/>
        <v>北京京泰阳光投资有限公司</v>
      </c>
      <c r="D150" s="11">
        <f t="shared" si="20"/>
        <v>33</v>
      </c>
      <c r="E150" s="10">
        <f t="shared" si="21"/>
        <v>1.782</v>
      </c>
      <c r="F150" s="10">
        <f t="shared" si="22"/>
        <v>649.86969999999997</v>
      </c>
      <c r="G150" s="10">
        <f t="shared" si="23"/>
        <v>1.9963997184</v>
      </c>
      <c r="I150" s="168">
        <v>8</v>
      </c>
      <c r="J150" s="192" t="s">
        <v>594</v>
      </c>
      <c r="K150" s="191">
        <v>33</v>
      </c>
      <c r="L150" s="190">
        <v>540</v>
      </c>
      <c r="M150" s="189">
        <v>17820</v>
      </c>
      <c r="N150" s="25"/>
      <c r="O150" s="25"/>
      <c r="P150" s="25"/>
      <c r="Q150" s="25"/>
      <c r="R150" s="25"/>
    </row>
    <row r="151" spans="1:22">
      <c r="C151" s="11" t="str">
        <f t="shared" si="19"/>
        <v/>
      </c>
      <c r="D151" s="11">
        <f t="shared" si="20"/>
        <v>32.5</v>
      </c>
      <c r="E151" s="10">
        <f t="shared" si="21"/>
        <v>1.7875000000000001</v>
      </c>
      <c r="F151" s="10" t="str">
        <f t="shared" si="22"/>
        <v/>
      </c>
      <c r="G151" s="10" t="str">
        <f t="shared" si="23"/>
        <v/>
      </c>
      <c r="I151" s="25"/>
      <c r="J151" s="25"/>
      <c r="K151" s="191">
        <v>32.5</v>
      </c>
      <c r="L151" s="190">
        <v>550</v>
      </c>
      <c r="M151" s="189">
        <v>17875</v>
      </c>
      <c r="N151" s="25"/>
      <c r="O151" s="25"/>
      <c r="P151" s="25"/>
      <c r="Q151" s="25"/>
      <c r="R151" s="25"/>
    </row>
    <row r="152" spans="1:22">
      <c r="C152" s="11"/>
      <c r="D152" s="11">
        <f t="shared" si="20"/>
        <v>32.200000000000003</v>
      </c>
      <c r="E152" s="10">
        <f t="shared" si="21"/>
        <v>1.9964</v>
      </c>
      <c r="F152" s="10" t="str">
        <f t="shared" si="22"/>
        <v/>
      </c>
      <c r="G152" s="10" t="str">
        <f t="shared" si="23"/>
        <v/>
      </c>
      <c r="I152" s="64"/>
      <c r="J152" s="64"/>
      <c r="K152" s="191">
        <v>32.200000000000003</v>
      </c>
      <c r="L152" s="190">
        <v>620</v>
      </c>
      <c r="M152" s="189">
        <v>19964</v>
      </c>
      <c r="N152" s="25"/>
      <c r="O152" s="25"/>
      <c r="P152" s="25"/>
      <c r="Q152" s="25"/>
      <c r="R152" s="25"/>
    </row>
    <row r="153" spans="1:22">
      <c r="I153" s="25"/>
      <c r="J153" s="25"/>
      <c r="K153" s="25"/>
      <c r="L153" s="25"/>
      <c r="M153" s="25"/>
      <c r="N153" s="25"/>
      <c r="O153" s="25"/>
      <c r="P153" s="25"/>
      <c r="Q153" s="25"/>
      <c r="R153" s="25"/>
    </row>
    <row r="155" spans="1:22" s="162" customFormat="1">
      <c r="A155" s="164" t="s">
        <v>1315</v>
      </c>
      <c r="B155" s="164"/>
      <c r="C155" s="164" t="s">
        <v>107</v>
      </c>
      <c r="D155" s="164" t="s">
        <v>4</v>
      </c>
      <c r="E155" s="166" t="s">
        <v>108</v>
      </c>
      <c r="F155" s="166" t="s">
        <v>109</v>
      </c>
      <c r="G155" s="164" t="s">
        <v>1314</v>
      </c>
      <c r="H155" s="164" t="s">
        <v>1313</v>
      </c>
      <c r="I155" s="165" t="s">
        <v>1312</v>
      </c>
      <c r="J155" s="163" t="s">
        <v>1311</v>
      </c>
      <c r="K155" s="163" t="s">
        <v>110</v>
      </c>
      <c r="L155" s="163" t="s">
        <v>1310</v>
      </c>
      <c r="M155" s="164" t="s">
        <v>111</v>
      </c>
      <c r="N155" s="163" t="s">
        <v>949</v>
      </c>
      <c r="O155" s="163" t="s">
        <v>948</v>
      </c>
      <c r="P155" s="163" t="s">
        <v>129</v>
      </c>
    </row>
    <row r="156" spans="1:22">
      <c r="A156" s="24">
        <v>274</v>
      </c>
      <c r="B156" s="161" t="s">
        <v>1354</v>
      </c>
      <c r="C156" s="1" t="s">
        <v>1353</v>
      </c>
      <c r="D156" s="1" t="s">
        <v>1352</v>
      </c>
      <c r="E156" s="3">
        <v>11.268578</v>
      </c>
      <c r="F156" s="3">
        <v>11.268577779999999</v>
      </c>
      <c r="G156" s="124">
        <v>42671</v>
      </c>
      <c r="H156" s="24" t="s">
        <v>151</v>
      </c>
      <c r="I156" s="130">
        <v>24.47</v>
      </c>
      <c r="J156" s="487">
        <v>24.5</v>
      </c>
      <c r="K156" s="160">
        <v>22.16</v>
      </c>
      <c r="L156" s="488">
        <v>1.0012259910093992</v>
      </c>
      <c r="M156" s="24">
        <v>5</v>
      </c>
      <c r="N156" s="489">
        <v>43068</v>
      </c>
      <c r="O156" s="24">
        <v>16.18</v>
      </c>
      <c r="P156" s="157">
        <v>0.66204081632653056</v>
      </c>
    </row>
    <row r="157" spans="1:22" ht="14" customHeight="1">
      <c r="C157" s="179" t="s">
        <v>112</v>
      </c>
      <c r="D157" s="179" t="s">
        <v>113</v>
      </c>
      <c r="E157" s="179" t="s">
        <v>1305</v>
      </c>
      <c r="F157" s="180" t="s">
        <v>1304</v>
      </c>
      <c r="G157" s="179" t="s">
        <v>1303</v>
      </c>
      <c r="I157" s="490" t="s">
        <v>1413</v>
      </c>
      <c r="J157" s="490" t="s">
        <v>7</v>
      </c>
      <c r="K157" s="490" t="s">
        <v>1699</v>
      </c>
      <c r="L157" s="490" t="s">
        <v>1521</v>
      </c>
      <c r="M157" s="490" t="s">
        <v>1520</v>
      </c>
      <c r="N157" s="490" t="s">
        <v>488</v>
      </c>
      <c r="O157" s="490" t="s">
        <v>1814</v>
      </c>
      <c r="P157" s="491" t="s">
        <v>160</v>
      </c>
      <c r="Q157" s="490" t="s">
        <v>1346</v>
      </c>
      <c r="R157" s="492"/>
      <c r="S157" s="490" t="s">
        <v>118</v>
      </c>
      <c r="T157" s="490" t="s">
        <v>349</v>
      </c>
      <c r="U157" s="493" t="s">
        <v>1903</v>
      </c>
      <c r="V157" s="491" t="s">
        <v>1772</v>
      </c>
    </row>
    <row r="158" spans="1:22">
      <c r="C158" s="11" t="str">
        <f>J160</f>
        <v>中车金证投资有限公司</v>
      </c>
      <c r="D158" s="11">
        <f>N160</f>
        <v>24.4</v>
      </c>
      <c r="E158" s="10">
        <f>O160/10000</f>
        <v>2.2599999999999998</v>
      </c>
      <c r="F158" s="10" t="str">
        <f>IFERROR(VLOOKUP(C158,$T$159:$V$163,2,FALSE)/10000,"")</f>
        <v/>
      </c>
      <c r="G158" s="10" t="str">
        <f t="shared" ref="G158:G170" si="24">IFERROR(F158*J$156/10000,"")</f>
        <v/>
      </c>
      <c r="I158" s="490" t="s">
        <v>477</v>
      </c>
      <c r="J158" s="490"/>
      <c r="K158" s="490" t="s">
        <v>1698</v>
      </c>
      <c r="L158" s="490" t="s">
        <v>1697</v>
      </c>
      <c r="M158" s="490" t="s">
        <v>1657</v>
      </c>
      <c r="N158" s="490" t="s">
        <v>3171</v>
      </c>
      <c r="O158" s="490" t="s">
        <v>1333</v>
      </c>
      <c r="P158" s="491" t="s">
        <v>1317</v>
      </c>
      <c r="Q158" s="490"/>
      <c r="R158" s="494" t="s">
        <v>1346</v>
      </c>
      <c r="S158" s="490"/>
      <c r="T158" s="490"/>
      <c r="U158" s="493" t="s">
        <v>1317</v>
      </c>
      <c r="V158" s="491" t="s">
        <v>1316</v>
      </c>
    </row>
    <row r="159" spans="1:22" ht="15.5">
      <c r="C159" s="11" t="str">
        <f t="shared" ref="C159:C170" si="25">J161</f>
        <v>嘉实基金管理有限公司</v>
      </c>
      <c r="D159" s="11">
        <f t="shared" ref="D159:D170" si="26">N161</f>
        <v>23.98</v>
      </c>
      <c r="E159" s="10">
        <f t="shared" ref="E159:E170" si="27">O161/10000</f>
        <v>2.96</v>
      </c>
      <c r="F159" s="10" t="str">
        <f t="shared" ref="F159:F170" si="28">IFERROR(VLOOKUP(C159,$T$159:$V$163,2,FALSE)/10000,"")</f>
        <v/>
      </c>
      <c r="G159" s="10" t="str">
        <f t="shared" si="24"/>
        <v/>
      </c>
      <c r="I159" s="495" t="s">
        <v>1566</v>
      </c>
      <c r="J159" s="495"/>
      <c r="K159" s="495"/>
      <c r="L159" s="495"/>
      <c r="M159" s="495"/>
      <c r="N159" s="495"/>
      <c r="O159" s="495"/>
      <c r="P159" s="495"/>
      <c r="Q159" s="495"/>
      <c r="R159" s="496">
        <v>170391582.72</v>
      </c>
      <c r="S159" s="497">
        <v>1</v>
      </c>
      <c r="T159" s="498" t="s">
        <v>3169</v>
      </c>
      <c r="U159" s="499">
        <v>9632653</v>
      </c>
      <c r="V159" s="500">
        <v>235999998.5</v>
      </c>
    </row>
    <row r="160" spans="1:22">
      <c r="C160" s="11" t="str">
        <f t="shared" si="25"/>
        <v>九泰基金管理有限公司</v>
      </c>
      <c r="D160" s="11">
        <f t="shared" si="26"/>
        <v>22.73</v>
      </c>
      <c r="E160" s="10">
        <f t="shared" si="27"/>
        <v>2.2599999999999998</v>
      </c>
      <c r="F160" s="10" t="str">
        <f t="shared" si="28"/>
        <v/>
      </c>
      <c r="G160" s="10" t="str">
        <f t="shared" si="24"/>
        <v/>
      </c>
      <c r="I160" s="501">
        <v>1</v>
      </c>
      <c r="J160" s="498" t="s">
        <v>584</v>
      </c>
      <c r="K160" s="498" t="s">
        <v>3167</v>
      </c>
      <c r="L160" s="502" t="s">
        <v>1160</v>
      </c>
      <c r="M160" s="503">
        <v>12</v>
      </c>
      <c r="N160" s="504">
        <v>24.4</v>
      </c>
      <c r="O160" s="505">
        <v>22600</v>
      </c>
      <c r="P160" s="506"/>
      <c r="Q160" s="506"/>
      <c r="R160" s="496">
        <v>170239979.52000001</v>
      </c>
      <c r="S160" s="497">
        <v>2</v>
      </c>
      <c r="T160" s="498" t="s">
        <v>1165</v>
      </c>
      <c r="U160" s="499">
        <v>8606442</v>
      </c>
      <c r="V160" s="500">
        <v>210857829</v>
      </c>
    </row>
    <row r="161" spans="3:22">
      <c r="C161" s="11" t="str">
        <f t="shared" si="25"/>
        <v>中国银河证券股份有限公司</v>
      </c>
      <c r="D161" s="11">
        <f t="shared" si="26"/>
        <v>22.26</v>
      </c>
      <c r="E161" s="10">
        <f t="shared" si="27"/>
        <v>2.2999999999999998</v>
      </c>
      <c r="F161" s="10" t="str">
        <f t="shared" si="28"/>
        <v/>
      </c>
      <c r="G161" s="10" t="str">
        <f t="shared" si="24"/>
        <v/>
      </c>
      <c r="I161" s="501">
        <v>2</v>
      </c>
      <c r="J161" s="498" t="s">
        <v>228</v>
      </c>
      <c r="K161" s="498" t="s">
        <v>1325</v>
      </c>
      <c r="L161" s="502" t="s">
        <v>1160</v>
      </c>
      <c r="M161" s="503">
        <v>12</v>
      </c>
      <c r="N161" s="504">
        <v>23.98</v>
      </c>
      <c r="O161" s="505">
        <v>29600</v>
      </c>
      <c r="P161" s="506"/>
      <c r="Q161" s="506"/>
      <c r="R161" s="496">
        <v>172800000</v>
      </c>
      <c r="S161" s="497">
        <v>3</v>
      </c>
      <c r="T161" s="498" t="s">
        <v>955</v>
      </c>
      <c r="U161" s="499">
        <v>9224489</v>
      </c>
      <c r="V161" s="500">
        <v>225999980.5</v>
      </c>
    </row>
    <row r="162" spans="3:22">
      <c r="C162" s="11" t="str">
        <f t="shared" si="25"/>
        <v>云禧（北京）投资基金管理有限公司</v>
      </c>
      <c r="D162" s="11">
        <f t="shared" si="26"/>
        <v>25.7</v>
      </c>
      <c r="E162" s="10">
        <f t="shared" si="27"/>
        <v>2.36</v>
      </c>
      <c r="F162" s="10">
        <f t="shared" si="28"/>
        <v>963.26530000000002</v>
      </c>
      <c r="G162" s="10">
        <f>IFERROR(F162*J$156/10000,"")</f>
        <v>2.359999985</v>
      </c>
      <c r="I162" s="501">
        <v>3</v>
      </c>
      <c r="J162" s="498" t="s">
        <v>666</v>
      </c>
      <c r="K162" s="498" t="s">
        <v>1325</v>
      </c>
      <c r="L162" s="502" t="s">
        <v>1160</v>
      </c>
      <c r="M162" s="503">
        <v>12</v>
      </c>
      <c r="N162" s="504">
        <v>22.73</v>
      </c>
      <c r="O162" s="505">
        <v>22600</v>
      </c>
      <c r="P162" s="506"/>
      <c r="Q162" s="506"/>
      <c r="R162" s="496">
        <v>227635200</v>
      </c>
      <c r="S162" s="497">
        <v>4</v>
      </c>
      <c r="T162" s="498" t="s">
        <v>3170</v>
      </c>
      <c r="U162" s="499">
        <v>9306122</v>
      </c>
      <c r="V162" s="500">
        <v>227999989</v>
      </c>
    </row>
    <row r="163" spans="3:22">
      <c r="C163" s="11"/>
      <c r="D163" s="11">
        <f t="shared" si="26"/>
        <v>26.01</v>
      </c>
      <c r="E163" s="10">
        <f t="shared" si="27"/>
        <v>2.2599999999999998</v>
      </c>
      <c r="F163" s="10" t="str">
        <f t="shared" si="28"/>
        <v/>
      </c>
      <c r="G163" s="10" t="str">
        <f t="shared" si="24"/>
        <v/>
      </c>
      <c r="I163" s="501">
        <v>4</v>
      </c>
      <c r="J163" s="498" t="s">
        <v>13</v>
      </c>
      <c r="K163" s="498" t="s">
        <v>1326</v>
      </c>
      <c r="L163" s="502" t="s">
        <v>1160</v>
      </c>
      <c r="M163" s="503">
        <v>12</v>
      </c>
      <c r="N163" s="504">
        <v>22.26</v>
      </c>
      <c r="O163" s="505">
        <v>23000</v>
      </c>
      <c r="P163" s="506"/>
      <c r="Q163" s="506"/>
      <c r="R163" s="496">
        <v>159616880.63999999</v>
      </c>
      <c r="S163" s="497">
        <v>5</v>
      </c>
      <c r="T163" s="498" t="s">
        <v>1044</v>
      </c>
      <c r="U163" s="499">
        <v>9224489</v>
      </c>
      <c r="V163" s="500">
        <v>225999980.5</v>
      </c>
    </row>
    <row r="164" spans="3:22" ht="16.5">
      <c r="C164" s="11" t="str">
        <f t="shared" si="25"/>
        <v>北京泰生鸿乐投资中心（有限合伙）</v>
      </c>
      <c r="D164" s="11">
        <f t="shared" si="26"/>
        <v>22.4</v>
      </c>
      <c r="E164" s="10">
        <f t="shared" si="27"/>
        <v>2.2599999999999998</v>
      </c>
      <c r="F164" s="10" t="str">
        <f t="shared" si="28"/>
        <v/>
      </c>
      <c r="G164" s="10" t="str">
        <f t="shared" si="24"/>
        <v/>
      </c>
      <c r="I164" s="507"/>
      <c r="J164" s="508" t="s">
        <v>3172</v>
      </c>
      <c r="K164" s="509" t="s">
        <v>3167</v>
      </c>
      <c r="L164" s="510" t="s">
        <v>1160</v>
      </c>
      <c r="M164" s="511"/>
      <c r="N164" s="512">
        <v>25.7</v>
      </c>
      <c r="O164" s="513">
        <v>23600</v>
      </c>
      <c r="P164" s="513">
        <v>9632653</v>
      </c>
      <c r="Q164" s="514">
        <v>235999998.5</v>
      </c>
      <c r="R164" s="496">
        <v>176149186.56</v>
      </c>
      <c r="S164" s="506"/>
      <c r="T164" s="493" t="s">
        <v>1293</v>
      </c>
      <c r="U164" s="515">
        <v>45994195</v>
      </c>
      <c r="V164" s="516">
        <v>1126857777.5</v>
      </c>
    </row>
    <row r="165" spans="3:22">
      <c r="C165" s="11" t="str">
        <f t="shared" si="25"/>
        <v>合众人寿保险股份有限公司</v>
      </c>
      <c r="D165" s="11">
        <f t="shared" si="26"/>
        <v>24.5</v>
      </c>
      <c r="E165" s="10">
        <f t="shared" si="27"/>
        <v>2.2599999999999998</v>
      </c>
      <c r="F165" s="10">
        <f t="shared" si="28"/>
        <v>860.64419999999996</v>
      </c>
      <c r="G165" s="10">
        <f t="shared" si="24"/>
        <v>2.1085782899999996</v>
      </c>
      <c r="I165" s="503">
        <v>5</v>
      </c>
      <c r="J165" s="498"/>
      <c r="K165" s="509"/>
      <c r="L165" s="510"/>
      <c r="M165" s="517">
        <v>12</v>
      </c>
      <c r="N165" s="504">
        <v>26.01</v>
      </c>
      <c r="O165" s="505">
        <v>22600</v>
      </c>
      <c r="P165" s="506"/>
      <c r="Q165" s="506"/>
      <c r="R165" s="496">
        <v>394080983.04000002</v>
      </c>
      <c r="S165" s="492"/>
      <c r="T165" s="492"/>
      <c r="U165" s="492"/>
      <c r="V165" s="492"/>
    </row>
    <row r="166" spans="3:22" ht="16.5">
      <c r="C166" s="11" t="str">
        <f t="shared" si="25"/>
        <v>财通基金管理有限公司</v>
      </c>
      <c r="D166" s="11">
        <f t="shared" si="26"/>
        <v>22.16</v>
      </c>
      <c r="E166" s="10">
        <f t="shared" si="27"/>
        <v>2.58</v>
      </c>
      <c r="F166" s="10" t="str">
        <f t="shared" si="28"/>
        <v/>
      </c>
      <c r="G166" s="10" t="str">
        <f t="shared" si="24"/>
        <v/>
      </c>
      <c r="I166" s="507"/>
      <c r="J166" s="508" t="s">
        <v>3173</v>
      </c>
      <c r="K166" s="509" t="s">
        <v>3167</v>
      </c>
      <c r="L166" s="510" t="s">
        <v>1160</v>
      </c>
      <c r="M166" s="507"/>
      <c r="N166" s="518">
        <v>22.4</v>
      </c>
      <c r="O166" s="519">
        <v>22600</v>
      </c>
      <c r="P166" s="506"/>
      <c r="Q166" s="506"/>
      <c r="R166" s="496">
        <v>199639971.84</v>
      </c>
      <c r="S166" s="492"/>
      <c r="T166" s="492"/>
      <c r="U166" s="492"/>
      <c r="V166" s="492"/>
    </row>
    <row r="167" spans="3:22">
      <c r="C167" s="11"/>
      <c r="D167" s="11">
        <f t="shared" si="26"/>
        <v>22.2</v>
      </c>
      <c r="E167" s="10">
        <f t="shared" si="27"/>
        <v>2.2599999999999998</v>
      </c>
      <c r="F167" s="10" t="str">
        <f t="shared" si="28"/>
        <v/>
      </c>
      <c r="G167" s="10" t="str">
        <f t="shared" si="24"/>
        <v/>
      </c>
      <c r="I167" s="501">
        <v>7</v>
      </c>
      <c r="J167" s="498" t="s">
        <v>1165</v>
      </c>
      <c r="K167" s="498" t="s">
        <v>1331</v>
      </c>
      <c r="L167" s="502" t="s">
        <v>1160</v>
      </c>
      <c r="M167" s="517">
        <v>12</v>
      </c>
      <c r="N167" s="512">
        <v>24.5</v>
      </c>
      <c r="O167" s="513">
        <v>22600</v>
      </c>
      <c r="P167" s="513">
        <v>8606442</v>
      </c>
      <c r="Q167" s="514">
        <v>210857829</v>
      </c>
      <c r="R167" s="520">
        <v>1670553784.3199999</v>
      </c>
      <c r="S167" s="492"/>
      <c r="T167" s="492"/>
      <c r="U167" s="492"/>
      <c r="V167" s="492"/>
    </row>
    <row r="168" spans="3:22">
      <c r="C168" s="11" t="str">
        <f t="shared" si="25"/>
        <v>国投瑞银基金管理有限公司</v>
      </c>
      <c r="D168" s="11">
        <f t="shared" si="26"/>
        <v>25.71</v>
      </c>
      <c r="E168" s="10">
        <f t="shared" si="27"/>
        <v>2.2599999999999998</v>
      </c>
      <c r="F168" s="10">
        <f t="shared" si="28"/>
        <v>922.44889999999998</v>
      </c>
      <c r="G168" s="10">
        <f t="shared" si="24"/>
        <v>2.2599998049999996</v>
      </c>
      <c r="I168" s="511"/>
      <c r="J168" s="509" t="s">
        <v>115</v>
      </c>
      <c r="K168" s="509" t="s">
        <v>1325</v>
      </c>
      <c r="L168" s="510" t="s">
        <v>1160</v>
      </c>
      <c r="M168" s="511"/>
      <c r="N168" s="504">
        <v>22.16</v>
      </c>
      <c r="O168" s="505">
        <v>25800</v>
      </c>
      <c r="P168" s="506"/>
      <c r="Q168" s="506"/>
      <c r="R168" s="492"/>
      <c r="S168" s="492"/>
      <c r="T168" s="492"/>
      <c r="U168" s="492"/>
      <c r="V168" s="492"/>
    </row>
    <row r="169" spans="3:22" ht="27.5" customHeight="1">
      <c r="C169" s="11" t="str">
        <f t="shared" si="25"/>
        <v>上海常春藤资产管理有限公司</v>
      </c>
      <c r="D169" s="11">
        <f t="shared" si="26"/>
        <v>25.85</v>
      </c>
      <c r="E169" s="10">
        <f t="shared" si="27"/>
        <v>2.2799999999999998</v>
      </c>
      <c r="F169" s="10">
        <f t="shared" si="28"/>
        <v>930.61220000000003</v>
      </c>
      <c r="G169" s="10">
        <f t="shared" si="24"/>
        <v>2.27999989</v>
      </c>
      <c r="I169" s="503">
        <v>8</v>
      </c>
      <c r="J169" s="509"/>
      <c r="K169" s="509"/>
      <c r="L169" s="510"/>
      <c r="M169" s="503">
        <v>12</v>
      </c>
      <c r="N169" s="504">
        <v>22.2</v>
      </c>
      <c r="O169" s="505">
        <v>22600</v>
      </c>
      <c r="P169" s="506"/>
      <c r="Q169" s="506"/>
      <c r="R169" s="492"/>
      <c r="S169" s="492"/>
      <c r="T169" s="492"/>
      <c r="U169" s="492"/>
      <c r="V169" s="492"/>
    </row>
    <row r="170" spans="3:22">
      <c r="C170" s="11" t="str">
        <f t="shared" si="25"/>
        <v>前海开源基金管理有限公司</v>
      </c>
      <c r="D170" s="11">
        <f t="shared" si="26"/>
        <v>24.62</v>
      </c>
      <c r="E170" s="10">
        <f t="shared" si="27"/>
        <v>2.2599999999999998</v>
      </c>
      <c r="F170" s="10">
        <f t="shared" si="28"/>
        <v>922.44889999999998</v>
      </c>
      <c r="G170" s="10">
        <f t="shared" si="24"/>
        <v>2.2599998049999996</v>
      </c>
      <c r="I170" s="501">
        <v>9</v>
      </c>
      <c r="J170" s="498" t="s">
        <v>955</v>
      </c>
      <c r="K170" s="498" t="s">
        <v>1325</v>
      </c>
      <c r="L170" s="502" t="s">
        <v>1160</v>
      </c>
      <c r="M170" s="517">
        <v>12</v>
      </c>
      <c r="N170" s="512">
        <v>25.71</v>
      </c>
      <c r="O170" s="513">
        <v>22600</v>
      </c>
      <c r="P170" s="513">
        <v>9224489</v>
      </c>
      <c r="Q170" s="514">
        <v>225999980.5</v>
      </c>
      <c r="R170" s="492"/>
      <c r="S170" s="492"/>
      <c r="T170" s="492"/>
      <c r="U170" s="492"/>
      <c r="V170" s="492"/>
    </row>
    <row r="171" spans="3:22" ht="16.5">
      <c r="C171" s="485"/>
      <c r="D171" s="485"/>
      <c r="E171" s="486"/>
      <c r="F171" s="486"/>
      <c r="G171" s="486"/>
      <c r="I171" s="507"/>
      <c r="J171" s="508" t="s">
        <v>3174</v>
      </c>
      <c r="K171" s="509" t="s">
        <v>3167</v>
      </c>
      <c r="L171" s="510" t="s">
        <v>1160</v>
      </c>
      <c r="M171" s="517">
        <v>12</v>
      </c>
      <c r="N171" s="512">
        <v>25.85</v>
      </c>
      <c r="O171" s="513">
        <v>22800</v>
      </c>
      <c r="P171" s="513">
        <v>9306122</v>
      </c>
      <c r="Q171" s="514">
        <v>227999989</v>
      </c>
      <c r="R171" s="492"/>
      <c r="S171" s="492"/>
      <c r="T171" s="492"/>
      <c r="U171" s="492"/>
      <c r="V171" s="492"/>
    </row>
    <row r="172" spans="3:22">
      <c r="C172" s="485"/>
      <c r="D172" s="485"/>
      <c r="E172" s="486"/>
      <c r="F172" s="486"/>
      <c r="G172" s="486"/>
      <c r="I172" s="501">
        <v>11</v>
      </c>
      <c r="J172" s="498" t="s">
        <v>1044</v>
      </c>
      <c r="K172" s="498" t="s">
        <v>1325</v>
      </c>
      <c r="L172" s="502" t="s">
        <v>1160</v>
      </c>
      <c r="M172" s="517">
        <v>12</v>
      </c>
      <c r="N172" s="512">
        <v>24.62</v>
      </c>
      <c r="O172" s="513">
        <v>22600</v>
      </c>
      <c r="P172" s="513">
        <v>9224489</v>
      </c>
      <c r="Q172" s="514">
        <v>225999980.5</v>
      </c>
      <c r="R172" s="492"/>
      <c r="S172" s="492"/>
      <c r="T172" s="492"/>
      <c r="U172" s="492"/>
      <c r="V172" s="492"/>
    </row>
    <row r="173" spans="3:22">
      <c r="C173" s="485"/>
      <c r="D173" s="485"/>
      <c r="E173" s="486"/>
      <c r="F173" s="486"/>
      <c r="G173" s="486"/>
      <c r="I173" s="521" t="s">
        <v>1715</v>
      </c>
      <c r="J173" s="506"/>
      <c r="K173" s="506"/>
      <c r="L173" s="506"/>
      <c r="M173" s="506"/>
      <c r="N173" s="506"/>
      <c r="O173" s="506"/>
      <c r="P173" s="507"/>
      <c r="Q173" s="507"/>
      <c r="R173" s="492"/>
      <c r="S173" s="492"/>
      <c r="T173" s="492"/>
      <c r="U173" s="492"/>
      <c r="V173" s="492"/>
    </row>
    <row r="174" spans="3:22">
      <c r="C174" s="485"/>
      <c r="D174" s="485"/>
      <c r="E174" s="486"/>
      <c r="F174" s="486"/>
      <c r="G174" s="486"/>
      <c r="I174" s="521" t="s">
        <v>3168</v>
      </c>
      <c r="J174" s="506"/>
      <c r="K174" s="506"/>
      <c r="L174" s="506"/>
      <c r="M174" s="506"/>
      <c r="N174" s="506"/>
      <c r="O174" s="506"/>
      <c r="P174" s="522">
        <v>45994195</v>
      </c>
      <c r="Q174" s="523">
        <v>1126857777.5</v>
      </c>
      <c r="R174" s="492"/>
      <c r="S174" s="492"/>
      <c r="T174" s="492"/>
      <c r="U174" s="492"/>
      <c r="V174" s="492"/>
    </row>
    <row r="175" spans="3:22">
      <c r="Q175" s="162"/>
    </row>
    <row r="177" spans="1:21" s="162" customFormat="1">
      <c r="A177" s="164" t="s">
        <v>1315</v>
      </c>
      <c r="B177" s="164"/>
      <c r="C177" s="164" t="s">
        <v>107</v>
      </c>
      <c r="D177" s="164" t="s">
        <v>4</v>
      </c>
      <c r="E177" s="166" t="s">
        <v>108</v>
      </c>
      <c r="F177" s="166" t="s">
        <v>109</v>
      </c>
      <c r="G177" s="164" t="s">
        <v>1314</v>
      </c>
      <c r="H177" s="164" t="s">
        <v>1313</v>
      </c>
      <c r="I177" s="165" t="s">
        <v>1312</v>
      </c>
      <c r="J177" s="163" t="s">
        <v>1311</v>
      </c>
      <c r="K177" s="163" t="s">
        <v>110</v>
      </c>
      <c r="L177" s="163" t="s">
        <v>1310</v>
      </c>
      <c r="M177" s="164" t="s">
        <v>111</v>
      </c>
      <c r="N177" s="163" t="s">
        <v>949</v>
      </c>
      <c r="O177" s="163" t="s">
        <v>948</v>
      </c>
      <c r="P177" s="163" t="s">
        <v>129</v>
      </c>
      <c r="Q177" s="24"/>
    </row>
    <row r="178" spans="1:21">
      <c r="A178" s="24">
        <v>275</v>
      </c>
      <c r="B178" s="161" t="s">
        <v>1342</v>
      </c>
      <c r="C178" s="1" t="s">
        <v>1341</v>
      </c>
      <c r="D178" s="1" t="s">
        <v>1340</v>
      </c>
      <c r="E178" s="3">
        <v>36.827812000000002</v>
      </c>
      <c r="F178" s="3">
        <v>36.827811904000001</v>
      </c>
      <c r="G178" s="124">
        <v>42657</v>
      </c>
      <c r="H178" s="24" t="s">
        <v>191</v>
      </c>
      <c r="I178" s="130">
        <v>6.42</v>
      </c>
      <c r="J178" s="3">
        <v>5.2</v>
      </c>
      <c r="K178" s="160">
        <v>5.2</v>
      </c>
      <c r="L178" s="159">
        <v>0.80996884735202501</v>
      </c>
      <c r="M178" s="24">
        <v>8</v>
      </c>
      <c r="N178" s="2">
        <v>43060</v>
      </c>
      <c r="O178" s="24">
        <v>8.7200000000000006</v>
      </c>
      <c r="P178" s="157">
        <v>1.676923076923077</v>
      </c>
    </row>
    <row r="179" spans="1:21" ht="14.5">
      <c r="C179" s="16" t="s">
        <v>112</v>
      </c>
      <c r="D179" s="16" t="s">
        <v>113</v>
      </c>
      <c r="E179" s="16" t="s">
        <v>1305</v>
      </c>
      <c r="F179" s="17" t="s">
        <v>1304</v>
      </c>
      <c r="G179" s="16" t="s">
        <v>1303</v>
      </c>
      <c r="I179" s="186" t="s">
        <v>118</v>
      </c>
      <c r="J179" s="186" t="s">
        <v>1339</v>
      </c>
      <c r="K179" s="186" t="s">
        <v>1338</v>
      </c>
      <c r="L179" s="186" t="s">
        <v>1337</v>
      </c>
      <c r="M179" s="186" t="s">
        <v>1336</v>
      </c>
      <c r="N179" s="186" t="s">
        <v>488</v>
      </c>
      <c r="O179" s="186" t="s">
        <v>401</v>
      </c>
      <c r="P179" s="177" t="s">
        <v>160</v>
      </c>
      <c r="R179" s="177" t="s">
        <v>118</v>
      </c>
      <c r="S179" s="177" t="s">
        <v>392</v>
      </c>
      <c r="T179" s="188" t="s">
        <v>323</v>
      </c>
      <c r="U179" s="177" t="s">
        <v>1335</v>
      </c>
    </row>
    <row r="180" spans="1:21" ht="14.5">
      <c r="C180" s="11" t="str">
        <f t="shared" ref="C180:C215" si="29">IF(J181=0,"",J181)</f>
        <v>中信证券股份有限公司</v>
      </c>
      <c r="D180" s="11">
        <f t="shared" ref="D180:D215" si="30">N181</f>
        <v>5.45</v>
      </c>
      <c r="E180" s="11">
        <f t="shared" ref="E180:E215" si="31">O181/10000</f>
        <v>3.15</v>
      </c>
      <c r="F180" s="10">
        <f t="shared" ref="F180:F215" si="32">IFERROR(VLOOKUP(C180,S$180:T$187,2,FALSE)/10000,"")</f>
        <v>6057.6922999999997</v>
      </c>
      <c r="G180" s="10">
        <f t="shared" ref="G180:G216" si="33">IFERROR(F180*J$178/10000,"")</f>
        <v>3.149999996</v>
      </c>
      <c r="I180" s="186"/>
      <c r="J180" s="186"/>
      <c r="K180" s="186"/>
      <c r="L180" s="186"/>
      <c r="M180" s="186"/>
      <c r="N180" s="186" t="s">
        <v>1334</v>
      </c>
      <c r="O180" s="186" t="s">
        <v>1333</v>
      </c>
      <c r="P180" s="177" t="s">
        <v>1317</v>
      </c>
      <c r="R180" s="155">
        <v>1</v>
      </c>
      <c r="S180" s="182" t="s">
        <v>1332</v>
      </c>
      <c r="T180" s="181">
        <v>177056788</v>
      </c>
      <c r="U180" s="155">
        <v>36</v>
      </c>
    </row>
    <row r="181" spans="1:21">
      <c r="C181" s="11" t="str">
        <f t="shared" si="29"/>
        <v/>
      </c>
      <c r="D181" s="11">
        <f t="shared" si="30"/>
        <v>4.95</v>
      </c>
      <c r="E181" s="11">
        <f t="shared" si="31"/>
        <v>4.28</v>
      </c>
      <c r="F181" s="10" t="str">
        <f t="shared" si="32"/>
        <v/>
      </c>
      <c r="G181" s="10" t="str">
        <f t="shared" si="33"/>
        <v/>
      </c>
      <c r="I181" s="155">
        <v>1</v>
      </c>
      <c r="J181" s="182" t="s">
        <v>316</v>
      </c>
      <c r="K181" s="182" t="s">
        <v>1326</v>
      </c>
      <c r="L181" s="182" t="s">
        <v>1160</v>
      </c>
      <c r="M181" s="156">
        <v>12</v>
      </c>
      <c r="N181" s="169">
        <v>5.45</v>
      </c>
      <c r="O181" s="181">
        <v>31500</v>
      </c>
      <c r="P181" s="185">
        <v>60576923</v>
      </c>
      <c r="R181" s="155">
        <v>2</v>
      </c>
      <c r="S181" s="182" t="s">
        <v>316</v>
      </c>
      <c r="T181" s="181">
        <v>60576923</v>
      </c>
      <c r="U181" s="155">
        <v>12</v>
      </c>
    </row>
    <row r="182" spans="1:21">
      <c r="C182" s="11" t="str">
        <f t="shared" si="29"/>
        <v/>
      </c>
      <c r="D182" s="11">
        <f t="shared" si="30"/>
        <v>4.25</v>
      </c>
      <c r="E182" s="11">
        <f t="shared" si="31"/>
        <v>4.5199999999999996</v>
      </c>
      <c r="F182" s="10" t="str">
        <f t="shared" si="32"/>
        <v/>
      </c>
      <c r="G182" s="10" t="str">
        <f t="shared" si="33"/>
        <v/>
      </c>
      <c r="I182" s="25"/>
      <c r="J182" s="25"/>
      <c r="K182" s="25"/>
      <c r="L182" s="25"/>
      <c r="M182" s="25"/>
      <c r="N182" s="169">
        <v>4.95</v>
      </c>
      <c r="O182" s="181">
        <v>42800</v>
      </c>
      <c r="P182" s="25"/>
      <c r="R182" s="155">
        <v>3</v>
      </c>
      <c r="S182" s="182" t="s">
        <v>115</v>
      </c>
      <c r="T182" s="181">
        <v>172500000</v>
      </c>
      <c r="U182" s="155">
        <v>12</v>
      </c>
    </row>
    <row r="183" spans="1:21">
      <c r="C183" s="11" t="str">
        <f t="shared" si="29"/>
        <v>财通基金管理有限公司</v>
      </c>
      <c r="D183" s="11">
        <f t="shared" si="30"/>
        <v>6.05</v>
      </c>
      <c r="E183" s="11">
        <f t="shared" si="31"/>
        <v>3.18</v>
      </c>
      <c r="F183" s="10">
        <f t="shared" si="32"/>
        <v>17250</v>
      </c>
      <c r="G183" s="10">
        <f t="shared" si="33"/>
        <v>8.9700000000000006</v>
      </c>
      <c r="I183" s="64"/>
      <c r="J183" s="64"/>
      <c r="K183" s="64"/>
      <c r="L183" s="64"/>
      <c r="M183" s="64"/>
      <c r="N183" s="169">
        <v>4.25</v>
      </c>
      <c r="O183" s="181">
        <v>45200</v>
      </c>
      <c r="P183" s="64"/>
      <c r="R183" s="155">
        <v>4</v>
      </c>
      <c r="S183" s="182" t="s">
        <v>135</v>
      </c>
      <c r="T183" s="181">
        <v>60192307</v>
      </c>
      <c r="U183" s="155">
        <v>12</v>
      </c>
    </row>
    <row r="184" spans="1:21">
      <c r="C184" s="11" t="str">
        <f t="shared" si="29"/>
        <v/>
      </c>
      <c r="D184" s="11">
        <f t="shared" si="30"/>
        <v>5.7</v>
      </c>
      <c r="E184" s="11">
        <f t="shared" si="31"/>
        <v>5.3</v>
      </c>
      <c r="F184" s="10" t="str">
        <f t="shared" si="32"/>
        <v/>
      </c>
      <c r="G184" s="10" t="str">
        <f t="shared" si="33"/>
        <v/>
      </c>
      <c r="I184" s="155">
        <v>2</v>
      </c>
      <c r="J184" s="182" t="s">
        <v>115</v>
      </c>
      <c r="K184" s="182" t="s">
        <v>1325</v>
      </c>
      <c r="L184" s="182" t="s">
        <v>1160</v>
      </c>
      <c r="M184" s="156">
        <v>12</v>
      </c>
      <c r="N184" s="169">
        <v>6.05</v>
      </c>
      <c r="O184" s="181">
        <v>31800</v>
      </c>
      <c r="P184" s="187">
        <v>172500000</v>
      </c>
      <c r="R184" s="155">
        <v>5</v>
      </c>
      <c r="S184" s="182" t="s">
        <v>156</v>
      </c>
      <c r="T184" s="181">
        <v>69230769</v>
      </c>
      <c r="U184" s="155">
        <v>12</v>
      </c>
    </row>
    <row r="185" spans="1:21">
      <c r="C185" s="11" t="str">
        <f t="shared" si="29"/>
        <v/>
      </c>
      <c r="D185" s="11">
        <f t="shared" si="30"/>
        <v>5.35</v>
      </c>
      <c r="E185" s="11">
        <f t="shared" si="31"/>
        <v>8.9700000000000006</v>
      </c>
      <c r="F185" s="10" t="str">
        <f t="shared" si="32"/>
        <v/>
      </c>
      <c r="G185" s="10" t="str">
        <f t="shared" si="33"/>
        <v/>
      </c>
      <c r="I185" s="25"/>
      <c r="J185" s="25"/>
      <c r="K185" s="25"/>
      <c r="L185" s="25"/>
      <c r="M185" s="25"/>
      <c r="N185" s="169">
        <v>5.7</v>
      </c>
      <c r="O185" s="181">
        <v>53000</v>
      </c>
      <c r="P185" s="25"/>
      <c r="R185" s="155">
        <v>6</v>
      </c>
      <c r="S185" s="182" t="s">
        <v>300</v>
      </c>
      <c r="T185" s="181">
        <v>73076923</v>
      </c>
      <c r="U185" s="155">
        <v>12</v>
      </c>
    </row>
    <row r="186" spans="1:21">
      <c r="C186" s="11" t="str">
        <f t="shared" si="29"/>
        <v>华泰资产管理有限公司</v>
      </c>
      <c r="D186" s="11">
        <f t="shared" si="30"/>
        <v>5.3</v>
      </c>
      <c r="E186" s="11">
        <f t="shared" si="31"/>
        <v>3.13</v>
      </c>
      <c r="F186" s="10">
        <f t="shared" si="32"/>
        <v>6019.2307000000001</v>
      </c>
      <c r="G186" s="10">
        <f t="shared" si="33"/>
        <v>3.129999964</v>
      </c>
      <c r="I186" s="64"/>
      <c r="J186" s="64"/>
      <c r="K186" s="64"/>
      <c r="L186" s="64"/>
      <c r="M186" s="64"/>
      <c r="N186" s="169">
        <v>5.35</v>
      </c>
      <c r="O186" s="181">
        <v>89700</v>
      </c>
      <c r="P186" s="64"/>
      <c r="R186" s="155">
        <v>7</v>
      </c>
      <c r="S186" s="182" t="s">
        <v>974</v>
      </c>
      <c r="T186" s="181">
        <v>67307692</v>
      </c>
      <c r="U186" s="155">
        <v>12</v>
      </c>
    </row>
    <row r="187" spans="1:21">
      <c r="C187" s="11" t="str">
        <f t="shared" si="29"/>
        <v/>
      </c>
      <c r="D187" s="11">
        <f t="shared" si="30"/>
        <v>5</v>
      </c>
      <c r="E187" s="11">
        <f t="shared" si="31"/>
        <v>5.29</v>
      </c>
      <c r="F187" s="10" t="str">
        <f t="shared" si="32"/>
        <v/>
      </c>
      <c r="G187" s="10" t="str">
        <f t="shared" si="33"/>
        <v/>
      </c>
      <c r="I187" s="155">
        <v>3</v>
      </c>
      <c r="J187" s="182" t="s">
        <v>135</v>
      </c>
      <c r="K187" s="182" t="s">
        <v>1331</v>
      </c>
      <c r="L187" s="182" t="s">
        <v>1160</v>
      </c>
      <c r="M187" s="156">
        <v>12</v>
      </c>
      <c r="N187" s="169">
        <v>5.3</v>
      </c>
      <c r="O187" s="181">
        <v>31300</v>
      </c>
      <c r="P187" s="185">
        <v>60192307</v>
      </c>
      <c r="R187" s="155">
        <v>8</v>
      </c>
      <c r="S187" s="182" t="s">
        <v>295</v>
      </c>
      <c r="T187" s="181">
        <v>28285750</v>
      </c>
      <c r="U187" s="155">
        <v>12</v>
      </c>
    </row>
    <row r="188" spans="1:21" ht="14.5">
      <c r="C188" s="11" t="str">
        <f t="shared" si="29"/>
        <v/>
      </c>
      <c r="D188" s="11">
        <f t="shared" si="30"/>
        <v>4.7</v>
      </c>
      <c r="E188" s="11">
        <f t="shared" si="31"/>
        <v>7.54</v>
      </c>
      <c r="F188" s="10" t="str">
        <f t="shared" si="32"/>
        <v/>
      </c>
      <c r="G188" s="10" t="str">
        <f t="shared" si="33"/>
        <v/>
      </c>
      <c r="I188" s="25"/>
      <c r="J188" s="25"/>
      <c r="K188" s="25"/>
      <c r="L188" s="25"/>
      <c r="M188" s="25"/>
      <c r="N188" s="169">
        <v>5</v>
      </c>
      <c r="O188" s="181">
        <v>52900</v>
      </c>
      <c r="P188" s="25"/>
      <c r="R188" s="186" t="s">
        <v>1330</v>
      </c>
      <c r="S188" s="186"/>
      <c r="T188" s="181">
        <v>708227152</v>
      </c>
      <c r="U188" s="155" t="s">
        <v>294</v>
      </c>
    </row>
    <row r="189" spans="1:21">
      <c r="C189" s="11" t="str">
        <f t="shared" si="29"/>
        <v>华宝信托有限责任公司</v>
      </c>
      <c r="D189" s="11">
        <f t="shared" si="30"/>
        <v>5.25</v>
      </c>
      <c r="E189" s="11">
        <f t="shared" si="31"/>
        <v>3.6</v>
      </c>
      <c r="F189" s="10">
        <f t="shared" si="32"/>
        <v>6923.0769</v>
      </c>
      <c r="G189" s="10">
        <f t="shared" si="33"/>
        <v>3.5999999880000004</v>
      </c>
      <c r="I189" s="64"/>
      <c r="J189" s="64"/>
      <c r="K189" s="64"/>
      <c r="L189" s="64"/>
      <c r="M189" s="64"/>
      <c r="N189" s="169">
        <v>4.7</v>
      </c>
      <c r="O189" s="181">
        <v>75400</v>
      </c>
      <c r="P189" s="64"/>
      <c r="R189" s="25"/>
      <c r="S189" s="25"/>
      <c r="T189" s="25"/>
      <c r="U189" s="25"/>
    </row>
    <row r="190" spans="1:21">
      <c r="C190" s="11" t="str">
        <f t="shared" si="29"/>
        <v>信诚基金管理有限公司</v>
      </c>
      <c r="D190" s="11">
        <f t="shared" si="30"/>
        <v>5.2</v>
      </c>
      <c r="E190" s="11">
        <f t="shared" si="31"/>
        <v>3.8</v>
      </c>
      <c r="F190" s="10">
        <f t="shared" si="32"/>
        <v>7307.6922999999997</v>
      </c>
      <c r="G190" s="10">
        <f t="shared" si="33"/>
        <v>3.7999999959999999</v>
      </c>
      <c r="I190" s="155">
        <v>4</v>
      </c>
      <c r="J190" s="182" t="s">
        <v>156</v>
      </c>
      <c r="K190" s="182" t="s">
        <v>1329</v>
      </c>
      <c r="L190" s="182" t="s">
        <v>1160</v>
      </c>
      <c r="M190" s="156">
        <v>12</v>
      </c>
      <c r="N190" s="169">
        <v>5.25</v>
      </c>
      <c r="O190" s="181">
        <v>36000</v>
      </c>
      <c r="P190" s="185">
        <v>69230769</v>
      </c>
    </row>
    <row r="191" spans="1:21">
      <c r="C191" s="11" t="str">
        <f t="shared" si="29"/>
        <v/>
      </c>
      <c r="D191" s="11">
        <f t="shared" si="30"/>
        <v>4.25</v>
      </c>
      <c r="E191" s="11">
        <f t="shared" si="31"/>
        <v>3.97</v>
      </c>
      <c r="F191" s="10" t="str">
        <f t="shared" si="32"/>
        <v/>
      </c>
      <c r="G191" s="10" t="str">
        <f t="shared" si="33"/>
        <v/>
      </c>
      <c r="I191" s="155">
        <v>5</v>
      </c>
      <c r="J191" s="182" t="s">
        <v>300</v>
      </c>
      <c r="K191" s="182" t="s">
        <v>1325</v>
      </c>
      <c r="L191" s="182" t="s">
        <v>1160</v>
      </c>
      <c r="M191" s="156">
        <v>12</v>
      </c>
      <c r="N191" s="169">
        <v>5.2</v>
      </c>
      <c r="O191" s="181">
        <v>38000</v>
      </c>
      <c r="P191" s="185">
        <v>73076923</v>
      </c>
    </row>
    <row r="192" spans="1:21">
      <c r="C192" s="11" t="str">
        <f t="shared" si="29"/>
        <v>东吴基金管理有限公司</v>
      </c>
      <c r="D192" s="11">
        <f t="shared" si="30"/>
        <v>5.2</v>
      </c>
      <c r="E192" s="11">
        <f t="shared" si="31"/>
        <v>3.5</v>
      </c>
      <c r="F192" s="10">
        <f t="shared" si="32"/>
        <v>6730.7691999999997</v>
      </c>
      <c r="G192" s="10">
        <f t="shared" si="33"/>
        <v>3.4999999839999996</v>
      </c>
      <c r="I192" s="25"/>
      <c r="J192" s="25"/>
      <c r="K192" s="25"/>
      <c r="L192" s="25"/>
      <c r="M192" s="25"/>
      <c r="N192" s="169">
        <v>4.25</v>
      </c>
      <c r="O192" s="181">
        <v>39700</v>
      </c>
      <c r="P192" s="25"/>
    </row>
    <row r="193" spans="3:16">
      <c r="C193" s="11" t="str">
        <f t="shared" si="29"/>
        <v/>
      </c>
      <c r="D193" s="11">
        <f t="shared" si="30"/>
        <v>5.05</v>
      </c>
      <c r="E193" s="11">
        <f t="shared" si="31"/>
        <v>4.5999999999999996</v>
      </c>
      <c r="F193" s="10" t="str">
        <f t="shared" si="32"/>
        <v/>
      </c>
      <c r="G193" s="10" t="str">
        <f t="shared" si="33"/>
        <v/>
      </c>
      <c r="I193" s="155">
        <v>6</v>
      </c>
      <c r="J193" s="182" t="s">
        <v>974</v>
      </c>
      <c r="K193" s="182" t="s">
        <v>1325</v>
      </c>
      <c r="L193" s="182" t="s">
        <v>1160</v>
      </c>
      <c r="M193" s="156">
        <v>12</v>
      </c>
      <c r="N193" s="169">
        <v>5.2</v>
      </c>
      <c r="O193" s="181">
        <v>35000</v>
      </c>
      <c r="P193" s="183"/>
    </row>
    <row r="194" spans="3:16">
      <c r="C194" s="11" t="str">
        <f t="shared" si="29"/>
        <v>富国基金管理有限公司</v>
      </c>
      <c r="D194" s="11">
        <f t="shared" si="30"/>
        <v>5.2</v>
      </c>
      <c r="E194" s="11">
        <f t="shared" si="31"/>
        <v>3.1</v>
      </c>
      <c r="F194" s="10">
        <f t="shared" si="32"/>
        <v>2828.5749999999998</v>
      </c>
      <c r="G194" s="10">
        <f t="shared" si="33"/>
        <v>1.4708589999999999</v>
      </c>
      <c r="I194" s="25"/>
      <c r="J194" s="25"/>
      <c r="K194" s="25"/>
      <c r="L194" s="25"/>
      <c r="M194" s="25"/>
      <c r="N194" s="169">
        <v>5.05</v>
      </c>
      <c r="O194" s="181">
        <v>46000</v>
      </c>
      <c r="P194" s="185">
        <v>67307692</v>
      </c>
    </row>
    <row r="195" spans="3:16">
      <c r="C195" s="11" t="str">
        <f t="shared" si="29"/>
        <v>北京牛栏山北京醇集团</v>
      </c>
      <c r="D195" s="11">
        <f t="shared" si="30"/>
        <v>5.15</v>
      </c>
      <c r="E195" s="11">
        <f t="shared" si="31"/>
        <v>3.5</v>
      </c>
      <c r="F195" s="10" t="str">
        <f t="shared" si="32"/>
        <v/>
      </c>
      <c r="G195" s="10" t="str">
        <f t="shared" si="33"/>
        <v/>
      </c>
      <c r="I195" s="156">
        <v>7</v>
      </c>
      <c r="J195" s="182" t="s">
        <v>295</v>
      </c>
      <c r="K195" s="182" t="s">
        <v>1325</v>
      </c>
      <c r="L195" s="182" t="s">
        <v>1160</v>
      </c>
      <c r="M195" s="169">
        <v>12</v>
      </c>
      <c r="N195" s="169">
        <v>5.2</v>
      </c>
      <c r="O195" s="181">
        <v>31000</v>
      </c>
      <c r="P195" s="184">
        <v>28285750</v>
      </c>
    </row>
    <row r="196" spans="3:16">
      <c r="C196" s="11" t="str">
        <f t="shared" si="29"/>
        <v/>
      </c>
      <c r="D196" s="11">
        <f t="shared" si="30"/>
        <v>5.05</v>
      </c>
      <c r="E196" s="11">
        <f t="shared" si="31"/>
        <v>3.5</v>
      </c>
      <c r="F196" s="10" t="str">
        <f t="shared" si="32"/>
        <v/>
      </c>
      <c r="G196" s="10" t="str">
        <f t="shared" si="33"/>
        <v/>
      </c>
      <c r="I196" s="155">
        <v>8</v>
      </c>
      <c r="J196" s="182" t="s">
        <v>1328</v>
      </c>
      <c r="K196" s="182" t="s">
        <v>1327</v>
      </c>
      <c r="L196" s="182" t="s">
        <v>1160</v>
      </c>
      <c r="M196" s="169">
        <v>0</v>
      </c>
      <c r="N196" s="169">
        <v>5.15</v>
      </c>
      <c r="O196" s="181">
        <v>35000</v>
      </c>
      <c r="P196" s="182"/>
    </row>
    <row r="197" spans="3:16">
      <c r="C197" s="11" t="str">
        <f t="shared" si="29"/>
        <v/>
      </c>
      <c r="D197" s="11">
        <f t="shared" si="30"/>
        <v>4.95</v>
      </c>
      <c r="E197" s="11">
        <f t="shared" si="31"/>
        <v>3.5</v>
      </c>
      <c r="F197" s="10" t="str">
        <f t="shared" si="32"/>
        <v/>
      </c>
      <c r="G197" s="10" t="str">
        <f t="shared" si="33"/>
        <v/>
      </c>
      <c r="I197" s="25"/>
      <c r="J197" s="25"/>
      <c r="K197" s="25"/>
      <c r="L197" s="25"/>
      <c r="M197" s="25"/>
      <c r="N197" s="169">
        <v>5.05</v>
      </c>
      <c r="O197" s="181">
        <v>35000</v>
      </c>
      <c r="P197" s="155">
        <v>0</v>
      </c>
    </row>
    <row r="198" spans="3:16">
      <c r="C198" s="11" t="str">
        <f t="shared" si="29"/>
        <v>嘉实基金管理有限公司</v>
      </c>
      <c r="D198" s="11">
        <f t="shared" si="30"/>
        <v>5.0999999999999996</v>
      </c>
      <c r="E198" s="11">
        <f t="shared" si="31"/>
        <v>3.2</v>
      </c>
      <c r="F198" s="10" t="str">
        <f t="shared" si="32"/>
        <v/>
      </c>
      <c r="G198" s="10" t="str">
        <f t="shared" si="33"/>
        <v/>
      </c>
      <c r="I198" s="64"/>
      <c r="J198" s="64"/>
      <c r="K198" s="64"/>
      <c r="L198" s="64"/>
      <c r="M198" s="64"/>
      <c r="N198" s="169">
        <v>4.95</v>
      </c>
      <c r="O198" s="181">
        <v>35000</v>
      </c>
      <c r="P198" s="64"/>
    </row>
    <row r="199" spans="3:16">
      <c r="C199" s="11" t="str">
        <f t="shared" si="29"/>
        <v/>
      </c>
      <c r="D199" s="11">
        <f t="shared" si="30"/>
        <v>4.8499999999999996</v>
      </c>
      <c r="E199" s="11">
        <f t="shared" si="31"/>
        <v>3.8</v>
      </c>
      <c r="F199" s="10" t="str">
        <f t="shared" si="32"/>
        <v/>
      </c>
      <c r="G199" s="10" t="str">
        <f t="shared" si="33"/>
        <v/>
      </c>
      <c r="I199" s="155">
        <v>9</v>
      </c>
      <c r="J199" s="182" t="s">
        <v>228</v>
      </c>
      <c r="K199" s="182" t="s">
        <v>1325</v>
      </c>
      <c r="L199" s="182" t="s">
        <v>1160</v>
      </c>
      <c r="M199" s="169">
        <v>0</v>
      </c>
      <c r="N199" s="169">
        <v>5.0999999999999996</v>
      </c>
      <c r="O199" s="181">
        <v>32000</v>
      </c>
      <c r="P199" s="182"/>
    </row>
    <row r="200" spans="3:16">
      <c r="C200" s="11" t="str">
        <f t="shared" si="29"/>
        <v/>
      </c>
      <c r="D200" s="11">
        <f t="shared" si="30"/>
        <v>4.5999999999999996</v>
      </c>
      <c r="E200" s="11">
        <f t="shared" si="31"/>
        <v>4.4000000000000004</v>
      </c>
      <c r="F200" s="10" t="str">
        <f t="shared" si="32"/>
        <v/>
      </c>
      <c r="G200" s="10" t="str">
        <f t="shared" si="33"/>
        <v/>
      </c>
      <c r="I200" s="25"/>
      <c r="J200" s="25"/>
      <c r="K200" s="25"/>
      <c r="L200" s="25"/>
      <c r="M200" s="25"/>
      <c r="N200" s="169">
        <v>4.8499999999999996</v>
      </c>
      <c r="O200" s="181">
        <v>38000</v>
      </c>
      <c r="P200" s="155">
        <v>0</v>
      </c>
    </row>
    <row r="201" spans="3:16">
      <c r="C201" s="11" t="str">
        <f t="shared" si="29"/>
        <v>南京誉信投资中心（有限合伙）</v>
      </c>
      <c r="D201" s="11">
        <f t="shared" si="30"/>
        <v>5.05</v>
      </c>
      <c r="E201" s="11">
        <f t="shared" si="31"/>
        <v>3.1</v>
      </c>
      <c r="F201" s="10" t="str">
        <f t="shared" si="32"/>
        <v/>
      </c>
      <c r="G201" s="10" t="str">
        <f t="shared" si="33"/>
        <v/>
      </c>
      <c r="I201" s="64"/>
      <c r="J201" s="64"/>
      <c r="K201" s="64"/>
      <c r="L201" s="64"/>
      <c r="M201" s="64"/>
      <c r="N201" s="169">
        <v>4.5999999999999996</v>
      </c>
      <c r="O201" s="181">
        <v>44000</v>
      </c>
      <c r="P201" s="64"/>
    </row>
    <row r="202" spans="3:16">
      <c r="C202" s="11" t="str">
        <f t="shared" si="29"/>
        <v/>
      </c>
      <c r="D202" s="11">
        <f t="shared" si="30"/>
        <v>4.8</v>
      </c>
      <c r="E202" s="11">
        <f t="shared" si="31"/>
        <v>3.15</v>
      </c>
      <c r="F202" s="10" t="str">
        <f t="shared" si="32"/>
        <v/>
      </c>
      <c r="G202" s="10" t="str">
        <f t="shared" si="33"/>
        <v/>
      </c>
      <c r="I202" s="156">
        <v>10</v>
      </c>
      <c r="J202" s="182" t="s">
        <v>1114</v>
      </c>
      <c r="K202" s="182" t="s">
        <v>1327</v>
      </c>
      <c r="L202" s="182" t="s">
        <v>1160</v>
      </c>
      <c r="M202" s="169">
        <v>0</v>
      </c>
      <c r="N202" s="169">
        <v>5.05</v>
      </c>
      <c r="O202" s="181">
        <v>31000</v>
      </c>
      <c r="P202" s="182"/>
    </row>
    <row r="203" spans="3:16">
      <c r="C203" s="11" t="str">
        <f t="shared" si="29"/>
        <v/>
      </c>
      <c r="D203" s="11">
        <f t="shared" si="30"/>
        <v>4.2</v>
      </c>
      <c r="E203" s="11">
        <f t="shared" si="31"/>
        <v>3.2</v>
      </c>
      <c r="F203" s="10" t="str">
        <f t="shared" si="32"/>
        <v/>
      </c>
      <c r="G203" s="10" t="str">
        <f t="shared" si="33"/>
        <v/>
      </c>
      <c r="I203" s="25"/>
      <c r="J203" s="25"/>
      <c r="K203" s="25"/>
      <c r="L203" s="25"/>
      <c r="M203" s="25"/>
      <c r="N203" s="169">
        <v>4.8</v>
      </c>
      <c r="O203" s="181">
        <v>31500</v>
      </c>
      <c r="P203" s="155">
        <v>0</v>
      </c>
    </row>
    <row r="204" spans="3:16">
      <c r="C204" s="11" t="str">
        <f t="shared" si="29"/>
        <v>北信瑞丰基金管理有限公司</v>
      </c>
      <c r="D204" s="11">
        <f t="shared" si="30"/>
        <v>4.95</v>
      </c>
      <c r="E204" s="11">
        <f t="shared" si="31"/>
        <v>3.1</v>
      </c>
      <c r="F204" s="10" t="str">
        <f t="shared" si="32"/>
        <v/>
      </c>
      <c r="G204" s="10" t="str">
        <f t="shared" si="33"/>
        <v/>
      </c>
      <c r="I204" s="64"/>
      <c r="J204" s="64"/>
      <c r="K204" s="64"/>
      <c r="L204" s="64"/>
      <c r="M204" s="64"/>
      <c r="N204" s="169">
        <v>4.2</v>
      </c>
      <c r="O204" s="181">
        <v>32000</v>
      </c>
      <c r="P204" s="64"/>
    </row>
    <row r="205" spans="3:16">
      <c r="C205" s="11" t="str">
        <f t="shared" si="29"/>
        <v/>
      </c>
      <c r="D205" s="11">
        <f t="shared" si="30"/>
        <v>4.8</v>
      </c>
      <c r="E205" s="11">
        <f t="shared" si="31"/>
        <v>3.31</v>
      </c>
      <c r="F205" s="10" t="str">
        <f t="shared" si="32"/>
        <v/>
      </c>
      <c r="G205" s="10" t="str">
        <f t="shared" si="33"/>
        <v/>
      </c>
      <c r="I205" s="156">
        <v>11</v>
      </c>
      <c r="J205" s="182" t="s">
        <v>336</v>
      </c>
      <c r="K205" s="182" t="s">
        <v>1325</v>
      </c>
      <c r="L205" s="182" t="s">
        <v>1160</v>
      </c>
      <c r="M205" s="169">
        <v>0</v>
      </c>
      <c r="N205" s="169">
        <v>4.95</v>
      </c>
      <c r="O205" s="181">
        <v>31000</v>
      </c>
      <c r="P205" s="182"/>
    </row>
    <row r="206" spans="3:16">
      <c r="C206" s="11" t="str">
        <f t="shared" si="29"/>
        <v/>
      </c>
      <c r="D206" s="11">
        <f t="shared" si="30"/>
        <v>4.5</v>
      </c>
      <c r="E206" s="11">
        <f t="shared" si="31"/>
        <v>3.64</v>
      </c>
      <c r="F206" s="10" t="str">
        <f t="shared" si="32"/>
        <v/>
      </c>
      <c r="G206" s="10" t="str">
        <f t="shared" si="33"/>
        <v/>
      </c>
      <c r="I206" s="25"/>
      <c r="J206" s="25"/>
      <c r="K206" s="25"/>
      <c r="L206" s="25"/>
      <c r="M206" s="25"/>
      <c r="N206" s="169">
        <v>4.8</v>
      </c>
      <c r="O206" s="181">
        <v>33100</v>
      </c>
      <c r="P206" s="155">
        <v>0</v>
      </c>
    </row>
    <row r="207" spans="3:16">
      <c r="C207" s="11" t="str">
        <f t="shared" si="29"/>
        <v>北京和聚投资管理有限公司</v>
      </c>
      <c r="D207" s="11">
        <f t="shared" si="30"/>
        <v>4.8499999999999996</v>
      </c>
      <c r="E207" s="11">
        <f t="shared" si="31"/>
        <v>3.1</v>
      </c>
      <c r="F207" s="10" t="str">
        <f t="shared" si="32"/>
        <v/>
      </c>
      <c r="G207" s="10" t="str">
        <f t="shared" si="33"/>
        <v/>
      </c>
      <c r="I207" s="64"/>
      <c r="J207" s="64"/>
      <c r="K207" s="64"/>
      <c r="L207" s="64"/>
      <c r="M207" s="64"/>
      <c r="N207" s="169">
        <v>4.5</v>
      </c>
      <c r="O207" s="181">
        <v>36400</v>
      </c>
      <c r="P207" s="64"/>
    </row>
    <row r="208" spans="3:16">
      <c r="C208" s="11" t="str">
        <f t="shared" si="29"/>
        <v/>
      </c>
      <c r="D208" s="11">
        <f t="shared" si="30"/>
        <v>4.3499999999999996</v>
      </c>
      <c r="E208" s="11">
        <f t="shared" si="31"/>
        <v>4.5999999999999996</v>
      </c>
      <c r="F208" s="10" t="str">
        <f t="shared" si="32"/>
        <v/>
      </c>
      <c r="G208" s="10" t="str">
        <f t="shared" si="33"/>
        <v/>
      </c>
      <c r="I208" s="156">
        <v>12</v>
      </c>
      <c r="J208" s="182" t="s">
        <v>951</v>
      </c>
      <c r="K208" s="182" t="s">
        <v>1327</v>
      </c>
      <c r="L208" s="182" t="s">
        <v>1160</v>
      </c>
      <c r="M208" s="169">
        <v>0</v>
      </c>
      <c r="N208" s="169">
        <v>4.8499999999999996</v>
      </c>
      <c r="O208" s="181">
        <v>31000</v>
      </c>
      <c r="P208" s="183"/>
    </row>
    <row r="209" spans="1:17">
      <c r="C209" s="11" t="str">
        <f t="shared" si="29"/>
        <v>华泰柏瑞基金管理有限公司</v>
      </c>
      <c r="D209" s="11">
        <f t="shared" si="30"/>
        <v>4.8</v>
      </c>
      <c r="E209" s="11">
        <f t="shared" si="31"/>
        <v>3.3</v>
      </c>
      <c r="F209" s="10" t="str">
        <f t="shared" si="32"/>
        <v/>
      </c>
      <c r="G209" s="10" t="str">
        <f t="shared" si="33"/>
        <v/>
      </c>
      <c r="I209" s="25"/>
      <c r="J209" s="25"/>
      <c r="K209" s="25"/>
      <c r="L209" s="25"/>
      <c r="M209" s="25"/>
      <c r="N209" s="169">
        <v>4.3499999999999996</v>
      </c>
      <c r="O209" s="181">
        <v>46000</v>
      </c>
      <c r="P209" s="155">
        <v>0</v>
      </c>
    </row>
    <row r="210" spans="1:17">
      <c r="C210" s="11" t="str">
        <f t="shared" si="29"/>
        <v>第一创业证券股份有限公司</v>
      </c>
      <c r="D210" s="11">
        <f t="shared" si="30"/>
        <v>4.5</v>
      </c>
      <c r="E210" s="11">
        <f t="shared" si="31"/>
        <v>3.1</v>
      </c>
      <c r="F210" s="10" t="str">
        <f t="shared" si="32"/>
        <v/>
      </c>
      <c r="G210" s="10" t="str">
        <f t="shared" si="33"/>
        <v/>
      </c>
      <c r="I210" s="156">
        <v>13</v>
      </c>
      <c r="J210" s="182" t="s">
        <v>122</v>
      </c>
      <c r="K210" s="182" t="s">
        <v>1325</v>
      </c>
      <c r="L210" s="182" t="s">
        <v>1160</v>
      </c>
      <c r="M210" s="169">
        <v>0</v>
      </c>
      <c r="N210" s="169">
        <v>4.8</v>
      </c>
      <c r="O210" s="181">
        <v>33000</v>
      </c>
      <c r="P210" s="155">
        <v>0</v>
      </c>
    </row>
    <row r="211" spans="1:17">
      <c r="C211" s="11" t="str">
        <f t="shared" si="29"/>
        <v>兴业全球基金管理有限公司</v>
      </c>
      <c r="D211" s="11">
        <f t="shared" si="30"/>
        <v>4.5</v>
      </c>
      <c r="E211" s="11">
        <f t="shared" si="31"/>
        <v>3.1</v>
      </c>
      <c r="F211" s="10" t="str">
        <f t="shared" si="32"/>
        <v/>
      </c>
      <c r="G211" s="10" t="str">
        <f t="shared" si="33"/>
        <v/>
      </c>
      <c r="I211" s="156">
        <v>14</v>
      </c>
      <c r="J211" s="182" t="s">
        <v>127</v>
      </c>
      <c r="K211" s="182" t="s">
        <v>1326</v>
      </c>
      <c r="L211" s="182" t="s">
        <v>1160</v>
      </c>
      <c r="M211" s="169">
        <v>0</v>
      </c>
      <c r="N211" s="169">
        <v>4.5</v>
      </c>
      <c r="O211" s="181">
        <v>31000</v>
      </c>
      <c r="P211" s="155">
        <v>0</v>
      </c>
    </row>
    <row r="212" spans="1:17">
      <c r="C212" s="11" t="str">
        <f t="shared" si="29"/>
        <v/>
      </c>
      <c r="D212" s="11">
        <f t="shared" si="30"/>
        <v>4.25</v>
      </c>
      <c r="E212" s="11">
        <f t="shared" si="31"/>
        <v>3.55</v>
      </c>
      <c r="F212" s="10" t="str">
        <f t="shared" si="32"/>
        <v/>
      </c>
      <c r="G212" s="10" t="str">
        <f t="shared" si="33"/>
        <v/>
      </c>
      <c r="I212" s="156">
        <v>15</v>
      </c>
      <c r="J212" s="182" t="s">
        <v>131</v>
      </c>
      <c r="K212" s="182" t="s">
        <v>1325</v>
      </c>
      <c r="L212" s="182" t="s">
        <v>1160</v>
      </c>
      <c r="M212" s="169">
        <v>0</v>
      </c>
      <c r="N212" s="169">
        <v>4.5</v>
      </c>
      <c r="O212" s="181">
        <v>31000</v>
      </c>
      <c r="P212" s="183"/>
    </row>
    <row r="213" spans="1:17">
      <c r="C213" s="11" t="str">
        <f t="shared" si="29"/>
        <v>申万菱信基金管理有限公司</v>
      </c>
      <c r="D213" s="11">
        <f t="shared" si="30"/>
        <v>4.3</v>
      </c>
      <c r="E213" s="11">
        <f t="shared" si="31"/>
        <v>3.17</v>
      </c>
      <c r="F213" s="10" t="str">
        <f t="shared" si="32"/>
        <v/>
      </c>
      <c r="G213" s="10" t="str">
        <f t="shared" si="33"/>
        <v/>
      </c>
      <c r="I213" s="25"/>
      <c r="J213" s="25"/>
      <c r="K213" s="25"/>
      <c r="L213" s="25"/>
      <c r="M213" s="25"/>
      <c r="N213" s="169">
        <v>4.25</v>
      </c>
      <c r="O213" s="181">
        <v>35500</v>
      </c>
      <c r="P213" s="155">
        <v>0</v>
      </c>
    </row>
    <row r="214" spans="1:17">
      <c r="C214" s="11" t="str">
        <f t="shared" si="29"/>
        <v/>
      </c>
      <c r="D214" s="11">
        <f t="shared" si="30"/>
        <v>4.25</v>
      </c>
      <c r="E214" s="11">
        <f t="shared" si="31"/>
        <v>5.07</v>
      </c>
      <c r="F214" s="10" t="str">
        <f t="shared" si="32"/>
        <v/>
      </c>
      <c r="G214" s="10" t="str">
        <f t="shared" si="33"/>
        <v/>
      </c>
      <c r="I214" s="156">
        <v>16</v>
      </c>
      <c r="J214" s="182" t="s">
        <v>121</v>
      </c>
      <c r="K214" s="182" t="s">
        <v>1325</v>
      </c>
      <c r="L214" s="182" t="s">
        <v>1160</v>
      </c>
      <c r="M214" s="169">
        <v>0</v>
      </c>
      <c r="N214" s="169">
        <v>4.3</v>
      </c>
      <c r="O214" s="181">
        <v>31700</v>
      </c>
      <c r="P214" s="183"/>
    </row>
    <row r="215" spans="1:17">
      <c r="C215" s="11" t="str">
        <f t="shared" si="29"/>
        <v>九泰基金管理有限公司</v>
      </c>
      <c r="D215" s="11">
        <f t="shared" si="30"/>
        <v>4.25</v>
      </c>
      <c r="E215" s="11">
        <f t="shared" si="31"/>
        <v>3.11</v>
      </c>
      <c r="F215" s="10" t="str">
        <f t="shared" si="32"/>
        <v/>
      </c>
      <c r="G215" s="10" t="str">
        <f t="shared" si="33"/>
        <v/>
      </c>
      <c r="I215" s="25"/>
      <c r="J215" s="25"/>
      <c r="K215" s="25"/>
      <c r="L215" s="25"/>
      <c r="M215" s="25"/>
      <c r="N215" s="169">
        <v>4.25</v>
      </c>
      <c r="O215" s="181">
        <v>50700</v>
      </c>
      <c r="P215" s="155">
        <v>0</v>
      </c>
    </row>
    <row r="216" spans="1:17">
      <c r="C216" s="11" t="s">
        <v>1332</v>
      </c>
      <c r="D216" s="11"/>
      <c r="E216" s="11"/>
      <c r="F216" s="281">
        <f>177056788/10000</f>
        <v>17705.678800000002</v>
      </c>
      <c r="G216" s="10">
        <f t="shared" si="33"/>
        <v>9.2069529760000002</v>
      </c>
      <c r="I216" s="156">
        <v>17</v>
      </c>
      <c r="J216" s="182" t="s">
        <v>666</v>
      </c>
      <c r="K216" s="182" t="s">
        <v>1325</v>
      </c>
      <c r="L216" s="182" t="s">
        <v>1160</v>
      </c>
      <c r="M216" s="169">
        <v>0</v>
      </c>
      <c r="N216" s="169">
        <v>4.25</v>
      </c>
      <c r="O216" s="181">
        <v>31100</v>
      </c>
      <c r="P216" s="155">
        <v>0</v>
      </c>
    </row>
    <row r="217" spans="1:17">
      <c r="Q217" s="162"/>
    </row>
    <row r="219" spans="1:17" s="162" customFormat="1">
      <c r="A219" s="164" t="s">
        <v>1315</v>
      </c>
      <c r="B219" s="164"/>
      <c r="C219" s="164" t="s">
        <v>107</v>
      </c>
      <c r="D219" s="164" t="s">
        <v>4</v>
      </c>
      <c r="E219" s="166" t="s">
        <v>108</v>
      </c>
      <c r="F219" s="166" t="s">
        <v>109</v>
      </c>
      <c r="G219" s="164" t="s">
        <v>1314</v>
      </c>
      <c r="H219" s="164" t="s">
        <v>1313</v>
      </c>
      <c r="I219" s="165" t="s">
        <v>1312</v>
      </c>
      <c r="J219" s="163" t="s">
        <v>1311</v>
      </c>
      <c r="K219" s="163" t="s">
        <v>110</v>
      </c>
      <c r="L219" s="163" t="s">
        <v>1310</v>
      </c>
      <c r="M219" s="164" t="s">
        <v>111</v>
      </c>
      <c r="N219" s="163" t="s">
        <v>949</v>
      </c>
      <c r="O219" s="163" t="s">
        <v>948</v>
      </c>
      <c r="P219" s="163" t="s">
        <v>129</v>
      </c>
      <c r="Q219" s="25"/>
    </row>
    <row r="220" spans="1:17">
      <c r="A220" s="24">
        <v>276</v>
      </c>
      <c r="B220" s="161" t="s">
        <v>1324</v>
      </c>
      <c r="C220" s="1" t="s">
        <v>1323</v>
      </c>
      <c r="D220" s="1" t="s">
        <v>1322</v>
      </c>
      <c r="E220" s="3">
        <v>9.8848219999999998</v>
      </c>
      <c r="F220" s="3">
        <v>9.8848216880000006</v>
      </c>
      <c r="G220" s="124">
        <v>42663</v>
      </c>
      <c r="H220" s="24" t="s">
        <v>151</v>
      </c>
      <c r="I220" s="130">
        <v>32.979999999999997</v>
      </c>
      <c r="J220" s="3">
        <v>32.200000000000003</v>
      </c>
      <c r="K220" s="160">
        <v>32.200000000000003</v>
      </c>
      <c r="L220" s="159">
        <v>0.97634930260764119</v>
      </c>
      <c r="M220" s="24">
        <v>3</v>
      </c>
      <c r="N220" s="2">
        <v>43060</v>
      </c>
      <c r="O220" s="24">
        <v>22.55</v>
      </c>
      <c r="P220" s="157">
        <v>0.70248447204968945</v>
      </c>
      <c r="Q220" s="25"/>
    </row>
    <row r="221" spans="1:17" ht="14.5">
      <c r="C221" s="179" t="s">
        <v>112</v>
      </c>
      <c r="D221" s="179" t="s">
        <v>113</v>
      </c>
      <c r="E221" s="179" t="s">
        <v>1305</v>
      </c>
      <c r="F221" s="180" t="s">
        <v>1304</v>
      </c>
      <c r="G221" s="179" t="s">
        <v>1303</v>
      </c>
      <c r="I221" s="178" t="s">
        <v>118</v>
      </c>
      <c r="J221" s="177" t="s">
        <v>296</v>
      </c>
      <c r="K221" s="177" t="s">
        <v>1321</v>
      </c>
      <c r="L221" s="177" t="s">
        <v>393</v>
      </c>
      <c r="M221" s="25"/>
      <c r="N221" s="25"/>
      <c r="O221" s="25"/>
      <c r="P221" s="25"/>
      <c r="Q221" s="25"/>
    </row>
    <row r="222" spans="1:17" ht="14" customHeight="1">
      <c r="C222" s="11" t="str">
        <f t="shared" ref="C222:C236" si="34">IF(J222=0,"",J222)</f>
        <v>西部证券股份有限公司</v>
      </c>
      <c r="D222" s="11">
        <f t="shared" ref="D222:D234" si="35">K222</f>
        <v>32.1</v>
      </c>
      <c r="E222" s="10">
        <f t="shared" ref="E222:E234" si="36">L222/10000</f>
        <v>1.0592999999999999</v>
      </c>
      <c r="F222" s="11" t="str">
        <f t="shared" ref="F222:F235" si="37">IFERROR(VLOOKUP(C222,O$224:Q$227,2,FALSE)/10000,"")</f>
        <v/>
      </c>
      <c r="G222" s="11"/>
      <c r="I222" s="155">
        <v>1</v>
      </c>
      <c r="J222" s="155" t="s">
        <v>385</v>
      </c>
      <c r="K222" s="474">
        <v>32.1</v>
      </c>
      <c r="L222" s="167">
        <v>10593</v>
      </c>
      <c r="M222" s="25"/>
      <c r="N222" s="25"/>
      <c r="O222" s="25"/>
      <c r="P222" s="25"/>
      <c r="Q222" s="172" t="s">
        <v>1318</v>
      </c>
    </row>
    <row r="223" spans="1:17" ht="14" customHeight="1">
      <c r="C223" s="11" t="str">
        <f t="shared" si="34"/>
        <v>中融基金管理有限公司</v>
      </c>
      <c r="D223" s="11">
        <f t="shared" si="35"/>
        <v>30.5</v>
      </c>
      <c r="E223" s="10">
        <f t="shared" si="36"/>
        <v>1.0065</v>
      </c>
      <c r="F223" s="11" t="str">
        <f t="shared" si="37"/>
        <v/>
      </c>
      <c r="G223" s="11"/>
      <c r="I223" s="155">
        <v>2</v>
      </c>
      <c r="J223" s="155" t="s">
        <v>629</v>
      </c>
      <c r="K223" s="474">
        <v>30.5</v>
      </c>
      <c r="L223" s="167">
        <v>10065</v>
      </c>
      <c r="M223" s="25"/>
      <c r="N223" s="25"/>
      <c r="O223" s="25"/>
      <c r="P223" s="25"/>
      <c r="Q223" s="172" t="s">
        <v>1316</v>
      </c>
    </row>
    <row r="224" spans="1:17" ht="15" customHeight="1">
      <c r="C224" s="11" t="str">
        <f t="shared" si="34"/>
        <v>泰达宏利基金管理有限公司</v>
      </c>
      <c r="D224" s="11">
        <f t="shared" si="35"/>
        <v>30.5</v>
      </c>
      <c r="E224" s="10">
        <f t="shared" si="36"/>
        <v>1.0065</v>
      </c>
      <c r="F224" s="11" t="str">
        <f t="shared" si="37"/>
        <v/>
      </c>
      <c r="G224" s="11"/>
      <c r="I224" s="155">
        <v>3</v>
      </c>
      <c r="J224" s="155" t="s">
        <v>148</v>
      </c>
      <c r="K224" s="474">
        <v>30.5</v>
      </c>
      <c r="L224" s="167">
        <v>10065</v>
      </c>
      <c r="M224" s="25"/>
      <c r="N224" s="475"/>
      <c r="O224" s="473" t="s">
        <v>1320</v>
      </c>
      <c r="P224" s="172" t="s">
        <v>1319</v>
      </c>
      <c r="Q224" s="170">
        <v>386400000</v>
      </c>
    </row>
    <row r="225" spans="1:18" ht="14" customHeight="1">
      <c r="C225" s="11" t="str">
        <f t="shared" si="34"/>
        <v>财通基金管理有限公司</v>
      </c>
      <c r="D225" s="11">
        <f t="shared" si="35"/>
        <v>31.4</v>
      </c>
      <c r="E225" s="10">
        <f t="shared" si="36"/>
        <v>1.1617999999999999</v>
      </c>
      <c r="F225" s="11" t="str">
        <f t="shared" si="37"/>
        <v/>
      </c>
      <c r="G225" s="11"/>
      <c r="I225" s="155">
        <v>4</v>
      </c>
      <c r="J225" s="156" t="s">
        <v>115</v>
      </c>
      <c r="K225" s="474">
        <v>31.4</v>
      </c>
      <c r="L225" s="167">
        <v>11618</v>
      </c>
      <c r="M225" s="25"/>
      <c r="N225" s="475"/>
      <c r="O225" s="473"/>
      <c r="P225" s="172" t="s">
        <v>1317</v>
      </c>
      <c r="Q225" s="170">
        <v>386400000</v>
      </c>
    </row>
    <row r="226" spans="1:18" ht="14" customHeight="1">
      <c r="C226" s="11" t="str">
        <f t="shared" si="34"/>
        <v/>
      </c>
      <c r="D226" s="11">
        <f t="shared" si="35"/>
        <v>30.5</v>
      </c>
      <c r="E226" s="10">
        <f t="shared" si="36"/>
        <v>1.7995000000000001</v>
      </c>
      <c r="F226" s="11" t="str">
        <f t="shared" si="37"/>
        <v/>
      </c>
      <c r="G226" s="11"/>
      <c r="I226" s="25"/>
      <c r="J226" s="25"/>
      <c r="K226" s="474">
        <v>30.5</v>
      </c>
      <c r="L226" s="167">
        <v>17995</v>
      </c>
      <c r="M226" s="25"/>
      <c r="N226" s="176">
        <v>1</v>
      </c>
      <c r="O226" s="175" t="s">
        <v>336</v>
      </c>
      <c r="P226" s="171">
        <v>12000000</v>
      </c>
      <c r="Q226" s="170">
        <v>215682168.80000001</v>
      </c>
    </row>
    <row r="227" spans="1:18" ht="14" customHeight="1">
      <c r="C227" s="11" t="str">
        <f t="shared" si="34"/>
        <v/>
      </c>
      <c r="D227" s="11">
        <f t="shared" si="35"/>
        <v>29.7</v>
      </c>
      <c r="E227" s="10">
        <f t="shared" si="36"/>
        <v>2.4651000000000001</v>
      </c>
      <c r="F227" s="11" t="str">
        <f t="shared" si="37"/>
        <v/>
      </c>
      <c r="G227" s="11"/>
      <c r="I227" s="64"/>
      <c r="J227" s="64"/>
      <c r="K227" s="474">
        <v>29.7</v>
      </c>
      <c r="L227" s="167">
        <v>24651</v>
      </c>
      <c r="M227" s="25"/>
      <c r="N227" s="176">
        <v>2</v>
      </c>
      <c r="O227" s="175" t="s">
        <v>564</v>
      </c>
      <c r="P227" s="171">
        <v>12000000</v>
      </c>
      <c r="Q227" s="170">
        <v>988482168.79999995</v>
      </c>
    </row>
    <row r="228" spans="1:18" ht="14" customHeight="1">
      <c r="C228" s="11" t="str">
        <f t="shared" si="34"/>
        <v>国投瑞银基金管理有限公司</v>
      </c>
      <c r="D228" s="11">
        <f t="shared" si="35"/>
        <v>29</v>
      </c>
      <c r="E228" s="10">
        <f t="shared" si="36"/>
        <v>0.95699999999999996</v>
      </c>
      <c r="F228" s="11" t="str">
        <f t="shared" si="37"/>
        <v/>
      </c>
      <c r="G228" s="11"/>
      <c r="I228" s="155">
        <v>5</v>
      </c>
      <c r="J228" s="155" t="s">
        <v>955</v>
      </c>
      <c r="K228" s="474">
        <v>29</v>
      </c>
      <c r="L228" s="167">
        <v>9570</v>
      </c>
      <c r="M228" s="25"/>
      <c r="N228" s="176">
        <v>3</v>
      </c>
      <c r="O228" s="175" t="s">
        <v>122</v>
      </c>
      <c r="P228" s="171">
        <v>6698204</v>
      </c>
      <c r="Q228" s="25"/>
    </row>
    <row r="229" spans="1:18" ht="14" customHeight="1">
      <c r="C229" s="11" t="str">
        <f t="shared" si="34"/>
        <v/>
      </c>
      <c r="D229" s="11">
        <f t="shared" si="35"/>
        <v>29.8</v>
      </c>
      <c r="E229" s="10">
        <f t="shared" si="36"/>
        <v>0.98340000000000005</v>
      </c>
      <c r="F229" s="11" t="str">
        <f t="shared" si="37"/>
        <v/>
      </c>
      <c r="G229" s="11"/>
      <c r="I229" s="174"/>
      <c r="J229" s="174"/>
      <c r="K229" s="474">
        <v>29.8</v>
      </c>
      <c r="L229" s="167">
        <v>9834</v>
      </c>
      <c r="M229" s="25"/>
      <c r="N229" s="173"/>
      <c r="O229" s="172" t="s">
        <v>1293</v>
      </c>
      <c r="P229" s="171">
        <v>30698204</v>
      </c>
      <c r="Q229" s="25"/>
    </row>
    <row r="230" spans="1:18" ht="14" customHeight="1">
      <c r="C230" s="11" t="str">
        <f t="shared" si="34"/>
        <v>诺安基金管理有限公司</v>
      </c>
      <c r="D230" s="11">
        <f t="shared" si="35"/>
        <v>28.9</v>
      </c>
      <c r="E230" s="10">
        <f t="shared" si="36"/>
        <v>1.734</v>
      </c>
      <c r="F230" s="11" t="str">
        <f t="shared" si="37"/>
        <v/>
      </c>
      <c r="G230" s="11"/>
      <c r="I230" s="155">
        <v>6</v>
      </c>
      <c r="J230" s="156" t="s">
        <v>147</v>
      </c>
      <c r="K230" s="474">
        <v>28.9</v>
      </c>
      <c r="L230" s="167">
        <v>17340</v>
      </c>
      <c r="M230" s="25"/>
      <c r="N230" s="25"/>
      <c r="O230" s="25"/>
      <c r="P230" s="25"/>
      <c r="Q230" s="25"/>
    </row>
    <row r="231" spans="1:18" ht="14" customHeight="1">
      <c r="C231" s="11" t="str">
        <f t="shared" si="34"/>
        <v>兴业财富资产管理有限公司</v>
      </c>
      <c r="D231" s="11">
        <f t="shared" si="35"/>
        <v>29.9</v>
      </c>
      <c r="E231" s="10">
        <f t="shared" si="36"/>
        <v>0.98670000000000002</v>
      </c>
      <c r="F231" s="11" t="str">
        <f t="shared" si="37"/>
        <v/>
      </c>
      <c r="G231" s="11"/>
      <c r="I231" s="155">
        <v>7</v>
      </c>
      <c r="J231" s="155" t="s">
        <v>352</v>
      </c>
      <c r="K231" s="474">
        <v>29.9</v>
      </c>
      <c r="L231" s="167">
        <v>9867</v>
      </c>
      <c r="M231" s="25"/>
      <c r="N231" s="25"/>
      <c r="O231" s="25"/>
      <c r="P231" s="25"/>
      <c r="Q231" s="25"/>
    </row>
    <row r="232" spans="1:18" ht="14" customHeight="1">
      <c r="C232" s="11" t="str">
        <f t="shared" si="34"/>
        <v>北信瑞丰基金管理有限公司</v>
      </c>
      <c r="D232" s="11">
        <f t="shared" si="35"/>
        <v>33.1</v>
      </c>
      <c r="E232" s="10">
        <f t="shared" si="36"/>
        <v>3.972</v>
      </c>
      <c r="F232" s="10">
        <f t="shared" si="37"/>
        <v>1200</v>
      </c>
      <c r="G232" s="10">
        <f>F232*J$220/10000</f>
        <v>3.8639999999999999</v>
      </c>
      <c r="I232" s="155">
        <v>8</v>
      </c>
      <c r="J232" s="155" t="s">
        <v>336</v>
      </c>
      <c r="K232" s="474">
        <v>33.1</v>
      </c>
      <c r="L232" s="167">
        <v>39720</v>
      </c>
      <c r="M232" s="25"/>
      <c r="N232" s="25"/>
      <c r="O232" s="25"/>
      <c r="P232" s="25"/>
      <c r="Q232" s="25"/>
    </row>
    <row r="233" spans="1:18" ht="14" customHeight="1">
      <c r="C233" s="11" t="str">
        <f t="shared" si="34"/>
        <v>华泰柏瑞基金管理有限公司</v>
      </c>
      <c r="D233" s="11">
        <f t="shared" si="35"/>
        <v>32.200000000000003</v>
      </c>
      <c r="E233" s="10">
        <f t="shared" si="36"/>
        <v>2.8980000000000001</v>
      </c>
      <c r="F233" s="10" t="str">
        <f t="shared" si="37"/>
        <v/>
      </c>
      <c r="G233" s="10" t="e">
        <f>F233*J$220/10000</f>
        <v>#VALUE!</v>
      </c>
      <c r="I233" s="155">
        <v>9</v>
      </c>
      <c r="J233" s="155" t="s">
        <v>122</v>
      </c>
      <c r="K233" s="474">
        <v>32.200000000000003</v>
      </c>
      <c r="L233" s="167">
        <v>28980</v>
      </c>
      <c r="M233" s="25"/>
      <c r="N233" s="25"/>
      <c r="O233" s="25"/>
      <c r="P233" s="25"/>
    </row>
    <row r="234" spans="1:18" ht="14.5" customHeight="1">
      <c r="C234" s="11" t="str">
        <f t="shared" si="34"/>
        <v>新华基金管理股份有限公司</v>
      </c>
      <c r="D234" s="11">
        <f t="shared" si="35"/>
        <v>33.799999999999997</v>
      </c>
      <c r="E234" s="10">
        <f t="shared" si="36"/>
        <v>4.056</v>
      </c>
      <c r="F234" s="10">
        <f t="shared" si="37"/>
        <v>1200</v>
      </c>
      <c r="G234" s="10">
        <f>F234*J$220/10000</f>
        <v>3.8639999999999999</v>
      </c>
      <c r="I234" s="169">
        <v>10</v>
      </c>
      <c r="J234" s="155" t="s">
        <v>564</v>
      </c>
      <c r="K234" s="474">
        <v>33.799999999999997</v>
      </c>
      <c r="L234" s="167">
        <v>40560</v>
      </c>
      <c r="M234" s="25"/>
      <c r="N234" s="25"/>
      <c r="O234" s="25"/>
      <c r="P234" s="25"/>
    </row>
    <row r="235" spans="1:18">
      <c r="C235" s="24" t="str">
        <f t="shared" si="34"/>
        <v/>
      </c>
      <c r="F235" s="24" t="str">
        <f t="shared" si="37"/>
        <v/>
      </c>
    </row>
    <row r="236" spans="1:18">
      <c r="C236" s="24" t="str">
        <f t="shared" si="34"/>
        <v/>
      </c>
      <c r="Q236" s="162"/>
    </row>
    <row r="238" spans="1:18" s="162" customFormat="1">
      <c r="A238" s="164" t="s">
        <v>1315</v>
      </c>
      <c r="B238" s="164"/>
      <c r="C238" s="164" t="s">
        <v>107</v>
      </c>
      <c r="D238" s="164" t="s">
        <v>4</v>
      </c>
      <c r="E238" s="166" t="s">
        <v>108</v>
      </c>
      <c r="F238" s="166" t="s">
        <v>109</v>
      </c>
      <c r="G238" s="164" t="s">
        <v>1314</v>
      </c>
      <c r="H238" s="164" t="s">
        <v>1313</v>
      </c>
      <c r="I238" s="165" t="s">
        <v>1312</v>
      </c>
      <c r="J238" s="163" t="s">
        <v>1311</v>
      </c>
      <c r="K238" s="163" t="s">
        <v>110</v>
      </c>
      <c r="L238" s="163" t="s">
        <v>1310</v>
      </c>
      <c r="M238" s="164" t="s">
        <v>111</v>
      </c>
      <c r="N238" s="163" t="s">
        <v>949</v>
      </c>
      <c r="O238" s="163" t="s">
        <v>948</v>
      </c>
      <c r="P238" s="163" t="s">
        <v>129</v>
      </c>
      <c r="Q238" s="155" t="s">
        <v>1298</v>
      </c>
    </row>
    <row r="239" spans="1:18">
      <c r="A239" s="24">
        <v>277</v>
      </c>
      <c r="B239" s="161" t="s">
        <v>1309</v>
      </c>
      <c r="C239" s="1" t="s">
        <v>1308</v>
      </c>
      <c r="D239" s="1" t="s">
        <v>1307</v>
      </c>
      <c r="E239" s="3">
        <v>5.4880000000000004</v>
      </c>
      <c r="F239" s="3">
        <v>5.4879998596000004</v>
      </c>
      <c r="G239" s="124">
        <v>42670</v>
      </c>
      <c r="H239" s="24" t="s">
        <v>1306</v>
      </c>
      <c r="I239" s="130">
        <v>23.86</v>
      </c>
      <c r="J239" s="3">
        <v>23.72</v>
      </c>
      <c r="K239" s="160">
        <v>14</v>
      </c>
      <c r="L239" s="159">
        <v>0.99413243922883487</v>
      </c>
      <c r="M239" s="158">
        <v>5</v>
      </c>
      <c r="N239" s="2">
        <v>43060</v>
      </c>
      <c r="O239" s="24">
        <v>12.43</v>
      </c>
      <c r="P239" s="157">
        <v>0.89759696458684657</v>
      </c>
      <c r="Q239" s="144">
        <v>59999977.200000003</v>
      </c>
    </row>
    <row r="240" spans="1:18">
      <c r="C240" s="16" t="s">
        <v>112</v>
      </c>
      <c r="D240" s="16" t="s">
        <v>113</v>
      </c>
      <c r="E240" s="16" t="s">
        <v>1305</v>
      </c>
      <c r="F240" s="17" t="s">
        <v>1304</v>
      </c>
      <c r="G240" s="16" t="s">
        <v>1303</v>
      </c>
      <c r="I240" s="154" t="s">
        <v>118</v>
      </c>
      <c r="J240" s="154" t="s">
        <v>1302</v>
      </c>
      <c r="K240" s="153" t="s">
        <v>1301</v>
      </c>
      <c r="L240" s="154" t="s">
        <v>1300</v>
      </c>
      <c r="M240" s="153" t="s">
        <v>1299</v>
      </c>
      <c r="O240" s="156" t="s">
        <v>118</v>
      </c>
      <c r="P240" s="155" t="s">
        <v>7</v>
      </c>
      <c r="Q240" s="144">
        <v>59999977.200000003</v>
      </c>
      <c r="R240" s="155" t="s">
        <v>1297</v>
      </c>
    </row>
    <row r="241" spans="3:18">
      <c r="C241" s="11" t="str">
        <f t="shared" ref="C241:C272" si="38">IF(J242=0,"",J242)</f>
        <v>郝玉辉</v>
      </c>
      <c r="D241" s="11">
        <f t="shared" ref="D241:D272" si="39">K242</f>
        <v>20.57</v>
      </c>
      <c r="E241" s="10">
        <f t="shared" ref="E241:E272" si="40">L242/100000000</f>
        <v>0.60681499999999999</v>
      </c>
      <c r="F241" s="11" t="str">
        <f t="shared" ref="F241:F272" si="41">IFERROR(VLOOKUP(C241,P$241:R$245,3,FALSE)/10000,"")</f>
        <v/>
      </c>
      <c r="G241" s="11" t="str">
        <f t="shared" ref="G241:G255" si="42">IFERROR(F241*J$239,"")</f>
        <v/>
      </c>
      <c r="I241" s="154"/>
      <c r="J241" s="154"/>
      <c r="K241" s="153" t="s">
        <v>1296</v>
      </c>
      <c r="L241" s="154"/>
      <c r="M241" s="153" t="s">
        <v>1295</v>
      </c>
      <c r="O241" s="152">
        <v>1</v>
      </c>
      <c r="P241" s="148" t="s">
        <v>351</v>
      </c>
      <c r="Q241" s="144">
        <v>59999977.200000003</v>
      </c>
      <c r="R241" s="477">
        <v>2529510</v>
      </c>
    </row>
    <row r="242" spans="3:18">
      <c r="C242" s="11" t="str">
        <f t="shared" si="38"/>
        <v/>
      </c>
      <c r="D242" s="11">
        <f t="shared" si="39"/>
        <v>20</v>
      </c>
      <c r="E242" s="10">
        <f t="shared" si="40"/>
        <v>0.6</v>
      </c>
      <c r="F242" s="11" t="str">
        <f t="shared" si="41"/>
        <v/>
      </c>
      <c r="G242" s="11" t="str">
        <f t="shared" si="42"/>
        <v/>
      </c>
      <c r="I242" s="147">
        <v>1</v>
      </c>
      <c r="J242" s="148" t="s">
        <v>1294</v>
      </c>
      <c r="K242" s="145">
        <v>20.57</v>
      </c>
      <c r="L242" s="144">
        <v>60681500</v>
      </c>
      <c r="M242" s="143" t="s">
        <v>378</v>
      </c>
      <c r="O242" s="152">
        <v>2</v>
      </c>
      <c r="P242" s="148" t="s">
        <v>352</v>
      </c>
      <c r="Q242" s="144">
        <v>59999977.200000003</v>
      </c>
      <c r="R242" s="477">
        <v>2529510</v>
      </c>
    </row>
    <row r="243" spans="3:18">
      <c r="C243" s="11" t="str">
        <f t="shared" si="38"/>
        <v/>
      </c>
      <c r="D243" s="11">
        <f t="shared" si="39"/>
        <v>19.5</v>
      </c>
      <c r="E243" s="10">
        <f t="shared" si="40"/>
        <v>0.60450000000000004</v>
      </c>
      <c r="F243" s="11" t="str">
        <f t="shared" si="41"/>
        <v/>
      </c>
      <c r="G243" s="11" t="str">
        <f t="shared" si="42"/>
        <v/>
      </c>
      <c r="I243" s="25"/>
      <c r="J243" s="25"/>
      <c r="K243" s="145">
        <v>20</v>
      </c>
      <c r="L243" s="144">
        <v>60000000</v>
      </c>
      <c r="M243" s="143" t="s">
        <v>378</v>
      </c>
      <c r="O243" s="152">
        <v>3</v>
      </c>
      <c r="P243" s="148" t="s">
        <v>385</v>
      </c>
      <c r="Q243" s="144">
        <v>308800077.16000003</v>
      </c>
      <c r="R243" s="477">
        <v>2529510</v>
      </c>
    </row>
    <row r="244" spans="3:18">
      <c r="C244" s="11" t="str">
        <f t="shared" si="38"/>
        <v>东方证券股份有限公司</v>
      </c>
      <c r="D244" s="11">
        <f t="shared" si="39"/>
        <v>21.79</v>
      </c>
      <c r="E244" s="10">
        <f t="shared" si="40"/>
        <v>0.60358299999999998</v>
      </c>
      <c r="F244" s="11" t="str">
        <f t="shared" si="41"/>
        <v/>
      </c>
      <c r="G244" s="11" t="str">
        <f t="shared" si="42"/>
        <v/>
      </c>
      <c r="I244" s="64"/>
      <c r="J244" s="64"/>
      <c r="K244" s="145">
        <v>19.5</v>
      </c>
      <c r="L244" s="144">
        <v>60450000</v>
      </c>
      <c r="M244" s="143" t="s">
        <v>378</v>
      </c>
      <c r="O244" s="152">
        <v>4</v>
      </c>
      <c r="P244" s="148" t="s">
        <v>1283</v>
      </c>
      <c r="Q244" s="144">
        <v>548799985.96000004</v>
      </c>
      <c r="R244" s="477">
        <v>2529510</v>
      </c>
    </row>
    <row r="245" spans="3:18">
      <c r="C245" s="11" t="str">
        <f t="shared" si="38"/>
        <v/>
      </c>
      <c r="D245" s="11">
        <f t="shared" si="39"/>
        <v>20.88</v>
      </c>
      <c r="E245" s="10">
        <f t="shared" si="40"/>
        <v>0.60551999999999995</v>
      </c>
      <c r="F245" s="11" t="str">
        <f t="shared" si="41"/>
        <v/>
      </c>
      <c r="G245" s="11" t="str">
        <f t="shared" si="42"/>
        <v/>
      </c>
      <c r="I245" s="147">
        <v>2</v>
      </c>
      <c r="J245" s="146" t="s">
        <v>1055</v>
      </c>
      <c r="K245" s="145">
        <v>21.79</v>
      </c>
      <c r="L245" s="144">
        <v>60358300</v>
      </c>
      <c r="M245" s="143" t="s">
        <v>378</v>
      </c>
      <c r="O245" s="152">
        <v>5</v>
      </c>
      <c r="P245" s="148" t="s">
        <v>960</v>
      </c>
      <c r="Q245" s="25"/>
      <c r="R245" s="477">
        <v>13018553</v>
      </c>
    </row>
    <row r="246" spans="3:18">
      <c r="C246" s="11" t="str">
        <f t="shared" si="38"/>
        <v/>
      </c>
      <c r="D246" s="11">
        <f t="shared" si="39"/>
        <v>20.29</v>
      </c>
      <c r="E246" s="10">
        <f t="shared" si="40"/>
        <v>1.2174</v>
      </c>
      <c r="F246" s="11" t="str">
        <f t="shared" si="41"/>
        <v/>
      </c>
      <c r="G246" s="11" t="str">
        <f t="shared" si="42"/>
        <v/>
      </c>
      <c r="I246" s="25"/>
      <c r="J246" s="25"/>
      <c r="K246" s="145">
        <v>20.88</v>
      </c>
      <c r="L246" s="144">
        <v>60552000</v>
      </c>
      <c r="M246" s="143" t="s">
        <v>378</v>
      </c>
      <c r="O246" s="151" t="s">
        <v>1293</v>
      </c>
      <c r="P246" s="151"/>
      <c r="R246" s="477">
        <v>23136593</v>
      </c>
    </row>
    <row r="247" spans="3:18">
      <c r="C247" s="11" t="str">
        <f t="shared" si="38"/>
        <v>嘉实惠泽定增灵活配置混合型证券投资基金</v>
      </c>
      <c r="D247" s="11">
        <f t="shared" si="39"/>
        <v>21.21</v>
      </c>
      <c r="E247" s="10">
        <f t="shared" si="40"/>
        <v>0.60000014549999992</v>
      </c>
      <c r="F247" s="11" t="str">
        <f t="shared" si="41"/>
        <v/>
      </c>
      <c r="G247" s="11" t="str">
        <f t="shared" si="42"/>
        <v/>
      </c>
      <c r="I247" s="64"/>
      <c r="J247" s="64"/>
      <c r="K247" s="145">
        <v>20.29</v>
      </c>
      <c r="L247" s="144">
        <v>121740000</v>
      </c>
      <c r="M247" s="143" t="s">
        <v>378</v>
      </c>
      <c r="O247" s="25"/>
      <c r="P247" s="25"/>
      <c r="R247" s="476"/>
    </row>
    <row r="248" spans="3:18">
      <c r="C248" s="11" t="str">
        <f t="shared" si="38"/>
        <v/>
      </c>
      <c r="D248" s="11">
        <f t="shared" si="39"/>
        <v>20.309999999999999</v>
      </c>
      <c r="E248" s="10">
        <f t="shared" si="40"/>
        <v>0.79999993260000002</v>
      </c>
      <c r="F248" s="11" t="str">
        <f t="shared" si="41"/>
        <v/>
      </c>
      <c r="G248" s="11" t="str">
        <f t="shared" si="42"/>
        <v/>
      </c>
      <c r="I248" s="147">
        <v>3</v>
      </c>
      <c r="J248" s="146" t="s">
        <v>1292</v>
      </c>
      <c r="K248" s="145">
        <v>21.21</v>
      </c>
      <c r="L248" s="144">
        <v>60000014.549999997</v>
      </c>
      <c r="M248" s="143" t="s">
        <v>378</v>
      </c>
    </row>
    <row r="249" spans="3:18">
      <c r="C249" s="11" t="str">
        <f t="shared" si="38"/>
        <v/>
      </c>
      <c r="D249" s="11">
        <f t="shared" si="39"/>
        <v>19.309999999999999</v>
      </c>
      <c r="E249" s="10">
        <f t="shared" si="40"/>
        <v>1.0000000184</v>
      </c>
      <c r="F249" s="11" t="str">
        <f t="shared" si="41"/>
        <v/>
      </c>
      <c r="G249" s="11" t="str">
        <f t="shared" si="42"/>
        <v/>
      </c>
      <c r="I249" s="25"/>
      <c r="J249" s="25"/>
      <c r="K249" s="145">
        <v>20.309999999999999</v>
      </c>
      <c r="L249" s="144">
        <v>79999993.260000005</v>
      </c>
      <c r="M249" s="143" t="s">
        <v>378</v>
      </c>
    </row>
    <row r="250" spans="3:18">
      <c r="C250" s="11" t="str">
        <f t="shared" si="38"/>
        <v>浙江浙商证券资产管理有限公司</v>
      </c>
      <c r="D250" s="11">
        <f t="shared" si="39"/>
        <v>22.88</v>
      </c>
      <c r="E250" s="10">
        <f t="shared" si="40"/>
        <v>1.415</v>
      </c>
      <c r="F250" s="11" t="str">
        <f t="shared" si="41"/>
        <v/>
      </c>
      <c r="G250" s="11" t="str">
        <f t="shared" si="42"/>
        <v/>
      </c>
      <c r="I250" s="64"/>
      <c r="J250" s="64"/>
      <c r="K250" s="145">
        <v>19.309999999999999</v>
      </c>
      <c r="L250" s="144">
        <v>100000001.84</v>
      </c>
      <c r="M250" s="143" t="s">
        <v>378</v>
      </c>
    </row>
    <row r="251" spans="3:18">
      <c r="C251" s="11" t="str">
        <f t="shared" si="38"/>
        <v>富国资产管理（上海）有限公司</v>
      </c>
      <c r="D251" s="11">
        <f t="shared" si="39"/>
        <v>22.53</v>
      </c>
      <c r="E251" s="10">
        <f t="shared" si="40"/>
        <v>0.6</v>
      </c>
      <c r="F251" s="11" t="str">
        <f t="shared" si="41"/>
        <v/>
      </c>
      <c r="G251" s="11" t="str">
        <f t="shared" si="42"/>
        <v/>
      </c>
      <c r="I251" s="147">
        <v>4</v>
      </c>
      <c r="J251" s="148" t="s">
        <v>154</v>
      </c>
      <c r="K251" s="145">
        <v>22.88</v>
      </c>
      <c r="L251" s="144">
        <v>141500000</v>
      </c>
      <c r="M251" s="143" t="s">
        <v>378</v>
      </c>
    </row>
    <row r="252" spans="3:18">
      <c r="C252" s="11" t="str">
        <f t="shared" si="38"/>
        <v>金满汇（北京）投资管理有限公司</v>
      </c>
      <c r="D252" s="11">
        <f t="shared" si="39"/>
        <v>23.24</v>
      </c>
      <c r="E252" s="10">
        <f t="shared" si="40"/>
        <v>0.6</v>
      </c>
      <c r="F252" s="11" t="str">
        <f t="shared" si="41"/>
        <v/>
      </c>
      <c r="G252" s="11" t="str">
        <f t="shared" si="42"/>
        <v/>
      </c>
      <c r="I252" s="147">
        <v>5</v>
      </c>
      <c r="J252" s="148" t="s">
        <v>1291</v>
      </c>
      <c r="K252" s="145">
        <v>22.53</v>
      </c>
      <c r="L252" s="144">
        <v>60000000</v>
      </c>
      <c r="M252" s="143" t="s">
        <v>378</v>
      </c>
    </row>
    <row r="253" spans="3:18">
      <c r="C253" s="11" t="str">
        <f t="shared" si="38"/>
        <v>国投瑞银基金管理有限公司</v>
      </c>
      <c r="D253" s="11">
        <f t="shared" si="39"/>
        <v>19.010000000000002</v>
      </c>
      <c r="E253" s="10">
        <f t="shared" si="40"/>
        <v>0.6</v>
      </c>
      <c r="F253" s="11" t="str">
        <f t="shared" si="41"/>
        <v/>
      </c>
      <c r="G253" s="11" t="str">
        <f t="shared" si="42"/>
        <v/>
      </c>
      <c r="I253" s="147">
        <v>6</v>
      </c>
      <c r="J253" s="148" t="s">
        <v>1290</v>
      </c>
      <c r="K253" s="145">
        <v>23.24</v>
      </c>
      <c r="L253" s="144">
        <v>60000000</v>
      </c>
      <c r="M253" s="143" t="s">
        <v>378</v>
      </c>
    </row>
    <row r="254" spans="3:18">
      <c r="C254" s="11" t="str">
        <f t="shared" si="38"/>
        <v>上海国鑫投资发展有限公司</v>
      </c>
      <c r="D254" s="11">
        <f t="shared" si="39"/>
        <v>23.25</v>
      </c>
      <c r="E254" s="10">
        <f t="shared" si="40"/>
        <v>0.6</v>
      </c>
      <c r="F254" s="11" t="str">
        <f t="shared" si="41"/>
        <v/>
      </c>
      <c r="G254" s="11" t="str">
        <f t="shared" si="42"/>
        <v/>
      </c>
      <c r="I254" s="147">
        <v>7</v>
      </c>
      <c r="J254" s="148" t="s">
        <v>955</v>
      </c>
      <c r="K254" s="145">
        <v>19.010000000000002</v>
      </c>
      <c r="L254" s="144">
        <v>60000000</v>
      </c>
      <c r="M254" s="143" t="s">
        <v>378</v>
      </c>
    </row>
    <row r="255" spans="3:18">
      <c r="C255" s="11" t="str">
        <f t="shared" si="38"/>
        <v>天津力天融金投资有限公司</v>
      </c>
      <c r="D255" s="11">
        <f t="shared" si="39"/>
        <v>20.8</v>
      </c>
      <c r="E255" s="10">
        <f t="shared" si="40"/>
        <v>0.60000012800000002</v>
      </c>
      <c r="F255" s="11" t="str">
        <f t="shared" si="41"/>
        <v/>
      </c>
      <c r="G255" s="11" t="str">
        <f t="shared" si="42"/>
        <v/>
      </c>
      <c r="I255" s="147">
        <v>8</v>
      </c>
      <c r="J255" s="148" t="s">
        <v>1289</v>
      </c>
      <c r="K255" s="145">
        <v>23.25</v>
      </c>
      <c r="L255" s="144">
        <v>60000000</v>
      </c>
      <c r="M255" s="143" t="s">
        <v>378</v>
      </c>
    </row>
    <row r="256" spans="3:18">
      <c r="C256" s="11" t="str">
        <f t="shared" si="38"/>
        <v>民生通惠资产管理有限公司</v>
      </c>
      <c r="D256" s="11">
        <f t="shared" si="39"/>
        <v>24</v>
      </c>
      <c r="E256" s="10">
        <f t="shared" si="40"/>
        <v>0.6</v>
      </c>
      <c r="F256" s="11">
        <f t="shared" si="41"/>
        <v>252.95099999999999</v>
      </c>
      <c r="G256" s="10">
        <f t="shared" ref="G256:G287" si="43">IFERROR(F256*J$239/10000,"")</f>
        <v>0.59999977199999999</v>
      </c>
      <c r="I256" s="147">
        <v>9</v>
      </c>
      <c r="J256" s="148" t="s">
        <v>1288</v>
      </c>
      <c r="K256" s="145">
        <v>20.8</v>
      </c>
      <c r="L256" s="144">
        <v>60000012.799999997</v>
      </c>
      <c r="M256" s="143" t="s">
        <v>378</v>
      </c>
    </row>
    <row r="257" spans="3:13">
      <c r="C257" s="11" t="str">
        <f t="shared" si="38"/>
        <v/>
      </c>
      <c r="D257" s="11">
        <f t="shared" si="39"/>
        <v>18.68</v>
      </c>
      <c r="E257" s="10">
        <f t="shared" si="40"/>
        <v>1.2</v>
      </c>
      <c r="F257" s="11" t="str">
        <f t="shared" si="41"/>
        <v/>
      </c>
      <c r="G257" s="10" t="str">
        <f t="shared" si="43"/>
        <v/>
      </c>
      <c r="I257" s="147">
        <v>10</v>
      </c>
      <c r="J257" s="146" t="s">
        <v>351</v>
      </c>
      <c r="K257" s="145">
        <v>24</v>
      </c>
      <c r="L257" s="144">
        <v>60000000</v>
      </c>
      <c r="M257" s="143" t="s">
        <v>378</v>
      </c>
    </row>
    <row r="258" spans="3:13">
      <c r="C258" s="11" t="str">
        <f t="shared" si="38"/>
        <v>九泰基金管理有限公司</v>
      </c>
      <c r="D258" s="11">
        <f t="shared" si="39"/>
        <v>21.63</v>
      </c>
      <c r="E258" s="10">
        <f t="shared" si="40"/>
        <v>1.1140000000000001</v>
      </c>
      <c r="F258" s="11" t="str">
        <f t="shared" si="41"/>
        <v/>
      </c>
      <c r="G258" s="10" t="str">
        <f t="shared" si="43"/>
        <v/>
      </c>
      <c r="I258" s="25"/>
      <c r="J258" s="25"/>
      <c r="K258" s="145">
        <v>18.68</v>
      </c>
      <c r="L258" s="144">
        <v>120000000</v>
      </c>
      <c r="M258" s="143" t="s">
        <v>378</v>
      </c>
    </row>
    <row r="259" spans="3:13">
      <c r="C259" s="11" t="str">
        <f t="shared" si="38"/>
        <v/>
      </c>
      <c r="D259" s="11">
        <f t="shared" si="39"/>
        <v>20.149999999999999</v>
      </c>
      <c r="E259" s="10">
        <f t="shared" si="40"/>
        <v>1.266</v>
      </c>
      <c r="F259" s="11" t="str">
        <f t="shared" si="41"/>
        <v/>
      </c>
      <c r="G259" s="10" t="str">
        <f t="shared" si="43"/>
        <v/>
      </c>
      <c r="I259" s="147">
        <v>11</v>
      </c>
      <c r="J259" s="146" t="s">
        <v>666</v>
      </c>
      <c r="K259" s="145">
        <v>21.63</v>
      </c>
      <c r="L259" s="144">
        <v>111400000</v>
      </c>
      <c r="M259" s="143" t="s">
        <v>378</v>
      </c>
    </row>
    <row r="260" spans="3:13">
      <c r="C260" s="11" t="str">
        <f t="shared" si="38"/>
        <v/>
      </c>
      <c r="D260" s="11">
        <f t="shared" si="39"/>
        <v>15</v>
      </c>
      <c r="E260" s="10">
        <f t="shared" si="40"/>
        <v>1.4359999999999999</v>
      </c>
      <c r="F260" s="11" t="str">
        <f t="shared" si="41"/>
        <v/>
      </c>
      <c r="G260" s="10" t="str">
        <f t="shared" si="43"/>
        <v/>
      </c>
      <c r="I260" s="25"/>
      <c r="J260" s="25"/>
      <c r="K260" s="145">
        <v>20.149999999999999</v>
      </c>
      <c r="L260" s="144">
        <v>126600000</v>
      </c>
      <c r="M260" s="143" t="s">
        <v>378</v>
      </c>
    </row>
    <row r="261" spans="3:13">
      <c r="C261" s="11" t="str">
        <f t="shared" si="38"/>
        <v>鹏华资产管理（深圳）有限公司</v>
      </c>
      <c r="D261" s="11">
        <f t="shared" si="39"/>
        <v>22.87</v>
      </c>
      <c r="E261" s="10">
        <f t="shared" si="40"/>
        <v>1.0975999999999999</v>
      </c>
      <c r="F261" s="11" t="str">
        <f t="shared" si="41"/>
        <v/>
      </c>
      <c r="G261" s="10" t="str">
        <f t="shared" si="43"/>
        <v/>
      </c>
      <c r="I261" s="64"/>
      <c r="J261" s="64"/>
      <c r="K261" s="145">
        <v>15</v>
      </c>
      <c r="L261" s="144">
        <v>143600000</v>
      </c>
      <c r="M261" s="143" t="s">
        <v>378</v>
      </c>
    </row>
    <row r="262" spans="3:13">
      <c r="C262" s="11" t="str">
        <f t="shared" si="38"/>
        <v>信诚基金管理有限公司</v>
      </c>
      <c r="D262" s="11">
        <f t="shared" si="39"/>
        <v>21.4</v>
      </c>
      <c r="E262" s="10">
        <f t="shared" si="40"/>
        <v>0.628</v>
      </c>
      <c r="F262" s="11" t="str">
        <f t="shared" si="41"/>
        <v/>
      </c>
      <c r="G262" s="10" t="str">
        <f t="shared" si="43"/>
        <v/>
      </c>
      <c r="I262" s="147">
        <v>12</v>
      </c>
      <c r="J262" s="148" t="s">
        <v>285</v>
      </c>
      <c r="K262" s="145">
        <v>22.87</v>
      </c>
      <c r="L262" s="144">
        <v>109760000</v>
      </c>
      <c r="M262" s="143" t="s">
        <v>378</v>
      </c>
    </row>
    <row r="263" spans="3:13">
      <c r="C263" s="11" t="str">
        <f t="shared" si="38"/>
        <v>东海基金管理有限责任公司</v>
      </c>
      <c r="D263" s="11">
        <f t="shared" si="39"/>
        <v>15.5</v>
      </c>
      <c r="E263" s="10">
        <f t="shared" si="40"/>
        <v>0.62</v>
      </c>
      <c r="F263" s="11" t="str">
        <f t="shared" si="41"/>
        <v/>
      </c>
      <c r="G263" s="10" t="str">
        <f t="shared" si="43"/>
        <v/>
      </c>
      <c r="I263" s="147">
        <v>13</v>
      </c>
      <c r="J263" s="148" t="s">
        <v>300</v>
      </c>
      <c r="K263" s="145">
        <v>21.4</v>
      </c>
      <c r="L263" s="144">
        <v>62800000</v>
      </c>
      <c r="M263" s="143" t="s">
        <v>378</v>
      </c>
    </row>
    <row r="264" spans="3:13">
      <c r="C264" s="11" t="str">
        <f t="shared" si="38"/>
        <v>兴业全球基金管理有限公司</v>
      </c>
      <c r="D264" s="11">
        <f t="shared" si="39"/>
        <v>20.03</v>
      </c>
      <c r="E264" s="10">
        <f t="shared" si="40"/>
        <v>2.84</v>
      </c>
      <c r="F264" s="11" t="str">
        <f t="shared" si="41"/>
        <v/>
      </c>
      <c r="G264" s="10" t="str">
        <f t="shared" si="43"/>
        <v/>
      </c>
      <c r="I264" s="147">
        <v>14</v>
      </c>
      <c r="J264" s="148" t="s">
        <v>128</v>
      </c>
      <c r="K264" s="145">
        <v>15.5</v>
      </c>
      <c r="L264" s="144">
        <v>62000000</v>
      </c>
      <c r="M264" s="143" t="s">
        <v>378</v>
      </c>
    </row>
    <row r="265" spans="3:13">
      <c r="C265" s="11" t="str">
        <f t="shared" si="38"/>
        <v/>
      </c>
      <c r="D265" s="11">
        <f t="shared" si="39"/>
        <v>14.11</v>
      </c>
      <c r="E265" s="10">
        <f t="shared" si="40"/>
        <v>4.9400000000000004</v>
      </c>
      <c r="F265" s="11" t="str">
        <f t="shared" si="41"/>
        <v/>
      </c>
      <c r="G265" s="10" t="str">
        <f t="shared" si="43"/>
        <v/>
      </c>
      <c r="I265" s="147">
        <v>15</v>
      </c>
      <c r="J265" s="146" t="s">
        <v>131</v>
      </c>
      <c r="K265" s="145">
        <v>20.03</v>
      </c>
      <c r="L265" s="144">
        <v>284000000</v>
      </c>
      <c r="M265" s="143" t="s">
        <v>378</v>
      </c>
    </row>
    <row r="266" spans="3:13">
      <c r="C266" s="11" t="str">
        <f t="shared" si="38"/>
        <v>华鑫证券有限责任公司</v>
      </c>
      <c r="D266" s="11">
        <f t="shared" si="39"/>
        <v>18.98</v>
      </c>
      <c r="E266" s="10">
        <f t="shared" si="40"/>
        <v>0.89999990340000002</v>
      </c>
      <c r="F266" s="11" t="str">
        <f t="shared" si="41"/>
        <v/>
      </c>
      <c r="G266" s="10" t="str">
        <f t="shared" si="43"/>
        <v/>
      </c>
      <c r="I266" s="25"/>
      <c r="J266" s="25"/>
      <c r="K266" s="145">
        <v>14.11</v>
      </c>
      <c r="L266" s="144">
        <v>494000000</v>
      </c>
      <c r="M266" s="143" t="s">
        <v>378</v>
      </c>
    </row>
    <row r="267" spans="3:13">
      <c r="C267" s="11" t="str">
        <f t="shared" si="38"/>
        <v>易方达基金管理有限公司</v>
      </c>
      <c r="D267" s="11">
        <f t="shared" si="39"/>
        <v>22.41</v>
      </c>
      <c r="E267" s="10">
        <f t="shared" si="40"/>
        <v>0.8</v>
      </c>
      <c r="F267" s="11" t="str">
        <f t="shared" si="41"/>
        <v/>
      </c>
      <c r="G267" s="10" t="str">
        <f t="shared" si="43"/>
        <v/>
      </c>
      <c r="I267" s="147">
        <v>16</v>
      </c>
      <c r="J267" s="148" t="s">
        <v>505</v>
      </c>
      <c r="K267" s="145">
        <v>18.98</v>
      </c>
      <c r="L267" s="144">
        <v>89999990.340000004</v>
      </c>
      <c r="M267" s="143" t="s">
        <v>378</v>
      </c>
    </row>
    <row r="268" spans="3:13">
      <c r="C268" s="11" t="str">
        <f t="shared" si="38"/>
        <v>徐双喜</v>
      </c>
      <c r="D268" s="11">
        <f t="shared" si="39"/>
        <v>21.35</v>
      </c>
      <c r="E268" s="10">
        <f t="shared" si="40"/>
        <v>0.8</v>
      </c>
      <c r="F268" s="11" t="str">
        <f t="shared" si="41"/>
        <v/>
      </c>
      <c r="G268" s="10" t="str">
        <f t="shared" si="43"/>
        <v/>
      </c>
      <c r="I268" s="147">
        <v>17</v>
      </c>
      <c r="J268" s="148" t="s">
        <v>225</v>
      </c>
      <c r="K268" s="145">
        <v>22.41</v>
      </c>
      <c r="L268" s="144">
        <v>80000000</v>
      </c>
      <c r="M268" s="143" t="s">
        <v>378</v>
      </c>
    </row>
    <row r="269" spans="3:13">
      <c r="C269" s="11" t="str">
        <f t="shared" si="38"/>
        <v/>
      </c>
      <c r="D269" s="11">
        <f t="shared" si="39"/>
        <v>20.5</v>
      </c>
      <c r="E269" s="10">
        <f t="shared" si="40"/>
        <v>0.8</v>
      </c>
      <c r="F269" s="11" t="str">
        <f t="shared" si="41"/>
        <v/>
      </c>
      <c r="G269" s="10" t="str">
        <f t="shared" si="43"/>
        <v/>
      </c>
      <c r="I269" s="147">
        <v>18</v>
      </c>
      <c r="J269" s="148" t="s">
        <v>1287</v>
      </c>
      <c r="K269" s="145">
        <v>21.35</v>
      </c>
      <c r="L269" s="144">
        <v>80000000</v>
      </c>
      <c r="M269" s="143" t="s">
        <v>378</v>
      </c>
    </row>
    <row r="270" spans="3:13">
      <c r="C270" s="11" t="str">
        <f t="shared" si="38"/>
        <v>金鹰基金管理有限公司</v>
      </c>
      <c r="D270" s="11">
        <f t="shared" si="39"/>
        <v>18.96</v>
      </c>
      <c r="E270" s="10">
        <f t="shared" si="40"/>
        <v>0.66</v>
      </c>
      <c r="F270" s="11" t="str">
        <f t="shared" si="41"/>
        <v/>
      </c>
      <c r="G270" s="10" t="str">
        <f t="shared" si="43"/>
        <v/>
      </c>
      <c r="I270" s="25"/>
      <c r="J270" s="25"/>
      <c r="K270" s="145">
        <v>20.5</v>
      </c>
      <c r="L270" s="144">
        <v>80000000</v>
      </c>
      <c r="M270" s="143" t="s">
        <v>378</v>
      </c>
    </row>
    <row r="271" spans="3:13">
      <c r="C271" s="11" t="str">
        <f t="shared" si="38"/>
        <v>翁仁源</v>
      </c>
      <c r="D271" s="11">
        <f t="shared" si="39"/>
        <v>23</v>
      </c>
      <c r="E271" s="10">
        <f t="shared" si="40"/>
        <v>0.60029999999999994</v>
      </c>
      <c r="F271" s="11" t="str">
        <f t="shared" si="41"/>
        <v/>
      </c>
      <c r="G271" s="10" t="str">
        <f t="shared" si="43"/>
        <v/>
      </c>
      <c r="I271" s="147">
        <v>19</v>
      </c>
      <c r="J271" s="148" t="s">
        <v>278</v>
      </c>
      <c r="K271" s="145">
        <v>18.96</v>
      </c>
      <c r="L271" s="144">
        <v>66000000</v>
      </c>
      <c r="M271" s="143" t="s">
        <v>378</v>
      </c>
    </row>
    <row r="272" spans="3:13">
      <c r="C272" s="11" t="str">
        <f t="shared" si="38"/>
        <v>招商基金管理有限公司</v>
      </c>
      <c r="D272" s="11">
        <f t="shared" si="39"/>
        <v>22.3</v>
      </c>
      <c r="E272" s="10">
        <f t="shared" si="40"/>
        <v>0.60209999999999997</v>
      </c>
      <c r="F272" s="11" t="str">
        <f t="shared" si="41"/>
        <v/>
      </c>
      <c r="G272" s="10" t="str">
        <f t="shared" si="43"/>
        <v/>
      </c>
      <c r="I272" s="147">
        <v>20</v>
      </c>
      <c r="J272" s="148" t="s">
        <v>1031</v>
      </c>
      <c r="K272" s="145">
        <v>23</v>
      </c>
      <c r="L272" s="144">
        <v>60030000</v>
      </c>
      <c r="M272" s="143" t="s">
        <v>378</v>
      </c>
    </row>
    <row r="273" spans="3:13">
      <c r="C273" s="11" t="str">
        <f t="shared" ref="C273:C304" si="44">IF(J274=0,"",J274)</f>
        <v>国信证券股份有限公司</v>
      </c>
      <c r="D273" s="11">
        <f t="shared" ref="D273:D309" si="45">K274</f>
        <v>20.51</v>
      </c>
      <c r="E273" s="10">
        <f t="shared" ref="E273:E309" si="46">L274/100000000</f>
        <v>0.6</v>
      </c>
      <c r="F273" s="11" t="str">
        <f t="shared" ref="F273:F309" si="47">IFERROR(VLOOKUP(C273,P$241:R$245,3,FALSE)/10000,"")</f>
        <v/>
      </c>
      <c r="G273" s="10" t="str">
        <f t="shared" si="43"/>
        <v/>
      </c>
      <c r="I273" s="147">
        <v>21</v>
      </c>
      <c r="J273" s="148" t="s">
        <v>348</v>
      </c>
      <c r="K273" s="145">
        <v>22.3</v>
      </c>
      <c r="L273" s="144">
        <v>60210000</v>
      </c>
      <c r="M273" s="143" t="s">
        <v>378</v>
      </c>
    </row>
    <row r="274" spans="3:13">
      <c r="C274" s="11" t="str">
        <f t="shared" si="44"/>
        <v>泓德基金管理有限公司</v>
      </c>
      <c r="D274" s="11">
        <f t="shared" si="45"/>
        <v>20.16</v>
      </c>
      <c r="E274" s="10">
        <f t="shared" si="46"/>
        <v>0.6</v>
      </c>
      <c r="F274" s="11" t="str">
        <f t="shared" si="47"/>
        <v/>
      </c>
      <c r="G274" s="10" t="str">
        <f t="shared" si="43"/>
        <v/>
      </c>
      <c r="I274" s="147">
        <v>22</v>
      </c>
      <c r="J274" s="148" t="s">
        <v>1142</v>
      </c>
      <c r="K274" s="145">
        <v>20.51</v>
      </c>
      <c r="L274" s="144">
        <v>60000000</v>
      </c>
      <c r="M274" s="143" t="s">
        <v>378</v>
      </c>
    </row>
    <row r="275" spans="3:13">
      <c r="C275" s="11" t="str">
        <f t="shared" si="44"/>
        <v>景顺长城基金管理有限公司</v>
      </c>
      <c r="D275" s="11">
        <f t="shared" si="45"/>
        <v>21.35</v>
      </c>
      <c r="E275" s="10">
        <f t="shared" si="46"/>
        <v>1.0975999999999999</v>
      </c>
      <c r="F275" s="11" t="str">
        <f t="shared" si="47"/>
        <v/>
      </c>
      <c r="G275" s="10" t="str">
        <f t="shared" si="43"/>
        <v/>
      </c>
      <c r="I275" s="147">
        <v>23</v>
      </c>
      <c r="J275" s="148" t="s">
        <v>229</v>
      </c>
      <c r="K275" s="145">
        <v>20.16</v>
      </c>
      <c r="L275" s="144">
        <v>60000000</v>
      </c>
      <c r="M275" s="143" t="s">
        <v>378</v>
      </c>
    </row>
    <row r="276" spans="3:13">
      <c r="C276" s="11" t="str">
        <f t="shared" si="44"/>
        <v>鹏华基金管理有限公司</v>
      </c>
      <c r="D276" s="11">
        <f t="shared" si="45"/>
        <v>19</v>
      </c>
      <c r="E276" s="10">
        <f t="shared" si="46"/>
        <v>0.6</v>
      </c>
      <c r="F276" s="11" t="str">
        <f t="shared" si="47"/>
        <v/>
      </c>
      <c r="G276" s="10" t="str">
        <f t="shared" si="43"/>
        <v/>
      </c>
      <c r="I276" s="147">
        <v>24</v>
      </c>
      <c r="J276" s="148" t="s">
        <v>1286</v>
      </c>
      <c r="K276" s="145">
        <v>21.35</v>
      </c>
      <c r="L276" s="144">
        <v>109760000</v>
      </c>
      <c r="M276" s="143" t="s">
        <v>378</v>
      </c>
    </row>
    <row r="277" spans="3:13">
      <c r="C277" s="11" t="str">
        <f t="shared" si="44"/>
        <v>国泰基金管理有限公司</v>
      </c>
      <c r="D277" s="11">
        <f t="shared" si="45"/>
        <v>23.5</v>
      </c>
      <c r="E277" s="10">
        <f t="shared" si="46"/>
        <v>0.61099999999999999</v>
      </c>
      <c r="F277" s="11" t="str">
        <f t="shared" si="47"/>
        <v/>
      </c>
      <c r="G277" s="10" t="str">
        <f t="shared" si="43"/>
        <v/>
      </c>
      <c r="I277" s="147">
        <v>25</v>
      </c>
      <c r="J277" s="148" t="s">
        <v>152</v>
      </c>
      <c r="K277" s="145">
        <v>19</v>
      </c>
      <c r="L277" s="144">
        <v>60000000</v>
      </c>
      <c r="M277" s="143" t="s">
        <v>378</v>
      </c>
    </row>
    <row r="278" spans="3:13">
      <c r="C278" s="11" t="str">
        <f t="shared" si="44"/>
        <v/>
      </c>
      <c r="D278" s="11">
        <f t="shared" si="45"/>
        <v>22.15</v>
      </c>
      <c r="E278" s="10">
        <f t="shared" si="46"/>
        <v>1.2071750000000001</v>
      </c>
      <c r="F278" s="11" t="str">
        <f t="shared" si="47"/>
        <v/>
      </c>
      <c r="G278" s="10" t="str">
        <f t="shared" si="43"/>
        <v/>
      </c>
      <c r="I278" s="147">
        <v>26</v>
      </c>
      <c r="J278" s="146" t="s">
        <v>233</v>
      </c>
      <c r="K278" s="145">
        <v>23.5</v>
      </c>
      <c r="L278" s="144">
        <v>61100000</v>
      </c>
      <c r="M278" s="143" t="s">
        <v>378</v>
      </c>
    </row>
    <row r="279" spans="3:13">
      <c r="C279" s="11" t="str">
        <f t="shared" si="44"/>
        <v>申万菱信基金管理有限公司</v>
      </c>
      <c r="D279" s="11">
        <f t="shared" si="45"/>
        <v>18</v>
      </c>
      <c r="E279" s="10">
        <f t="shared" si="46"/>
        <v>1.19999988</v>
      </c>
      <c r="F279" s="11" t="str">
        <f t="shared" si="47"/>
        <v/>
      </c>
      <c r="G279" s="10" t="str">
        <f t="shared" si="43"/>
        <v/>
      </c>
      <c r="I279" s="25"/>
      <c r="J279" s="25"/>
      <c r="K279" s="145">
        <v>22.15</v>
      </c>
      <c r="L279" s="144">
        <v>120717500</v>
      </c>
      <c r="M279" s="143" t="s">
        <v>378</v>
      </c>
    </row>
    <row r="280" spans="3:13">
      <c r="C280" s="11" t="str">
        <f t="shared" si="44"/>
        <v>第一创业证券股份有限公司</v>
      </c>
      <c r="D280" s="11">
        <f t="shared" si="45"/>
        <v>20.21</v>
      </c>
      <c r="E280" s="10">
        <f t="shared" si="46"/>
        <v>0.60023700000000002</v>
      </c>
      <c r="F280" s="11" t="str">
        <f t="shared" si="47"/>
        <v/>
      </c>
      <c r="G280" s="10" t="str">
        <f t="shared" si="43"/>
        <v/>
      </c>
      <c r="I280" s="147">
        <v>27</v>
      </c>
      <c r="J280" s="148" t="s">
        <v>121</v>
      </c>
      <c r="K280" s="145">
        <v>18</v>
      </c>
      <c r="L280" s="144">
        <v>119999988</v>
      </c>
      <c r="M280" s="143" t="s">
        <v>378</v>
      </c>
    </row>
    <row r="281" spans="3:13">
      <c r="C281" s="11" t="str">
        <f t="shared" si="44"/>
        <v>泰达宏利基金管理有限公司</v>
      </c>
      <c r="D281" s="11">
        <f t="shared" si="45"/>
        <v>23</v>
      </c>
      <c r="E281" s="10">
        <f t="shared" si="46"/>
        <v>0.88000001000000005</v>
      </c>
      <c r="F281" s="11" t="str">
        <f t="shared" si="47"/>
        <v/>
      </c>
      <c r="G281" s="10" t="str">
        <f t="shared" si="43"/>
        <v/>
      </c>
      <c r="I281" s="147">
        <v>28</v>
      </c>
      <c r="J281" s="148" t="s">
        <v>127</v>
      </c>
      <c r="K281" s="145">
        <v>20.21</v>
      </c>
      <c r="L281" s="144">
        <v>60023700</v>
      </c>
      <c r="M281" s="143" t="s">
        <v>378</v>
      </c>
    </row>
    <row r="282" spans="3:13">
      <c r="C282" s="11" t="str">
        <f t="shared" si="44"/>
        <v>天弘基金管理有限公司</v>
      </c>
      <c r="D282" s="11">
        <f t="shared" si="45"/>
        <v>21.6</v>
      </c>
      <c r="E282" s="10">
        <f t="shared" si="46"/>
        <v>1.1000000000000001</v>
      </c>
      <c r="F282" s="11" t="str">
        <f t="shared" si="47"/>
        <v/>
      </c>
      <c r="G282" s="10" t="str">
        <f t="shared" si="43"/>
        <v/>
      </c>
      <c r="I282" s="147">
        <v>29</v>
      </c>
      <c r="J282" s="148" t="s">
        <v>148</v>
      </c>
      <c r="K282" s="145">
        <v>23</v>
      </c>
      <c r="L282" s="144">
        <v>88000001</v>
      </c>
      <c r="M282" s="143" t="s">
        <v>378</v>
      </c>
    </row>
    <row r="283" spans="3:13">
      <c r="C283" s="11" t="str">
        <f t="shared" si="44"/>
        <v>西部证券股份有限公司</v>
      </c>
      <c r="D283" s="11">
        <f t="shared" si="45"/>
        <v>23.8</v>
      </c>
      <c r="E283" s="10">
        <f t="shared" si="46"/>
        <v>0.6</v>
      </c>
      <c r="F283" s="11">
        <f t="shared" si="47"/>
        <v>252.95099999999999</v>
      </c>
      <c r="G283" s="10">
        <f t="shared" si="43"/>
        <v>0.59999977199999999</v>
      </c>
      <c r="I283" s="147">
        <v>30</v>
      </c>
      <c r="J283" s="148" t="s">
        <v>279</v>
      </c>
      <c r="K283" s="145">
        <v>21.6</v>
      </c>
      <c r="L283" s="144">
        <v>110000000</v>
      </c>
      <c r="M283" s="143" t="s">
        <v>378</v>
      </c>
    </row>
    <row r="284" spans="3:13">
      <c r="C284" s="11" t="str">
        <f t="shared" si="44"/>
        <v>东吴基金管理有限公司</v>
      </c>
      <c r="D284" s="11">
        <f t="shared" si="45"/>
        <v>16</v>
      </c>
      <c r="E284" s="10">
        <f t="shared" si="46"/>
        <v>0.6</v>
      </c>
      <c r="F284" s="11" t="str">
        <f t="shared" si="47"/>
        <v/>
      </c>
      <c r="G284" s="10" t="str">
        <f t="shared" si="43"/>
        <v/>
      </c>
      <c r="I284" s="147">
        <v>31</v>
      </c>
      <c r="J284" s="148" t="s">
        <v>385</v>
      </c>
      <c r="K284" s="145">
        <v>23.8</v>
      </c>
      <c r="L284" s="144">
        <v>60000000</v>
      </c>
      <c r="M284" s="143" t="s">
        <v>378</v>
      </c>
    </row>
    <row r="285" spans="3:13">
      <c r="C285" s="11" t="str">
        <f t="shared" si="44"/>
        <v>北京和聚投资管理有限公司</v>
      </c>
      <c r="D285" s="11">
        <f t="shared" si="45"/>
        <v>20.16</v>
      </c>
      <c r="E285" s="10">
        <f t="shared" si="46"/>
        <v>1.2</v>
      </c>
      <c r="F285" s="11" t="str">
        <f t="shared" si="47"/>
        <v/>
      </c>
      <c r="G285" s="10" t="str">
        <f t="shared" si="43"/>
        <v/>
      </c>
      <c r="I285" s="147">
        <v>32</v>
      </c>
      <c r="J285" s="148" t="s">
        <v>974</v>
      </c>
      <c r="K285" s="145">
        <v>16</v>
      </c>
      <c r="L285" s="144">
        <v>60000000</v>
      </c>
      <c r="M285" s="143" t="s">
        <v>378</v>
      </c>
    </row>
    <row r="286" spans="3:13">
      <c r="C286" s="11" t="str">
        <f t="shared" si="44"/>
        <v/>
      </c>
      <c r="D286" s="11">
        <f t="shared" si="45"/>
        <v>19</v>
      </c>
      <c r="E286" s="10">
        <f t="shared" si="46"/>
        <v>1.5</v>
      </c>
      <c r="F286" s="11" t="str">
        <f t="shared" si="47"/>
        <v/>
      </c>
      <c r="G286" s="10" t="str">
        <f t="shared" si="43"/>
        <v/>
      </c>
      <c r="I286" s="147">
        <v>33</v>
      </c>
      <c r="J286" s="146" t="s">
        <v>951</v>
      </c>
      <c r="K286" s="145">
        <v>20.16</v>
      </c>
      <c r="L286" s="144">
        <v>120000000</v>
      </c>
      <c r="M286" s="143" t="s">
        <v>378</v>
      </c>
    </row>
    <row r="287" spans="3:13">
      <c r="C287" s="11" t="str">
        <f t="shared" si="44"/>
        <v>平安大华基金管理有限公司</v>
      </c>
      <c r="D287" s="11">
        <f t="shared" si="45"/>
        <v>21.49</v>
      </c>
      <c r="E287" s="10">
        <f t="shared" si="46"/>
        <v>1.1299999999999999</v>
      </c>
      <c r="F287" s="11" t="str">
        <f t="shared" si="47"/>
        <v/>
      </c>
      <c r="G287" s="10" t="str">
        <f t="shared" si="43"/>
        <v/>
      </c>
      <c r="I287" s="25"/>
      <c r="J287" s="25"/>
      <c r="K287" s="145">
        <v>19</v>
      </c>
      <c r="L287" s="144">
        <v>150000000</v>
      </c>
      <c r="M287" s="143" t="s">
        <v>378</v>
      </c>
    </row>
    <row r="288" spans="3:13">
      <c r="C288" s="11" t="str">
        <f t="shared" si="44"/>
        <v/>
      </c>
      <c r="D288" s="11">
        <f t="shared" si="45"/>
        <v>21</v>
      </c>
      <c r="E288" s="10">
        <f t="shared" si="46"/>
        <v>1.99</v>
      </c>
      <c r="F288" s="11" t="str">
        <f t="shared" si="47"/>
        <v/>
      </c>
      <c r="G288" s="10" t="str">
        <f t="shared" ref="G288:G308" si="48">IFERROR(F288*J$239/10000,"")</f>
        <v/>
      </c>
      <c r="I288" s="147">
        <v>34</v>
      </c>
      <c r="J288" s="146" t="s">
        <v>146</v>
      </c>
      <c r="K288" s="145">
        <v>21.49</v>
      </c>
      <c r="L288" s="144">
        <v>113000000</v>
      </c>
      <c r="M288" s="143" t="s">
        <v>378</v>
      </c>
    </row>
    <row r="289" spans="3:13">
      <c r="C289" s="11" t="str">
        <f t="shared" si="44"/>
        <v>南京誉信投资中心（有限合伙）</v>
      </c>
      <c r="D289" s="11">
        <f t="shared" si="45"/>
        <v>17.21</v>
      </c>
      <c r="E289" s="10">
        <f t="shared" si="46"/>
        <v>0.60000014660000001</v>
      </c>
      <c r="F289" s="11" t="str">
        <f t="shared" si="47"/>
        <v/>
      </c>
      <c r="G289" s="10" t="str">
        <f t="shared" si="48"/>
        <v/>
      </c>
      <c r="I289" s="25"/>
      <c r="J289" s="25"/>
      <c r="K289" s="145">
        <v>21</v>
      </c>
      <c r="L289" s="144">
        <v>199000000</v>
      </c>
      <c r="M289" s="143" t="s">
        <v>378</v>
      </c>
    </row>
    <row r="290" spans="3:13">
      <c r="C290" s="11" t="str">
        <f t="shared" si="44"/>
        <v>深圳平安大华汇通财富管理有限公司</v>
      </c>
      <c r="D290" s="11">
        <f t="shared" si="45"/>
        <v>23.5</v>
      </c>
      <c r="E290" s="10">
        <f t="shared" si="46"/>
        <v>0.75000250000000002</v>
      </c>
      <c r="F290" s="11" t="str">
        <f t="shared" si="47"/>
        <v/>
      </c>
      <c r="G290" s="10" t="str">
        <f t="shared" si="48"/>
        <v/>
      </c>
      <c r="I290" s="147">
        <v>35</v>
      </c>
      <c r="J290" s="148" t="s">
        <v>1114</v>
      </c>
      <c r="K290" s="145">
        <v>17.21</v>
      </c>
      <c r="L290" s="144">
        <v>60000014.659999996</v>
      </c>
      <c r="M290" s="143" t="s">
        <v>378</v>
      </c>
    </row>
    <row r="291" spans="3:13">
      <c r="C291" s="11" t="str">
        <f t="shared" si="44"/>
        <v>大成基金管理有限公司</v>
      </c>
      <c r="D291" s="11">
        <f t="shared" si="45"/>
        <v>22.77</v>
      </c>
      <c r="E291" s="10">
        <f t="shared" si="46"/>
        <v>0.601128</v>
      </c>
      <c r="F291" s="11" t="str">
        <f t="shared" si="47"/>
        <v/>
      </c>
      <c r="G291" s="10" t="str">
        <f t="shared" si="48"/>
        <v/>
      </c>
      <c r="I291" s="147">
        <v>36</v>
      </c>
      <c r="J291" s="148" t="s">
        <v>158</v>
      </c>
      <c r="K291" s="145">
        <v>23.5</v>
      </c>
      <c r="L291" s="144">
        <v>75000250</v>
      </c>
      <c r="M291" s="143" t="s">
        <v>378</v>
      </c>
    </row>
    <row r="292" spans="3:13">
      <c r="C292" s="11" t="str">
        <f t="shared" si="44"/>
        <v>长城国泰（舟山）产业并购重组基金合</v>
      </c>
      <c r="D292" s="11">
        <f t="shared" si="45"/>
        <v>22.5</v>
      </c>
      <c r="E292" s="10">
        <f t="shared" si="46"/>
        <v>2.999999925</v>
      </c>
      <c r="F292" s="11" t="str">
        <f t="shared" si="47"/>
        <v/>
      </c>
      <c r="G292" s="10" t="str">
        <f t="shared" si="48"/>
        <v/>
      </c>
      <c r="I292" s="147">
        <v>37</v>
      </c>
      <c r="J292" s="148" t="s">
        <v>1127</v>
      </c>
      <c r="K292" s="145">
        <v>22.77</v>
      </c>
      <c r="L292" s="144">
        <v>60112800</v>
      </c>
      <c r="M292" s="143" t="s">
        <v>378</v>
      </c>
    </row>
    <row r="293" spans="3:13">
      <c r="C293" s="11" t="str">
        <f t="shared" si="44"/>
        <v>伙企业（有限合伙）</v>
      </c>
      <c r="D293" s="11">
        <f t="shared" si="45"/>
        <v>22.41</v>
      </c>
      <c r="E293" s="10">
        <f t="shared" si="46"/>
        <v>3.9999998933999996</v>
      </c>
      <c r="F293" s="11" t="str">
        <f t="shared" si="47"/>
        <v/>
      </c>
      <c r="G293" s="10" t="str">
        <f t="shared" si="48"/>
        <v/>
      </c>
      <c r="I293" s="149"/>
      <c r="J293" s="148" t="s">
        <v>1285</v>
      </c>
      <c r="K293" s="145">
        <v>22.5</v>
      </c>
      <c r="L293" s="144">
        <v>299999992.5</v>
      </c>
      <c r="M293" s="143" t="s">
        <v>378</v>
      </c>
    </row>
    <row r="294" spans="3:13">
      <c r="C294" s="11" t="str">
        <f t="shared" si="44"/>
        <v>深圳福星资本管理有限公司</v>
      </c>
      <c r="D294" s="11">
        <f t="shared" si="45"/>
        <v>23.8</v>
      </c>
      <c r="E294" s="10">
        <f t="shared" si="46"/>
        <v>0.6</v>
      </c>
      <c r="F294" s="11">
        <f t="shared" si="47"/>
        <v>252.95099999999999</v>
      </c>
      <c r="G294" s="10">
        <f t="shared" si="48"/>
        <v>0.59999977199999999</v>
      </c>
      <c r="I294" s="147">
        <v>38</v>
      </c>
      <c r="J294" s="148" t="s">
        <v>1284</v>
      </c>
      <c r="K294" s="145">
        <v>22.41</v>
      </c>
      <c r="L294" s="144">
        <v>399999989.33999997</v>
      </c>
      <c r="M294" s="143" t="s">
        <v>378</v>
      </c>
    </row>
    <row r="295" spans="3:13">
      <c r="C295" s="11" t="str">
        <f t="shared" si="44"/>
        <v>财通基金管理有限公司</v>
      </c>
      <c r="D295" s="11">
        <f t="shared" si="45"/>
        <v>23.7</v>
      </c>
      <c r="E295" s="10">
        <f t="shared" si="46"/>
        <v>1.329998496</v>
      </c>
      <c r="F295" s="11" t="str">
        <f t="shared" si="47"/>
        <v/>
      </c>
      <c r="G295" s="10" t="str">
        <f t="shared" si="48"/>
        <v/>
      </c>
      <c r="I295" s="147">
        <v>39</v>
      </c>
      <c r="J295" s="148" t="s">
        <v>1283</v>
      </c>
      <c r="K295" s="145">
        <v>23.8</v>
      </c>
      <c r="L295" s="144">
        <v>60000000</v>
      </c>
      <c r="M295" s="143" t="s">
        <v>378</v>
      </c>
    </row>
    <row r="296" spans="3:13">
      <c r="C296" s="11" t="str">
        <f t="shared" si="44"/>
        <v/>
      </c>
      <c r="D296" s="11">
        <f t="shared" si="45"/>
        <v>22.3</v>
      </c>
      <c r="E296" s="10">
        <f t="shared" si="46"/>
        <v>2.3999980290000003</v>
      </c>
      <c r="F296" s="11" t="str">
        <f t="shared" si="47"/>
        <v/>
      </c>
      <c r="G296" s="10" t="str">
        <f t="shared" si="48"/>
        <v/>
      </c>
      <c r="I296" s="147">
        <v>40</v>
      </c>
      <c r="J296" s="146" t="s">
        <v>115</v>
      </c>
      <c r="K296" s="145">
        <v>23.7</v>
      </c>
      <c r="L296" s="144">
        <v>132999849.59999999</v>
      </c>
      <c r="M296" s="143" t="s">
        <v>378</v>
      </c>
    </row>
    <row r="297" spans="3:13">
      <c r="C297" s="11" t="str">
        <f t="shared" si="44"/>
        <v/>
      </c>
      <c r="D297" s="11">
        <f t="shared" si="45"/>
        <v>21.3</v>
      </c>
      <c r="E297" s="10">
        <f t="shared" si="46"/>
        <v>4.039994643</v>
      </c>
      <c r="F297" s="11" t="str">
        <f t="shared" si="47"/>
        <v/>
      </c>
      <c r="G297" s="10" t="str">
        <f t="shared" si="48"/>
        <v/>
      </c>
      <c r="I297" s="25"/>
      <c r="J297" s="25"/>
      <c r="K297" s="145">
        <v>22.3</v>
      </c>
      <c r="L297" s="144">
        <v>239999802.90000001</v>
      </c>
      <c r="M297" s="143" t="s">
        <v>378</v>
      </c>
    </row>
    <row r="298" spans="3:13">
      <c r="C298" s="11" t="str">
        <f t="shared" si="44"/>
        <v>金元顺安基金管理有限公司</v>
      </c>
      <c r="D298" s="11">
        <f t="shared" si="45"/>
        <v>23.72</v>
      </c>
      <c r="E298" s="10">
        <f t="shared" si="46"/>
        <v>4</v>
      </c>
      <c r="F298" s="11">
        <f t="shared" si="47"/>
        <v>1301.8552999999999</v>
      </c>
      <c r="G298" s="10">
        <f t="shared" si="48"/>
        <v>3.0880007715999995</v>
      </c>
      <c r="I298" s="64"/>
      <c r="J298" s="64"/>
      <c r="K298" s="145">
        <v>21.3</v>
      </c>
      <c r="L298" s="144">
        <v>403999464.30000001</v>
      </c>
      <c r="M298" s="143" t="s">
        <v>378</v>
      </c>
    </row>
    <row r="299" spans="3:13">
      <c r="C299" s="11" t="str">
        <f t="shared" si="44"/>
        <v/>
      </c>
      <c r="D299" s="11">
        <f t="shared" si="45"/>
        <v>22.16</v>
      </c>
      <c r="E299" s="10">
        <f t="shared" si="46"/>
        <v>4</v>
      </c>
      <c r="F299" s="11" t="str">
        <f t="shared" si="47"/>
        <v/>
      </c>
      <c r="G299" s="10" t="str">
        <f t="shared" si="48"/>
        <v/>
      </c>
      <c r="I299" s="147">
        <v>41</v>
      </c>
      <c r="J299" s="146" t="s">
        <v>960</v>
      </c>
      <c r="K299" s="145">
        <v>23.72</v>
      </c>
      <c r="L299" s="144">
        <v>400000000</v>
      </c>
      <c r="M299" s="143" t="s">
        <v>378</v>
      </c>
    </row>
    <row r="300" spans="3:13">
      <c r="C300" s="11" t="str">
        <f t="shared" si="44"/>
        <v>山东高速投资控股有限公司</v>
      </c>
      <c r="D300" s="11">
        <f t="shared" si="45"/>
        <v>23.02</v>
      </c>
      <c r="E300" s="10">
        <f t="shared" si="46"/>
        <v>0.62153999999999998</v>
      </c>
      <c r="F300" s="11" t="str">
        <f t="shared" si="47"/>
        <v/>
      </c>
      <c r="G300" s="10" t="str">
        <f t="shared" si="48"/>
        <v/>
      </c>
      <c r="I300" s="25"/>
      <c r="J300" s="25"/>
      <c r="K300" s="145">
        <v>22.16</v>
      </c>
      <c r="L300" s="144">
        <v>400000000</v>
      </c>
      <c r="M300" s="143" t="s">
        <v>378</v>
      </c>
    </row>
    <row r="301" spans="3:13">
      <c r="C301" s="11" t="str">
        <f t="shared" si="44"/>
        <v>北信瑞丰基金管理有限公司</v>
      </c>
      <c r="D301" s="11">
        <f t="shared" si="45"/>
        <v>22.02</v>
      </c>
      <c r="E301" s="10">
        <f t="shared" si="46"/>
        <v>0.60499999999999998</v>
      </c>
      <c r="F301" s="11" t="str">
        <f t="shared" si="47"/>
        <v/>
      </c>
      <c r="G301" s="10" t="str">
        <f t="shared" si="48"/>
        <v/>
      </c>
      <c r="I301" s="147">
        <v>42</v>
      </c>
      <c r="J301" s="148" t="s">
        <v>1214</v>
      </c>
      <c r="K301" s="145">
        <v>23.02</v>
      </c>
      <c r="L301" s="144">
        <v>62154000</v>
      </c>
      <c r="M301" s="143" t="s">
        <v>378</v>
      </c>
    </row>
    <row r="302" spans="3:13">
      <c r="C302" s="11" t="str">
        <f t="shared" si="44"/>
        <v/>
      </c>
      <c r="D302" s="11">
        <f t="shared" si="45"/>
        <v>21.35</v>
      </c>
      <c r="E302" s="10">
        <f t="shared" si="46"/>
        <v>0.7</v>
      </c>
      <c r="F302" s="11" t="str">
        <f t="shared" si="47"/>
        <v/>
      </c>
      <c r="G302" s="10" t="str">
        <f t="shared" si="48"/>
        <v/>
      </c>
      <c r="I302" s="147">
        <v>43</v>
      </c>
      <c r="J302" s="146" t="s">
        <v>336</v>
      </c>
      <c r="K302" s="145">
        <v>22.02</v>
      </c>
      <c r="L302" s="144">
        <v>60500000</v>
      </c>
      <c r="M302" s="143" t="s">
        <v>378</v>
      </c>
    </row>
    <row r="303" spans="3:13">
      <c r="C303" s="11" t="str">
        <f t="shared" si="44"/>
        <v/>
      </c>
      <c r="D303" s="11">
        <f t="shared" si="45"/>
        <v>20.16</v>
      </c>
      <c r="E303" s="10">
        <f t="shared" si="46"/>
        <v>0.76500000000000001</v>
      </c>
      <c r="F303" s="11" t="str">
        <f t="shared" si="47"/>
        <v/>
      </c>
      <c r="G303" s="10" t="str">
        <f t="shared" si="48"/>
        <v/>
      </c>
      <c r="I303" s="25"/>
      <c r="J303" s="25"/>
      <c r="K303" s="145">
        <v>21.35</v>
      </c>
      <c r="L303" s="144">
        <v>70000000</v>
      </c>
      <c r="M303" s="143" t="s">
        <v>378</v>
      </c>
    </row>
    <row r="304" spans="3:13">
      <c r="C304" s="11" t="str">
        <f t="shared" si="44"/>
        <v>兴业财富资产管理有限公司</v>
      </c>
      <c r="D304" s="11">
        <f t="shared" si="45"/>
        <v>23.9</v>
      </c>
      <c r="E304" s="10">
        <f t="shared" si="46"/>
        <v>0.6</v>
      </c>
      <c r="F304" s="11">
        <f t="shared" si="47"/>
        <v>252.95099999999999</v>
      </c>
      <c r="G304" s="10">
        <f t="shared" si="48"/>
        <v>0.59999977199999999</v>
      </c>
      <c r="I304" s="64"/>
      <c r="J304" s="64"/>
      <c r="K304" s="145">
        <v>20.16</v>
      </c>
      <c r="L304" s="144">
        <v>76500000</v>
      </c>
      <c r="M304" s="143" t="s">
        <v>378</v>
      </c>
    </row>
    <row r="305" spans="3:13">
      <c r="C305" s="11" t="str">
        <f t="shared" ref="C305:C315" si="49">IF(J306=0,"",J306)</f>
        <v>何慧清</v>
      </c>
      <c r="D305" s="11">
        <f t="shared" si="45"/>
        <v>16.27</v>
      </c>
      <c r="E305" s="10">
        <f t="shared" si="46"/>
        <v>0.60036299999999998</v>
      </c>
      <c r="F305" s="11" t="str">
        <f t="shared" si="47"/>
        <v/>
      </c>
      <c r="G305" s="10" t="str">
        <f t="shared" si="48"/>
        <v/>
      </c>
      <c r="I305" s="147">
        <v>44</v>
      </c>
      <c r="J305" s="148" t="s">
        <v>352</v>
      </c>
      <c r="K305" s="145">
        <v>23.9</v>
      </c>
      <c r="L305" s="144">
        <v>60000000</v>
      </c>
      <c r="M305" s="143" t="s">
        <v>378</v>
      </c>
    </row>
    <row r="306" spans="3:13">
      <c r="C306" s="11" t="str">
        <f t="shared" si="49"/>
        <v>华泰柏瑞基金管理有限公司</v>
      </c>
      <c r="D306" s="11">
        <f t="shared" si="45"/>
        <v>20.28</v>
      </c>
      <c r="E306" s="10">
        <f t="shared" si="46"/>
        <v>0.60840000000000005</v>
      </c>
      <c r="F306" s="11" t="str">
        <f t="shared" si="47"/>
        <v/>
      </c>
      <c r="G306" s="10" t="str">
        <f t="shared" si="48"/>
        <v/>
      </c>
      <c r="I306" s="147">
        <v>45</v>
      </c>
      <c r="J306" s="148" t="s">
        <v>1246</v>
      </c>
      <c r="K306" s="145">
        <v>16.27</v>
      </c>
      <c r="L306" s="144">
        <v>60036300</v>
      </c>
      <c r="M306" s="143" t="s">
        <v>378</v>
      </c>
    </row>
    <row r="307" spans="3:13">
      <c r="C307" s="11" t="str">
        <f t="shared" si="49"/>
        <v>华清恒泰前海（深圳）投资中心（有限合伙）</v>
      </c>
      <c r="D307" s="11">
        <f t="shared" si="45"/>
        <v>23.03</v>
      </c>
      <c r="E307" s="10">
        <f t="shared" si="46"/>
        <v>0.60000299999999995</v>
      </c>
      <c r="F307" s="11" t="str">
        <f t="shared" si="47"/>
        <v/>
      </c>
      <c r="G307" s="10" t="str">
        <f t="shared" si="48"/>
        <v/>
      </c>
      <c r="I307" s="147">
        <v>46</v>
      </c>
      <c r="J307" s="148" t="s">
        <v>122</v>
      </c>
      <c r="K307" s="145">
        <v>20.28</v>
      </c>
      <c r="L307" s="144">
        <v>60840000</v>
      </c>
      <c r="M307" s="143" t="s">
        <v>378</v>
      </c>
    </row>
    <row r="308" spans="3:13">
      <c r="C308" s="11" t="str">
        <f t="shared" si="49"/>
        <v/>
      </c>
      <c r="D308" s="11">
        <f t="shared" si="45"/>
        <v>22.53</v>
      </c>
      <c r="E308" s="10">
        <f t="shared" si="46"/>
        <v>0.60000299999999995</v>
      </c>
      <c r="F308" s="11" t="str">
        <f t="shared" si="47"/>
        <v/>
      </c>
      <c r="G308" s="10" t="str">
        <f t="shared" si="48"/>
        <v/>
      </c>
      <c r="I308" s="147">
        <v>47</v>
      </c>
      <c r="J308" s="146" t="s">
        <v>1282</v>
      </c>
      <c r="K308" s="145">
        <v>23.03</v>
      </c>
      <c r="L308" s="144">
        <v>60000300</v>
      </c>
      <c r="M308" s="143" t="s">
        <v>378</v>
      </c>
    </row>
    <row r="309" spans="3:13">
      <c r="C309" s="11" t="str">
        <f t="shared" si="49"/>
        <v/>
      </c>
      <c r="D309" s="11">
        <f t="shared" si="45"/>
        <v>15</v>
      </c>
      <c r="E309" s="10">
        <f t="shared" si="46"/>
        <v>0.60000299999999995</v>
      </c>
      <c r="F309" s="11" t="str">
        <f t="shared" si="47"/>
        <v/>
      </c>
      <c r="G309" s="11" t="str">
        <f>IFERROR(F309*J$239,"")</f>
        <v/>
      </c>
      <c r="I309" s="25"/>
      <c r="J309" s="25"/>
      <c r="K309" s="145">
        <v>22.53</v>
      </c>
      <c r="L309" s="144">
        <v>60000300</v>
      </c>
      <c r="M309" s="143" t="s">
        <v>378</v>
      </c>
    </row>
    <row r="310" spans="3:13">
      <c r="C310" s="24" t="str">
        <f t="shared" si="49"/>
        <v/>
      </c>
      <c r="I310" s="64"/>
      <c r="J310" s="64"/>
      <c r="K310" s="145">
        <v>15</v>
      </c>
      <c r="L310" s="144">
        <v>60000300</v>
      </c>
      <c r="M310" s="143" t="s">
        <v>378</v>
      </c>
    </row>
    <row r="311" spans="3:13">
      <c r="C311" s="24" t="str">
        <f t="shared" si="49"/>
        <v/>
      </c>
      <c r="I311" s="25"/>
      <c r="J311" s="25"/>
      <c r="K311" s="25"/>
      <c r="L311" s="25"/>
      <c r="M311" s="25"/>
    </row>
    <row r="312" spans="3:13">
      <c r="C312" s="24" t="str">
        <f t="shared" si="49"/>
        <v/>
      </c>
    </row>
    <row r="313" spans="3:13">
      <c r="C313" s="24" t="str">
        <f t="shared" si="49"/>
        <v/>
      </c>
    </row>
    <row r="314" spans="3:13">
      <c r="C314" s="24" t="str">
        <f t="shared" si="49"/>
        <v/>
      </c>
    </row>
    <row r="315" spans="3:13">
      <c r="C315" s="24" t="str">
        <f t="shared" si="49"/>
        <v/>
      </c>
    </row>
  </sheetData>
  <mergeCells count="14">
    <mergeCell ref="I70:I71"/>
    <mergeCell ref="I76:I77"/>
    <mergeCell ref="I80:I81"/>
    <mergeCell ref="O68:O69"/>
    <mergeCell ref="N68:N69"/>
    <mergeCell ref="I50:I51"/>
    <mergeCell ref="K50:K51"/>
    <mergeCell ref="L50:L51"/>
    <mergeCell ref="M50:M51"/>
    <mergeCell ref="K37:K38"/>
    <mergeCell ref="I44:I45"/>
    <mergeCell ref="J44:J45"/>
    <mergeCell ref="L44:L45"/>
    <mergeCell ref="M44:M45"/>
  </mergeCells>
  <phoneticPr fontId="139" type="noConversion"/>
  <hyperlinks>
    <hyperlink ref="B4" r:id="rId1" xr:uid="{00000000-0004-0000-0F00-000000000000}"/>
    <hyperlink ref="B25" r:id="rId2" xr:uid="{00000000-0004-0000-0F00-000001000000}"/>
    <hyperlink ref="B42" r:id="rId3" xr:uid="{00000000-0004-0000-0F00-000002000000}"/>
    <hyperlink ref="B67" r:id="rId4" xr:uid="{00000000-0004-0000-0F00-000003000000}"/>
    <hyperlink ref="B92" r:id="rId5" xr:uid="{00000000-0004-0000-0F00-000004000000}"/>
    <hyperlink ref="B134" r:id="rId6" xr:uid="{00000000-0004-0000-0F00-000005000000}"/>
    <hyperlink ref="B156" r:id="rId7" xr:uid="{00000000-0004-0000-0F00-000006000000}"/>
    <hyperlink ref="B178" r:id="rId8" xr:uid="{00000000-0004-0000-0F00-000007000000}"/>
    <hyperlink ref="B220" r:id="rId9" xr:uid="{00000000-0004-0000-0F00-000008000000}"/>
    <hyperlink ref="B239" r:id="rId10" xr:uid="{00000000-0004-0000-0F00-000009000000}"/>
  </hyperlinks>
  <pageMargins left="0.7" right="0.7" top="0.75" bottom="0.75" header="0.3" footer="0.3"/>
  <pageSetup orientation="portrait" r:id="rId1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339"/>
  <sheetViews>
    <sheetView topLeftCell="A308" workbookViewId="0">
      <selection activeCell="A328" sqref="A328"/>
    </sheetView>
  </sheetViews>
  <sheetFormatPr defaultColWidth="8.83203125" defaultRowHeight="14"/>
  <cols>
    <col min="1" max="1" width="9" style="24" customWidth="1"/>
    <col min="2" max="2" width="9.6640625" style="24" customWidth="1"/>
    <col min="3" max="3" width="25.1640625" style="24" customWidth="1"/>
    <col min="4" max="4" width="15.1640625" style="24" customWidth="1"/>
    <col min="5" max="5" width="15.5" style="24" customWidth="1"/>
    <col min="6" max="6" width="15" style="24" customWidth="1"/>
    <col min="7" max="7" width="16.83203125" style="24" customWidth="1"/>
    <col min="8" max="8" width="13.33203125" style="24" customWidth="1"/>
    <col min="9" max="9" width="9.6640625" style="24" customWidth="1"/>
    <col min="10" max="10" width="10.1640625" style="24" customWidth="1"/>
    <col min="11" max="11" width="8.83203125" style="24"/>
    <col min="12" max="12" width="12.6640625" style="24" customWidth="1"/>
    <col min="13" max="13" width="10.6640625" style="24" customWidth="1"/>
    <col min="14" max="14" width="11.5" style="24" customWidth="1"/>
    <col min="15" max="15" width="12.1640625" style="24" customWidth="1"/>
    <col min="16" max="16" width="10" style="24" customWidth="1"/>
    <col min="17" max="17" width="12.33203125" style="24" bestFit="1" customWidth="1"/>
    <col min="18" max="18" width="11.83203125" style="24" customWidth="1"/>
    <col min="19" max="19" width="12.33203125" style="24" customWidth="1"/>
    <col min="20" max="20" width="10.6640625" style="24" customWidth="1"/>
    <col min="21" max="21" width="12.6640625" style="24" bestFit="1" customWidth="1"/>
    <col min="22" max="22" width="8.6640625" style="24" bestFit="1" customWidth="1"/>
    <col min="23" max="16384" width="8.83203125" style="24"/>
  </cols>
  <sheetData>
    <row r="1" spans="1:20">
      <c r="A1" s="24" t="s">
        <v>2071</v>
      </c>
    </row>
    <row r="3" spans="1:20" s="162" customFormat="1">
      <c r="A3" s="164" t="s">
        <v>1315</v>
      </c>
      <c r="B3" s="164"/>
      <c r="C3" s="164" t="s">
        <v>107</v>
      </c>
      <c r="D3" s="164" t="s">
        <v>4</v>
      </c>
      <c r="E3" s="166" t="s">
        <v>108</v>
      </c>
      <c r="F3" s="166" t="s">
        <v>109</v>
      </c>
      <c r="G3" s="164" t="s">
        <v>1314</v>
      </c>
      <c r="H3" s="164" t="s">
        <v>1313</v>
      </c>
      <c r="I3" s="165" t="s">
        <v>1312</v>
      </c>
      <c r="J3" s="163" t="s">
        <v>1311</v>
      </c>
      <c r="K3" s="163" t="s">
        <v>110</v>
      </c>
      <c r="L3" s="163" t="s">
        <v>1310</v>
      </c>
      <c r="M3" s="164" t="s">
        <v>111</v>
      </c>
      <c r="N3" s="163" t="s">
        <v>949</v>
      </c>
      <c r="O3" s="163" t="s">
        <v>948</v>
      </c>
      <c r="P3" s="163" t="s">
        <v>129</v>
      </c>
    </row>
    <row r="4" spans="1:20">
      <c r="A4" s="24">
        <v>278</v>
      </c>
      <c r="B4" s="161" t="s">
        <v>1590</v>
      </c>
      <c r="C4" s="1" t="s">
        <v>1589</v>
      </c>
      <c r="D4" s="1" t="s">
        <v>1588</v>
      </c>
      <c r="E4" s="3">
        <v>2.37</v>
      </c>
      <c r="F4" s="3">
        <v>2.3699998421999999</v>
      </c>
      <c r="G4" s="2">
        <v>42669</v>
      </c>
      <c r="H4" s="328" t="s">
        <v>1587</v>
      </c>
      <c r="I4" s="130">
        <v>20.66</v>
      </c>
      <c r="J4" s="3">
        <v>18.86</v>
      </c>
      <c r="K4" s="160">
        <v>14.43</v>
      </c>
      <c r="L4" s="159">
        <v>0.91287512100677637</v>
      </c>
      <c r="M4" s="24">
        <v>4</v>
      </c>
      <c r="N4" s="2">
        <v>43066</v>
      </c>
      <c r="O4" s="24">
        <v>12.38</v>
      </c>
      <c r="P4" s="157">
        <v>0.65641569459172855</v>
      </c>
    </row>
    <row r="5" spans="1:20">
      <c r="C5" s="16" t="s">
        <v>112</v>
      </c>
      <c r="D5" s="16" t="s">
        <v>113</v>
      </c>
      <c r="E5" s="16" t="s">
        <v>1305</v>
      </c>
      <c r="F5" s="17" t="s">
        <v>1304</v>
      </c>
      <c r="G5" s="16" t="s">
        <v>1303</v>
      </c>
      <c r="I5" s="196" t="s">
        <v>118</v>
      </c>
      <c r="J5" s="196" t="s">
        <v>1583</v>
      </c>
      <c r="K5" s="196" t="s">
        <v>1586</v>
      </c>
      <c r="L5" s="196" t="s">
        <v>475</v>
      </c>
      <c r="M5" s="85" t="s">
        <v>1585</v>
      </c>
      <c r="N5" s="225" t="s">
        <v>1584</v>
      </c>
      <c r="P5" s="225" t="s">
        <v>1413</v>
      </c>
      <c r="Q5" s="196" t="s">
        <v>1583</v>
      </c>
      <c r="R5" s="196" t="s">
        <v>1346</v>
      </c>
      <c r="S5" s="196" t="s">
        <v>323</v>
      </c>
      <c r="T5" s="196" t="s">
        <v>1582</v>
      </c>
    </row>
    <row r="6" spans="1:20">
      <c r="C6" s="11" t="str">
        <f t="shared" ref="C6:C31" si="0">IF(J7=0,"",J7)</f>
        <v>华宝信托有限责任公司</v>
      </c>
      <c r="D6" s="11">
        <f t="shared" ref="D6:D30" si="1">K7</f>
        <v>19.760000000000002</v>
      </c>
      <c r="E6" s="11">
        <f t="shared" ref="E6:E30" si="2">L7/100000000</f>
        <v>1.31</v>
      </c>
      <c r="F6" s="10">
        <f t="shared" ref="F6:F30" si="3">IFERROR(VLOOKUP(C6,Q$6:T$9,3,FALSE)/10000,"")</f>
        <v>694.59169999999995</v>
      </c>
      <c r="G6" s="10">
        <f t="shared" ref="G6:G18" si="4">IFERROR(F6*J$4/10000,"")</f>
        <v>1.3099999461999998</v>
      </c>
      <c r="I6" s="196"/>
      <c r="J6" s="196"/>
      <c r="K6" s="196"/>
      <c r="L6" s="196"/>
      <c r="M6" s="85" t="s">
        <v>1316</v>
      </c>
      <c r="N6" s="225" t="s">
        <v>1581</v>
      </c>
      <c r="P6" s="296">
        <v>1</v>
      </c>
      <c r="Q6" s="203" t="s">
        <v>1580</v>
      </c>
      <c r="R6" s="297">
        <v>130999994.62</v>
      </c>
      <c r="S6" s="275">
        <v>6945917</v>
      </c>
      <c r="T6" s="327">
        <v>1.7500000000000002E-2</v>
      </c>
    </row>
    <row r="7" spans="1:20" ht="17.5">
      <c r="C7" s="11" t="str">
        <f t="shared" si="0"/>
        <v/>
      </c>
      <c r="D7" s="11">
        <f t="shared" si="1"/>
        <v>19.34</v>
      </c>
      <c r="E7" s="11">
        <f t="shared" si="2"/>
        <v>1.28</v>
      </c>
      <c r="F7" s="10" t="str">
        <f t="shared" si="3"/>
        <v/>
      </c>
      <c r="G7" s="10" t="str">
        <f t="shared" si="4"/>
        <v/>
      </c>
      <c r="I7" s="168">
        <v>1</v>
      </c>
      <c r="J7" s="203" t="s">
        <v>156</v>
      </c>
      <c r="K7" s="190">
        <v>19.760000000000002</v>
      </c>
      <c r="L7" s="193">
        <v>131000000</v>
      </c>
      <c r="M7" s="326"/>
      <c r="N7" s="326"/>
      <c r="P7" s="296">
        <v>2</v>
      </c>
      <c r="Q7" s="203" t="s">
        <v>1419</v>
      </c>
      <c r="R7" s="297">
        <v>23999991.239999998</v>
      </c>
      <c r="S7" s="275">
        <v>1272534</v>
      </c>
      <c r="T7" s="327">
        <v>3.2000000000000002E-3</v>
      </c>
    </row>
    <row r="8" spans="1:20">
      <c r="C8" s="11" t="str">
        <f t="shared" si="0"/>
        <v/>
      </c>
      <c r="D8" s="11">
        <f t="shared" si="1"/>
        <v>18.72</v>
      </c>
      <c r="E8" s="11">
        <f t="shared" si="2"/>
        <v>1.24</v>
      </c>
      <c r="F8" s="10" t="str">
        <f t="shared" si="3"/>
        <v/>
      </c>
      <c r="G8" s="10" t="str">
        <f t="shared" si="4"/>
        <v/>
      </c>
      <c r="I8" s="25"/>
      <c r="J8" s="25"/>
      <c r="K8" s="190">
        <v>19.34</v>
      </c>
      <c r="L8" s="193">
        <v>128000000</v>
      </c>
      <c r="M8" s="193">
        <v>26200000</v>
      </c>
      <c r="N8" s="193">
        <v>26200000</v>
      </c>
      <c r="P8" s="296">
        <v>3</v>
      </c>
      <c r="Q8" s="203" t="s">
        <v>1578</v>
      </c>
      <c r="R8" s="297">
        <v>69999983.879999995</v>
      </c>
      <c r="S8" s="275">
        <v>3711558</v>
      </c>
      <c r="T8" s="327">
        <v>9.2999999999999992E-3</v>
      </c>
    </row>
    <row r="9" spans="1:20">
      <c r="C9" s="11" t="str">
        <f t="shared" si="0"/>
        <v/>
      </c>
      <c r="D9" s="11">
        <f t="shared" si="1"/>
        <v>19.760000000000002</v>
      </c>
      <c r="E9" s="11">
        <f t="shared" si="2"/>
        <v>0.65</v>
      </c>
      <c r="F9" s="10" t="str">
        <f t="shared" si="3"/>
        <v/>
      </c>
      <c r="G9" s="10" t="str">
        <f t="shared" si="4"/>
        <v/>
      </c>
      <c r="I9" s="64"/>
      <c r="J9" s="64"/>
      <c r="K9" s="190">
        <v>18.72</v>
      </c>
      <c r="L9" s="193">
        <v>124000000</v>
      </c>
      <c r="M9" s="64"/>
      <c r="N9" s="64"/>
      <c r="P9" s="296">
        <v>4</v>
      </c>
      <c r="Q9" s="203" t="s">
        <v>1447</v>
      </c>
      <c r="R9" s="297">
        <v>12000014.48</v>
      </c>
      <c r="S9" s="275">
        <v>636268</v>
      </c>
      <c r="T9" s="327">
        <v>1.6000000000000001E-3</v>
      </c>
    </row>
    <row r="10" spans="1:20" ht="17.5">
      <c r="C10" s="11" t="str">
        <f t="shared" si="0"/>
        <v>上海韬韫投资管理有限公司</v>
      </c>
      <c r="D10" s="11">
        <f t="shared" si="1"/>
        <v>19.34</v>
      </c>
      <c r="E10" s="11">
        <f t="shared" si="2"/>
        <v>0.64</v>
      </c>
      <c r="F10" s="10" t="str">
        <f t="shared" si="3"/>
        <v/>
      </c>
      <c r="G10" s="10" t="str">
        <f t="shared" si="4"/>
        <v/>
      </c>
      <c r="I10" s="168">
        <v>2</v>
      </c>
      <c r="J10" s="324"/>
      <c r="K10" s="190">
        <v>19.760000000000002</v>
      </c>
      <c r="L10" s="193">
        <v>65000000</v>
      </c>
      <c r="M10" s="326"/>
      <c r="N10" s="326"/>
      <c r="P10" s="196" t="s">
        <v>1293</v>
      </c>
      <c r="Q10" s="196"/>
      <c r="R10" s="323">
        <v>236999984.22</v>
      </c>
      <c r="S10" s="284">
        <v>12566277</v>
      </c>
      <c r="T10" s="325">
        <v>3.1600000000000003E-2</v>
      </c>
    </row>
    <row r="11" spans="1:20">
      <c r="C11" s="11" t="str">
        <f t="shared" si="0"/>
        <v/>
      </c>
      <c r="D11" s="11">
        <f t="shared" si="1"/>
        <v>18.72</v>
      </c>
      <c r="E11" s="11">
        <f t="shared" si="2"/>
        <v>0.62</v>
      </c>
      <c r="F11" s="10" t="str">
        <f t="shared" si="3"/>
        <v/>
      </c>
      <c r="G11" s="10" t="str">
        <f t="shared" si="4"/>
        <v/>
      </c>
      <c r="I11" s="25"/>
      <c r="J11" s="203" t="s">
        <v>1579</v>
      </c>
      <c r="K11" s="190">
        <v>19.34</v>
      </c>
      <c r="L11" s="193">
        <v>64000000</v>
      </c>
      <c r="M11" s="193">
        <v>13000000</v>
      </c>
      <c r="N11" s="193">
        <v>11000000</v>
      </c>
      <c r="P11" s="25"/>
      <c r="Q11" s="25"/>
      <c r="R11" s="25"/>
      <c r="S11" s="25"/>
      <c r="T11" s="25"/>
    </row>
    <row r="12" spans="1:20">
      <c r="C12" s="11" t="str">
        <f t="shared" si="0"/>
        <v>财通基金管理有限公司</v>
      </c>
      <c r="D12" s="11">
        <f t="shared" si="1"/>
        <v>19.66</v>
      </c>
      <c r="E12" s="11">
        <f t="shared" si="2"/>
        <v>0.27</v>
      </c>
      <c r="F12" s="10">
        <f t="shared" si="3"/>
        <v>371.1558</v>
      </c>
      <c r="G12" s="10">
        <f t="shared" si="4"/>
        <v>0.69999983880000005</v>
      </c>
      <c r="I12" s="64"/>
      <c r="J12" s="64"/>
      <c r="K12" s="190">
        <v>18.72</v>
      </c>
      <c r="L12" s="193">
        <v>62000000</v>
      </c>
      <c r="M12" s="64"/>
      <c r="N12" s="64"/>
    </row>
    <row r="13" spans="1:20">
      <c r="C13" s="11" t="str">
        <f t="shared" si="0"/>
        <v/>
      </c>
      <c r="D13" s="11">
        <f t="shared" si="1"/>
        <v>19</v>
      </c>
      <c r="E13" s="11">
        <f t="shared" si="2"/>
        <v>0.7</v>
      </c>
      <c r="F13" s="10" t="str">
        <f t="shared" si="3"/>
        <v/>
      </c>
      <c r="G13" s="10" t="str">
        <f t="shared" si="4"/>
        <v/>
      </c>
      <c r="I13" s="168">
        <v>3</v>
      </c>
      <c r="J13" s="204" t="s">
        <v>1578</v>
      </c>
      <c r="K13" s="190">
        <v>19.66</v>
      </c>
      <c r="L13" s="193">
        <v>27000000</v>
      </c>
      <c r="M13" s="190" t="s">
        <v>294</v>
      </c>
      <c r="N13" s="190" t="s">
        <v>294</v>
      </c>
    </row>
    <row r="14" spans="1:20">
      <c r="C14" s="11" t="str">
        <f t="shared" si="0"/>
        <v/>
      </c>
      <c r="D14" s="11">
        <f t="shared" si="1"/>
        <v>17.7</v>
      </c>
      <c r="E14" s="11">
        <f t="shared" si="2"/>
        <v>1.96</v>
      </c>
      <c r="F14" s="10" t="str">
        <f t="shared" si="3"/>
        <v/>
      </c>
      <c r="G14" s="10" t="str">
        <f t="shared" si="4"/>
        <v/>
      </c>
      <c r="I14" s="278"/>
      <c r="J14" s="192"/>
      <c r="K14" s="190">
        <v>19</v>
      </c>
      <c r="L14" s="236">
        <v>70000000</v>
      </c>
      <c r="M14" s="278"/>
      <c r="N14" s="278"/>
    </row>
    <row r="15" spans="1:20">
      <c r="C15" s="11" t="str">
        <f t="shared" si="0"/>
        <v>西部证券股份有限公司</v>
      </c>
      <c r="D15" s="11">
        <f t="shared" si="1"/>
        <v>19.010000000000002</v>
      </c>
      <c r="E15" s="11">
        <f t="shared" si="2"/>
        <v>0.24</v>
      </c>
      <c r="F15" s="10">
        <f t="shared" si="3"/>
        <v>127.2534</v>
      </c>
      <c r="G15" s="10">
        <f t="shared" si="4"/>
        <v>0.23999991239999999</v>
      </c>
      <c r="I15" s="278"/>
      <c r="J15" s="192"/>
      <c r="K15" s="190">
        <v>17.7</v>
      </c>
      <c r="L15" s="236">
        <v>196000000</v>
      </c>
      <c r="M15" s="278"/>
      <c r="N15" s="278"/>
    </row>
    <row r="16" spans="1:20">
      <c r="C16" s="11" t="str">
        <f t="shared" si="0"/>
        <v/>
      </c>
      <c r="D16" s="11">
        <f t="shared" si="1"/>
        <v>18.010000000000002</v>
      </c>
      <c r="E16" s="11">
        <f t="shared" si="2"/>
        <v>0.48</v>
      </c>
      <c r="F16" s="10" t="str">
        <f t="shared" si="3"/>
        <v/>
      </c>
      <c r="G16" s="10" t="str">
        <f t="shared" si="4"/>
        <v/>
      </c>
      <c r="I16" s="168">
        <v>4</v>
      </c>
      <c r="J16" s="203" t="s">
        <v>1419</v>
      </c>
      <c r="K16" s="190">
        <v>19.010000000000002</v>
      </c>
      <c r="L16" s="236">
        <v>24000000</v>
      </c>
      <c r="M16" s="324"/>
      <c r="N16" s="324"/>
    </row>
    <row r="17" spans="3:14">
      <c r="C17" s="11" t="str">
        <f t="shared" si="0"/>
        <v>国信证券股份有限公司</v>
      </c>
      <c r="D17" s="11">
        <f t="shared" si="1"/>
        <v>18.86</v>
      </c>
      <c r="E17" s="11">
        <f t="shared" si="2"/>
        <v>0.24</v>
      </c>
      <c r="F17" s="10">
        <f t="shared" si="3"/>
        <v>63.626800000000003</v>
      </c>
      <c r="G17" s="10">
        <f t="shared" si="4"/>
        <v>0.1200001448</v>
      </c>
      <c r="I17" s="25"/>
      <c r="J17" s="203"/>
      <c r="K17" s="190">
        <v>18.010000000000002</v>
      </c>
      <c r="L17" s="236">
        <v>48000000</v>
      </c>
      <c r="M17" s="193">
        <v>9600000</v>
      </c>
      <c r="N17" s="193">
        <v>9600000</v>
      </c>
    </row>
    <row r="18" spans="3:14">
      <c r="C18" s="11" t="str">
        <f t="shared" si="0"/>
        <v>平安大华基金</v>
      </c>
      <c r="D18" s="11">
        <f t="shared" si="1"/>
        <v>18.63</v>
      </c>
      <c r="E18" s="11">
        <f t="shared" si="2"/>
        <v>1.07</v>
      </c>
      <c r="F18" s="10" t="str">
        <f t="shared" si="3"/>
        <v/>
      </c>
      <c r="G18" s="10" t="str">
        <f t="shared" si="4"/>
        <v/>
      </c>
      <c r="I18" s="296">
        <v>5</v>
      </c>
      <c r="J18" s="203" t="s">
        <v>1447</v>
      </c>
      <c r="K18" s="296">
        <v>18.86</v>
      </c>
      <c r="L18" s="275">
        <v>24000000</v>
      </c>
      <c r="M18" s="275">
        <v>4800000</v>
      </c>
      <c r="N18" s="275">
        <v>4800000</v>
      </c>
    </row>
    <row r="19" spans="3:14">
      <c r="C19" s="11" t="str">
        <f t="shared" si="0"/>
        <v/>
      </c>
      <c r="D19" s="11">
        <f t="shared" si="1"/>
        <v>17.79</v>
      </c>
      <c r="E19" s="11">
        <f t="shared" si="2"/>
        <v>1.77</v>
      </c>
      <c r="F19" s="10" t="str">
        <f t="shared" si="3"/>
        <v/>
      </c>
      <c r="G19" s="11"/>
      <c r="I19" s="168">
        <v>6</v>
      </c>
      <c r="J19" s="203" t="s">
        <v>1577</v>
      </c>
      <c r="K19" s="190">
        <v>18.63</v>
      </c>
      <c r="L19" s="236">
        <v>107000000</v>
      </c>
      <c r="M19" s="324"/>
      <c r="N19" s="324"/>
    </row>
    <row r="20" spans="3:14">
      <c r="C20" s="11" t="str">
        <f t="shared" si="0"/>
        <v>国贸期货有限公司</v>
      </c>
      <c r="D20" s="11">
        <f t="shared" si="1"/>
        <v>17.8</v>
      </c>
      <c r="E20" s="11">
        <f t="shared" si="2"/>
        <v>0.24</v>
      </c>
      <c r="F20" s="11" t="str">
        <f t="shared" si="3"/>
        <v/>
      </c>
      <c r="G20" s="11"/>
      <c r="I20" s="25"/>
      <c r="J20" s="203"/>
      <c r="K20" s="190">
        <v>17.79</v>
      </c>
      <c r="L20" s="236">
        <v>177000000</v>
      </c>
      <c r="M20" s="190" t="s">
        <v>294</v>
      </c>
      <c r="N20" s="190" t="s">
        <v>294</v>
      </c>
    </row>
    <row r="21" spans="3:14">
      <c r="C21" s="11" t="str">
        <f t="shared" si="0"/>
        <v>华安基金管理有限公司</v>
      </c>
      <c r="D21" s="11">
        <f t="shared" si="1"/>
        <v>17.600000000000001</v>
      </c>
      <c r="E21" s="11">
        <f t="shared" si="2"/>
        <v>0.35</v>
      </c>
      <c r="F21" s="11" t="str">
        <f t="shared" si="3"/>
        <v/>
      </c>
      <c r="G21" s="11"/>
      <c r="I21" s="296">
        <v>7</v>
      </c>
      <c r="J21" s="203" t="s">
        <v>1576</v>
      </c>
      <c r="K21" s="296">
        <v>17.8</v>
      </c>
      <c r="L21" s="275">
        <v>24000000</v>
      </c>
      <c r="M21" s="275">
        <v>4800000</v>
      </c>
      <c r="N21" s="275">
        <v>4800000</v>
      </c>
    </row>
    <row r="22" spans="3:14">
      <c r="C22" s="11" t="str">
        <f t="shared" si="0"/>
        <v>第一创业证券股份有限公司</v>
      </c>
      <c r="D22" s="11">
        <f t="shared" si="1"/>
        <v>17.05</v>
      </c>
      <c r="E22" s="11">
        <f t="shared" si="2"/>
        <v>1.5</v>
      </c>
      <c r="F22" s="11" t="str">
        <f t="shared" si="3"/>
        <v/>
      </c>
      <c r="G22" s="11"/>
      <c r="I22" s="296">
        <v>8</v>
      </c>
      <c r="J22" s="203" t="s">
        <v>1575</v>
      </c>
      <c r="K22" s="296">
        <v>17.600000000000001</v>
      </c>
      <c r="L22" s="275">
        <v>35000000</v>
      </c>
      <c r="M22" s="296" t="s">
        <v>294</v>
      </c>
      <c r="N22" s="296" t="s">
        <v>294</v>
      </c>
    </row>
    <row r="23" spans="3:14">
      <c r="C23" s="11" t="str">
        <f t="shared" si="0"/>
        <v>诺安基金管理有限公司</v>
      </c>
      <c r="D23" s="11">
        <f t="shared" si="1"/>
        <v>16.8</v>
      </c>
      <c r="E23" s="11">
        <f t="shared" si="2"/>
        <v>0.36</v>
      </c>
      <c r="F23" s="11" t="str">
        <f t="shared" si="3"/>
        <v/>
      </c>
      <c r="G23" s="11"/>
      <c r="I23" s="296">
        <v>9</v>
      </c>
      <c r="J23" s="203" t="s">
        <v>1370</v>
      </c>
      <c r="K23" s="296">
        <v>17.05</v>
      </c>
      <c r="L23" s="275">
        <v>150000000</v>
      </c>
      <c r="M23" s="275">
        <v>30000000</v>
      </c>
      <c r="N23" s="275">
        <v>47400000</v>
      </c>
    </row>
    <row r="24" spans="3:14">
      <c r="C24" s="11" t="str">
        <f t="shared" si="0"/>
        <v>何慧清</v>
      </c>
      <c r="D24" s="11">
        <f t="shared" si="1"/>
        <v>16.27</v>
      </c>
      <c r="E24" s="11">
        <f t="shared" si="2"/>
        <v>0.24</v>
      </c>
      <c r="F24" s="11" t="str">
        <f t="shared" si="3"/>
        <v/>
      </c>
      <c r="G24" s="11"/>
      <c r="I24" s="296">
        <v>10</v>
      </c>
      <c r="J24" s="203" t="s">
        <v>1574</v>
      </c>
      <c r="K24" s="296">
        <v>16.8</v>
      </c>
      <c r="L24" s="275">
        <v>36000000</v>
      </c>
      <c r="M24" s="296" t="s">
        <v>294</v>
      </c>
      <c r="N24" s="296" t="s">
        <v>294</v>
      </c>
    </row>
    <row r="25" spans="3:14">
      <c r="C25" s="11" t="str">
        <f t="shared" si="0"/>
        <v>民生通惠资产管理有限公司</v>
      </c>
      <c r="D25" s="11">
        <f t="shared" si="1"/>
        <v>16.22</v>
      </c>
      <c r="E25" s="11">
        <f t="shared" si="2"/>
        <v>0.24</v>
      </c>
      <c r="F25" s="11" t="str">
        <f t="shared" si="3"/>
        <v/>
      </c>
      <c r="G25" s="11"/>
      <c r="I25" s="191">
        <v>11</v>
      </c>
      <c r="J25" s="203" t="s">
        <v>1246</v>
      </c>
      <c r="K25" s="190">
        <v>16.27</v>
      </c>
      <c r="L25" s="236">
        <v>24000000</v>
      </c>
      <c r="M25" s="236">
        <v>4800000</v>
      </c>
      <c r="N25" s="236">
        <v>4800000</v>
      </c>
    </row>
    <row r="26" spans="3:14">
      <c r="C26" s="11" t="str">
        <f t="shared" si="0"/>
        <v>东吴基金管理有限公司</v>
      </c>
      <c r="D26" s="11">
        <f t="shared" si="1"/>
        <v>15.6</v>
      </c>
      <c r="E26" s="11">
        <f t="shared" si="2"/>
        <v>0.24</v>
      </c>
      <c r="F26" s="11" t="str">
        <f t="shared" si="3"/>
        <v/>
      </c>
      <c r="G26" s="11"/>
      <c r="I26" s="191">
        <v>12</v>
      </c>
      <c r="J26" s="203" t="s">
        <v>351</v>
      </c>
      <c r="K26" s="190">
        <v>16.22</v>
      </c>
      <c r="L26" s="236">
        <v>24000000</v>
      </c>
      <c r="M26" s="236">
        <v>4800000</v>
      </c>
      <c r="N26" s="236">
        <v>4800000</v>
      </c>
    </row>
    <row r="27" spans="3:14">
      <c r="C27" s="11" t="str">
        <f t="shared" si="0"/>
        <v>东海基金管理有限责任公司</v>
      </c>
      <c r="D27" s="11">
        <f t="shared" si="1"/>
        <v>15.5</v>
      </c>
      <c r="E27" s="11">
        <f t="shared" si="2"/>
        <v>0.24</v>
      </c>
      <c r="F27" s="11" t="str">
        <f t="shared" si="3"/>
        <v/>
      </c>
      <c r="G27" s="11"/>
      <c r="I27" s="296">
        <v>13</v>
      </c>
      <c r="J27" s="203" t="s">
        <v>1573</v>
      </c>
      <c r="K27" s="296">
        <v>15.6</v>
      </c>
      <c r="L27" s="275">
        <v>24000000</v>
      </c>
      <c r="M27" s="296" t="s">
        <v>294</v>
      </c>
      <c r="N27" s="296" t="s">
        <v>294</v>
      </c>
    </row>
    <row r="28" spans="3:14">
      <c r="C28" s="11" t="str">
        <f t="shared" si="0"/>
        <v/>
      </c>
      <c r="D28" s="11">
        <f t="shared" si="1"/>
        <v>15.1</v>
      </c>
      <c r="E28" s="11">
        <f t="shared" si="2"/>
        <v>0.48</v>
      </c>
      <c r="F28" s="11" t="str">
        <f t="shared" si="3"/>
        <v/>
      </c>
      <c r="G28" s="11"/>
      <c r="I28" s="191">
        <v>14</v>
      </c>
      <c r="J28" s="203" t="s">
        <v>1572</v>
      </c>
      <c r="K28" s="190">
        <v>15.5</v>
      </c>
      <c r="L28" s="236">
        <v>24000000</v>
      </c>
      <c r="M28" s="324"/>
      <c r="N28" s="324"/>
    </row>
    <row r="29" spans="3:14">
      <c r="C29" s="11" t="str">
        <f t="shared" si="0"/>
        <v>南京誉信投资中心（有限合伙）</v>
      </c>
      <c r="D29" s="11">
        <f t="shared" si="1"/>
        <v>14.94</v>
      </c>
      <c r="E29" s="11">
        <f t="shared" si="2"/>
        <v>0.24</v>
      </c>
      <c r="F29" s="11" t="str">
        <f t="shared" si="3"/>
        <v/>
      </c>
      <c r="G29" s="11"/>
      <c r="I29" s="25"/>
      <c r="J29" s="203"/>
      <c r="K29" s="190">
        <v>15.1</v>
      </c>
      <c r="L29" s="236">
        <v>48000000</v>
      </c>
      <c r="M29" s="190" t="s">
        <v>294</v>
      </c>
      <c r="N29" s="190" t="s">
        <v>294</v>
      </c>
    </row>
    <row r="30" spans="3:14">
      <c r="C30" s="11" t="str">
        <f t="shared" si="0"/>
        <v>国投瑞银基金管理有限公司</v>
      </c>
      <c r="D30" s="11">
        <f t="shared" si="1"/>
        <v>14.44</v>
      </c>
      <c r="E30" s="11">
        <f t="shared" si="2"/>
        <v>0.24</v>
      </c>
      <c r="F30" s="11" t="str">
        <f t="shared" si="3"/>
        <v/>
      </c>
      <c r="G30" s="11"/>
      <c r="I30" s="191">
        <v>15</v>
      </c>
      <c r="J30" s="203" t="s">
        <v>1362</v>
      </c>
      <c r="K30" s="190">
        <v>14.94</v>
      </c>
      <c r="L30" s="236">
        <v>24000000</v>
      </c>
      <c r="M30" s="236">
        <v>4800000</v>
      </c>
      <c r="N30" s="236">
        <v>4800000</v>
      </c>
    </row>
    <row r="31" spans="3:14">
      <c r="C31" s="24" t="str">
        <f t="shared" si="0"/>
        <v/>
      </c>
      <c r="I31" s="296">
        <v>16</v>
      </c>
      <c r="J31" s="203" t="s">
        <v>1557</v>
      </c>
      <c r="K31" s="296">
        <v>14.44</v>
      </c>
      <c r="L31" s="275">
        <v>24000000</v>
      </c>
      <c r="M31" s="296" t="s">
        <v>294</v>
      </c>
      <c r="N31" s="296" t="s">
        <v>294</v>
      </c>
    </row>
    <row r="34" spans="1:22" s="162" customFormat="1">
      <c r="A34" s="164" t="s">
        <v>1315</v>
      </c>
      <c r="B34" s="164"/>
      <c r="C34" s="164" t="s">
        <v>107</v>
      </c>
      <c r="D34" s="164" t="s">
        <v>4</v>
      </c>
      <c r="E34" s="166" t="s">
        <v>108</v>
      </c>
      <c r="F34" s="166" t="s">
        <v>109</v>
      </c>
      <c r="G34" s="164" t="s">
        <v>1314</v>
      </c>
      <c r="H34" s="164" t="s">
        <v>1313</v>
      </c>
      <c r="I34" s="165" t="s">
        <v>1312</v>
      </c>
      <c r="J34" s="163" t="s">
        <v>1311</v>
      </c>
      <c r="K34" s="163" t="s">
        <v>110</v>
      </c>
      <c r="L34" s="163" t="s">
        <v>1310</v>
      </c>
      <c r="M34" s="164" t="s">
        <v>111</v>
      </c>
      <c r="N34" s="163" t="s">
        <v>949</v>
      </c>
      <c r="O34" s="163" t="s">
        <v>948</v>
      </c>
      <c r="P34" s="163" t="s">
        <v>129</v>
      </c>
    </row>
    <row r="35" spans="1:22">
      <c r="A35" s="24">
        <v>279</v>
      </c>
      <c r="B35" s="161" t="s">
        <v>1571</v>
      </c>
      <c r="C35" s="1" t="s">
        <v>1570</v>
      </c>
      <c r="D35" s="1" t="s">
        <v>1569</v>
      </c>
      <c r="E35" s="3">
        <v>3.8</v>
      </c>
      <c r="F35" s="3">
        <v>3.7999998750000001</v>
      </c>
      <c r="G35" s="2">
        <v>42669</v>
      </c>
      <c r="H35" s="24" t="s">
        <v>191</v>
      </c>
      <c r="I35" s="130">
        <v>18.170000000000002</v>
      </c>
      <c r="J35" s="3">
        <v>17.5</v>
      </c>
      <c r="K35" s="160">
        <v>12.07</v>
      </c>
      <c r="L35" s="271">
        <v>0.96312603192074842</v>
      </c>
      <c r="M35" s="270">
        <v>5</v>
      </c>
      <c r="N35" s="2">
        <v>43069</v>
      </c>
      <c r="O35" s="24">
        <v>11.33</v>
      </c>
      <c r="P35" s="157">
        <v>0.64971428571428569</v>
      </c>
    </row>
    <row r="36" spans="1:22">
      <c r="C36" s="16" t="s">
        <v>112</v>
      </c>
      <c r="D36" s="16" t="s">
        <v>113</v>
      </c>
      <c r="E36" s="16" t="s">
        <v>1305</v>
      </c>
      <c r="F36" s="17" t="s">
        <v>1304</v>
      </c>
      <c r="G36" s="16" t="s">
        <v>1303</v>
      </c>
      <c r="I36" s="209" t="s">
        <v>118</v>
      </c>
      <c r="J36" s="212" t="s">
        <v>7</v>
      </c>
      <c r="K36" s="209" t="s">
        <v>1338</v>
      </c>
      <c r="L36" s="213" t="s">
        <v>1337</v>
      </c>
      <c r="M36" s="209" t="s">
        <v>1336</v>
      </c>
      <c r="N36" s="213" t="s">
        <v>1519</v>
      </c>
      <c r="O36" s="213" t="s">
        <v>1568</v>
      </c>
      <c r="P36" s="209" t="s">
        <v>1567</v>
      </c>
    </row>
    <row r="37" spans="1:22">
      <c r="C37" s="11" t="str">
        <f t="shared" ref="C37:C68" si="5">IF(J38=0,"",J38)</f>
        <v>中融基金管理有限公司</v>
      </c>
      <c r="D37" s="11">
        <f t="shared" ref="D37:D68" si="6">N38</f>
        <v>19</v>
      </c>
      <c r="E37" s="10">
        <f t="shared" ref="E37:E68" si="7">N38*O38/10000</f>
        <v>1.52</v>
      </c>
      <c r="F37" s="10">
        <f t="shared" ref="F37:F68" si="8">IFERROR(VLOOKUP(C37,S$38:U$42,2,FALSE)/10000,"")</f>
        <v>800</v>
      </c>
      <c r="G37" s="11">
        <f t="shared" ref="G37:G44" si="9">IFERROR(F37*J$35/10000,"")</f>
        <v>1.4</v>
      </c>
      <c r="I37" s="183" t="s">
        <v>1566</v>
      </c>
      <c r="J37" s="183"/>
      <c r="K37" s="183"/>
      <c r="L37" s="183"/>
      <c r="M37" s="183"/>
      <c r="N37" s="183"/>
      <c r="O37" s="183"/>
      <c r="P37" s="183"/>
      <c r="R37" s="85" t="s">
        <v>118</v>
      </c>
      <c r="S37" s="85" t="s">
        <v>1565</v>
      </c>
      <c r="T37" s="225" t="s">
        <v>323</v>
      </c>
      <c r="U37" s="225" t="s">
        <v>1300</v>
      </c>
      <c r="V37" s="196" t="s">
        <v>1335</v>
      </c>
    </row>
    <row r="38" spans="1:22">
      <c r="C38" s="11" t="str">
        <f t="shared" si="5"/>
        <v>申万菱信(上海)资产管理有限公司</v>
      </c>
      <c r="D38" s="11">
        <f t="shared" si="6"/>
        <v>18.100000000000001</v>
      </c>
      <c r="E38" s="10">
        <f t="shared" si="7"/>
        <v>0.79640000000000011</v>
      </c>
      <c r="F38" s="10">
        <f t="shared" si="8"/>
        <v>440</v>
      </c>
      <c r="G38" s="11">
        <f t="shared" si="9"/>
        <v>0.77</v>
      </c>
      <c r="I38" s="183">
        <v>1</v>
      </c>
      <c r="J38" s="183" t="s">
        <v>629</v>
      </c>
      <c r="K38" s="183" t="s">
        <v>1556</v>
      </c>
      <c r="L38" s="183" t="s">
        <v>1160</v>
      </c>
      <c r="M38" s="183">
        <v>12</v>
      </c>
      <c r="N38" s="183">
        <v>19</v>
      </c>
      <c r="O38" s="214">
        <v>800</v>
      </c>
      <c r="P38" s="322">
        <v>8000000</v>
      </c>
      <c r="R38" s="168">
        <v>1</v>
      </c>
      <c r="S38" s="204" t="s">
        <v>629</v>
      </c>
      <c r="T38" s="236">
        <v>8000000</v>
      </c>
      <c r="U38" s="234">
        <v>140000000</v>
      </c>
      <c r="V38" s="168">
        <v>12</v>
      </c>
    </row>
    <row r="39" spans="1:22">
      <c r="C39" s="11" t="str">
        <f t="shared" si="5"/>
        <v/>
      </c>
      <c r="D39" s="11">
        <f t="shared" si="6"/>
        <v>12.07</v>
      </c>
      <c r="E39" s="10">
        <f t="shared" si="7"/>
        <v>0.80869000000000002</v>
      </c>
      <c r="F39" s="10" t="str">
        <f t="shared" si="8"/>
        <v/>
      </c>
      <c r="G39" s="11" t="str">
        <f t="shared" si="9"/>
        <v/>
      </c>
      <c r="I39" s="192"/>
      <c r="J39" s="183" t="s">
        <v>456</v>
      </c>
      <c r="K39" s="183" t="s">
        <v>1562</v>
      </c>
      <c r="L39" s="192"/>
      <c r="M39" s="192"/>
      <c r="N39" s="214">
        <v>18.100000000000001</v>
      </c>
      <c r="O39" s="214">
        <v>440</v>
      </c>
      <c r="P39" s="192"/>
      <c r="R39" s="168">
        <v>2</v>
      </c>
      <c r="S39" s="204" t="s">
        <v>1564</v>
      </c>
      <c r="T39" s="236">
        <v>4400000</v>
      </c>
      <c r="U39" s="234">
        <v>77000000</v>
      </c>
      <c r="V39" s="168">
        <v>12</v>
      </c>
    </row>
    <row r="40" spans="1:22">
      <c r="C40" s="11" t="str">
        <f t="shared" si="5"/>
        <v>红土创新基金管理有限公司</v>
      </c>
      <c r="D40" s="11">
        <f t="shared" si="6"/>
        <v>18.100000000000001</v>
      </c>
      <c r="E40" s="10">
        <f t="shared" si="7"/>
        <v>0.57920000000000005</v>
      </c>
      <c r="F40" s="10">
        <f t="shared" si="8"/>
        <v>320</v>
      </c>
      <c r="G40" s="11">
        <f t="shared" si="9"/>
        <v>0.56000000000000005</v>
      </c>
      <c r="I40" s="214">
        <v>2</v>
      </c>
      <c r="J40" s="183"/>
      <c r="K40" s="183"/>
      <c r="L40" s="214" t="s">
        <v>1160</v>
      </c>
      <c r="M40" s="214">
        <v>12</v>
      </c>
      <c r="N40" s="214">
        <v>12.07</v>
      </c>
      <c r="O40" s="214">
        <v>670</v>
      </c>
      <c r="P40" s="321">
        <v>4400000</v>
      </c>
      <c r="R40" s="168">
        <v>3</v>
      </c>
      <c r="S40" s="204" t="s">
        <v>1065</v>
      </c>
      <c r="T40" s="236">
        <v>3200000</v>
      </c>
      <c r="U40" s="234">
        <v>56000000</v>
      </c>
      <c r="V40" s="168">
        <v>12</v>
      </c>
    </row>
    <row r="41" spans="1:22" ht="15">
      <c r="C41" s="11" t="str">
        <f t="shared" si="5"/>
        <v/>
      </c>
      <c r="D41" s="11">
        <f t="shared" si="6"/>
        <v>17.5</v>
      </c>
      <c r="E41" s="10">
        <f t="shared" si="7"/>
        <v>0.61250000000000004</v>
      </c>
      <c r="F41" s="10" t="str">
        <f t="shared" si="8"/>
        <v/>
      </c>
      <c r="G41" s="11" t="str">
        <f t="shared" si="9"/>
        <v/>
      </c>
      <c r="I41" s="214"/>
      <c r="J41" s="183" t="s">
        <v>1065</v>
      </c>
      <c r="K41" s="183"/>
      <c r="L41" s="183"/>
      <c r="M41" s="183"/>
      <c r="N41" s="214">
        <v>18.100000000000001</v>
      </c>
      <c r="O41" s="214">
        <v>320</v>
      </c>
      <c r="P41" s="305"/>
      <c r="R41" s="168">
        <v>4</v>
      </c>
      <c r="S41" s="204" t="s">
        <v>1563</v>
      </c>
      <c r="T41" s="236">
        <v>3200000</v>
      </c>
      <c r="U41" s="234">
        <v>56000000</v>
      </c>
      <c r="V41" s="168">
        <v>12</v>
      </c>
    </row>
    <row r="42" spans="1:22">
      <c r="C42" s="11" t="str">
        <f t="shared" si="5"/>
        <v/>
      </c>
      <c r="D42" s="11">
        <f t="shared" si="6"/>
        <v>17</v>
      </c>
      <c r="E42" s="10">
        <f t="shared" si="7"/>
        <v>0.85</v>
      </c>
      <c r="F42" s="10" t="str">
        <f t="shared" si="8"/>
        <v/>
      </c>
      <c r="G42" s="11" t="str">
        <f t="shared" si="9"/>
        <v/>
      </c>
      <c r="I42" s="151"/>
      <c r="J42" s="25"/>
      <c r="K42" s="151"/>
      <c r="L42" s="151"/>
      <c r="M42" s="151"/>
      <c r="N42" s="214">
        <v>17.5</v>
      </c>
      <c r="O42" s="214">
        <v>350</v>
      </c>
      <c r="P42" s="321">
        <v>3200000</v>
      </c>
      <c r="R42" s="168">
        <v>5</v>
      </c>
      <c r="S42" s="204" t="s">
        <v>139</v>
      </c>
      <c r="T42" s="236">
        <v>2914285</v>
      </c>
      <c r="U42" s="234">
        <v>50999987.5</v>
      </c>
      <c r="V42" s="168">
        <v>12</v>
      </c>
    </row>
    <row r="43" spans="1:22">
      <c r="C43" s="11" t="str">
        <f t="shared" si="5"/>
        <v>南京紫金资产管理有限公司</v>
      </c>
      <c r="D43" s="11">
        <f t="shared" si="6"/>
        <v>18</v>
      </c>
      <c r="E43" s="10">
        <f t="shared" si="7"/>
        <v>0.57599999999999996</v>
      </c>
      <c r="F43" s="10">
        <f t="shared" si="8"/>
        <v>320</v>
      </c>
      <c r="G43" s="11">
        <f t="shared" si="9"/>
        <v>0.56000000000000005</v>
      </c>
      <c r="I43" s="214">
        <v>3</v>
      </c>
      <c r="J43" s="64"/>
      <c r="K43" s="183" t="s">
        <v>1556</v>
      </c>
      <c r="L43" s="214" t="s">
        <v>1160</v>
      </c>
      <c r="M43" s="214">
        <v>12</v>
      </c>
      <c r="N43" s="214">
        <v>17</v>
      </c>
      <c r="O43" s="214">
        <v>500</v>
      </c>
      <c r="P43" s="64"/>
      <c r="R43" s="196" t="s">
        <v>1330</v>
      </c>
      <c r="S43" s="196"/>
      <c r="T43" s="284">
        <v>21714285</v>
      </c>
      <c r="U43" s="323">
        <v>379999987.5</v>
      </c>
      <c r="V43" s="272" t="s">
        <v>294</v>
      </c>
    </row>
    <row r="44" spans="1:22">
      <c r="C44" s="11" t="str">
        <f t="shared" si="5"/>
        <v>汇添富基金管理股份有限公司</v>
      </c>
      <c r="D44" s="11">
        <f t="shared" si="6"/>
        <v>17.5</v>
      </c>
      <c r="E44" s="10">
        <f t="shared" si="7"/>
        <v>0.94499999999999995</v>
      </c>
      <c r="F44" s="10">
        <f t="shared" si="8"/>
        <v>291.42849999999999</v>
      </c>
      <c r="G44" s="10">
        <f t="shared" si="9"/>
        <v>0.50999987499999999</v>
      </c>
      <c r="I44" s="214">
        <v>4</v>
      </c>
      <c r="J44" s="183" t="s">
        <v>1563</v>
      </c>
      <c r="K44" s="183" t="s">
        <v>1562</v>
      </c>
      <c r="L44" s="214" t="s">
        <v>1160</v>
      </c>
      <c r="M44" s="214">
        <v>12</v>
      </c>
      <c r="N44" s="214">
        <v>18</v>
      </c>
      <c r="O44" s="214">
        <v>320</v>
      </c>
      <c r="P44" s="322">
        <v>3200000</v>
      </c>
    </row>
    <row r="45" spans="1:22">
      <c r="C45" s="11" t="str">
        <f t="shared" si="5"/>
        <v>西部证券股份有限公司</v>
      </c>
      <c r="D45" s="11">
        <f t="shared" si="6"/>
        <v>17.5</v>
      </c>
      <c r="E45" s="10">
        <f t="shared" si="7"/>
        <v>0.56000000000000005</v>
      </c>
      <c r="F45" s="10" t="str">
        <f t="shared" si="8"/>
        <v/>
      </c>
      <c r="G45" s="11"/>
      <c r="I45" s="183">
        <v>5</v>
      </c>
      <c r="J45" s="183" t="s">
        <v>1507</v>
      </c>
      <c r="K45" s="183" t="s">
        <v>1556</v>
      </c>
      <c r="L45" s="183" t="s">
        <v>1160</v>
      </c>
      <c r="M45" s="183">
        <v>12</v>
      </c>
      <c r="N45" s="183">
        <v>17.5</v>
      </c>
      <c r="O45" s="183">
        <v>540</v>
      </c>
      <c r="P45" s="321">
        <v>2914285</v>
      </c>
    </row>
    <row r="46" spans="1:22">
      <c r="C46" s="11" t="str">
        <f t="shared" si="5"/>
        <v>信诚基金管理有限公司</v>
      </c>
      <c r="D46" s="11">
        <f t="shared" si="6"/>
        <v>17.2</v>
      </c>
      <c r="E46" s="10">
        <f t="shared" si="7"/>
        <v>0.5504</v>
      </c>
      <c r="F46" s="10" t="str">
        <f t="shared" si="8"/>
        <v/>
      </c>
      <c r="G46" s="11"/>
      <c r="I46" s="174">
        <v>6</v>
      </c>
      <c r="J46" s="183" t="s">
        <v>385</v>
      </c>
      <c r="K46" s="183" t="s">
        <v>1326</v>
      </c>
      <c r="L46" s="214" t="s">
        <v>1160</v>
      </c>
      <c r="M46" s="214" t="s">
        <v>294</v>
      </c>
      <c r="N46" s="214">
        <v>17.5</v>
      </c>
      <c r="O46" s="214">
        <v>320</v>
      </c>
      <c r="P46" s="214">
        <v>0</v>
      </c>
    </row>
    <row r="47" spans="1:22">
      <c r="C47" s="11" t="str">
        <f t="shared" si="5"/>
        <v>兴证证券资产管理有限公司</v>
      </c>
      <c r="D47" s="11">
        <f t="shared" si="6"/>
        <v>17.100000000000001</v>
      </c>
      <c r="E47" s="10">
        <f t="shared" si="7"/>
        <v>0.90629999999999999</v>
      </c>
      <c r="F47" s="10" t="str">
        <f t="shared" si="8"/>
        <v/>
      </c>
      <c r="G47" s="11"/>
      <c r="I47" s="174">
        <v>7</v>
      </c>
      <c r="J47" s="183" t="s">
        <v>300</v>
      </c>
      <c r="K47" s="183" t="s">
        <v>1556</v>
      </c>
      <c r="L47" s="214" t="s">
        <v>1160</v>
      </c>
      <c r="M47" s="214" t="s">
        <v>294</v>
      </c>
      <c r="N47" s="214">
        <v>17.2</v>
      </c>
      <c r="O47" s="214">
        <v>320</v>
      </c>
      <c r="P47" s="214">
        <v>0</v>
      </c>
    </row>
    <row r="48" spans="1:22">
      <c r="C48" s="11" t="str">
        <f t="shared" si="5"/>
        <v/>
      </c>
      <c r="D48" s="11">
        <f t="shared" si="6"/>
        <v>15.6</v>
      </c>
      <c r="E48" s="10">
        <f t="shared" si="7"/>
        <v>1.3104</v>
      </c>
      <c r="F48" s="10" t="str">
        <f t="shared" si="8"/>
        <v/>
      </c>
      <c r="G48" s="11"/>
      <c r="I48" s="192"/>
      <c r="J48" s="183" t="s">
        <v>150</v>
      </c>
      <c r="K48" s="183" t="s">
        <v>1562</v>
      </c>
      <c r="L48" s="192"/>
      <c r="M48" s="192"/>
      <c r="N48" s="214">
        <v>17.100000000000001</v>
      </c>
      <c r="O48" s="214">
        <v>530</v>
      </c>
      <c r="P48" s="192"/>
    </row>
    <row r="49" spans="3:16">
      <c r="C49" s="11" t="str">
        <f t="shared" si="5"/>
        <v>财通基金管理有限公司</v>
      </c>
      <c r="D49" s="11">
        <f t="shared" si="6"/>
        <v>17.100000000000001</v>
      </c>
      <c r="E49" s="10">
        <f t="shared" si="7"/>
        <v>0.54720000000000002</v>
      </c>
      <c r="F49" s="10" t="str">
        <f t="shared" si="8"/>
        <v/>
      </c>
      <c r="G49" s="11"/>
      <c r="I49" s="214">
        <v>8</v>
      </c>
      <c r="J49" s="183"/>
      <c r="K49" s="183"/>
      <c r="L49" s="214" t="s">
        <v>1160</v>
      </c>
      <c r="M49" s="214" t="s">
        <v>294</v>
      </c>
      <c r="N49" s="214">
        <v>15.6</v>
      </c>
      <c r="O49" s="214">
        <v>840</v>
      </c>
      <c r="P49" s="214">
        <v>0</v>
      </c>
    </row>
    <row r="50" spans="3:16">
      <c r="C50" s="11" t="str">
        <f t="shared" si="5"/>
        <v/>
      </c>
      <c r="D50" s="11">
        <f t="shared" si="6"/>
        <v>16.2</v>
      </c>
      <c r="E50" s="10">
        <f t="shared" si="7"/>
        <v>2.5110000000000001</v>
      </c>
      <c r="F50" s="10" t="str">
        <f t="shared" si="8"/>
        <v/>
      </c>
      <c r="G50" s="11"/>
      <c r="I50" s="183"/>
      <c r="J50" s="183" t="s">
        <v>115</v>
      </c>
      <c r="K50" s="183"/>
      <c r="L50" s="183"/>
      <c r="M50" s="183"/>
      <c r="N50" s="214">
        <v>17.100000000000001</v>
      </c>
      <c r="O50" s="214">
        <v>320</v>
      </c>
      <c r="P50" s="183"/>
    </row>
    <row r="51" spans="3:16">
      <c r="C51" s="11" t="str">
        <f t="shared" si="5"/>
        <v/>
      </c>
      <c r="D51" s="11">
        <f t="shared" si="6"/>
        <v>15.7</v>
      </c>
      <c r="E51" s="10">
        <f t="shared" si="7"/>
        <v>3.4540000000000002</v>
      </c>
      <c r="F51" s="10" t="str">
        <f t="shared" si="8"/>
        <v/>
      </c>
      <c r="G51" s="11"/>
      <c r="I51" s="151"/>
      <c r="J51" s="151"/>
      <c r="K51" s="151"/>
      <c r="L51" s="151"/>
      <c r="M51" s="151"/>
      <c r="N51" s="214">
        <v>16.2</v>
      </c>
      <c r="O51" s="219">
        <v>1550</v>
      </c>
      <c r="P51" s="151"/>
    </row>
    <row r="52" spans="3:16">
      <c r="C52" s="11" t="str">
        <f t="shared" si="5"/>
        <v>融通基金管理有限公司</v>
      </c>
      <c r="D52" s="11">
        <f t="shared" si="6"/>
        <v>17.100000000000001</v>
      </c>
      <c r="E52" s="10">
        <f t="shared" si="7"/>
        <v>0.54720000000000002</v>
      </c>
      <c r="F52" s="10" t="str">
        <f t="shared" si="8"/>
        <v/>
      </c>
      <c r="G52" s="11"/>
      <c r="I52" s="214">
        <v>9</v>
      </c>
      <c r="J52" s="25"/>
      <c r="K52" s="183" t="s">
        <v>1556</v>
      </c>
      <c r="L52" s="214" t="s">
        <v>1160</v>
      </c>
      <c r="M52" s="214" t="s">
        <v>294</v>
      </c>
      <c r="N52" s="214">
        <v>15.7</v>
      </c>
      <c r="O52" s="219">
        <v>2200</v>
      </c>
      <c r="P52" s="214">
        <v>0</v>
      </c>
    </row>
    <row r="53" spans="3:16">
      <c r="C53" s="11" t="str">
        <f t="shared" si="5"/>
        <v/>
      </c>
      <c r="D53" s="11">
        <f t="shared" si="6"/>
        <v>16.8</v>
      </c>
      <c r="E53" s="10">
        <f t="shared" si="7"/>
        <v>0.53759999999999997</v>
      </c>
      <c r="F53" s="10" t="str">
        <f t="shared" si="8"/>
        <v/>
      </c>
      <c r="G53" s="11"/>
      <c r="I53" s="174">
        <v>10</v>
      </c>
      <c r="J53" s="183" t="s">
        <v>966</v>
      </c>
      <c r="K53" s="183" t="s">
        <v>1556</v>
      </c>
      <c r="L53" s="214" t="s">
        <v>1160</v>
      </c>
      <c r="M53" s="214" t="s">
        <v>294</v>
      </c>
      <c r="N53" s="214">
        <v>17.100000000000001</v>
      </c>
      <c r="O53" s="214">
        <v>320</v>
      </c>
      <c r="P53" s="214">
        <v>0</v>
      </c>
    </row>
    <row r="54" spans="3:16">
      <c r="C54" s="11" t="str">
        <f t="shared" si="5"/>
        <v/>
      </c>
      <c r="D54" s="11">
        <f t="shared" si="6"/>
        <v>15.8</v>
      </c>
      <c r="E54" s="10">
        <f t="shared" si="7"/>
        <v>0.75839999999999996</v>
      </c>
      <c r="F54" s="10" t="str">
        <f t="shared" si="8"/>
        <v/>
      </c>
      <c r="G54" s="11"/>
      <c r="I54" s="183"/>
      <c r="J54" s="183"/>
      <c r="K54" s="183"/>
      <c r="L54" s="183"/>
      <c r="M54" s="183"/>
      <c r="N54" s="214">
        <v>16.8</v>
      </c>
      <c r="O54" s="214">
        <v>320</v>
      </c>
      <c r="P54" s="183"/>
    </row>
    <row r="55" spans="3:16" ht="24.5" customHeight="1">
      <c r="C55" s="11" t="str">
        <f t="shared" si="5"/>
        <v>嘉实基金管理有限公司</v>
      </c>
      <c r="D55" s="11">
        <f t="shared" si="6"/>
        <v>14</v>
      </c>
      <c r="E55" s="10">
        <f t="shared" si="7"/>
        <v>0.75600000000000001</v>
      </c>
      <c r="F55" s="10" t="str">
        <f t="shared" si="8"/>
        <v/>
      </c>
      <c r="G55" s="11"/>
      <c r="I55" s="151"/>
      <c r="J55" s="151"/>
      <c r="K55" s="151"/>
      <c r="L55" s="151"/>
      <c r="M55" s="151"/>
      <c r="N55" s="214">
        <v>15.8</v>
      </c>
      <c r="O55" s="214">
        <v>480</v>
      </c>
      <c r="P55" s="151"/>
    </row>
    <row r="56" spans="3:16">
      <c r="C56" s="11" t="str">
        <f t="shared" si="5"/>
        <v>泰达宏利基金管理有限公司</v>
      </c>
      <c r="D56" s="11">
        <f t="shared" si="6"/>
        <v>16.600000000000001</v>
      </c>
      <c r="E56" s="10">
        <f t="shared" si="7"/>
        <v>0.58100000000000007</v>
      </c>
      <c r="F56" s="10" t="str">
        <f t="shared" si="8"/>
        <v/>
      </c>
      <c r="G56" s="11"/>
      <c r="I56" s="174">
        <v>11</v>
      </c>
      <c r="J56" s="183" t="s">
        <v>228</v>
      </c>
      <c r="K56" s="183" t="s">
        <v>1556</v>
      </c>
      <c r="L56" s="214" t="s">
        <v>1160</v>
      </c>
      <c r="M56" s="214" t="s">
        <v>294</v>
      </c>
      <c r="N56" s="214">
        <v>14</v>
      </c>
      <c r="O56" s="214">
        <v>540</v>
      </c>
      <c r="P56" s="214">
        <v>0</v>
      </c>
    </row>
    <row r="57" spans="3:16">
      <c r="C57" s="11" t="str">
        <f t="shared" si="5"/>
        <v/>
      </c>
      <c r="D57" s="11">
        <f t="shared" si="6"/>
        <v>15.9</v>
      </c>
      <c r="E57" s="10">
        <f t="shared" si="7"/>
        <v>0.63600000000000001</v>
      </c>
      <c r="F57" s="10" t="str">
        <f t="shared" si="8"/>
        <v/>
      </c>
      <c r="G57" s="11"/>
      <c r="I57" s="183"/>
      <c r="J57" s="183" t="s">
        <v>148</v>
      </c>
      <c r="K57" s="183"/>
      <c r="L57" s="183"/>
      <c r="M57" s="183"/>
      <c r="N57" s="214">
        <v>16.600000000000001</v>
      </c>
      <c r="O57" s="214">
        <v>350</v>
      </c>
      <c r="P57" s="183"/>
    </row>
    <row r="58" spans="3:16">
      <c r="C58" s="11" t="str">
        <f t="shared" si="5"/>
        <v/>
      </c>
      <c r="D58" s="11">
        <f t="shared" si="6"/>
        <v>15.1</v>
      </c>
      <c r="E58" s="10">
        <f t="shared" si="7"/>
        <v>0.7248</v>
      </c>
      <c r="F58" s="10" t="str">
        <f t="shared" si="8"/>
        <v/>
      </c>
      <c r="G58" s="11"/>
      <c r="I58" s="151"/>
      <c r="J58" s="25"/>
      <c r="K58" s="151"/>
      <c r="L58" s="151"/>
      <c r="M58" s="151"/>
      <c r="N58" s="214">
        <v>15.9</v>
      </c>
      <c r="O58" s="214">
        <v>400</v>
      </c>
      <c r="P58" s="151"/>
    </row>
    <row r="59" spans="3:16">
      <c r="C59" s="11" t="str">
        <f t="shared" si="5"/>
        <v>大成基金管理有限公司</v>
      </c>
      <c r="D59" s="11">
        <f t="shared" si="6"/>
        <v>16.600000000000001</v>
      </c>
      <c r="E59" s="10">
        <f t="shared" si="7"/>
        <v>0.59760000000000013</v>
      </c>
      <c r="F59" s="10" t="str">
        <f t="shared" si="8"/>
        <v/>
      </c>
      <c r="G59" s="11"/>
      <c r="I59" s="174">
        <v>12</v>
      </c>
      <c r="J59" s="64"/>
      <c r="K59" s="183" t="s">
        <v>1556</v>
      </c>
      <c r="L59" s="214" t="s">
        <v>1160</v>
      </c>
      <c r="M59" s="214" t="s">
        <v>294</v>
      </c>
      <c r="N59" s="214">
        <v>15.1</v>
      </c>
      <c r="O59" s="214">
        <v>480</v>
      </c>
      <c r="P59" s="214">
        <v>0</v>
      </c>
    </row>
    <row r="60" spans="3:16">
      <c r="C60" s="11" t="str">
        <f t="shared" si="5"/>
        <v>国信证券股份有限公司</v>
      </c>
      <c r="D60" s="11">
        <f t="shared" si="6"/>
        <v>16.100000000000001</v>
      </c>
      <c r="E60" s="10">
        <f t="shared" si="7"/>
        <v>0.51519999999999999</v>
      </c>
      <c r="F60" s="10" t="str">
        <f t="shared" si="8"/>
        <v/>
      </c>
      <c r="G60" s="11"/>
      <c r="I60" s="174">
        <v>13</v>
      </c>
      <c r="J60" s="183" t="s">
        <v>1127</v>
      </c>
      <c r="K60" s="183" t="s">
        <v>1556</v>
      </c>
      <c r="L60" s="214" t="s">
        <v>1160</v>
      </c>
      <c r="M60" s="214" t="s">
        <v>294</v>
      </c>
      <c r="N60" s="214">
        <v>16.600000000000001</v>
      </c>
      <c r="O60" s="214">
        <v>360</v>
      </c>
      <c r="P60" s="214">
        <v>0</v>
      </c>
    </row>
    <row r="61" spans="3:16">
      <c r="C61" s="11" t="str">
        <f t="shared" si="5"/>
        <v>华泰柏瑞基金管理有限公司</v>
      </c>
      <c r="D61" s="11">
        <f t="shared" si="6"/>
        <v>16.100000000000001</v>
      </c>
      <c r="E61" s="10">
        <f t="shared" si="7"/>
        <v>0.51519999999999999</v>
      </c>
      <c r="F61" s="10" t="str">
        <f t="shared" si="8"/>
        <v/>
      </c>
      <c r="G61" s="11"/>
      <c r="I61" s="174">
        <v>14</v>
      </c>
      <c r="J61" s="183" t="s">
        <v>1142</v>
      </c>
      <c r="K61" s="183" t="s">
        <v>1326</v>
      </c>
      <c r="L61" s="214" t="s">
        <v>1160</v>
      </c>
      <c r="M61" s="214" t="s">
        <v>294</v>
      </c>
      <c r="N61" s="214">
        <v>16.100000000000001</v>
      </c>
      <c r="O61" s="214">
        <v>320</v>
      </c>
      <c r="P61" s="214">
        <v>0</v>
      </c>
    </row>
    <row r="62" spans="3:16">
      <c r="C62" s="11" t="str">
        <f t="shared" si="5"/>
        <v>长城国融投资管理有限公司</v>
      </c>
      <c r="D62" s="11">
        <f t="shared" si="6"/>
        <v>16</v>
      </c>
      <c r="E62" s="10">
        <f t="shared" si="7"/>
        <v>2</v>
      </c>
      <c r="F62" s="10" t="str">
        <f t="shared" si="8"/>
        <v/>
      </c>
      <c r="G62" s="11"/>
      <c r="I62" s="183">
        <v>15</v>
      </c>
      <c r="J62" s="183" t="s">
        <v>1365</v>
      </c>
      <c r="K62" s="183" t="s">
        <v>1556</v>
      </c>
      <c r="L62" s="183" t="s">
        <v>1160</v>
      </c>
      <c r="M62" s="183" t="s">
        <v>294</v>
      </c>
      <c r="N62" s="183">
        <v>16.100000000000001</v>
      </c>
      <c r="O62" s="183">
        <v>320</v>
      </c>
      <c r="P62" s="183">
        <v>0</v>
      </c>
    </row>
    <row r="63" spans="3:16">
      <c r="C63" s="11" t="str">
        <f t="shared" si="5"/>
        <v>北信瑞丰基金管理有限公司</v>
      </c>
      <c r="D63" s="11">
        <f t="shared" si="6"/>
        <v>16</v>
      </c>
      <c r="E63" s="10">
        <f t="shared" si="7"/>
        <v>0.60799999999999998</v>
      </c>
      <c r="F63" s="10" t="str">
        <f t="shared" si="8"/>
        <v/>
      </c>
      <c r="G63" s="11"/>
      <c r="I63" s="183">
        <v>16</v>
      </c>
      <c r="J63" s="183" t="s">
        <v>1561</v>
      </c>
      <c r="K63" s="183" t="s">
        <v>1327</v>
      </c>
      <c r="L63" s="183" t="s">
        <v>1160</v>
      </c>
      <c r="M63" s="183" t="s">
        <v>294</v>
      </c>
      <c r="N63" s="183">
        <v>16</v>
      </c>
      <c r="O63" s="220">
        <v>1250</v>
      </c>
      <c r="P63" s="183">
        <v>0</v>
      </c>
    </row>
    <row r="64" spans="3:16">
      <c r="C64" s="11" t="str">
        <f t="shared" si="5"/>
        <v/>
      </c>
      <c r="D64" s="11">
        <f t="shared" si="6"/>
        <v>15.1</v>
      </c>
      <c r="E64" s="10">
        <f t="shared" si="7"/>
        <v>1.3741000000000001</v>
      </c>
      <c r="F64" s="10" t="str">
        <f t="shared" si="8"/>
        <v/>
      </c>
      <c r="G64" s="11"/>
      <c r="I64" s="183"/>
      <c r="J64" s="183" t="s">
        <v>336</v>
      </c>
      <c r="K64" s="183"/>
      <c r="L64" s="183"/>
      <c r="M64" s="183"/>
      <c r="N64" s="214">
        <v>16</v>
      </c>
      <c r="O64" s="214">
        <v>380</v>
      </c>
      <c r="P64" s="183"/>
    </row>
    <row r="65" spans="3:16">
      <c r="C65" s="11" t="str">
        <f t="shared" si="5"/>
        <v/>
      </c>
      <c r="D65" s="11">
        <f t="shared" si="6"/>
        <v>14</v>
      </c>
      <c r="E65" s="10">
        <f t="shared" si="7"/>
        <v>1.512</v>
      </c>
      <c r="F65" s="10" t="str">
        <f t="shared" si="8"/>
        <v/>
      </c>
      <c r="G65" s="11"/>
      <c r="I65" s="151"/>
      <c r="J65" s="25"/>
      <c r="K65" s="151"/>
      <c r="L65" s="151"/>
      <c r="M65" s="151"/>
      <c r="N65" s="214">
        <v>15.1</v>
      </c>
      <c r="O65" s="214">
        <v>910</v>
      </c>
      <c r="P65" s="151"/>
    </row>
    <row r="66" spans="3:16">
      <c r="C66" s="11" t="str">
        <f t="shared" si="5"/>
        <v>富国基金管理有限公司</v>
      </c>
      <c r="D66" s="11">
        <f t="shared" si="6"/>
        <v>16</v>
      </c>
      <c r="E66" s="10">
        <f t="shared" si="7"/>
        <v>0.51200000000000001</v>
      </c>
      <c r="F66" s="10" t="str">
        <f t="shared" si="8"/>
        <v/>
      </c>
      <c r="G66" s="11"/>
      <c r="I66" s="174">
        <v>17</v>
      </c>
      <c r="J66" s="64"/>
      <c r="K66" s="183" t="s">
        <v>1556</v>
      </c>
      <c r="L66" s="214" t="s">
        <v>1160</v>
      </c>
      <c r="M66" s="214" t="s">
        <v>294</v>
      </c>
      <c r="N66" s="214">
        <v>14</v>
      </c>
      <c r="O66" s="219">
        <v>1080</v>
      </c>
      <c r="P66" s="214">
        <v>0</v>
      </c>
    </row>
    <row r="67" spans="3:16">
      <c r="C67" s="11" t="str">
        <f t="shared" si="5"/>
        <v>东海证券股份有限公司</v>
      </c>
      <c r="D67" s="11">
        <f t="shared" si="6"/>
        <v>15.8</v>
      </c>
      <c r="E67" s="10">
        <f t="shared" si="7"/>
        <v>0.50560000000000005</v>
      </c>
      <c r="F67" s="10" t="str">
        <f t="shared" si="8"/>
        <v/>
      </c>
      <c r="G67" s="11"/>
      <c r="I67" s="174">
        <v>18</v>
      </c>
      <c r="J67" s="183" t="s">
        <v>295</v>
      </c>
      <c r="K67" s="183" t="s">
        <v>1556</v>
      </c>
      <c r="L67" s="214" t="s">
        <v>1160</v>
      </c>
      <c r="M67" s="214" t="s">
        <v>294</v>
      </c>
      <c r="N67" s="214">
        <v>16</v>
      </c>
      <c r="O67" s="214">
        <v>320</v>
      </c>
      <c r="P67" s="214">
        <v>0</v>
      </c>
    </row>
    <row r="68" spans="3:16">
      <c r="C68" s="11" t="str">
        <f t="shared" si="5"/>
        <v>平安大华基金管理有限公司</v>
      </c>
      <c r="D68" s="11">
        <f t="shared" si="6"/>
        <v>15.7</v>
      </c>
      <c r="E68" s="10">
        <f t="shared" si="7"/>
        <v>1.1460999999999999</v>
      </c>
      <c r="F68" s="10" t="str">
        <f t="shared" si="8"/>
        <v/>
      </c>
      <c r="G68" s="11"/>
      <c r="I68" s="174">
        <v>19</v>
      </c>
      <c r="J68" s="183" t="s">
        <v>6</v>
      </c>
      <c r="K68" s="183" t="s">
        <v>1326</v>
      </c>
      <c r="L68" s="214" t="s">
        <v>1160</v>
      </c>
      <c r="M68" s="214" t="s">
        <v>294</v>
      </c>
      <c r="N68" s="214">
        <v>15.8</v>
      </c>
      <c r="O68" s="214">
        <v>320</v>
      </c>
      <c r="P68" s="214">
        <v>0</v>
      </c>
    </row>
    <row r="69" spans="3:16">
      <c r="C69" s="11" t="str">
        <f t="shared" ref="C69:C90" si="10">IF(J70=0,"",J70)</f>
        <v/>
      </c>
      <c r="D69" s="11">
        <f t="shared" ref="D69:D88" si="11">N70</f>
        <v>15.4</v>
      </c>
      <c r="E69" s="10">
        <f t="shared" ref="E69:E88" si="12">N70*O70/10000</f>
        <v>1.8171999999999999</v>
      </c>
      <c r="F69" s="10" t="str">
        <f t="shared" ref="F69:F88" si="13">IFERROR(VLOOKUP(C69,S$38:U$42,2,FALSE)/10000,"")</f>
        <v/>
      </c>
      <c r="G69" s="11"/>
      <c r="I69" s="192"/>
      <c r="J69" s="183" t="s">
        <v>146</v>
      </c>
      <c r="K69" s="192"/>
      <c r="L69" s="192"/>
      <c r="M69" s="192"/>
      <c r="N69" s="214">
        <v>15.7</v>
      </c>
      <c r="O69" s="214">
        <v>730</v>
      </c>
      <c r="P69" s="192"/>
    </row>
    <row r="70" spans="3:16">
      <c r="C70" s="11" t="str">
        <f t="shared" si="10"/>
        <v>九泰基金管理有限公司</v>
      </c>
      <c r="D70" s="11">
        <f t="shared" si="11"/>
        <v>15.5</v>
      </c>
      <c r="E70" s="10">
        <f t="shared" si="12"/>
        <v>0.65100000000000002</v>
      </c>
      <c r="F70" s="10" t="str">
        <f t="shared" si="13"/>
        <v/>
      </c>
      <c r="G70" s="11"/>
      <c r="I70" s="174">
        <v>20</v>
      </c>
      <c r="J70" s="183"/>
      <c r="K70" s="183" t="s">
        <v>1556</v>
      </c>
      <c r="L70" s="214" t="s">
        <v>1160</v>
      </c>
      <c r="M70" s="214" t="s">
        <v>294</v>
      </c>
      <c r="N70" s="214">
        <v>15.4</v>
      </c>
      <c r="O70" s="219">
        <v>1180</v>
      </c>
      <c r="P70" s="214">
        <v>0</v>
      </c>
    </row>
    <row r="71" spans="3:16">
      <c r="C71" s="11" t="str">
        <f t="shared" si="10"/>
        <v/>
      </c>
      <c r="D71" s="11">
        <f t="shared" si="11"/>
        <v>15</v>
      </c>
      <c r="E71" s="10">
        <f t="shared" si="12"/>
        <v>0.75</v>
      </c>
      <c r="F71" s="10" t="str">
        <f t="shared" si="13"/>
        <v/>
      </c>
      <c r="G71" s="11"/>
      <c r="I71" s="183"/>
      <c r="J71" s="183" t="s">
        <v>666</v>
      </c>
      <c r="K71" s="183"/>
      <c r="L71" s="183"/>
      <c r="M71" s="183"/>
      <c r="N71" s="214">
        <v>15.5</v>
      </c>
      <c r="O71" s="214">
        <v>420</v>
      </c>
      <c r="P71" s="183"/>
    </row>
    <row r="72" spans="3:16">
      <c r="C72" s="11" t="str">
        <f t="shared" si="10"/>
        <v/>
      </c>
      <c r="D72" s="11">
        <f t="shared" si="11"/>
        <v>13</v>
      </c>
      <c r="E72" s="10">
        <f t="shared" si="12"/>
        <v>0.94899999999999995</v>
      </c>
      <c r="F72" s="10" t="str">
        <f t="shared" si="13"/>
        <v/>
      </c>
      <c r="G72" s="11"/>
      <c r="I72" s="151"/>
      <c r="J72" s="151"/>
      <c r="K72" s="151"/>
      <c r="L72" s="151"/>
      <c r="M72" s="151"/>
      <c r="N72" s="214">
        <v>15</v>
      </c>
      <c r="O72" s="214">
        <v>500</v>
      </c>
      <c r="P72" s="151"/>
    </row>
    <row r="73" spans="3:16">
      <c r="C73" s="11" t="str">
        <f t="shared" si="10"/>
        <v>华安基金管理有限公司</v>
      </c>
      <c r="D73" s="11">
        <f t="shared" si="11"/>
        <v>15.4</v>
      </c>
      <c r="E73" s="10">
        <f t="shared" si="12"/>
        <v>0.53900000000000003</v>
      </c>
      <c r="F73" s="10" t="str">
        <f t="shared" si="13"/>
        <v/>
      </c>
      <c r="G73" s="11"/>
      <c r="I73" s="174">
        <v>21</v>
      </c>
      <c r="J73" s="25"/>
      <c r="K73" s="183" t="s">
        <v>1556</v>
      </c>
      <c r="L73" s="214" t="s">
        <v>1160</v>
      </c>
      <c r="M73" s="214" t="s">
        <v>294</v>
      </c>
      <c r="N73" s="214">
        <v>13</v>
      </c>
      <c r="O73" s="214">
        <v>730</v>
      </c>
      <c r="P73" s="214">
        <v>0</v>
      </c>
    </row>
    <row r="74" spans="3:16">
      <c r="C74" s="11" t="str">
        <f t="shared" si="10"/>
        <v>宝盈基金管理有限公司</v>
      </c>
      <c r="D74" s="11">
        <f t="shared" si="11"/>
        <v>15.2</v>
      </c>
      <c r="E74" s="10">
        <f t="shared" si="12"/>
        <v>0.76</v>
      </c>
      <c r="F74" s="10" t="str">
        <f t="shared" si="13"/>
        <v/>
      </c>
      <c r="G74" s="11"/>
      <c r="I74" s="174">
        <v>22</v>
      </c>
      <c r="J74" s="183" t="s">
        <v>136</v>
      </c>
      <c r="K74" s="183" t="s">
        <v>1556</v>
      </c>
      <c r="L74" s="214" t="s">
        <v>1160</v>
      </c>
      <c r="M74" s="214" t="s">
        <v>294</v>
      </c>
      <c r="N74" s="214">
        <v>15.4</v>
      </c>
      <c r="O74" s="214">
        <v>350</v>
      </c>
      <c r="P74" s="214">
        <v>0</v>
      </c>
    </row>
    <row r="75" spans="3:16">
      <c r="C75" s="11" t="str">
        <f t="shared" si="10"/>
        <v>平安养老保险股份有限公司</v>
      </c>
      <c r="D75" s="11">
        <f t="shared" si="11"/>
        <v>15</v>
      </c>
      <c r="E75" s="10">
        <f t="shared" si="12"/>
        <v>0.48</v>
      </c>
      <c r="F75" s="10" t="str">
        <f t="shared" si="13"/>
        <v/>
      </c>
      <c r="G75" s="11"/>
      <c r="I75" s="174">
        <v>23</v>
      </c>
      <c r="J75" s="183" t="s">
        <v>332</v>
      </c>
      <c r="K75" s="183" t="s">
        <v>1556</v>
      </c>
      <c r="L75" s="214" t="s">
        <v>1160</v>
      </c>
      <c r="M75" s="214" t="s">
        <v>294</v>
      </c>
      <c r="N75" s="214">
        <v>15.2</v>
      </c>
      <c r="O75" s="214">
        <v>500</v>
      </c>
      <c r="P75" s="214">
        <v>0</v>
      </c>
    </row>
    <row r="76" spans="3:16">
      <c r="C76" s="11" t="str">
        <f t="shared" si="10"/>
        <v>申万菱信基金管理有限公司</v>
      </c>
      <c r="D76" s="11">
        <f t="shared" si="11"/>
        <v>15</v>
      </c>
      <c r="E76" s="10">
        <f t="shared" si="12"/>
        <v>0.69</v>
      </c>
      <c r="F76" s="10" t="str">
        <f t="shared" si="13"/>
        <v/>
      </c>
      <c r="G76" s="11"/>
      <c r="I76" s="183">
        <v>24</v>
      </c>
      <c r="J76" s="183" t="s">
        <v>1560</v>
      </c>
      <c r="K76" s="183" t="s">
        <v>1331</v>
      </c>
      <c r="L76" s="183" t="s">
        <v>1160</v>
      </c>
      <c r="M76" s="183" t="s">
        <v>294</v>
      </c>
      <c r="N76" s="183">
        <v>15</v>
      </c>
      <c r="O76" s="183">
        <v>320</v>
      </c>
      <c r="P76" s="183">
        <v>0</v>
      </c>
    </row>
    <row r="77" spans="3:16">
      <c r="C77" s="11" t="str">
        <f t="shared" si="10"/>
        <v>南京誉信投资中心（有限合伙）</v>
      </c>
      <c r="D77" s="11">
        <f t="shared" si="11"/>
        <v>14.8</v>
      </c>
      <c r="E77" s="10">
        <f t="shared" si="12"/>
        <v>0.47360000000000002</v>
      </c>
      <c r="F77" s="10" t="str">
        <f t="shared" si="13"/>
        <v/>
      </c>
      <c r="G77" s="11"/>
      <c r="I77" s="183">
        <v>25</v>
      </c>
      <c r="J77" s="183" t="s">
        <v>1366</v>
      </c>
      <c r="K77" s="183" t="s">
        <v>1556</v>
      </c>
      <c r="L77" s="183" t="s">
        <v>1160</v>
      </c>
      <c r="M77" s="183" t="s">
        <v>294</v>
      </c>
      <c r="N77" s="183">
        <v>15</v>
      </c>
      <c r="O77" s="183">
        <v>460</v>
      </c>
      <c r="P77" s="183">
        <v>0</v>
      </c>
    </row>
    <row r="78" spans="3:16">
      <c r="C78" s="11" t="str">
        <f t="shared" si="10"/>
        <v/>
      </c>
      <c r="D78" s="11">
        <f t="shared" si="11"/>
        <v>12.07</v>
      </c>
      <c r="E78" s="10">
        <f t="shared" si="12"/>
        <v>0.48280000000000001</v>
      </c>
      <c r="F78" s="10" t="str">
        <f t="shared" si="13"/>
        <v/>
      </c>
      <c r="G78" s="11"/>
      <c r="I78" s="192"/>
      <c r="J78" s="183" t="s">
        <v>1114</v>
      </c>
      <c r="K78" s="192"/>
      <c r="L78" s="192"/>
      <c r="M78" s="192"/>
      <c r="N78" s="214">
        <v>14.8</v>
      </c>
      <c r="O78" s="214">
        <v>320</v>
      </c>
      <c r="P78" s="192"/>
    </row>
    <row r="79" spans="3:16">
      <c r="C79" s="11" t="str">
        <f t="shared" si="10"/>
        <v>天弘基金管理有限公司</v>
      </c>
      <c r="D79" s="11">
        <f t="shared" si="11"/>
        <v>14.7</v>
      </c>
      <c r="E79" s="10">
        <f t="shared" si="12"/>
        <v>0.95550000000000002</v>
      </c>
      <c r="F79" s="10" t="str">
        <f t="shared" si="13"/>
        <v/>
      </c>
      <c r="G79" s="11"/>
      <c r="I79" s="174">
        <v>26</v>
      </c>
      <c r="J79" s="183"/>
      <c r="K79" s="183" t="s">
        <v>1327</v>
      </c>
      <c r="L79" s="214" t="s">
        <v>1160</v>
      </c>
      <c r="M79" s="214" t="s">
        <v>294</v>
      </c>
      <c r="N79" s="214">
        <v>12.07</v>
      </c>
      <c r="O79" s="214">
        <v>400</v>
      </c>
      <c r="P79" s="214">
        <v>0</v>
      </c>
    </row>
    <row r="80" spans="3:16">
      <c r="C80" s="11" t="str">
        <f t="shared" si="10"/>
        <v>南京瑞达信沨股权投资合伙企业（有限合伙）</v>
      </c>
      <c r="D80" s="11">
        <f t="shared" si="11"/>
        <v>14.6</v>
      </c>
      <c r="E80" s="10">
        <f t="shared" si="12"/>
        <v>0.4672</v>
      </c>
      <c r="F80" s="10" t="str">
        <f t="shared" si="13"/>
        <v/>
      </c>
      <c r="G80" s="11"/>
      <c r="I80" s="174">
        <v>27</v>
      </c>
      <c r="J80" s="183" t="s">
        <v>279</v>
      </c>
      <c r="K80" s="183" t="s">
        <v>1556</v>
      </c>
      <c r="L80" s="214" t="s">
        <v>1160</v>
      </c>
      <c r="M80" s="214" t="s">
        <v>294</v>
      </c>
      <c r="N80" s="214">
        <v>14.7</v>
      </c>
      <c r="O80" s="214">
        <v>650</v>
      </c>
      <c r="P80" s="214">
        <v>0</v>
      </c>
    </row>
    <row r="81" spans="1:16">
      <c r="C81" s="11" t="str">
        <f t="shared" si="10"/>
        <v>华鑫证券有限责任公司</v>
      </c>
      <c r="D81" s="11">
        <f t="shared" si="11"/>
        <v>14.3</v>
      </c>
      <c r="E81" s="10">
        <f t="shared" si="12"/>
        <v>0.57199999999999995</v>
      </c>
      <c r="F81" s="10" t="str">
        <f t="shared" si="13"/>
        <v/>
      </c>
      <c r="G81" s="11"/>
      <c r="I81" s="183">
        <v>28</v>
      </c>
      <c r="J81" s="183" t="s">
        <v>1363</v>
      </c>
      <c r="K81" s="183" t="s">
        <v>1327</v>
      </c>
      <c r="L81" s="183" t="s">
        <v>1160</v>
      </c>
      <c r="M81" s="183" t="s">
        <v>294</v>
      </c>
      <c r="N81" s="183">
        <v>14.6</v>
      </c>
      <c r="O81" s="183">
        <v>320</v>
      </c>
      <c r="P81" s="183">
        <v>0</v>
      </c>
    </row>
    <row r="82" spans="1:16">
      <c r="C82" s="11" t="str">
        <f t="shared" si="10"/>
        <v>民生通惠资产管理有限公司</v>
      </c>
      <c r="D82" s="11">
        <f t="shared" si="11"/>
        <v>14.1</v>
      </c>
      <c r="E82" s="10">
        <f t="shared" si="12"/>
        <v>0.90239999999999998</v>
      </c>
      <c r="F82" s="10" t="str">
        <f t="shared" si="13"/>
        <v/>
      </c>
      <c r="G82" s="11"/>
      <c r="I82" s="174">
        <v>29</v>
      </c>
      <c r="J82" s="183" t="s">
        <v>505</v>
      </c>
      <c r="K82" s="183" t="s">
        <v>1326</v>
      </c>
      <c r="L82" s="214" t="s">
        <v>1160</v>
      </c>
      <c r="M82" s="214" t="s">
        <v>294</v>
      </c>
      <c r="N82" s="214">
        <v>14.3</v>
      </c>
      <c r="O82" s="214">
        <v>400</v>
      </c>
      <c r="P82" s="214">
        <v>0</v>
      </c>
    </row>
    <row r="83" spans="1:16">
      <c r="C83" s="11" t="str">
        <f t="shared" si="10"/>
        <v>第一创业证券股份有限公司</v>
      </c>
      <c r="D83" s="11">
        <f t="shared" si="11"/>
        <v>14</v>
      </c>
      <c r="E83" s="10">
        <f t="shared" si="12"/>
        <v>1.988</v>
      </c>
      <c r="F83" s="10" t="str">
        <f t="shared" si="13"/>
        <v/>
      </c>
      <c r="G83" s="11"/>
      <c r="I83" s="183">
        <v>30</v>
      </c>
      <c r="J83" s="183" t="s">
        <v>1364</v>
      </c>
      <c r="K83" s="183" t="s">
        <v>1559</v>
      </c>
      <c r="L83" s="183" t="s">
        <v>1160</v>
      </c>
      <c r="M83" s="183" t="s">
        <v>294</v>
      </c>
      <c r="N83" s="183">
        <v>14.1</v>
      </c>
      <c r="O83" s="183">
        <v>640</v>
      </c>
      <c r="P83" s="183">
        <v>0</v>
      </c>
    </row>
    <row r="84" spans="1:16">
      <c r="C84" s="11" t="str">
        <f t="shared" si="10"/>
        <v>海通证券股份有限公司</v>
      </c>
      <c r="D84" s="11">
        <f t="shared" si="11"/>
        <v>14</v>
      </c>
      <c r="E84" s="10">
        <f t="shared" si="12"/>
        <v>0.44800000000000001</v>
      </c>
      <c r="F84" s="10" t="str">
        <f t="shared" si="13"/>
        <v/>
      </c>
      <c r="G84" s="11"/>
      <c r="I84" s="183">
        <v>31</v>
      </c>
      <c r="J84" s="183" t="s">
        <v>1370</v>
      </c>
      <c r="K84" s="183" t="s">
        <v>1326</v>
      </c>
      <c r="L84" s="183" t="s">
        <v>1160</v>
      </c>
      <c r="M84" s="183" t="s">
        <v>294</v>
      </c>
      <c r="N84" s="183">
        <v>14</v>
      </c>
      <c r="O84" s="220">
        <v>1420</v>
      </c>
      <c r="P84" s="183">
        <v>0</v>
      </c>
    </row>
    <row r="85" spans="1:16">
      <c r="C85" s="11" t="str">
        <f t="shared" si="10"/>
        <v>赖宗阳</v>
      </c>
      <c r="D85" s="11">
        <f t="shared" si="11"/>
        <v>13.8</v>
      </c>
      <c r="E85" s="10">
        <f t="shared" si="12"/>
        <v>0.44159999999999999</v>
      </c>
      <c r="F85" s="10" t="str">
        <f t="shared" si="13"/>
        <v/>
      </c>
      <c r="G85" s="11"/>
      <c r="I85" s="174">
        <v>32</v>
      </c>
      <c r="J85" s="183" t="s">
        <v>8</v>
      </c>
      <c r="K85" s="183" t="s">
        <v>1326</v>
      </c>
      <c r="L85" s="214" t="s">
        <v>1160</v>
      </c>
      <c r="M85" s="214" t="s">
        <v>294</v>
      </c>
      <c r="N85" s="214">
        <v>14</v>
      </c>
      <c r="O85" s="214">
        <v>320</v>
      </c>
      <c r="P85" s="214">
        <v>0</v>
      </c>
    </row>
    <row r="86" spans="1:16">
      <c r="C86" s="11" t="str">
        <f t="shared" si="10"/>
        <v>东吴基金管理有限公司</v>
      </c>
      <c r="D86" s="11">
        <f t="shared" si="11"/>
        <v>13.5</v>
      </c>
      <c r="E86" s="10">
        <f t="shared" si="12"/>
        <v>0.432</v>
      </c>
      <c r="F86" s="10" t="str">
        <f t="shared" si="13"/>
        <v/>
      </c>
      <c r="G86" s="11"/>
      <c r="I86" s="174">
        <v>33</v>
      </c>
      <c r="J86" s="183" t="s">
        <v>137</v>
      </c>
      <c r="K86" s="183" t="s">
        <v>1558</v>
      </c>
      <c r="L86" s="214" t="s">
        <v>1160</v>
      </c>
      <c r="M86" s="214" t="s">
        <v>294</v>
      </c>
      <c r="N86" s="214">
        <v>13.8</v>
      </c>
      <c r="O86" s="214">
        <v>320</v>
      </c>
      <c r="P86" s="214">
        <v>0</v>
      </c>
    </row>
    <row r="87" spans="1:16">
      <c r="C87" s="11" t="str">
        <f t="shared" si="10"/>
        <v>国投瑞银基金管理有限公司</v>
      </c>
      <c r="D87" s="11">
        <f t="shared" si="11"/>
        <v>12.1</v>
      </c>
      <c r="E87" s="10">
        <f t="shared" si="12"/>
        <v>0.38719999999999999</v>
      </c>
      <c r="F87" s="10" t="str">
        <f t="shared" si="13"/>
        <v/>
      </c>
      <c r="G87" s="11"/>
      <c r="I87" s="174">
        <v>34</v>
      </c>
      <c r="J87" s="183" t="s">
        <v>974</v>
      </c>
      <c r="K87" s="183" t="s">
        <v>1556</v>
      </c>
      <c r="L87" s="214" t="s">
        <v>1160</v>
      </c>
      <c r="M87" s="214" t="s">
        <v>294</v>
      </c>
      <c r="N87" s="214">
        <v>13.5</v>
      </c>
      <c r="O87" s="214">
        <v>320</v>
      </c>
      <c r="P87" s="214">
        <v>0</v>
      </c>
    </row>
    <row r="88" spans="1:16">
      <c r="C88" s="11" t="str">
        <f t="shared" si="10"/>
        <v>兴业全球基金管理有限公司</v>
      </c>
      <c r="D88" s="11">
        <f t="shared" si="11"/>
        <v>12.1</v>
      </c>
      <c r="E88" s="10">
        <f t="shared" si="12"/>
        <v>1.1616</v>
      </c>
      <c r="F88" s="10" t="str">
        <f t="shared" si="13"/>
        <v/>
      </c>
      <c r="G88" s="11"/>
      <c r="I88" s="183">
        <v>35</v>
      </c>
      <c r="J88" s="183" t="s">
        <v>1557</v>
      </c>
      <c r="K88" s="183" t="s">
        <v>1556</v>
      </c>
      <c r="L88" s="183" t="s">
        <v>1160</v>
      </c>
      <c r="M88" s="183" t="s">
        <v>294</v>
      </c>
      <c r="N88" s="183">
        <v>12.1</v>
      </c>
      <c r="O88" s="183">
        <v>320</v>
      </c>
      <c r="P88" s="183">
        <v>0</v>
      </c>
    </row>
    <row r="89" spans="1:16">
      <c r="C89" s="24" t="str">
        <f t="shared" si="10"/>
        <v/>
      </c>
      <c r="I89" s="183">
        <v>36</v>
      </c>
      <c r="J89" s="183" t="s">
        <v>1361</v>
      </c>
      <c r="K89" s="183" t="s">
        <v>1556</v>
      </c>
      <c r="L89" s="183" t="s">
        <v>1160</v>
      </c>
      <c r="M89" s="183" t="s">
        <v>294</v>
      </c>
      <c r="N89" s="183">
        <v>12.1</v>
      </c>
      <c r="O89" s="183">
        <v>960</v>
      </c>
      <c r="P89" s="183">
        <v>0</v>
      </c>
    </row>
    <row r="90" spans="1:16">
      <c r="C90" s="24" t="str">
        <f t="shared" si="10"/>
        <v/>
      </c>
      <c r="I90" s="25"/>
      <c r="J90" s="25"/>
      <c r="K90" s="25"/>
      <c r="L90" s="25"/>
      <c r="M90" s="25"/>
      <c r="N90" s="25"/>
      <c r="O90" s="25"/>
      <c r="P90" s="25"/>
    </row>
    <row r="92" spans="1:16" s="162" customFormat="1">
      <c r="A92" s="164" t="s">
        <v>1315</v>
      </c>
      <c r="B92" s="164"/>
      <c r="C92" s="164" t="s">
        <v>107</v>
      </c>
      <c r="D92" s="164" t="s">
        <v>4</v>
      </c>
      <c r="E92" s="166" t="s">
        <v>108</v>
      </c>
      <c r="F92" s="166" t="s">
        <v>109</v>
      </c>
      <c r="G92" s="164" t="s">
        <v>1314</v>
      </c>
      <c r="H92" s="164" t="s">
        <v>1313</v>
      </c>
      <c r="I92" s="165" t="s">
        <v>1312</v>
      </c>
      <c r="J92" s="163" t="s">
        <v>1311</v>
      </c>
      <c r="K92" s="163" t="s">
        <v>110</v>
      </c>
      <c r="L92" s="163" t="s">
        <v>1310</v>
      </c>
      <c r="M92" s="164" t="s">
        <v>111</v>
      </c>
      <c r="N92" s="163" t="s">
        <v>949</v>
      </c>
      <c r="O92" s="163" t="s">
        <v>948</v>
      </c>
      <c r="P92" s="163" t="s">
        <v>129</v>
      </c>
    </row>
    <row r="93" spans="1:16">
      <c r="A93" s="24">
        <v>280</v>
      </c>
      <c r="B93" s="161" t="s">
        <v>1555</v>
      </c>
      <c r="C93" s="1" t="s">
        <v>1554</v>
      </c>
      <c r="D93" s="1" t="s">
        <v>1553</v>
      </c>
      <c r="E93" s="3">
        <v>49.48</v>
      </c>
      <c r="F93" s="3">
        <v>42.547999875000002</v>
      </c>
      <c r="G93" s="2">
        <v>42683</v>
      </c>
      <c r="H93" s="24" t="s">
        <v>151</v>
      </c>
      <c r="I93" s="130">
        <v>9.23</v>
      </c>
      <c r="J93" s="3">
        <v>9.3000000000000007</v>
      </c>
      <c r="K93" s="160">
        <v>9.3000000000000007</v>
      </c>
      <c r="L93" s="271">
        <v>1.0075839653304441</v>
      </c>
      <c r="M93" s="270">
        <v>4</v>
      </c>
      <c r="N93" s="2">
        <v>43088</v>
      </c>
      <c r="O93" s="24">
        <v>11.36</v>
      </c>
      <c r="P93" s="157">
        <v>1.221505376344086</v>
      </c>
    </row>
    <row r="94" spans="1:16">
      <c r="C94" s="16" t="s">
        <v>112</v>
      </c>
      <c r="D94" s="16" t="s">
        <v>113</v>
      </c>
      <c r="E94" s="16" t="s">
        <v>1305</v>
      </c>
      <c r="F94" s="17" t="s">
        <v>1304</v>
      </c>
      <c r="G94" s="16" t="s">
        <v>1303</v>
      </c>
      <c r="I94" s="213" t="s">
        <v>118</v>
      </c>
      <c r="J94" s="213" t="s">
        <v>296</v>
      </c>
      <c r="K94" s="224" t="s">
        <v>488</v>
      </c>
      <c r="L94" s="213" t="s">
        <v>393</v>
      </c>
      <c r="M94" s="25"/>
      <c r="N94" s="213" t="s">
        <v>322</v>
      </c>
      <c r="O94" s="209" t="s">
        <v>1318</v>
      </c>
      <c r="P94" s="224" t="s">
        <v>160</v>
      </c>
    </row>
    <row r="95" spans="1:16">
      <c r="C95" s="11" t="str">
        <f>IF(J96=0,"",J96)</f>
        <v>方正富邦基金管理有限公司</v>
      </c>
      <c r="D95" s="11">
        <f>K96</f>
        <v>9.4</v>
      </c>
      <c r="E95" s="11">
        <f>L96/10000</f>
        <v>9</v>
      </c>
      <c r="F95" s="10">
        <f>VLOOKUP(C95,N$96:P$99,3,FALSE)/10000</f>
        <v>9677.4192999999996</v>
      </c>
      <c r="G95" s="319">
        <f>F95*J$93/10000</f>
        <v>8.9999999489999993</v>
      </c>
      <c r="I95" s="213"/>
      <c r="J95" s="213"/>
      <c r="K95" s="224" t="s">
        <v>1316</v>
      </c>
      <c r="L95" s="213"/>
      <c r="M95" s="25"/>
      <c r="N95" s="213"/>
      <c r="O95" s="209" t="s">
        <v>1316</v>
      </c>
      <c r="P95" s="224" t="s">
        <v>1317</v>
      </c>
    </row>
    <row r="96" spans="1:16">
      <c r="C96" s="11" t="str">
        <f>IF(J97=0,"",J97)</f>
        <v>中山证券有限责任公司</v>
      </c>
      <c r="D96" s="11">
        <f>K97</f>
        <v>10.99</v>
      </c>
      <c r="E96" s="10">
        <f>L97/10000</f>
        <v>4.9480000000000004</v>
      </c>
      <c r="F96" s="10">
        <f>VLOOKUP(C96,N$96:P$99,3,FALSE)/10000</f>
        <v>5320.4300999999996</v>
      </c>
      <c r="G96" s="10">
        <f>F96*J$93/10000</f>
        <v>4.9479999929999998</v>
      </c>
      <c r="I96" s="293">
        <v>1</v>
      </c>
      <c r="J96" s="174" t="s">
        <v>706</v>
      </c>
      <c r="K96" s="293">
        <v>9.4</v>
      </c>
      <c r="L96" s="295">
        <v>90000</v>
      </c>
      <c r="M96" s="25"/>
      <c r="N96" s="183" t="s">
        <v>706</v>
      </c>
      <c r="O96" s="320">
        <v>899999994.89999998</v>
      </c>
      <c r="P96" s="295">
        <v>96774193</v>
      </c>
    </row>
    <row r="97" spans="1:20">
      <c r="C97" s="11" t="str">
        <f>IF(J98=0,"",J98)</f>
        <v>中国华电集团资本控股有限公司</v>
      </c>
      <c r="D97" s="11">
        <f>K98</f>
        <v>9.3000000000000007</v>
      </c>
      <c r="E97" s="11">
        <f>L98/10000</f>
        <v>18.600000000000001</v>
      </c>
      <c r="F97" s="10">
        <f>VLOOKUP(C97,N$96:P$99,3,FALSE)/10000</f>
        <v>20000</v>
      </c>
      <c r="G97" s="11">
        <f>F97*J$93/10000</f>
        <v>18.600000000000001</v>
      </c>
      <c r="I97" s="293">
        <v>2</v>
      </c>
      <c r="J97" s="174" t="s">
        <v>1552</v>
      </c>
      <c r="K97" s="293">
        <v>10.99</v>
      </c>
      <c r="L97" s="295">
        <v>49480</v>
      </c>
      <c r="M97" s="25"/>
      <c r="N97" s="183" t="s">
        <v>1552</v>
      </c>
      <c r="O97" s="320">
        <v>494799999.30000001</v>
      </c>
      <c r="P97" s="295">
        <v>53204301</v>
      </c>
    </row>
    <row r="98" spans="1:20">
      <c r="C98" s="16" t="s">
        <v>1551</v>
      </c>
      <c r="D98" s="1683"/>
      <c r="E98" s="1684"/>
      <c r="F98" s="1684"/>
      <c r="G98" s="1685"/>
      <c r="I98" s="292">
        <v>3</v>
      </c>
      <c r="J98" s="174" t="s">
        <v>1550</v>
      </c>
      <c r="K98" s="132">
        <v>9.3000000000000007</v>
      </c>
      <c r="L98" s="318">
        <v>186000</v>
      </c>
      <c r="M98" s="25"/>
      <c r="N98" s="174" t="s">
        <v>1550</v>
      </c>
      <c r="O98" s="317">
        <v>1860000000</v>
      </c>
      <c r="P98" s="290">
        <v>200000000</v>
      </c>
    </row>
    <row r="99" spans="1:20">
      <c r="C99" s="11" t="str">
        <f>J99</f>
        <v>华宝信托有限责任公司</v>
      </c>
      <c r="D99" s="11">
        <f>K99</f>
        <v>9.3000000000000007</v>
      </c>
      <c r="E99" s="11">
        <f>L99/10000</f>
        <v>10</v>
      </c>
      <c r="F99" s="10">
        <f>VLOOKUP(C99,N$96:P$99,3,FALSE)/10000</f>
        <v>10752.688099999999</v>
      </c>
      <c r="G99" s="319">
        <f>F99*J$93/10000</f>
        <v>9.9999999329999998</v>
      </c>
      <c r="I99" s="292">
        <v>1</v>
      </c>
      <c r="J99" s="174" t="s">
        <v>156</v>
      </c>
      <c r="K99" s="292">
        <v>9.3000000000000007</v>
      </c>
      <c r="L99" s="318">
        <v>100000</v>
      </c>
      <c r="M99" s="25"/>
      <c r="N99" s="174" t="s">
        <v>156</v>
      </c>
      <c r="O99" s="317">
        <v>999999993.29999995</v>
      </c>
      <c r="P99" s="290">
        <v>107526881</v>
      </c>
    </row>
    <row r="103" spans="1:20" s="162" customFormat="1">
      <c r="A103" s="164" t="s">
        <v>1315</v>
      </c>
      <c r="B103" s="164"/>
      <c r="C103" s="164" t="s">
        <v>107</v>
      </c>
      <c r="D103" s="164" t="s">
        <v>4</v>
      </c>
      <c r="E103" s="166" t="s">
        <v>108</v>
      </c>
      <c r="F103" s="166" t="s">
        <v>109</v>
      </c>
      <c r="G103" s="164" t="s">
        <v>1314</v>
      </c>
      <c r="H103" s="164" t="s">
        <v>1313</v>
      </c>
      <c r="I103" s="165" t="s">
        <v>1312</v>
      </c>
      <c r="J103" s="163" t="s">
        <v>1311</v>
      </c>
      <c r="K103" s="163" t="s">
        <v>110</v>
      </c>
      <c r="L103" s="163" t="s">
        <v>1310</v>
      </c>
      <c r="M103" s="164" t="s">
        <v>111</v>
      </c>
      <c r="N103" s="163" t="s">
        <v>949</v>
      </c>
      <c r="O103" s="163" t="s">
        <v>948</v>
      </c>
      <c r="P103" s="163" t="s">
        <v>129</v>
      </c>
    </row>
    <row r="104" spans="1:20">
      <c r="A104" s="24">
        <v>281</v>
      </c>
      <c r="B104" s="161" t="s">
        <v>1549</v>
      </c>
      <c r="C104" s="1" t="s">
        <v>1548</v>
      </c>
      <c r="D104" s="1" t="s">
        <v>1547</v>
      </c>
      <c r="E104" s="3">
        <v>13</v>
      </c>
      <c r="F104" s="3">
        <v>12.999999876</v>
      </c>
      <c r="G104" s="124">
        <v>42685</v>
      </c>
      <c r="H104" s="24" t="s">
        <v>1546</v>
      </c>
      <c r="I104" s="130">
        <v>23.35</v>
      </c>
      <c r="J104" s="3">
        <v>22.2</v>
      </c>
      <c r="K104" s="160">
        <v>20.47</v>
      </c>
      <c r="L104" s="271">
        <v>0.95074946466809418</v>
      </c>
      <c r="M104" s="270">
        <v>5</v>
      </c>
      <c r="N104" s="2">
        <v>43076</v>
      </c>
      <c r="O104" s="24">
        <v>13.36</v>
      </c>
      <c r="P104" s="157">
        <v>0.60495495495495499</v>
      </c>
      <c r="Q104" s="25"/>
      <c r="R104" s="25"/>
      <c r="S104" s="25"/>
      <c r="T104" s="25"/>
    </row>
    <row r="105" spans="1:20" ht="14.5" customHeight="1">
      <c r="C105" s="16" t="s">
        <v>112</v>
      </c>
      <c r="D105" s="16" t="s">
        <v>113</v>
      </c>
      <c r="E105" s="16" t="s">
        <v>1305</v>
      </c>
      <c r="F105" s="17" t="s">
        <v>1304</v>
      </c>
      <c r="G105" s="16" t="s">
        <v>1303</v>
      </c>
      <c r="I105" s="192" t="s">
        <v>118</v>
      </c>
      <c r="J105" s="204" t="s">
        <v>7</v>
      </c>
      <c r="K105" s="203" t="s">
        <v>1545</v>
      </c>
      <c r="L105" s="192" t="s">
        <v>1337</v>
      </c>
      <c r="M105" s="192" t="s">
        <v>1520</v>
      </c>
      <c r="N105" s="204" t="s">
        <v>1544</v>
      </c>
      <c r="O105" s="204" t="s">
        <v>1543</v>
      </c>
      <c r="Q105" s="316" t="s">
        <v>118</v>
      </c>
      <c r="R105" s="316" t="s">
        <v>349</v>
      </c>
      <c r="S105" s="316" t="s">
        <v>1542</v>
      </c>
      <c r="T105" s="316" t="s">
        <v>1300</v>
      </c>
    </row>
    <row r="106" spans="1:20" ht="14.5" customHeight="1">
      <c r="C106" s="11" t="str">
        <f t="shared" ref="C106:C124" si="14">IF(J106=0,"",J106)</f>
        <v>汇添富基金管理股份有限公司</v>
      </c>
      <c r="D106" s="11">
        <f t="shared" ref="D106:D124" si="15">N106</f>
        <v>22.88</v>
      </c>
      <c r="E106" s="11">
        <f t="shared" ref="E106:E124" si="16">O106/10000</f>
        <v>2.66</v>
      </c>
      <c r="F106" s="10">
        <f t="shared" ref="F106:F124" si="17">IFERROR(VLOOKUP(C106,R$106:T$110,2,FALSE)/10000,"")</f>
        <v>1198.1981000000001</v>
      </c>
      <c r="G106" s="10">
        <f t="shared" ref="G106:G124" si="18">IFERROR(F106*J$104/10000,"")</f>
        <v>2.6599997819999999</v>
      </c>
      <c r="I106" s="308">
        <v>1</v>
      </c>
      <c r="J106" s="315" t="s">
        <v>1507</v>
      </c>
      <c r="K106" s="301"/>
      <c r="L106" s="301"/>
      <c r="M106" s="309">
        <v>12</v>
      </c>
      <c r="N106" s="308">
        <v>22.88</v>
      </c>
      <c r="O106" s="307">
        <v>26600</v>
      </c>
      <c r="Q106" s="313">
        <v>1</v>
      </c>
      <c r="R106" s="312" t="s">
        <v>139</v>
      </c>
      <c r="S106" s="311">
        <v>11981981</v>
      </c>
      <c r="T106" s="310">
        <v>265999978.19999999</v>
      </c>
    </row>
    <row r="107" spans="1:20" ht="14.5" customHeight="1">
      <c r="C107" s="11" t="str">
        <f t="shared" si="14"/>
        <v>九泰基金管理有限公司</v>
      </c>
      <c r="D107" s="11">
        <f t="shared" si="15"/>
        <v>22.18</v>
      </c>
      <c r="E107" s="11">
        <f t="shared" si="16"/>
        <v>2.6</v>
      </c>
      <c r="F107" s="10" t="str">
        <f t="shared" si="17"/>
        <v/>
      </c>
      <c r="G107" s="10" t="str">
        <f t="shared" si="18"/>
        <v/>
      </c>
      <c r="I107" s="199"/>
      <c r="J107" s="151" t="s">
        <v>666</v>
      </c>
      <c r="K107" s="151"/>
      <c r="L107" s="151"/>
      <c r="M107" s="199"/>
      <c r="N107" s="308">
        <v>22.18</v>
      </c>
      <c r="O107" s="307">
        <v>26000</v>
      </c>
      <c r="Q107" s="313">
        <v>2</v>
      </c>
      <c r="R107" s="312" t="s">
        <v>285</v>
      </c>
      <c r="S107" s="311">
        <v>11711711</v>
      </c>
      <c r="T107" s="310">
        <v>259999984.19999999</v>
      </c>
    </row>
    <row r="108" spans="1:20" ht="14.5" customHeight="1">
      <c r="C108" s="11" t="str">
        <f t="shared" si="14"/>
        <v/>
      </c>
      <c r="D108" s="11">
        <f t="shared" si="15"/>
        <v>21.3</v>
      </c>
      <c r="E108" s="11">
        <f t="shared" si="16"/>
        <v>2.73</v>
      </c>
      <c r="F108" s="10" t="str">
        <f t="shared" si="17"/>
        <v/>
      </c>
      <c r="G108" s="10" t="str">
        <f t="shared" si="18"/>
        <v/>
      </c>
      <c r="I108" s="308">
        <v>2</v>
      </c>
      <c r="J108" s="25"/>
      <c r="K108" s="151" t="s">
        <v>1325</v>
      </c>
      <c r="L108" s="151" t="s">
        <v>1160</v>
      </c>
      <c r="M108" s="308">
        <v>12</v>
      </c>
      <c r="N108" s="308">
        <v>21.3</v>
      </c>
      <c r="O108" s="307">
        <v>27300</v>
      </c>
      <c r="Q108" s="313">
        <v>3</v>
      </c>
      <c r="R108" s="312" t="s">
        <v>564</v>
      </c>
      <c r="S108" s="311">
        <v>16216216</v>
      </c>
      <c r="T108" s="310">
        <v>359999995.19999999</v>
      </c>
    </row>
    <row r="109" spans="1:20" ht="14.5" customHeight="1">
      <c r="C109" s="11" t="str">
        <f t="shared" si="14"/>
        <v/>
      </c>
      <c r="D109" s="11">
        <f t="shared" si="15"/>
        <v>20.5</v>
      </c>
      <c r="E109" s="11">
        <f t="shared" si="16"/>
        <v>2.89</v>
      </c>
      <c r="F109" s="10" t="str">
        <f t="shared" si="17"/>
        <v/>
      </c>
      <c r="G109" s="10" t="str">
        <f t="shared" si="18"/>
        <v/>
      </c>
      <c r="I109" s="64"/>
      <c r="J109" s="64"/>
      <c r="K109" s="64"/>
      <c r="L109" s="64"/>
      <c r="M109" s="64"/>
      <c r="N109" s="147">
        <v>20.5</v>
      </c>
      <c r="O109" s="144">
        <v>28900</v>
      </c>
      <c r="Q109" s="313">
        <v>4</v>
      </c>
      <c r="R109" s="312" t="s">
        <v>154</v>
      </c>
      <c r="S109" s="311">
        <v>11711711</v>
      </c>
      <c r="T109" s="310">
        <v>259999984.19999999</v>
      </c>
    </row>
    <row r="110" spans="1:20" ht="14.5" customHeight="1">
      <c r="C110" s="11" t="str">
        <f t="shared" si="14"/>
        <v>鹏华资产管理（深圳）有限公司</v>
      </c>
      <c r="D110" s="11">
        <f t="shared" si="15"/>
        <v>23.99</v>
      </c>
      <c r="E110" s="11">
        <f t="shared" si="16"/>
        <v>2.6</v>
      </c>
      <c r="F110" s="10">
        <f t="shared" si="17"/>
        <v>1171.1711</v>
      </c>
      <c r="G110" s="10">
        <f t="shared" si="18"/>
        <v>2.5999998419999999</v>
      </c>
      <c r="I110" s="147">
        <v>3</v>
      </c>
      <c r="J110" s="314" t="s">
        <v>1511</v>
      </c>
      <c r="K110" s="301"/>
      <c r="L110" s="301"/>
      <c r="M110" s="300">
        <v>12</v>
      </c>
      <c r="N110" s="147">
        <v>23.99</v>
      </c>
      <c r="O110" s="144">
        <v>26000</v>
      </c>
      <c r="Q110" s="313">
        <v>5</v>
      </c>
      <c r="R110" s="312" t="s">
        <v>336</v>
      </c>
      <c r="S110" s="311">
        <v>6936939</v>
      </c>
      <c r="T110" s="310">
        <v>154000045.80000001</v>
      </c>
    </row>
    <row r="111" spans="1:20">
      <c r="C111" s="11" t="str">
        <f t="shared" si="14"/>
        <v>财通基金管理有限公司</v>
      </c>
      <c r="D111" s="11">
        <f t="shared" si="15"/>
        <v>21.5</v>
      </c>
      <c r="E111" s="11">
        <f t="shared" si="16"/>
        <v>2.62</v>
      </c>
      <c r="F111" s="10" t="str">
        <f t="shared" si="17"/>
        <v/>
      </c>
      <c r="G111" s="10" t="str">
        <f t="shared" si="18"/>
        <v/>
      </c>
      <c r="I111" s="183"/>
      <c r="J111" s="151" t="s">
        <v>115</v>
      </c>
      <c r="K111" s="151"/>
      <c r="L111" s="151"/>
      <c r="M111" s="183"/>
      <c r="N111" s="308">
        <v>21.5</v>
      </c>
      <c r="O111" s="307">
        <v>26200</v>
      </c>
    </row>
    <row r="112" spans="1:20">
      <c r="C112" s="11" t="str">
        <f t="shared" si="14"/>
        <v/>
      </c>
      <c r="D112" s="11">
        <f t="shared" si="15"/>
        <v>21</v>
      </c>
      <c r="E112" s="11">
        <f t="shared" si="16"/>
        <v>2.83</v>
      </c>
      <c r="F112" s="10" t="str">
        <f t="shared" si="17"/>
        <v/>
      </c>
      <c r="G112" s="10" t="str">
        <f t="shared" si="18"/>
        <v/>
      </c>
      <c r="I112" s="147">
        <v>4</v>
      </c>
      <c r="J112" s="25"/>
      <c r="K112" s="146" t="s">
        <v>1325</v>
      </c>
      <c r="L112" s="151" t="s">
        <v>1160</v>
      </c>
      <c r="M112" s="308">
        <v>12</v>
      </c>
      <c r="N112" s="147">
        <v>21</v>
      </c>
      <c r="O112" s="144">
        <v>28300</v>
      </c>
    </row>
    <row r="113" spans="1:16">
      <c r="C113" s="11" t="str">
        <f t="shared" si="14"/>
        <v/>
      </c>
      <c r="D113" s="11">
        <f t="shared" si="15"/>
        <v>20.5</v>
      </c>
      <c r="E113" s="11">
        <f t="shared" si="16"/>
        <v>2.95</v>
      </c>
      <c r="F113" s="10" t="str">
        <f t="shared" si="17"/>
        <v/>
      </c>
      <c r="G113" s="10" t="str">
        <f t="shared" si="18"/>
        <v/>
      </c>
      <c r="I113" s="64"/>
      <c r="J113" s="64"/>
      <c r="K113" s="64"/>
      <c r="L113" s="64"/>
      <c r="M113" s="64"/>
      <c r="N113" s="147">
        <v>20.5</v>
      </c>
      <c r="O113" s="144">
        <v>29500</v>
      </c>
    </row>
    <row r="114" spans="1:16" ht="14.5" customHeight="1">
      <c r="C114" s="11" t="str">
        <f t="shared" si="14"/>
        <v>新华基金管理股份有限公司</v>
      </c>
      <c r="D114" s="11">
        <f t="shared" si="15"/>
        <v>23.35</v>
      </c>
      <c r="E114" s="11">
        <f t="shared" si="16"/>
        <v>3.6</v>
      </c>
      <c r="F114" s="10">
        <f t="shared" si="17"/>
        <v>1621.6215999999999</v>
      </c>
      <c r="G114" s="10">
        <f t="shared" si="18"/>
        <v>3.5999999519999997</v>
      </c>
      <c r="I114" s="198"/>
      <c r="J114" s="306" t="s">
        <v>1541</v>
      </c>
      <c r="K114" s="305"/>
      <c r="L114" s="305"/>
      <c r="M114" s="183"/>
      <c r="N114" s="308">
        <v>23.35</v>
      </c>
      <c r="O114" s="307">
        <v>36000</v>
      </c>
    </row>
    <row r="115" spans="1:16">
      <c r="C115" s="11" t="str">
        <f t="shared" si="14"/>
        <v/>
      </c>
      <c r="D115" s="11">
        <f t="shared" si="15"/>
        <v>24.05</v>
      </c>
      <c r="E115" s="11">
        <f t="shared" si="16"/>
        <v>3.6</v>
      </c>
      <c r="F115" s="10" t="str">
        <f t="shared" si="17"/>
        <v/>
      </c>
      <c r="G115" s="10" t="str">
        <f t="shared" si="18"/>
        <v/>
      </c>
      <c r="I115" s="296">
        <v>5</v>
      </c>
      <c r="J115" s="25"/>
      <c r="K115" s="301" t="s">
        <v>1325</v>
      </c>
      <c r="L115" s="301" t="s">
        <v>1160</v>
      </c>
      <c r="M115" s="309">
        <v>12</v>
      </c>
      <c r="N115" s="308">
        <v>24.05</v>
      </c>
      <c r="O115" s="307">
        <v>36000</v>
      </c>
    </row>
    <row r="116" spans="1:16">
      <c r="C116" s="11" t="str">
        <f t="shared" si="14"/>
        <v/>
      </c>
      <c r="D116" s="11">
        <f t="shared" si="15"/>
        <v>24.35</v>
      </c>
      <c r="E116" s="11">
        <f t="shared" si="16"/>
        <v>3.6</v>
      </c>
      <c r="F116" s="10" t="str">
        <f t="shared" si="17"/>
        <v/>
      </c>
      <c r="G116" s="10" t="str">
        <f t="shared" si="18"/>
        <v/>
      </c>
      <c r="I116" s="64"/>
      <c r="J116" s="64"/>
      <c r="K116" s="64"/>
      <c r="L116" s="64"/>
      <c r="M116" s="64"/>
      <c r="N116" s="308">
        <v>24.35</v>
      </c>
      <c r="O116" s="307">
        <v>36000</v>
      </c>
    </row>
    <row r="117" spans="1:16" ht="14.5" customHeight="1">
      <c r="C117" s="11" t="str">
        <f t="shared" si="14"/>
        <v>浙江浙商证券资产管理有限公司</v>
      </c>
      <c r="D117" s="11">
        <f t="shared" si="15"/>
        <v>25.68</v>
      </c>
      <c r="E117" s="11">
        <f t="shared" si="16"/>
        <v>2.6</v>
      </c>
      <c r="F117" s="10">
        <f t="shared" si="17"/>
        <v>1171.1711</v>
      </c>
      <c r="G117" s="10">
        <f t="shared" si="18"/>
        <v>2.5999998419999999</v>
      </c>
      <c r="I117" s="199"/>
      <c r="J117" s="306" t="s">
        <v>1540</v>
      </c>
      <c r="K117" s="305"/>
      <c r="L117" s="305"/>
      <c r="M117" s="183"/>
      <c r="N117" s="147">
        <v>25.68</v>
      </c>
      <c r="O117" s="144">
        <v>26000</v>
      </c>
    </row>
    <row r="118" spans="1:16">
      <c r="C118" s="11" t="str">
        <f t="shared" si="14"/>
        <v/>
      </c>
      <c r="D118" s="11">
        <f t="shared" si="15"/>
        <v>23.25</v>
      </c>
      <c r="E118" s="11">
        <f t="shared" si="16"/>
        <v>2.6</v>
      </c>
      <c r="F118" s="10" t="str">
        <f t="shared" si="17"/>
        <v/>
      </c>
      <c r="G118" s="10" t="str">
        <f t="shared" si="18"/>
        <v/>
      </c>
      <c r="I118" s="147">
        <v>6</v>
      </c>
      <c r="J118" s="25"/>
      <c r="K118" s="304" t="s">
        <v>1327</v>
      </c>
      <c r="L118" s="302" t="s">
        <v>1160</v>
      </c>
      <c r="M118" s="300">
        <v>12</v>
      </c>
      <c r="N118" s="147">
        <v>23.25</v>
      </c>
      <c r="O118" s="144">
        <v>26000</v>
      </c>
    </row>
    <row r="119" spans="1:16">
      <c r="C119" s="11" t="str">
        <f t="shared" si="14"/>
        <v/>
      </c>
      <c r="D119" s="11">
        <f t="shared" si="15"/>
        <v>22.62</v>
      </c>
      <c r="E119" s="11">
        <f t="shared" si="16"/>
        <v>2.6</v>
      </c>
      <c r="F119" s="10" t="str">
        <f t="shared" si="17"/>
        <v/>
      </c>
      <c r="G119" s="10" t="str">
        <f t="shared" si="18"/>
        <v/>
      </c>
      <c r="I119" s="64"/>
      <c r="J119" s="64"/>
      <c r="K119" s="64"/>
      <c r="L119" s="64"/>
      <c r="M119" s="64"/>
      <c r="N119" s="147">
        <v>22.62</v>
      </c>
      <c r="O119" s="144">
        <v>26000</v>
      </c>
    </row>
    <row r="120" spans="1:16" ht="13.5" customHeight="1">
      <c r="C120" s="11" t="str">
        <f t="shared" si="14"/>
        <v>博时基金管理有限公司</v>
      </c>
      <c r="D120" s="11">
        <f t="shared" si="15"/>
        <v>22.18</v>
      </c>
      <c r="E120" s="11">
        <f t="shared" si="16"/>
        <v>2.61</v>
      </c>
      <c r="F120" s="10" t="str">
        <f t="shared" si="17"/>
        <v/>
      </c>
      <c r="G120" s="10" t="str">
        <f t="shared" si="18"/>
        <v/>
      </c>
      <c r="I120" s="199"/>
      <c r="J120" s="146" t="s">
        <v>173</v>
      </c>
      <c r="K120" s="151"/>
      <c r="L120" s="151"/>
      <c r="M120" s="199"/>
      <c r="N120" s="147">
        <v>22.18</v>
      </c>
      <c r="O120" s="144">
        <v>26100</v>
      </c>
    </row>
    <row r="121" spans="1:16">
      <c r="C121" s="11" t="str">
        <f t="shared" si="14"/>
        <v/>
      </c>
      <c r="D121" s="11">
        <f t="shared" si="15"/>
        <v>21.48</v>
      </c>
      <c r="E121" s="11">
        <f t="shared" si="16"/>
        <v>3.01</v>
      </c>
      <c r="F121" s="10" t="str">
        <f t="shared" si="17"/>
        <v/>
      </c>
      <c r="G121" s="10" t="str">
        <f t="shared" si="18"/>
        <v/>
      </c>
      <c r="I121" s="147">
        <v>7</v>
      </c>
      <c r="J121" s="25"/>
      <c r="K121" s="146" t="s">
        <v>1325</v>
      </c>
      <c r="L121" s="148" t="s">
        <v>1160</v>
      </c>
      <c r="M121" s="147">
        <v>12</v>
      </c>
      <c r="N121" s="147">
        <v>21.48</v>
      </c>
      <c r="O121" s="144">
        <v>30100</v>
      </c>
    </row>
    <row r="122" spans="1:16">
      <c r="C122" s="11" t="str">
        <f t="shared" si="14"/>
        <v/>
      </c>
      <c r="D122" s="11">
        <f t="shared" si="15"/>
        <v>21.01</v>
      </c>
      <c r="E122" s="11">
        <f t="shared" si="16"/>
        <v>3.6</v>
      </c>
      <c r="F122" s="10" t="str">
        <f t="shared" si="17"/>
        <v/>
      </c>
      <c r="G122" s="10" t="str">
        <f t="shared" si="18"/>
        <v/>
      </c>
      <c r="I122" s="64"/>
      <c r="J122" s="64"/>
      <c r="K122" s="64"/>
      <c r="L122" s="64"/>
      <c r="M122" s="64"/>
      <c r="N122" s="147">
        <v>21.01</v>
      </c>
      <c r="O122" s="144">
        <v>36000</v>
      </c>
    </row>
    <row r="123" spans="1:16">
      <c r="C123" s="11" t="str">
        <f t="shared" si="14"/>
        <v>北信瑞丰基金管理有限公司</v>
      </c>
      <c r="D123" s="11">
        <f t="shared" si="15"/>
        <v>22.2</v>
      </c>
      <c r="E123" s="11">
        <f t="shared" si="16"/>
        <v>2.6</v>
      </c>
      <c r="F123" s="10">
        <f t="shared" si="17"/>
        <v>693.69389999999999</v>
      </c>
      <c r="G123" s="10">
        <f t="shared" si="18"/>
        <v>1.540000458</v>
      </c>
      <c r="I123" s="235"/>
      <c r="J123" s="303" t="s">
        <v>1421</v>
      </c>
      <c r="K123" s="301" t="s">
        <v>1325</v>
      </c>
      <c r="L123" s="301" t="s">
        <v>1160</v>
      </c>
      <c r="M123" s="238"/>
      <c r="N123" s="147">
        <v>22.2</v>
      </c>
      <c r="O123" s="144">
        <v>26000</v>
      </c>
    </row>
    <row r="124" spans="1:16">
      <c r="C124" s="11" t="str">
        <f t="shared" si="14"/>
        <v/>
      </c>
      <c r="D124" s="11">
        <f t="shared" si="15"/>
        <v>20.11</v>
      </c>
      <c r="E124" s="11">
        <f t="shared" si="16"/>
        <v>2.65</v>
      </c>
      <c r="F124" s="10" t="str">
        <f t="shared" si="17"/>
        <v/>
      </c>
      <c r="G124" s="10" t="str">
        <f t="shared" si="18"/>
        <v/>
      </c>
      <c r="I124" s="147">
        <v>8</v>
      </c>
      <c r="J124" s="302"/>
      <c r="K124" s="301"/>
      <c r="L124" s="301"/>
      <c r="M124" s="300">
        <v>12</v>
      </c>
      <c r="N124" s="147">
        <v>20.11</v>
      </c>
      <c r="O124" s="144">
        <v>26500</v>
      </c>
    </row>
    <row r="128" spans="1:16" s="162" customFormat="1">
      <c r="A128" s="164" t="s">
        <v>1315</v>
      </c>
      <c r="B128" s="164"/>
      <c r="C128" s="164" t="s">
        <v>107</v>
      </c>
      <c r="D128" s="164" t="s">
        <v>4</v>
      </c>
      <c r="E128" s="166" t="s">
        <v>108</v>
      </c>
      <c r="F128" s="166" t="s">
        <v>109</v>
      </c>
      <c r="G128" s="164" t="s">
        <v>1314</v>
      </c>
      <c r="H128" s="164" t="s">
        <v>1313</v>
      </c>
      <c r="I128" s="165" t="s">
        <v>1312</v>
      </c>
      <c r="J128" s="163" t="s">
        <v>1311</v>
      </c>
      <c r="K128" s="163" t="s">
        <v>110</v>
      </c>
      <c r="L128" s="163" t="s">
        <v>1310</v>
      </c>
      <c r="M128" s="164" t="s">
        <v>111</v>
      </c>
      <c r="N128" s="163" t="s">
        <v>949</v>
      </c>
      <c r="O128" s="163" t="s">
        <v>948</v>
      </c>
      <c r="P128" s="163" t="s">
        <v>129</v>
      </c>
    </row>
    <row r="129" spans="1:18">
      <c r="A129" s="24">
        <v>282</v>
      </c>
      <c r="B129" s="161" t="s">
        <v>1539</v>
      </c>
      <c r="C129" s="1" t="s">
        <v>1538</v>
      </c>
      <c r="D129" s="1" t="s">
        <v>1537</v>
      </c>
      <c r="E129" s="3">
        <v>4.4800000000000004</v>
      </c>
      <c r="F129" s="3">
        <v>4.4799999679000004</v>
      </c>
      <c r="G129" s="124">
        <v>42677</v>
      </c>
      <c r="H129" s="24" t="s">
        <v>151</v>
      </c>
      <c r="I129" s="130">
        <v>9.93</v>
      </c>
      <c r="J129" s="3">
        <v>9.43</v>
      </c>
      <c r="K129" s="160">
        <v>8.93</v>
      </c>
      <c r="L129" s="271">
        <v>0.94964753272910374</v>
      </c>
      <c r="M129" s="270">
        <v>5</v>
      </c>
      <c r="N129" s="2">
        <v>43074</v>
      </c>
      <c r="O129" s="24">
        <v>5.35</v>
      </c>
      <c r="P129" s="157">
        <v>0.57051961823966069</v>
      </c>
    </row>
    <row r="130" spans="1:18" ht="15" customHeight="1">
      <c r="C130" s="16" t="s">
        <v>112</v>
      </c>
      <c r="D130" s="16" t="s">
        <v>113</v>
      </c>
      <c r="E130" s="16" t="s">
        <v>1305</v>
      </c>
      <c r="F130" s="17" t="s">
        <v>1304</v>
      </c>
      <c r="G130" s="16" t="s">
        <v>1303</v>
      </c>
      <c r="I130" s="299"/>
      <c r="J130" s="183"/>
      <c r="K130" s="196" t="s">
        <v>1536</v>
      </c>
      <c r="L130" s="225" t="s">
        <v>1535</v>
      </c>
      <c r="N130" s="85" t="s">
        <v>118</v>
      </c>
      <c r="O130" s="85" t="s">
        <v>1534</v>
      </c>
      <c r="P130" s="85" t="s">
        <v>1533</v>
      </c>
      <c r="Q130" s="84" t="s">
        <v>1532</v>
      </c>
      <c r="R130" s="196" t="s">
        <v>1531</v>
      </c>
    </row>
    <row r="131" spans="1:18" ht="15">
      <c r="C131" s="11" t="str">
        <f t="shared" ref="C131:C142" si="19">IF(J132=0,"",J132)</f>
        <v>鹏华资产管理（深圳）有限公司</v>
      </c>
      <c r="D131" s="11">
        <f t="shared" ref="D131:D142" si="20">K132</f>
        <v>10.199999999999999</v>
      </c>
      <c r="E131" s="10">
        <f t="shared" ref="E131:E142" si="21">L132/10000</f>
        <v>1.4</v>
      </c>
      <c r="F131" s="10">
        <f t="shared" ref="F131:F142" si="22">IFERROR(VLOOKUP(C131,O$131:R$136,3,FALSE),"")</f>
        <v>1484.6234999999999</v>
      </c>
      <c r="G131" s="10">
        <f t="shared" ref="G131:G142" si="23">IFERROR(F131*J$129/10000,"")</f>
        <v>1.3999999605</v>
      </c>
      <c r="I131" s="196" t="s">
        <v>118</v>
      </c>
      <c r="J131" s="225" t="s">
        <v>324</v>
      </c>
      <c r="K131" s="196"/>
      <c r="L131" s="298" t="s">
        <v>1530</v>
      </c>
      <c r="N131" s="204">
        <v>1</v>
      </c>
      <c r="O131" s="182" t="s">
        <v>285</v>
      </c>
      <c r="P131" s="237">
        <v>9.43</v>
      </c>
      <c r="Q131" s="234">
        <v>1484.6234999999999</v>
      </c>
      <c r="R131" s="234">
        <v>13999.999605000001</v>
      </c>
    </row>
    <row r="132" spans="1:18">
      <c r="C132" s="11" t="str">
        <f t="shared" si="19"/>
        <v>财通基金管理有限公司</v>
      </c>
      <c r="D132" s="11">
        <f t="shared" si="20"/>
        <v>9.43</v>
      </c>
      <c r="E132" s="10">
        <f t="shared" si="21"/>
        <v>1.04</v>
      </c>
      <c r="F132" s="10">
        <f t="shared" si="22"/>
        <v>392.36489999999998</v>
      </c>
      <c r="G132" s="10">
        <f t="shared" si="23"/>
        <v>0.3700001007</v>
      </c>
      <c r="I132" s="204">
        <v>1</v>
      </c>
      <c r="J132" s="182" t="s">
        <v>285</v>
      </c>
      <c r="K132" s="227">
        <v>10.199999999999999</v>
      </c>
      <c r="L132" s="168">
        <v>14000</v>
      </c>
      <c r="N132" s="204">
        <v>2</v>
      </c>
      <c r="O132" s="182" t="s">
        <v>1527</v>
      </c>
      <c r="P132" s="237">
        <v>9.43</v>
      </c>
      <c r="Q132" s="190">
        <v>965.00530000000003</v>
      </c>
      <c r="R132" s="234">
        <v>9099.9999790000002</v>
      </c>
    </row>
    <row r="133" spans="1:18" ht="14.5" customHeight="1">
      <c r="C133" s="11" t="str">
        <f t="shared" si="19"/>
        <v/>
      </c>
      <c r="D133" s="11">
        <f t="shared" si="20"/>
        <v>9.14</v>
      </c>
      <c r="E133" s="10">
        <f t="shared" si="21"/>
        <v>1.21</v>
      </c>
      <c r="F133" s="10" t="str">
        <f t="shared" si="22"/>
        <v/>
      </c>
      <c r="G133" s="10" t="str">
        <f t="shared" si="23"/>
        <v/>
      </c>
      <c r="I133" s="183"/>
      <c r="J133" s="182" t="s">
        <v>115</v>
      </c>
      <c r="K133" s="227">
        <v>9.43</v>
      </c>
      <c r="L133" s="168">
        <v>10400</v>
      </c>
      <c r="N133" s="192">
        <v>3</v>
      </c>
      <c r="O133" s="182" t="s">
        <v>1526</v>
      </c>
      <c r="P133" s="278">
        <v>9.43</v>
      </c>
      <c r="Q133" s="296">
        <v>954.4008</v>
      </c>
      <c r="R133" s="297">
        <v>8999.9995440000002</v>
      </c>
    </row>
    <row r="134" spans="1:18">
      <c r="C134" s="11" t="str">
        <f t="shared" si="19"/>
        <v/>
      </c>
      <c r="D134" s="11">
        <f t="shared" si="20"/>
        <v>8.94</v>
      </c>
      <c r="E134" s="10">
        <f t="shared" si="21"/>
        <v>1.3</v>
      </c>
      <c r="F134" s="10" t="str">
        <f t="shared" si="22"/>
        <v/>
      </c>
      <c r="G134" s="10" t="str">
        <f t="shared" si="23"/>
        <v/>
      </c>
      <c r="I134" s="204">
        <v>2</v>
      </c>
      <c r="J134" s="25"/>
      <c r="K134" s="227">
        <v>9.14</v>
      </c>
      <c r="L134" s="168">
        <v>12100</v>
      </c>
      <c r="N134" s="192"/>
      <c r="O134" s="182"/>
      <c r="P134" s="278"/>
      <c r="Q134" s="296"/>
      <c r="R134" s="297"/>
    </row>
    <row r="135" spans="1:18">
      <c r="C135" s="11" t="str">
        <f t="shared" si="19"/>
        <v>新华基金管理股份有限公司</v>
      </c>
      <c r="D135" s="11">
        <f t="shared" si="20"/>
        <v>9.65</v>
      </c>
      <c r="E135" s="10">
        <f t="shared" si="21"/>
        <v>0.9</v>
      </c>
      <c r="F135" s="10">
        <f t="shared" si="22"/>
        <v>954.4008</v>
      </c>
      <c r="G135" s="10">
        <f t="shared" si="23"/>
        <v>0.89999995440000002</v>
      </c>
      <c r="I135" s="64"/>
      <c r="J135" s="64"/>
      <c r="K135" s="227">
        <v>8.94</v>
      </c>
      <c r="L135" s="168">
        <v>13000</v>
      </c>
      <c r="N135" s="204">
        <v>4</v>
      </c>
      <c r="O135" s="182" t="s">
        <v>564</v>
      </c>
      <c r="P135" s="237">
        <v>9.43</v>
      </c>
      <c r="Q135" s="190">
        <v>954.4008</v>
      </c>
      <c r="R135" s="234">
        <v>8999.9995440000002</v>
      </c>
    </row>
    <row r="136" spans="1:18" ht="14.5" customHeight="1">
      <c r="C136" s="11" t="str">
        <f t="shared" si="19"/>
        <v/>
      </c>
      <c r="D136" s="11">
        <f t="shared" si="20"/>
        <v>9.4499999999999993</v>
      </c>
      <c r="E136" s="10">
        <f t="shared" si="21"/>
        <v>0.9</v>
      </c>
      <c r="F136" s="10" t="str">
        <f t="shared" si="22"/>
        <v/>
      </c>
      <c r="G136" s="10" t="str">
        <f t="shared" si="23"/>
        <v/>
      </c>
      <c r="I136" s="183"/>
      <c r="J136" s="182" t="s">
        <v>564</v>
      </c>
      <c r="K136" s="227">
        <v>9.65</v>
      </c>
      <c r="L136" s="168">
        <v>9000</v>
      </c>
      <c r="N136" s="204">
        <v>5</v>
      </c>
      <c r="O136" s="182" t="s">
        <v>115</v>
      </c>
      <c r="P136" s="237">
        <v>9.43</v>
      </c>
      <c r="Q136" s="190">
        <v>392.36489999999998</v>
      </c>
      <c r="R136" s="234">
        <v>3700.0010069999998</v>
      </c>
    </row>
    <row r="137" spans="1:18">
      <c r="C137" s="11" t="str">
        <f t="shared" si="19"/>
        <v/>
      </c>
      <c r="D137" s="11">
        <f t="shared" si="20"/>
        <v>9.25</v>
      </c>
      <c r="E137" s="10">
        <f t="shared" si="21"/>
        <v>0.9</v>
      </c>
      <c r="F137" s="10" t="str">
        <f t="shared" si="22"/>
        <v/>
      </c>
      <c r="G137" s="10" t="str">
        <f t="shared" si="23"/>
        <v/>
      </c>
      <c r="I137" s="204">
        <v>3</v>
      </c>
      <c r="J137" s="25"/>
      <c r="K137" s="227">
        <v>9.4499999999999993</v>
      </c>
      <c r="L137" s="168">
        <v>9000</v>
      </c>
      <c r="N137" s="196" t="s">
        <v>1529</v>
      </c>
      <c r="O137" s="196"/>
      <c r="P137" s="155" t="s">
        <v>1528</v>
      </c>
      <c r="Q137" s="234">
        <v>4750.7952999999998</v>
      </c>
      <c r="R137" s="234">
        <v>44799.999679</v>
      </c>
    </row>
    <row r="138" spans="1:18">
      <c r="C138" s="11" t="str">
        <f t="shared" si="19"/>
        <v>平安大华基金管理有限公司</v>
      </c>
      <c r="D138" s="11">
        <f t="shared" si="20"/>
        <v>8.93</v>
      </c>
      <c r="E138" s="10">
        <f t="shared" si="21"/>
        <v>1.01</v>
      </c>
      <c r="F138" s="10" t="str">
        <f t="shared" si="22"/>
        <v/>
      </c>
      <c r="G138" s="10" t="str">
        <f t="shared" si="23"/>
        <v/>
      </c>
      <c r="I138" s="64"/>
      <c r="J138" s="64"/>
      <c r="K138" s="227">
        <v>9.25</v>
      </c>
      <c r="L138" s="168">
        <v>9000</v>
      </c>
    </row>
    <row r="139" spans="1:18">
      <c r="C139" s="11" t="str">
        <f t="shared" si="19"/>
        <v>安徽皖投工业投资有限公司</v>
      </c>
      <c r="D139" s="11">
        <f t="shared" si="20"/>
        <v>9.8800000000000008</v>
      </c>
      <c r="E139" s="10">
        <f t="shared" si="21"/>
        <v>0.91</v>
      </c>
      <c r="F139" s="10">
        <f t="shared" si="22"/>
        <v>965.00530000000003</v>
      </c>
      <c r="G139" s="10">
        <f t="shared" si="23"/>
        <v>0.90999999789999997</v>
      </c>
      <c r="I139" s="204">
        <v>4</v>
      </c>
      <c r="J139" s="182" t="s">
        <v>146</v>
      </c>
      <c r="K139" s="227">
        <v>8.93</v>
      </c>
      <c r="L139" s="168">
        <v>10100</v>
      </c>
    </row>
    <row r="140" spans="1:18" ht="14.5" customHeight="1">
      <c r="C140" s="11" t="str">
        <f t="shared" si="19"/>
        <v/>
      </c>
      <c r="D140" s="11">
        <f t="shared" si="20"/>
        <v>9.41</v>
      </c>
      <c r="E140" s="10">
        <f t="shared" si="21"/>
        <v>0.95</v>
      </c>
      <c r="F140" s="10" t="str">
        <f t="shared" si="22"/>
        <v/>
      </c>
      <c r="G140" s="10" t="str">
        <f t="shared" si="23"/>
        <v/>
      </c>
      <c r="I140" s="199"/>
      <c r="J140" s="182" t="s">
        <v>1527</v>
      </c>
      <c r="K140" s="227">
        <v>9.8800000000000008</v>
      </c>
      <c r="L140" s="168">
        <v>9100</v>
      </c>
    </row>
    <row r="141" spans="1:18">
      <c r="C141" s="11" t="str">
        <f t="shared" si="19"/>
        <v/>
      </c>
      <c r="D141" s="11">
        <f t="shared" si="20"/>
        <v>8.94</v>
      </c>
      <c r="E141" s="10">
        <f t="shared" si="21"/>
        <v>1</v>
      </c>
      <c r="F141" s="10" t="str">
        <f t="shared" si="22"/>
        <v/>
      </c>
      <c r="G141" s="10" t="str">
        <f t="shared" si="23"/>
        <v/>
      </c>
      <c r="I141" s="204">
        <v>5</v>
      </c>
      <c r="J141" s="25"/>
      <c r="K141" s="227">
        <v>9.41</v>
      </c>
      <c r="L141" s="168">
        <v>9500</v>
      </c>
    </row>
    <row r="142" spans="1:18">
      <c r="C142" s="11" t="str">
        <f t="shared" si="19"/>
        <v>安徽高新毅达皖江产业发展创业投资基金（有限合伙）</v>
      </c>
      <c r="D142" s="11">
        <f t="shared" si="20"/>
        <v>9.66</v>
      </c>
      <c r="E142" s="10">
        <f t="shared" si="21"/>
        <v>0.9</v>
      </c>
      <c r="F142" s="10">
        <f t="shared" si="22"/>
        <v>954.4008</v>
      </c>
      <c r="G142" s="10">
        <f t="shared" si="23"/>
        <v>0.89999995440000002</v>
      </c>
      <c r="I142" s="64"/>
      <c r="J142" s="64"/>
      <c r="K142" s="227">
        <v>8.94</v>
      </c>
      <c r="L142" s="168">
        <v>10000</v>
      </c>
    </row>
    <row r="143" spans="1:18">
      <c r="I143" s="192">
        <v>6</v>
      </c>
      <c r="J143" s="182" t="s">
        <v>1526</v>
      </c>
      <c r="K143" s="278">
        <v>9.66</v>
      </c>
      <c r="L143" s="296">
        <v>9000</v>
      </c>
    </row>
    <row r="144" spans="1:18">
      <c r="C144" s="24" t="str">
        <f>IF(J145=0,"",J145)</f>
        <v/>
      </c>
    </row>
    <row r="146" spans="1:20" s="162" customFormat="1">
      <c r="A146" s="164" t="s">
        <v>1315</v>
      </c>
      <c r="B146" s="164"/>
      <c r="C146" s="164" t="s">
        <v>107</v>
      </c>
      <c r="D146" s="164" t="s">
        <v>4</v>
      </c>
      <c r="E146" s="166" t="s">
        <v>108</v>
      </c>
      <c r="F146" s="166" t="s">
        <v>109</v>
      </c>
      <c r="G146" s="164" t="s">
        <v>1314</v>
      </c>
      <c r="H146" s="164" t="s">
        <v>1313</v>
      </c>
      <c r="I146" s="165" t="s">
        <v>1312</v>
      </c>
      <c r="J146" s="163" t="s">
        <v>1311</v>
      </c>
      <c r="K146" s="163" t="s">
        <v>110</v>
      </c>
      <c r="L146" s="163" t="s">
        <v>1310</v>
      </c>
      <c r="M146" s="164" t="s">
        <v>111</v>
      </c>
      <c r="N146" s="163" t="s">
        <v>949</v>
      </c>
      <c r="O146" s="163" t="s">
        <v>948</v>
      </c>
      <c r="P146" s="163" t="s">
        <v>129</v>
      </c>
    </row>
    <row r="147" spans="1:20">
      <c r="A147" s="24">
        <v>283</v>
      </c>
      <c r="B147" s="161" t="s">
        <v>1525</v>
      </c>
      <c r="C147" s="1" t="s">
        <v>1524</v>
      </c>
      <c r="D147" s="1" t="s">
        <v>1523</v>
      </c>
      <c r="E147" s="3">
        <v>8.5</v>
      </c>
      <c r="F147" s="3">
        <v>8.4999998760000004</v>
      </c>
      <c r="G147" s="2">
        <v>42695</v>
      </c>
      <c r="H147" s="24" t="s">
        <v>151</v>
      </c>
      <c r="I147" s="130">
        <v>27.43</v>
      </c>
      <c r="J147" s="3">
        <v>27.6</v>
      </c>
      <c r="K147" s="160">
        <v>17.55</v>
      </c>
      <c r="L147" s="271">
        <v>1.0061975938753192</v>
      </c>
      <c r="M147" s="270">
        <v>6</v>
      </c>
      <c r="N147" s="2">
        <v>43075</v>
      </c>
      <c r="O147" s="24">
        <v>18.79</v>
      </c>
      <c r="P147" s="157">
        <v>0.68340579710144922</v>
      </c>
    </row>
    <row r="148" spans="1:20">
      <c r="C148" s="16" t="s">
        <v>112</v>
      </c>
      <c r="D148" s="16" t="s">
        <v>113</v>
      </c>
      <c r="E148" s="16" t="s">
        <v>1305</v>
      </c>
      <c r="F148" s="17" t="s">
        <v>1304</v>
      </c>
      <c r="G148" s="16" t="s">
        <v>1303</v>
      </c>
      <c r="I148" s="209" t="s">
        <v>1522</v>
      </c>
      <c r="J148" s="213" t="s">
        <v>7</v>
      </c>
      <c r="K148" s="212" t="s">
        <v>7</v>
      </c>
      <c r="L148" s="209" t="s">
        <v>1521</v>
      </c>
      <c r="M148" s="209" t="s">
        <v>1520</v>
      </c>
      <c r="N148" s="209" t="s">
        <v>1519</v>
      </c>
      <c r="O148" s="212" t="s">
        <v>1518</v>
      </c>
      <c r="P148" s="182"/>
      <c r="Q148" s="85" t="s">
        <v>118</v>
      </c>
      <c r="R148" s="85" t="s">
        <v>349</v>
      </c>
      <c r="S148" s="85" t="s">
        <v>1517</v>
      </c>
      <c r="T148" s="85" t="s">
        <v>1335</v>
      </c>
    </row>
    <row r="149" spans="1:20">
      <c r="C149" s="11" t="str">
        <f t="shared" ref="C149:C180" si="24">IF(J149=0,"",J149)</f>
        <v>金鹰基金管理有限公司</v>
      </c>
      <c r="D149" s="11">
        <f t="shared" ref="D149:D180" si="25">N149</f>
        <v>31.25</v>
      </c>
      <c r="E149" s="11">
        <f t="shared" ref="E149:E180" si="26">O149/100000000</f>
        <v>1.99</v>
      </c>
      <c r="F149" s="11">
        <f t="shared" ref="F149:F180" si="27">IFERROR(VLOOKUP(C149,R$149:S$154,2,FALSE)/10000,"")</f>
        <v>721.01440000000002</v>
      </c>
      <c r="G149" s="10">
        <f t="shared" ref="G149:G159" si="28">IFERROR(F149*J$147/10000,"")</f>
        <v>1.9899997440000003</v>
      </c>
      <c r="I149" s="292">
        <v>1</v>
      </c>
      <c r="J149" s="174" t="s">
        <v>278</v>
      </c>
      <c r="K149" s="214" t="s">
        <v>1325</v>
      </c>
      <c r="L149" s="292" t="s">
        <v>294</v>
      </c>
      <c r="M149" s="292" t="s">
        <v>1515</v>
      </c>
      <c r="N149" s="291">
        <v>31.25</v>
      </c>
      <c r="O149" s="290">
        <v>199000000</v>
      </c>
      <c r="P149" s="182"/>
      <c r="Q149" s="168">
        <v>1</v>
      </c>
      <c r="R149" s="203" t="s">
        <v>564</v>
      </c>
      <c r="S149" s="167">
        <v>9239130</v>
      </c>
      <c r="T149" s="168">
        <v>12</v>
      </c>
    </row>
    <row r="150" spans="1:20">
      <c r="C150" s="11" t="str">
        <f t="shared" si="24"/>
        <v>新华基金管理股份有限公司</v>
      </c>
      <c r="D150" s="11">
        <f t="shared" si="25"/>
        <v>30.25</v>
      </c>
      <c r="E150" s="11">
        <f t="shared" si="26"/>
        <v>1.7</v>
      </c>
      <c r="F150" s="11">
        <f t="shared" si="27"/>
        <v>923.91300000000001</v>
      </c>
      <c r="G150" s="10">
        <f t="shared" si="28"/>
        <v>2.5499998800000001</v>
      </c>
      <c r="I150" s="292">
        <v>2</v>
      </c>
      <c r="J150" s="174" t="s">
        <v>564</v>
      </c>
      <c r="K150" s="174"/>
      <c r="L150" s="203"/>
      <c r="M150" s="174"/>
      <c r="N150" s="291">
        <v>30.25</v>
      </c>
      <c r="O150" s="290">
        <v>170000000</v>
      </c>
      <c r="P150" s="213"/>
      <c r="Q150" s="168">
        <v>2</v>
      </c>
      <c r="R150" s="203" t="s">
        <v>278</v>
      </c>
      <c r="S150" s="167">
        <v>7210144</v>
      </c>
      <c r="T150" s="168">
        <v>12</v>
      </c>
    </row>
    <row r="151" spans="1:20">
      <c r="C151" s="11" t="str">
        <f t="shared" si="24"/>
        <v/>
      </c>
      <c r="D151" s="11">
        <f t="shared" si="25"/>
        <v>28</v>
      </c>
      <c r="E151" s="11">
        <f t="shared" si="26"/>
        <v>2.5499999999999998</v>
      </c>
      <c r="F151" s="11" t="str">
        <f t="shared" si="27"/>
        <v/>
      </c>
      <c r="G151" s="10" t="str">
        <f t="shared" si="28"/>
        <v/>
      </c>
      <c r="I151" s="25"/>
      <c r="J151" s="25"/>
      <c r="K151" s="174" t="s">
        <v>1325</v>
      </c>
      <c r="L151" s="292" t="s">
        <v>294</v>
      </c>
      <c r="M151" s="132" t="s">
        <v>1515</v>
      </c>
      <c r="N151" s="291">
        <v>28</v>
      </c>
      <c r="O151" s="290">
        <v>255000000</v>
      </c>
      <c r="P151" s="182"/>
      <c r="Q151" s="168">
        <v>3</v>
      </c>
      <c r="R151" s="203" t="s">
        <v>371</v>
      </c>
      <c r="S151" s="167">
        <v>6159420</v>
      </c>
      <c r="T151" s="168">
        <v>12</v>
      </c>
    </row>
    <row r="152" spans="1:20">
      <c r="C152" s="11" t="str">
        <f t="shared" si="24"/>
        <v/>
      </c>
      <c r="D152" s="11">
        <f t="shared" si="25"/>
        <v>24.75</v>
      </c>
      <c r="E152" s="11">
        <f t="shared" si="26"/>
        <v>3.2</v>
      </c>
      <c r="F152" s="11" t="str">
        <f t="shared" si="27"/>
        <v/>
      </c>
      <c r="G152" s="10" t="str">
        <f t="shared" si="28"/>
        <v/>
      </c>
      <c r="I152" s="64"/>
      <c r="J152" s="64"/>
      <c r="K152" s="64"/>
      <c r="L152" s="64"/>
      <c r="M152" s="64"/>
      <c r="N152" s="291">
        <v>24.75</v>
      </c>
      <c r="O152" s="290">
        <v>320000000</v>
      </c>
      <c r="P152" s="182"/>
      <c r="Q152" s="168">
        <v>4</v>
      </c>
      <c r="R152" s="203" t="s">
        <v>629</v>
      </c>
      <c r="S152" s="167">
        <v>4619565</v>
      </c>
      <c r="T152" s="168">
        <v>12</v>
      </c>
    </row>
    <row r="153" spans="1:20">
      <c r="C153" s="11" t="str">
        <f t="shared" si="24"/>
        <v>国泰君安创新投资有限公司</v>
      </c>
      <c r="D153" s="11">
        <f t="shared" si="25"/>
        <v>28.5</v>
      </c>
      <c r="E153" s="11">
        <f t="shared" si="26"/>
        <v>0.85</v>
      </c>
      <c r="F153" s="11">
        <f t="shared" si="27"/>
        <v>307.971</v>
      </c>
      <c r="G153" s="10">
        <f t="shared" si="28"/>
        <v>0.84999996000000011</v>
      </c>
      <c r="I153" s="292">
        <v>3</v>
      </c>
      <c r="J153" s="174" t="s">
        <v>1516</v>
      </c>
      <c r="K153" s="174"/>
      <c r="L153" s="203"/>
      <c r="M153" s="174"/>
      <c r="N153" s="291">
        <v>28.5</v>
      </c>
      <c r="O153" s="290">
        <v>85000000</v>
      </c>
      <c r="P153" s="182"/>
      <c r="Q153" s="168">
        <v>5</v>
      </c>
      <c r="R153" s="203" t="s">
        <v>1516</v>
      </c>
      <c r="S153" s="167">
        <v>3079710</v>
      </c>
      <c r="T153" s="168">
        <v>12</v>
      </c>
    </row>
    <row r="154" spans="1:20">
      <c r="C154" s="11" t="str">
        <f t="shared" si="24"/>
        <v/>
      </c>
      <c r="D154" s="11">
        <f t="shared" si="25"/>
        <v>27.5</v>
      </c>
      <c r="E154" s="11">
        <f t="shared" si="26"/>
        <v>0.85</v>
      </c>
      <c r="F154" s="11" t="str">
        <f t="shared" si="27"/>
        <v/>
      </c>
      <c r="G154" s="10" t="str">
        <f t="shared" si="28"/>
        <v/>
      </c>
      <c r="I154" s="25"/>
      <c r="J154" s="25"/>
      <c r="K154" s="174" t="s">
        <v>1506</v>
      </c>
      <c r="L154" s="292" t="s">
        <v>294</v>
      </c>
      <c r="M154" s="132" t="s">
        <v>1515</v>
      </c>
      <c r="N154" s="291">
        <v>27.5</v>
      </c>
      <c r="O154" s="290">
        <v>85000000</v>
      </c>
      <c r="P154" s="182"/>
      <c r="Q154" s="168">
        <v>6</v>
      </c>
      <c r="R154" s="203" t="s">
        <v>1065</v>
      </c>
      <c r="S154" s="167">
        <v>489132</v>
      </c>
      <c r="T154" s="168">
        <v>12</v>
      </c>
    </row>
    <row r="155" spans="1:20">
      <c r="C155" s="11" t="str">
        <f t="shared" si="24"/>
        <v/>
      </c>
      <c r="D155" s="11">
        <f t="shared" si="25"/>
        <v>26.2</v>
      </c>
      <c r="E155" s="11">
        <f t="shared" si="26"/>
        <v>0.85</v>
      </c>
      <c r="F155" s="11" t="str">
        <f t="shared" si="27"/>
        <v/>
      </c>
      <c r="G155" s="10" t="str">
        <f t="shared" si="28"/>
        <v/>
      </c>
      <c r="I155" s="64"/>
      <c r="J155" s="64"/>
      <c r="K155" s="64"/>
      <c r="L155" s="64"/>
      <c r="M155" s="64"/>
      <c r="N155" s="291">
        <v>26.2</v>
      </c>
      <c r="O155" s="290">
        <v>85000000</v>
      </c>
      <c r="P155" s="182"/>
      <c r="Q155" s="227"/>
      <c r="R155" s="85" t="s">
        <v>1293</v>
      </c>
      <c r="S155" s="167">
        <v>30797101</v>
      </c>
      <c r="T155" s="227"/>
    </row>
    <row r="156" spans="1:20">
      <c r="C156" s="11" t="str">
        <f t="shared" si="24"/>
        <v>安信基金管理有限责任公司</v>
      </c>
      <c r="D156" s="11">
        <f t="shared" si="25"/>
        <v>28.26</v>
      </c>
      <c r="E156" s="11">
        <f t="shared" si="26"/>
        <v>1.7</v>
      </c>
      <c r="F156" s="11">
        <f t="shared" si="27"/>
        <v>615.94200000000001</v>
      </c>
      <c r="G156" s="10">
        <f t="shared" si="28"/>
        <v>1.6999999200000002</v>
      </c>
      <c r="I156" s="292">
        <v>4</v>
      </c>
      <c r="J156" s="174" t="s">
        <v>371</v>
      </c>
      <c r="K156" s="214" t="s">
        <v>1325</v>
      </c>
      <c r="L156" s="292" t="s">
        <v>294</v>
      </c>
      <c r="M156" s="292" t="s">
        <v>1515</v>
      </c>
      <c r="N156" s="291">
        <v>28.26</v>
      </c>
      <c r="O156" s="290">
        <v>170000000</v>
      </c>
      <c r="P156" s="294"/>
    </row>
    <row r="157" spans="1:20">
      <c r="C157" s="11" t="str">
        <f t="shared" si="24"/>
        <v>中融基金管理有限公司</v>
      </c>
      <c r="D157" s="11">
        <f t="shared" si="25"/>
        <v>27.7</v>
      </c>
      <c r="E157" s="11">
        <f t="shared" si="26"/>
        <v>1.2749999999999999</v>
      </c>
      <c r="F157" s="11">
        <f t="shared" si="27"/>
        <v>461.95650000000001</v>
      </c>
      <c r="G157" s="10">
        <f t="shared" si="28"/>
        <v>1.2749999400000001</v>
      </c>
      <c r="I157" s="292">
        <v>5</v>
      </c>
      <c r="J157" s="174" t="s">
        <v>629</v>
      </c>
      <c r="K157" s="214" t="s">
        <v>1325</v>
      </c>
      <c r="L157" s="292" t="s">
        <v>294</v>
      </c>
      <c r="M157" s="292" t="s">
        <v>1515</v>
      </c>
      <c r="N157" s="291">
        <v>27.7</v>
      </c>
      <c r="O157" s="290">
        <v>127500000</v>
      </c>
      <c r="P157" s="294"/>
    </row>
    <row r="158" spans="1:20">
      <c r="C158" s="11" t="str">
        <f t="shared" si="24"/>
        <v>红土创新基金管理有限公司</v>
      </c>
      <c r="D158" s="11">
        <f t="shared" si="25"/>
        <v>27.6</v>
      </c>
      <c r="E158" s="11">
        <f t="shared" si="26"/>
        <v>1.0249999999999999</v>
      </c>
      <c r="F158" s="11">
        <f t="shared" si="27"/>
        <v>48.913200000000003</v>
      </c>
      <c r="G158" s="10">
        <f t="shared" si="28"/>
        <v>0.13500043200000003</v>
      </c>
      <c r="I158" s="292">
        <v>6</v>
      </c>
      <c r="J158" s="174" t="s">
        <v>1065</v>
      </c>
      <c r="K158" s="174"/>
      <c r="L158" s="203"/>
      <c r="M158" s="174"/>
      <c r="N158" s="291">
        <v>27.6</v>
      </c>
      <c r="O158" s="290">
        <v>102500000</v>
      </c>
      <c r="P158" s="294"/>
    </row>
    <row r="159" spans="1:20">
      <c r="C159" s="11" t="str">
        <f t="shared" si="24"/>
        <v/>
      </c>
      <c r="D159" s="11">
        <f t="shared" si="25"/>
        <v>26.33</v>
      </c>
      <c r="E159" s="11">
        <f t="shared" si="26"/>
        <v>1.175</v>
      </c>
      <c r="F159" s="11" t="str">
        <f t="shared" si="27"/>
        <v/>
      </c>
      <c r="G159" s="10" t="str">
        <f t="shared" si="28"/>
        <v/>
      </c>
      <c r="I159" s="25"/>
      <c r="J159" s="25"/>
      <c r="K159" s="174" t="s">
        <v>1325</v>
      </c>
      <c r="L159" s="292" t="s">
        <v>294</v>
      </c>
      <c r="M159" s="132" t="s">
        <v>1515</v>
      </c>
      <c r="N159" s="291">
        <v>26.33</v>
      </c>
      <c r="O159" s="290">
        <v>117500000</v>
      </c>
      <c r="P159" s="294"/>
    </row>
    <row r="160" spans="1:20">
      <c r="C160" s="11" t="str">
        <f t="shared" si="24"/>
        <v/>
      </c>
      <c r="D160" s="11">
        <f t="shared" si="25"/>
        <v>25.51</v>
      </c>
      <c r="E160" s="11">
        <f t="shared" si="26"/>
        <v>1.4750000000000001</v>
      </c>
      <c r="F160" s="11" t="str">
        <f t="shared" si="27"/>
        <v/>
      </c>
      <c r="G160" s="11"/>
      <c r="I160" s="64"/>
      <c r="J160" s="64"/>
      <c r="K160" s="64"/>
      <c r="L160" s="64"/>
      <c r="M160" s="64"/>
      <c r="N160" s="291">
        <v>25.51</v>
      </c>
      <c r="O160" s="290">
        <v>147500000</v>
      </c>
      <c r="P160" s="294"/>
    </row>
    <row r="161" spans="3:16">
      <c r="C161" s="11" t="str">
        <f t="shared" si="24"/>
        <v>东方证券股份有限公司</v>
      </c>
      <c r="D161" s="11">
        <f t="shared" si="25"/>
        <v>23.01</v>
      </c>
      <c r="E161" s="11">
        <f t="shared" si="26"/>
        <v>0.85</v>
      </c>
      <c r="F161" s="11" t="str">
        <f t="shared" si="27"/>
        <v/>
      </c>
      <c r="G161" s="11"/>
      <c r="I161" s="292">
        <v>7</v>
      </c>
      <c r="J161" s="174" t="s">
        <v>1055</v>
      </c>
      <c r="K161" s="214" t="s">
        <v>1326</v>
      </c>
      <c r="L161" s="292" t="s">
        <v>294</v>
      </c>
      <c r="M161" s="292" t="s">
        <v>294</v>
      </c>
      <c r="N161" s="291">
        <v>23.01</v>
      </c>
      <c r="O161" s="290">
        <v>85000000</v>
      </c>
      <c r="P161" s="294"/>
    </row>
    <row r="162" spans="3:16">
      <c r="C162" s="11" t="str">
        <f t="shared" si="24"/>
        <v>嘉实基金管理有限公司</v>
      </c>
      <c r="D162" s="11">
        <f t="shared" si="25"/>
        <v>25.45</v>
      </c>
      <c r="E162" s="11">
        <f t="shared" si="26"/>
        <v>0.85</v>
      </c>
      <c r="F162" s="11" t="str">
        <f t="shared" si="27"/>
        <v/>
      </c>
      <c r="G162" s="11"/>
      <c r="I162" s="292">
        <v>8</v>
      </c>
      <c r="J162" s="174" t="s">
        <v>228</v>
      </c>
      <c r="K162" s="174"/>
      <c r="L162" s="203"/>
      <c r="M162" s="203"/>
      <c r="N162" s="291">
        <v>25.45</v>
      </c>
      <c r="O162" s="290">
        <v>85000000</v>
      </c>
      <c r="P162" s="294"/>
    </row>
    <row r="163" spans="3:16">
      <c r="C163" s="11" t="str">
        <f t="shared" si="24"/>
        <v/>
      </c>
      <c r="D163" s="11">
        <f t="shared" si="25"/>
        <v>24.02</v>
      </c>
      <c r="E163" s="11">
        <f t="shared" si="26"/>
        <v>1.2</v>
      </c>
      <c r="F163" s="11" t="str">
        <f t="shared" si="27"/>
        <v/>
      </c>
      <c r="G163" s="11"/>
      <c r="I163" s="25"/>
      <c r="J163" s="25"/>
      <c r="K163" s="174" t="s">
        <v>1325</v>
      </c>
      <c r="L163" s="292" t="s">
        <v>294</v>
      </c>
      <c r="M163" s="292" t="s">
        <v>294</v>
      </c>
      <c r="N163" s="291">
        <v>24.02</v>
      </c>
      <c r="O163" s="290">
        <v>120000000</v>
      </c>
      <c r="P163" s="294"/>
    </row>
    <row r="164" spans="3:16">
      <c r="C164" s="11" t="str">
        <f t="shared" si="24"/>
        <v/>
      </c>
      <c r="D164" s="11">
        <f t="shared" si="25"/>
        <v>23.1</v>
      </c>
      <c r="E164" s="11">
        <f t="shared" si="26"/>
        <v>1.6</v>
      </c>
      <c r="F164" s="11" t="str">
        <f t="shared" si="27"/>
        <v/>
      </c>
      <c r="G164" s="11"/>
      <c r="I164" s="64"/>
      <c r="J164" s="64"/>
      <c r="K164" s="64"/>
      <c r="L164" s="64"/>
      <c r="M164" s="64"/>
      <c r="N164" s="291">
        <v>23.1</v>
      </c>
      <c r="O164" s="290">
        <v>160000000</v>
      </c>
      <c r="P164" s="294"/>
    </row>
    <row r="165" spans="3:16">
      <c r="C165" s="11" t="str">
        <f t="shared" si="24"/>
        <v>乔文东</v>
      </c>
      <c r="D165" s="11">
        <f t="shared" si="25"/>
        <v>23.83</v>
      </c>
      <c r="E165" s="11">
        <f t="shared" si="26"/>
        <v>0.85</v>
      </c>
      <c r="F165" s="11" t="str">
        <f t="shared" si="27"/>
        <v/>
      </c>
      <c r="G165" s="11"/>
      <c r="I165" s="292">
        <v>9</v>
      </c>
      <c r="J165" s="174" t="s">
        <v>1514</v>
      </c>
      <c r="K165" s="174"/>
      <c r="L165" s="203"/>
      <c r="M165" s="203"/>
      <c r="N165" s="291">
        <v>23.83</v>
      </c>
      <c r="O165" s="290">
        <v>85000000</v>
      </c>
      <c r="P165" s="294"/>
    </row>
    <row r="166" spans="3:16">
      <c r="C166" s="11" t="str">
        <f t="shared" si="24"/>
        <v/>
      </c>
      <c r="D166" s="11">
        <f t="shared" si="25"/>
        <v>22.83</v>
      </c>
      <c r="E166" s="11">
        <f t="shared" si="26"/>
        <v>1.1000000000000001</v>
      </c>
      <c r="F166" s="11" t="str">
        <f t="shared" si="27"/>
        <v/>
      </c>
      <c r="G166" s="11"/>
      <c r="I166" s="25"/>
      <c r="J166" s="25"/>
      <c r="K166" s="174" t="s">
        <v>1513</v>
      </c>
      <c r="L166" s="292" t="s">
        <v>294</v>
      </c>
      <c r="M166" s="292" t="s">
        <v>294</v>
      </c>
      <c r="N166" s="291">
        <v>22.83</v>
      </c>
      <c r="O166" s="290">
        <v>110000000</v>
      </c>
      <c r="P166" s="294"/>
    </row>
    <row r="167" spans="3:16">
      <c r="C167" s="11" t="str">
        <f t="shared" si="24"/>
        <v/>
      </c>
      <c r="D167" s="11">
        <f t="shared" si="25"/>
        <v>21.83</v>
      </c>
      <c r="E167" s="11">
        <f t="shared" si="26"/>
        <v>1.3</v>
      </c>
      <c r="F167" s="11" t="str">
        <f t="shared" si="27"/>
        <v/>
      </c>
      <c r="G167" s="11"/>
      <c r="I167" s="64"/>
      <c r="J167" s="64"/>
      <c r="K167" s="64"/>
      <c r="L167" s="64"/>
      <c r="M167" s="64"/>
      <c r="N167" s="291">
        <v>21.83</v>
      </c>
      <c r="O167" s="290">
        <v>130000000</v>
      </c>
      <c r="P167" s="294"/>
    </row>
    <row r="168" spans="3:16">
      <c r="C168" s="11" t="str">
        <f t="shared" si="24"/>
        <v>第一创业证券股份有限公司</v>
      </c>
      <c r="D168" s="11">
        <f t="shared" si="25"/>
        <v>25.02</v>
      </c>
      <c r="E168" s="11">
        <f t="shared" si="26"/>
        <v>1.5</v>
      </c>
      <c r="F168" s="11" t="str">
        <f t="shared" si="27"/>
        <v/>
      </c>
      <c r="G168" s="11"/>
      <c r="I168" s="293">
        <v>10</v>
      </c>
      <c r="J168" s="183" t="s">
        <v>127</v>
      </c>
      <c r="K168" s="183" t="s">
        <v>1326</v>
      </c>
      <c r="L168" s="293" t="s">
        <v>294</v>
      </c>
      <c r="M168" s="293" t="s">
        <v>294</v>
      </c>
      <c r="N168" s="291">
        <v>25.02</v>
      </c>
      <c r="O168" s="290">
        <v>150000000</v>
      </c>
      <c r="P168" s="294"/>
    </row>
    <row r="169" spans="3:16">
      <c r="C169" s="11" t="str">
        <f t="shared" si="24"/>
        <v/>
      </c>
      <c r="D169" s="11">
        <f t="shared" si="25"/>
        <v>23.33</v>
      </c>
      <c r="E169" s="11">
        <f t="shared" si="26"/>
        <v>3</v>
      </c>
      <c r="F169" s="11" t="str">
        <f t="shared" si="27"/>
        <v/>
      </c>
      <c r="G169" s="11"/>
      <c r="I169" s="293"/>
      <c r="J169" s="183"/>
      <c r="K169" s="183"/>
      <c r="L169" s="293"/>
      <c r="M169" s="293"/>
      <c r="N169" s="291">
        <v>23.33</v>
      </c>
      <c r="O169" s="290">
        <v>300000000</v>
      </c>
      <c r="P169" s="294"/>
    </row>
    <row r="170" spans="3:16" ht="14.5" customHeight="1">
      <c r="C170" s="11" t="str">
        <f t="shared" si="24"/>
        <v>民生通惠资产管理有限公司</v>
      </c>
      <c r="D170" s="11">
        <f t="shared" si="25"/>
        <v>21.9</v>
      </c>
      <c r="E170" s="11">
        <f t="shared" si="26"/>
        <v>0.85</v>
      </c>
      <c r="F170" s="11" t="str">
        <f t="shared" si="27"/>
        <v/>
      </c>
      <c r="G170" s="11"/>
      <c r="I170" s="132">
        <v>11</v>
      </c>
      <c r="J170" s="174" t="s">
        <v>351</v>
      </c>
      <c r="K170" s="174"/>
      <c r="L170" s="203"/>
      <c r="M170" s="203"/>
      <c r="N170" s="291">
        <v>21.9</v>
      </c>
      <c r="O170" s="290">
        <v>85000000</v>
      </c>
      <c r="P170" s="294"/>
    </row>
    <row r="171" spans="3:16">
      <c r="C171" s="11" t="str">
        <f t="shared" si="24"/>
        <v/>
      </c>
      <c r="D171" s="11">
        <f t="shared" si="25"/>
        <v>20.5</v>
      </c>
      <c r="E171" s="11">
        <f t="shared" si="26"/>
        <v>1.3</v>
      </c>
      <c r="F171" s="11" t="str">
        <f t="shared" si="27"/>
        <v/>
      </c>
      <c r="G171" s="11"/>
      <c r="I171" s="25"/>
      <c r="J171" s="25"/>
      <c r="K171" s="174" t="s">
        <v>1506</v>
      </c>
      <c r="L171" s="292" t="s">
        <v>294</v>
      </c>
      <c r="M171" s="292" t="s">
        <v>294</v>
      </c>
      <c r="N171" s="291">
        <v>20.5</v>
      </c>
      <c r="O171" s="290">
        <v>130000000</v>
      </c>
      <c r="P171" s="294"/>
    </row>
    <row r="172" spans="3:16">
      <c r="C172" s="11" t="str">
        <f t="shared" si="24"/>
        <v/>
      </c>
      <c r="D172" s="11">
        <f t="shared" si="25"/>
        <v>19.149999999999999</v>
      </c>
      <c r="E172" s="11">
        <f t="shared" si="26"/>
        <v>1.5</v>
      </c>
      <c r="F172" s="11" t="str">
        <f t="shared" si="27"/>
        <v/>
      </c>
      <c r="G172" s="11"/>
      <c r="I172" s="64"/>
      <c r="J172" s="64"/>
      <c r="K172" s="64"/>
      <c r="L172" s="64"/>
      <c r="M172" s="64"/>
      <c r="N172" s="291">
        <v>19.149999999999999</v>
      </c>
      <c r="O172" s="290">
        <v>150000000</v>
      </c>
      <c r="P172" s="294"/>
    </row>
    <row r="173" spans="3:16">
      <c r="C173" s="11" t="str">
        <f t="shared" si="24"/>
        <v>九泰基金管理有限公司</v>
      </c>
      <c r="D173" s="11">
        <f t="shared" si="25"/>
        <v>26.35</v>
      </c>
      <c r="E173" s="11">
        <f t="shared" si="26"/>
        <v>1.1040000000000001</v>
      </c>
      <c r="F173" s="11" t="str">
        <f t="shared" si="27"/>
        <v/>
      </c>
      <c r="G173" s="11"/>
      <c r="I173" s="132">
        <v>12</v>
      </c>
      <c r="J173" s="174" t="s">
        <v>666</v>
      </c>
      <c r="K173" s="174"/>
      <c r="L173" s="203"/>
      <c r="M173" s="203"/>
      <c r="N173" s="291">
        <v>26.35</v>
      </c>
      <c r="O173" s="290">
        <v>110400000</v>
      </c>
      <c r="P173" s="294"/>
    </row>
    <row r="174" spans="3:16">
      <c r="C174" s="11" t="str">
        <f t="shared" si="24"/>
        <v/>
      </c>
      <c r="D174" s="11">
        <f t="shared" si="25"/>
        <v>25.31</v>
      </c>
      <c r="E174" s="11">
        <f t="shared" si="26"/>
        <v>1.7869999999999999</v>
      </c>
      <c r="F174" s="11" t="str">
        <f t="shared" si="27"/>
        <v/>
      </c>
      <c r="G174" s="11"/>
      <c r="I174" s="25"/>
      <c r="J174" s="25"/>
      <c r="K174" s="174" t="s">
        <v>1325</v>
      </c>
      <c r="L174" s="292" t="s">
        <v>294</v>
      </c>
      <c r="M174" s="292" t="s">
        <v>294</v>
      </c>
      <c r="N174" s="291">
        <v>25.31</v>
      </c>
      <c r="O174" s="290">
        <v>178700000</v>
      </c>
      <c r="P174" s="294"/>
    </row>
    <row r="175" spans="3:16">
      <c r="C175" s="11" t="str">
        <f t="shared" si="24"/>
        <v/>
      </c>
      <c r="D175" s="11">
        <f t="shared" si="25"/>
        <v>22.55</v>
      </c>
      <c r="E175" s="11">
        <f t="shared" si="26"/>
        <v>2</v>
      </c>
      <c r="F175" s="11" t="str">
        <f t="shared" si="27"/>
        <v/>
      </c>
      <c r="G175" s="11"/>
      <c r="I175" s="64"/>
      <c r="J175" s="64"/>
      <c r="K175" s="64"/>
      <c r="L175" s="64"/>
      <c r="M175" s="64"/>
      <c r="N175" s="291">
        <v>22.55</v>
      </c>
      <c r="O175" s="290">
        <v>200000000</v>
      </c>
      <c r="P175" s="294"/>
    </row>
    <row r="176" spans="3:16">
      <c r="C176" s="11" t="str">
        <f t="shared" si="24"/>
        <v>申万菱信基金管理有限公司</v>
      </c>
      <c r="D176" s="11">
        <f t="shared" si="25"/>
        <v>21.88</v>
      </c>
      <c r="E176" s="11">
        <f t="shared" si="26"/>
        <v>0.85</v>
      </c>
      <c r="F176" s="11" t="str">
        <f t="shared" si="27"/>
        <v/>
      </c>
      <c r="G176" s="11"/>
      <c r="I176" s="293">
        <v>13</v>
      </c>
      <c r="J176" s="183" t="s">
        <v>121</v>
      </c>
      <c r="K176" s="183" t="s">
        <v>1325</v>
      </c>
      <c r="L176" s="293" t="s">
        <v>294</v>
      </c>
      <c r="M176" s="293" t="s">
        <v>294</v>
      </c>
      <c r="N176" s="291">
        <v>21.88</v>
      </c>
      <c r="O176" s="290">
        <v>85000000</v>
      </c>
      <c r="P176" s="294"/>
    </row>
    <row r="177" spans="3:16">
      <c r="C177" s="11" t="str">
        <f t="shared" si="24"/>
        <v/>
      </c>
      <c r="D177" s="11">
        <f t="shared" si="25"/>
        <v>18.98</v>
      </c>
      <c r="E177" s="11">
        <f t="shared" si="26"/>
        <v>1.7</v>
      </c>
      <c r="F177" s="11" t="str">
        <f t="shared" si="27"/>
        <v/>
      </c>
      <c r="G177" s="11"/>
      <c r="I177" s="293"/>
      <c r="J177" s="183"/>
      <c r="K177" s="183"/>
      <c r="L177" s="293"/>
      <c r="M177" s="293"/>
      <c r="N177" s="291">
        <v>18.98</v>
      </c>
      <c r="O177" s="290">
        <v>170000000</v>
      </c>
      <c r="P177" s="294"/>
    </row>
    <row r="178" spans="3:16" ht="14.5" customHeight="1">
      <c r="C178" s="11" t="str">
        <f t="shared" si="24"/>
        <v>信诚基金管理有限公司</v>
      </c>
      <c r="D178" s="11">
        <f t="shared" si="25"/>
        <v>24.86</v>
      </c>
      <c r="E178" s="11">
        <f t="shared" si="26"/>
        <v>1.3</v>
      </c>
      <c r="F178" s="11" t="str">
        <f t="shared" si="27"/>
        <v/>
      </c>
      <c r="G178" s="11"/>
      <c r="I178" s="292">
        <v>14</v>
      </c>
      <c r="J178" s="174" t="s">
        <v>300</v>
      </c>
      <c r="K178" s="214" t="s">
        <v>1325</v>
      </c>
      <c r="L178" s="292" t="s">
        <v>294</v>
      </c>
      <c r="M178" s="292" t="s">
        <v>294</v>
      </c>
      <c r="N178" s="291">
        <v>24.86</v>
      </c>
      <c r="O178" s="290">
        <v>130000000</v>
      </c>
      <c r="P178" s="294"/>
    </row>
    <row r="179" spans="3:16">
      <c r="C179" s="11" t="str">
        <f t="shared" si="24"/>
        <v>匠星实业有限公司</v>
      </c>
      <c r="D179" s="11">
        <f t="shared" si="25"/>
        <v>25.3</v>
      </c>
      <c r="E179" s="11">
        <f t="shared" si="26"/>
        <v>1.7</v>
      </c>
      <c r="F179" s="11" t="str">
        <f t="shared" si="27"/>
        <v/>
      </c>
      <c r="G179" s="11"/>
      <c r="I179" s="292">
        <v>15</v>
      </c>
      <c r="J179" s="174" t="s">
        <v>1512</v>
      </c>
      <c r="K179" s="214" t="s">
        <v>1506</v>
      </c>
      <c r="L179" s="292" t="s">
        <v>294</v>
      </c>
      <c r="M179" s="292" t="s">
        <v>294</v>
      </c>
      <c r="N179" s="291">
        <v>25.3</v>
      </c>
      <c r="O179" s="290">
        <v>170000000</v>
      </c>
      <c r="P179" s="294"/>
    </row>
    <row r="180" spans="3:16">
      <c r="C180" s="11" t="str">
        <f t="shared" si="24"/>
        <v>天弘基金管理有限公司</v>
      </c>
      <c r="D180" s="11">
        <f t="shared" si="25"/>
        <v>26.13</v>
      </c>
      <c r="E180" s="11">
        <f t="shared" si="26"/>
        <v>1</v>
      </c>
      <c r="F180" s="11" t="str">
        <f t="shared" si="27"/>
        <v/>
      </c>
      <c r="G180" s="11"/>
      <c r="I180" s="293">
        <v>16</v>
      </c>
      <c r="J180" s="183" t="s">
        <v>279</v>
      </c>
      <c r="K180" s="183" t="s">
        <v>1325</v>
      </c>
      <c r="L180" s="293" t="s">
        <v>294</v>
      </c>
      <c r="M180" s="293" t="s">
        <v>294</v>
      </c>
      <c r="N180" s="291">
        <v>26.13</v>
      </c>
      <c r="O180" s="290">
        <v>100000000</v>
      </c>
      <c r="P180" s="294"/>
    </row>
    <row r="181" spans="3:16">
      <c r="C181" s="11" t="str">
        <f t="shared" ref="C181:C209" si="29">IF(J181=0,"",J181)</f>
        <v/>
      </c>
      <c r="D181" s="11">
        <f t="shared" ref="D181:D207" si="30">N181</f>
        <v>24.2</v>
      </c>
      <c r="E181" s="11">
        <f t="shared" ref="E181:E207" si="31">O181/100000000</f>
        <v>1.02</v>
      </c>
      <c r="F181" s="11" t="str">
        <f t="shared" ref="F181:F207" si="32">IFERROR(VLOOKUP(C181,R$149:S$154,2,FALSE)/10000,"")</f>
        <v/>
      </c>
      <c r="G181" s="11"/>
      <c r="I181" s="293"/>
      <c r="J181" s="183"/>
      <c r="K181" s="183"/>
      <c r="L181" s="293"/>
      <c r="M181" s="293"/>
      <c r="N181" s="291">
        <v>24.2</v>
      </c>
      <c r="O181" s="290">
        <v>102000000</v>
      </c>
      <c r="P181" s="294"/>
    </row>
    <row r="182" spans="3:16">
      <c r="C182" s="11" t="str">
        <f t="shared" si="29"/>
        <v>国华人寿保险股份有限公司</v>
      </c>
      <c r="D182" s="11">
        <f t="shared" si="30"/>
        <v>23.66</v>
      </c>
      <c r="E182" s="11">
        <f t="shared" si="31"/>
        <v>1.5</v>
      </c>
      <c r="F182" s="11" t="str">
        <f t="shared" si="32"/>
        <v/>
      </c>
      <c r="G182" s="11"/>
      <c r="I182" s="292">
        <v>17</v>
      </c>
      <c r="J182" s="174" t="s">
        <v>320</v>
      </c>
      <c r="K182" s="214" t="s">
        <v>1506</v>
      </c>
      <c r="L182" s="292" t="s">
        <v>294</v>
      </c>
      <c r="M182" s="292" t="s">
        <v>294</v>
      </c>
      <c r="N182" s="291">
        <v>23.66</v>
      </c>
      <c r="O182" s="290">
        <v>150000000</v>
      </c>
      <c r="P182" s="294"/>
    </row>
    <row r="183" spans="3:16">
      <c r="C183" s="11" t="str">
        <f t="shared" si="29"/>
        <v>鹏华资产管理（深圳）有限公司</v>
      </c>
      <c r="D183" s="11">
        <f t="shared" si="30"/>
        <v>26.9</v>
      </c>
      <c r="E183" s="11">
        <f t="shared" si="31"/>
        <v>0.85</v>
      </c>
      <c r="F183" s="11" t="str">
        <f t="shared" si="32"/>
        <v/>
      </c>
      <c r="G183" s="11"/>
      <c r="I183" s="293">
        <v>18</v>
      </c>
      <c r="J183" s="174" t="s">
        <v>1511</v>
      </c>
      <c r="K183" s="183" t="s">
        <v>1506</v>
      </c>
      <c r="L183" s="293"/>
      <c r="M183" s="293"/>
      <c r="N183" s="293">
        <v>26.9</v>
      </c>
      <c r="O183" s="295">
        <v>85000000</v>
      </c>
      <c r="P183" s="294"/>
    </row>
    <row r="184" spans="3:16">
      <c r="C184" s="11" t="str">
        <f t="shared" si="29"/>
        <v>北信瑞丰基金管理有限公司</v>
      </c>
      <c r="D184" s="11">
        <f t="shared" si="30"/>
        <v>27.5</v>
      </c>
      <c r="E184" s="11">
        <f t="shared" si="31"/>
        <v>1.01</v>
      </c>
      <c r="F184" s="11" t="str">
        <f t="shared" si="32"/>
        <v/>
      </c>
      <c r="G184" s="11"/>
      <c r="I184" s="132">
        <v>19</v>
      </c>
      <c r="J184" s="174" t="s">
        <v>336</v>
      </c>
      <c r="K184" s="174"/>
      <c r="L184" s="203"/>
      <c r="M184" s="203"/>
      <c r="N184" s="291">
        <v>27.5</v>
      </c>
      <c r="O184" s="290">
        <v>101000000</v>
      </c>
      <c r="P184" s="294"/>
    </row>
    <row r="185" spans="3:16">
      <c r="C185" s="11" t="str">
        <f t="shared" si="29"/>
        <v/>
      </c>
      <c r="D185" s="11">
        <f t="shared" si="30"/>
        <v>26.4</v>
      </c>
      <c r="E185" s="11">
        <f t="shared" si="31"/>
        <v>1.1000000000000001</v>
      </c>
      <c r="F185" s="11" t="str">
        <f t="shared" si="32"/>
        <v/>
      </c>
      <c r="G185" s="11"/>
      <c r="I185" s="25"/>
      <c r="J185" s="25"/>
      <c r="K185" s="174" t="s">
        <v>1325</v>
      </c>
      <c r="L185" s="292" t="s">
        <v>294</v>
      </c>
      <c r="M185" s="292" t="s">
        <v>294</v>
      </c>
      <c r="N185" s="291">
        <v>26.4</v>
      </c>
      <c r="O185" s="290">
        <v>110000000</v>
      </c>
      <c r="P185" s="294"/>
    </row>
    <row r="186" spans="3:16">
      <c r="C186" s="11" t="str">
        <f t="shared" si="29"/>
        <v/>
      </c>
      <c r="D186" s="11">
        <f t="shared" si="30"/>
        <v>24.75</v>
      </c>
      <c r="E186" s="11">
        <f t="shared" si="31"/>
        <v>1.19</v>
      </c>
      <c r="F186" s="11" t="str">
        <f t="shared" si="32"/>
        <v/>
      </c>
      <c r="G186" s="11"/>
      <c r="I186" s="64"/>
      <c r="J186" s="64"/>
      <c r="K186" s="64"/>
      <c r="L186" s="64"/>
      <c r="M186" s="64"/>
      <c r="N186" s="291">
        <v>24.75</v>
      </c>
      <c r="O186" s="290">
        <v>119000000</v>
      </c>
      <c r="P186" s="294"/>
    </row>
    <row r="187" spans="3:16">
      <c r="C187" s="11" t="str">
        <f t="shared" si="29"/>
        <v>东吴基金管理有限公司</v>
      </c>
      <c r="D187" s="11">
        <f t="shared" si="30"/>
        <v>25.01</v>
      </c>
      <c r="E187" s="11">
        <f t="shared" si="31"/>
        <v>0.86</v>
      </c>
      <c r="F187" s="11" t="str">
        <f t="shared" si="32"/>
        <v/>
      </c>
      <c r="G187" s="11"/>
      <c r="I187" s="292">
        <v>20</v>
      </c>
      <c r="J187" s="174" t="s">
        <v>974</v>
      </c>
      <c r="K187" s="214" t="s">
        <v>1325</v>
      </c>
      <c r="L187" s="292" t="s">
        <v>294</v>
      </c>
      <c r="M187" s="292" t="s">
        <v>294</v>
      </c>
      <c r="N187" s="291">
        <v>25.01</v>
      </c>
      <c r="O187" s="290">
        <v>86000000</v>
      </c>
      <c r="P187" s="294"/>
    </row>
    <row r="188" spans="3:16">
      <c r="C188" s="11" t="str">
        <f t="shared" si="29"/>
        <v>重庆信三威投资咨询中心（有限合伙）</v>
      </c>
      <c r="D188" s="11">
        <f t="shared" si="30"/>
        <v>24.5</v>
      </c>
      <c r="E188" s="11">
        <f t="shared" si="31"/>
        <v>0.88</v>
      </c>
      <c r="F188" s="11" t="str">
        <f t="shared" si="32"/>
        <v/>
      </c>
      <c r="G188" s="11"/>
      <c r="I188" s="203"/>
      <c r="J188" s="174" t="s">
        <v>1510</v>
      </c>
      <c r="K188" s="174"/>
      <c r="L188" s="203"/>
      <c r="M188" s="203"/>
      <c r="N188" s="291">
        <v>24.5</v>
      </c>
      <c r="O188" s="290">
        <v>88000000</v>
      </c>
      <c r="P188" s="294"/>
    </row>
    <row r="189" spans="3:16">
      <c r="C189" s="11" t="str">
        <f t="shared" si="29"/>
        <v/>
      </c>
      <c r="D189" s="11">
        <f t="shared" si="30"/>
        <v>20.2</v>
      </c>
      <c r="E189" s="11">
        <f t="shared" si="31"/>
        <v>1.1000000000000001</v>
      </c>
      <c r="F189" s="11" t="str">
        <f t="shared" si="32"/>
        <v/>
      </c>
      <c r="G189" s="11"/>
      <c r="I189" s="132">
        <v>21</v>
      </c>
      <c r="J189" s="174"/>
      <c r="K189" s="174" t="s">
        <v>1506</v>
      </c>
      <c r="L189" s="292" t="s">
        <v>294</v>
      </c>
      <c r="M189" s="292" t="s">
        <v>294</v>
      </c>
      <c r="N189" s="291">
        <v>20.2</v>
      </c>
      <c r="O189" s="290">
        <v>110000000</v>
      </c>
      <c r="P189" s="294"/>
    </row>
    <row r="190" spans="3:16">
      <c r="C190" s="11" t="str">
        <f t="shared" si="29"/>
        <v/>
      </c>
      <c r="D190" s="11">
        <f t="shared" si="30"/>
        <v>18.2</v>
      </c>
      <c r="E190" s="11">
        <f t="shared" si="31"/>
        <v>1.7</v>
      </c>
      <c r="F190" s="11" t="str">
        <f t="shared" si="32"/>
        <v/>
      </c>
      <c r="G190" s="11"/>
      <c r="I190" s="64"/>
      <c r="J190" s="64"/>
      <c r="K190" s="64"/>
      <c r="L190" s="64"/>
      <c r="M190" s="64"/>
      <c r="N190" s="291">
        <v>18.2</v>
      </c>
      <c r="O190" s="290">
        <v>170000000</v>
      </c>
      <c r="P190" s="294"/>
    </row>
    <row r="191" spans="3:16">
      <c r="C191" s="11" t="str">
        <f t="shared" si="29"/>
        <v>平安大华基金管理有限公司</v>
      </c>
      <c r="D191" s="11">
        <f t="shared" si="30"/>
        <v>24.38</v>
      </c>
      <c r="E191" s="11">
        <f t="shared" si="31"/>
        <v>1.29</v>
      </c>
      <c r="F191" s="11" t="str">
        <f t="shared" si="32"/>
        <v/>
      </c>
      <c r="G191" s="11"/>
      <c r="I191" s="293">
        <v>22</v>
      </c>
      <c r="J191" s="183" t="s">
        <v>146</v>
      </c>
      <c r="K191" s="183" t="s">
        <v>1325</v>
      </c>
      <c r="L191" s="293" t="s">
        <v>294</v>
      </c>
      <c r="M191" s="293" t="s">
        <v>294</v>
      </c>
      <c r="N191" s="291">
        <v>24.38</v>
      </c>
      <c r="O191" s="290">
        <v>129000000</v>
      </c>
      <c r="P191" s="294"/>
    </row>
    <row r="192" spans="3:16">
      <c r="C192" s="11" t="str">
        <f t="shared" si="29"/>
        <v/>
      </c>
      <c r="D192" s="11">
        <f t="shared" si="30"/>
        <v>23.37</v>
      </c>
      <c r="E192" s="11">
        <f t="shared" si="31"/>
        <v>1.44</v>
      </c>
      <c r="F192" s="11" t="str">
        <f t="shared" si="32"/>
        <v/>
      </c>
      <c r="G192" s="11"/>
      <c r="I192" s="293"/>
      <c r="J192" s="183"/>
      <c r="K192" s="183"/>
      <c r="L192" s="293"/>
      <c r="M192" s="293"/>
      <c r="N192" s="291">
        <v>23.37</v>
      </c>
      <c r="O192" s="290">
        <v>144000000</v>
      </c>
      <c r="P192" s="294"/>
    </row>
    <row r="193" spans="3:16">
      <c r="C193" s="11" t="str">
        <f t="shared" si="29"/>
        <v>华安基金管理有限公司</v>
      </c>
      <c r="D193" s="11">
        <f t="shared" si="30"/>
        <v>26.3</v>
      </c>
      <c r="E193" s="11">
        <f t="shared" si="31"/>
        <v>1</v>
      </c>
      <c r="F193" s="11" t="str">
        <f t="shared" si="32"/>
        <v/>
      </c>
      <c r="G193" s="11"/>
      <c r="I193" s="293">
        <v>23</v>
      </c>
      <c r="J193" s="183" t="s">
        <v>136</v>
      </c>
      <c r="K193" s="183" t="s">
        <v>1325</v>
      </c>
      <c r="L193" s="293" t="s">
        <v>294</v>
      </c>
      <c r="M193" s="293" t="s">
        <v>294</v>
      </c>
      <c r="N193" s="291">
        <v>26.3</v>
      </c>
      <c r="O193" s="290">
        <v>100000000</v>
      </c>
      <c r="P193" s="294"/>
    </row>
    <row r="194" spans="3:16" ht="14.5" customHeight="1">
      <c r="C194" s="11" t="str">
        <f t="shared" si="29"/>
        <v/>
      </c>
      <c r="D194" s="11">
        <f t="shared" si="30"/>
        <v>26.12</v>
      </c>
      <c r="E194" s="11">
        <f t="shared" si="31"/>
        <v>1.464</v>
      </c>
      <c r="F194" s="11" t="str">
        <f t="shared" si="32"/>
        <v/>
      </c>
      <c r="G194" s="11"/>
      <c r="I194" s="293"/>
      <c r="J194" s="183"/>
      <c r="K194" s="183"/>
      <c r="L194" s="293"/>
      <c r="M194" s="293"/>
      <c r="N194" s="291">
        <v>26.12</v>
      </c>
      <c r="O194" s="290">
        <v>146400000</v>
      </c>
      <c r="P194" s="294"/>
    </row>
    <row r="195" spans="3:16">
      <c r="C195" s="11" t="str">
        <f t="shared" si="29"/>
        <v>财通基金管理有限公司</v>
      </c>
      <c r="D195" s="11">
        <f t="shared" si="30"/>
        <v>26.12</v>
      </c>
      <c r="E195" s="11">
        <f t="shared" si="31"/>
        <v>1.6779999999999999</v>
      </c>
      <c r="F195" s="11" t="str">
        <f t="shared" si="32"/>
        <v/>
      </c>
      <c r="G195" s="11"/>
      <c r="I195" s="293">
        <v>24</v>
      </c>
      <c r="J195" s="183" t="s">
        <v>115</v>
      </c>
      <c r="K195" s="183" t="s">
        <v>1325</v>
      </c>
      <c r="L195" s="293" t="s">
        <v>294</v>
      </c>
      <c r="M195" s="293" t="s">
        <v>294</v>
      </c>
      <c r="N195" s="291">
        <v>26.12</v>
      </c>
      <c r="O195" s="290">
        <v>167800000</v>
      </c>
      <c r="P195" s="294"/>
    </row>
    <row r="196" spans="3:16">
      <c r="C196" s="11" t="str">
        <f t="shared" si="29"/>
        <v/>
      </c>
      <c r="D196" s="11">
        <f t="shared" si="30"/>
        <v>24.75</v>
      </c>
      <c r="E196" s="11">
        <f t="shared" si="31"/>
        <v>4.25</v>
      </c>
      <c r="F196" s="11" t="str">
        <f t="shared" si="32"/>
        <v/>
      </c>
      <c r="G196" s="11"/>
      <c r="I196" s="293"/>
      <c r="J196" s="183"/>
      <c r="K196" s="183"/>
      <c r="L196" s="293"/>
      <c r="M196" s="293"/>
      <c r="N196" s="291">
        <v>24.75</v>
      </c>
      <c r="O196" s="290">
        <v>425000000</v>
      </c>
      <c r="P196" s="294"/>
    </row>
    <row r="197" spans="3:16">
      <c r="C197" s="11" t="str">
        <f t="shared" si="29"/>
        <v>汇安基金管理有限责任公司</v>
      </c>
      <c r="D197" s="11">
        <f t="shared" si="30"/>
        <v>25.82</v>
      </c>
      <c r="E197" s="11">
        <f t="shared" si="31"/>
        <v>0.85</v>
      </c>
      <c r="F197" s="11" t="str">
        <f t="shared" si="32"/>
        <v/>
      </c>
      <c r="G197" s="11"/>
      <c r="I197" s="292">
        <v>25</v>
      </c>
      <c r="J197" s="214" t="s">
        <v>1509</v>
      </c>
      <c r="K197" s="214" t="s">
        <v>1325</v>
      </c>
      <c r="L197" s="292" t="s">
        <v>294</v>
      </c>
      <c r="M197" s="292" t="s">
        <v>294</v>
      </c>
      <c r="N197" s="291">
        <v>25.82</v>
      </c>
      <c r="O197" s="290">
        <v>85000000</v>
      </c>
      <c r="P197" s="294"/>
    </row>
    <row r="198" spans="3:16">
      <c r="C198" s="11" t="str">
        <f t="shared" si="29"/>
        <v>银华基金管理股份有限公司</v>
      </c>
      <c r="D198" s="11">
        <f t="shared" si="30"/>
        <v>26.26</v>
      </c>
      <c r="E198" s="11">
        <f t="shared" si="31"/>
        <v>1.8</v>
      </c>
      <c r="F198" s="11" t="str">
        <f t="shared" si="32"/>
        <v/>
      </c>
      <c r="G198" s="11"/>
      <c r="I198" s="292">
        <v>26</v>
      </c>
      <c r="J198" s="214" t="s">
        <v>982</v>
      </c>
      <c r="K198" s="214" t="s">
        <v>1325</v>
      </c>
      <c r="L198" s="292" t="s">
        <v>294</v>
      </c>
      <c r="M198" s="292" t="s">
        <v>294</v>
      </c>
      <c r="N198" s="291">
        <v>26.26</v>
      </c>
      <c r="O198" s="290">
        <v>180000000</v>
      </c>
      <c r="P198" s="294"/>
    </row>
    <row r="199" spans="3:16">
      <c r="C199" s="11" t="str">
        <f t="shared" si="29"/>
        <v>诺安基金管理有限公司</v>
      </c>
      <c r="D199" s="11">
        <f t="shared" si="30"/>
        <v>20.96</v>
      </c>
      <c r="E199" s="11">
        <f t="shared" si="31"/>
        <v>0.85</v>
      </c>
      <c r="F199" s="11" t="str">
        <f t="shared" si="32"/>
        <v/>
      </c>
      <c r="G199" s="11"/>
      <c r="I199" s="293">
        <v>27</v>
      </c>
      <c r="J199" s="183" t="s">
        <v>147</v>
      </c>
      <c r="K199" s="183" t="s">
        <v>1325</v>
      </c>
      <c r="L199" s="293" t="s">
        <v>294</v>
      </c>
      <c r="M199" s="293" t="s">
        <v>294</v>
      </c>
      <c r="N199" s="291">
        <v>20.96</v>
      </c>
      <c r="O199" s="290">
        <v>85000000</v>
      </c>
      <c r="P199" s="294"/>
    </row>
    <row r="200" spans="3:16">
      <c r="C200" s="11" t="str">
        <f t="shared" si="29"/>
        <v/>
      </c>
      <c r="D200" s="11">
        <f t="shared" si="30"/>
        <v>20.8</v>
      </c>
      <c r="E200" s="11">
        <f t="shared" si="31"/>
        <v>1.29</v>
      </c>
      <c r="F200" s="11" t="str">
        <f t="shared" si="32"/>
        <v/>
      </c>
      <c r="G200" s="11"/>
      <c r="I200" s="293"/>
      <c r="J200" s="183"/>
      <c r="K200" s="183"/>
      <c r="L200" s="293"/>
      <c r="M200" s="293"/>
      <c r="N200" s="291">
        <v>20.8</v>
      </c>
      <c r="O200" s="290">
        <v>129000000</v>
      </c>
    </row>
    <row r="201" spans="3:16">
      <c r="C201" s="11" t="str">
        <f t="shared" si="29"/>
        <v>华泰柏瑞基金管理有限公司</v>
      </c>
      <c r="D201" s="11">
        <f t="shared" si="30"/>
        <v>22.22</v>
      </c>
      <c r="E201" s="11">
        <f t="shared" si="31"/>
        <v>1.3</v>
      </c>
      <c r="F201" s="11" t="str">
        <f t="shared" si="32"/>
        <v/>
      </c>
      <c r="G201" s="11"/>
      <c r="I201" s="292">
        <v>28</v>
      </c>
      <c r="J201" s="214" t="s">
        <v>122</v>
      </c>
      <c r="K201" s="214" t="s">
        <v>1325</v>
      </c>
      <c r="L201" s="292" t="s">
        <v>294</v>
      </c>
      <c r="M201" s="292" t="s">
        <v>294</v>
      </c>
      <c r="N201" s="291">
        <v>22.22</v>
      </c>
      <c r="O201" s="290">
        <v>130000000</v>
      </c>
    </row>
    <row r="202" spans="3:16">
      <c r="C202" s="11" t="str">
        <f t="shared" si="29"/>
        <v>国信国投基金管理（北京） 有限公司</v>
      </c>
      <c r="D202" s="11">
        <f t="shared" si="30"/>
        <v>27</v>
      </c>
      <c r="E202" s="11">
        <f t="shared" si="31"/>
        <v>1.7</v>
      </c>
      <c r="F202" s="11" t="str">
        <f t="shared" si="32"/>
        <v/>
      </c>
      <c r="G202" s="11"/>
      <c r="I202" s="203"/>
      <c r="J202" s="183" t="s">
        <v>1508</v>
      </c>
      <c r="K202" s="174"/>
      <c r="L202" s="203"/>
      <c r="M202" s="203"/>
      <c r="N202" s="291">
        <v>27</v>
      </c>
      <c r="O202" s="290">
        <v>170000000</v>
      </c>
    </row>
    <row r="203" spans="3:16">
      <c r="C203" s="11" t="str">
        <f t="shared" si="29"/>
        <v/>
      </c>
      <c r="D203" s="11">
        <f t="shared" si="30"/>
        <v>26.5</v>
      </c>
      <c r="E203" s="11">
        <f t="shared" si="31"/>
        <v>1.7</v>
      </c>
      <c r="F203" s="11" t="str">
        <f t="shared" si="32"/>
        <v/>
      </c>
      <c r="G203" s="11"/>
      <c r="I203" s="132">
        <v>29</v>
      </c>
      <c r="J203" s="183"/>
      <c r="K203" s="174" t="s">
        <v>1506</v>
      </c>
      <c r="L203" s="292" t="s">
        <v>294</v>
      </c>
      <c r="M203" s="292" t="s">
        <v>294</v>
      </c>
      <c r="N203" s="291">
        <v>26.5</v>
      </c>
      <c r="O203" s="290">
        <v>170000000</v>
      </c>
    </row>
    <row r="204" spans="3:16">
      <c r="C204" s="11" t="str">
        <f t="shared" si="29"/>
        <v/>
      </c>
      <c r="D204" s="11">
        <f t="shared" si="30"/>
        <v>25.5</v>
      </c>
      <c r="E204" s="11">
        <f t="shared" si="31"/>
        <v>1.7</v>
      </c>
      <c r="F204" s="11" t="str">
        <f t="shared" si="32"/>
        <v/>
      </c>
      <c r="G204" s="11"/>
      <c r="I204" s="64"/>
      <c r="J204" s="183"/>
      <c r="K204" s="64"/>
      <c r="L204" s="64"/>
      <c r="M204" s="64"/>
      <c r="N204" s="291">
        <v>25.5</v>
      </c>
      <c r="O204" s="290">
        <v>170000000</v>
      </c>
    </row>
    <row r="205" spans="3:16" ht="14.5" customHeight="1">
      <c r="C205" s="11" t="str">
        <f t="shared" si="29"/>
        <v>汇添富基金管理股份有限公司</v>
      </c>
      <c r="D205" s="11">
        <f t="shared" si="30"/>
        <v>26.7</v>
      </c>
      <c r="E205" s="11">
        <f t="shared" si="31"/>
        <v>0.85</v>
      </c>
      <c r="F205" s="11" t="str">
        <f t="shared" si="32"/>
        <v/>
      </c>
      <c r="G205" s="11"/>
      <c r="I205" s="293">
        <v>30</v>
      </c>
      <c r="J205" s="174" t="s">
        <v>1507</v>
      </c>
      <c r="K205" s="183" t="s">
        <v>1325</v>
      </c>
      <c r="L205" s="293" t="s">
        <v>294</v>
      </c>
      <c r="M205" s="293" t="s">
        <v>294</v>
      </c>
      <c r="N205" s="291">
        <v>26.7</v>
      </c>
      <c r="O205" s="290">
        <v>85000000</v>
      </c>
    </row>
    <row r="206" spans="3:16">
      <c r="C206" s="11" t="str">
        <f t="shared" si="29"/>
        <v/>
      </c>
      <c r="D206" s="11">
        <f t="shared" si="30"/>
        <v>26.15</v>
      </c>
      <c r="E206" s="11">
        <f t="shared" si="31"/>
        <v>1.1499999999999999</v>
      </c>
      <c r="F206" s="11" t="str">
        <f t="shared" si="32"/>
        <v/>
      </c>
      <c r="G206" s="11"/>
      <c r="I206" s="293"/>
      <c r="J206" s="174"/>
      <c r="K206" s="183"/>
      <c r="L206" s="293"/>
      <c r="M206" s="293"/>
      <c r="N206" s="291">
        <v>26.15</v>
      </c>
      <c r="O206" s="290">
        <v>115000000</v>
      </c>
    </row>
    <row r="207" spans="3:16">
      <c r="C207" s="11" t="str">
        <f t="shared" si="29"/>
        <v>兴证证券资产管理有限公司</v>
      </c>
      <c r="D207" s="11">
        <f t="shared" si="30"/>
        <v>26.2</v>
      </c>
      <c r="E207" s="11">
        <f t="shared" si="31"/>
        <v>0.85</v>
      </c>
      <c r="F207" s="11" t="str">
        <f t="shared" si="32"/>
        <v/>
      </c>
      <c r="G207" s="11"/>
      <c r="I207" s="292">
        <v>31</v>
      </c>
      <c r="J207" s="214" t="s">
        <v>150</v>
      </c>
      <c r="K207" s="214" t="s">
        <v>1506</v>
      </c>
      <c r="L207" s="292" t="s">
        <v>294</v>
      </c>
      <c r="M207" s="292" t="s">
        <v>294</v>
      </c>
      <c r="N207" s="291">
        <v>26.2</v>
      </c>
      <c r="O207" s="290">
        <v>85000000</v>
      </c>
    </row>
    <row r="208" spans="3:16">
      <c r="C208" s="24" t="str">
        <f t="shared" si="29"/>
        <v/>
      </c>
    </row>
    <row r="209" spans="1:18">
      <c r="C209" s="24" t="str">
        <f t="shared" si="29"/>
        <v/>
      </c>
    </row>
    <row r="211" spans="1:18" s="162" customFormat="1">
      <c r="A211" s="164" t="s">
        <v>1315</v>
      </c>
      <c r="B211" s="164"/>
      <c r="C211" s="164" t="s">
        <v>107</v>
      </c>
      <c r="D211" s="164" t="s">
        <v>4</v>
      </c>
      <c r="E211" s="166" t="s">
        <v>108</v>
      </c>
      <c r="F211" s="166" t="s">
        <v>109</v>
      </c>
      <c r="G211" s="164" t="s">
        <v>1314</v>
      </c>
      <c r="H211" s="164" t="s">
        <v>1313</v>
      </c>
      <c r="I211" s="165" t="s">
        <v>1312</v>
      </c>
      <c r="J211" s="163" t="s">
        <v>1311</v>
      </c>
      <c r="K211" s="163" t="s">
        <v>110</v>
      </c>
      <c r="L211" s="163" t="s">
        <v>1310</v>
      </c>
      <c r="M211" s="164" t="s">
        <v>111</v>
      </c>
      <c r="N211" s="163" t="s">
        <v>949</v>
      </c>
      <c r="O211" s="163" t="s">
        <v>948</v>
      </c>
      <c r="P211" s="163" t="s">
        <v>129</v>
      </c>
    </row>
    <row r="212" spans="1:18">
      <c r="A212" s="24">
        <v>284</v>
      </c>
      <c r="B212" s="161" t="s">
        <v>1505</v>
      </c>
      <c r="C212" s="1" t="s">
        <v>1504</v>
      </c>
      <c r="D212" s="1" t="s">
        <v>1503</v>
      </c>
      <c r="E212" s="3">
        <v>6</v>
      </c>
      <c r="F212" s="3">
        <v>5.9999999019999999</v>
      </c>
      <c r="G212" s="2">
        <v>42697</v>
      </c>
      <c r="H212" s="24" t="s">
        <v>153</v>
      </c>
      <c r="I212" s="130">
        <v>17.02</v>
      </c>
      <c r="J212" s="3">
        <v>17.350000000000001</v>
      </c>
      <c r="K212" s="160">
        <v>12.16</v>
      </c>
      <c r="L212" s="271">
        <v>1.0193889541715631</v>
      </c>
      <c r="M212" s="270">
        <v>7</v>
      </c>
      <c r="N212" s="2">
        <v>43076</v>
      </c>
      <c r="O212" s="24">
        <v>16.12</v>
      </c>
      <c r="P212" s="157">
        <v>0.94063400576368872</v>
      </c>
    </row>
    <row r="213" spans="1:18">
      <c r="C213" s="16" t="s">
        <v>112</v>
      </c>
      <c r="D213" s="16" t="s">
        <v>113</v>
      </c>
      <c r="E213" s="16" t="s">
        <v>1305</v>
      </c>
      <c r="F213" s="17" t="s">
        <v>1304</v>
      </c>
      <c r="G213" s="16" t="s">
        <v>1303</v>
      </c>
      <c r="I213" s="289" t="s">
        <v>1499</v>
      </c>
      <c r="J213" s="289" t="s">
        <v>1502</v>
      </c>
      <c r="K213" s="288" t="s">
        <v>1501</v>
      </c>
      <c r="L213" s="287" t="s">
        <v>1500</v>
      </c>
      <c r="N213" s="200" t="s">
        <v>1499</v>
      </c>
      <c r="O213" s="286" t="s">
        <v>1498</v>
      </c>
      <c r="P213" s="200" t="s">
        <v>1497</v>
      </c>
      <c r="Q213" s="200" t="s">
        <v>1496</v>
      </c>
      <c r="R213" s="286" t="s">
        <v>1495</v>
      </c>
    </row>
    <row r="214" spans="1:18">
      <c r="C214" s="11" t="str">
        <f t="shared" ref="C214:C245" si="33">IF(J214=0,"",J214)</f>
        <v xml:space="preserve">创金合信基金管理有限公司 </v>
      </c>
      <c r="D214" s="11">
        <f t="shared" ref="D214:D245" si="34">K214</f>
        <v>18.98</v>
      </c>
      <c r="E214" s="11">
        <f t="shared" ref="E214:E245" si="35">L214/100000000</f>
        <v>1.24</v>
      </c>
      <c r="F214" s="10">
        <f>R214/10000</f>
        <v>720.46100000000001</v>
      </c>
      <c r="G214" s="10">
        <f>F214*J$212/10000</f>
        <v>1.2499998350000001</v>
      </c>
      <c r="I214" s="227">
        <v>1</v>
      </c>
      <c r="J214" s="182" t="s">
        <v>1494</v>
      </c>
      <c r="K214" s="277">
        <v>18.98</v>
      </c>
      <c r="L214" s="279">
        <v>124000000</v>
      </c>
      <c r="N214" s="190">
        <v>1</v>
      </c>
      <c r="O214" s="25" t="s">
        <v>1493</v>
      </c>
      <c r="P214" s="168">
        <v>18.149999999999999</v>
      </c>
      <c r="Q214" s="167">
        <v>12500</v>
      </c>
      <c r="R214" s="236">
        <v>7204610</v>
      </c>
    </row>
    <row r="215" spans="1:18">
      <c r="C215" s="11" t="str">
        <f t="shared" si="33"/>
        <v/>
      </c>
      <c r="D215" s="11">
        <f t="shared" si="34"/>
        <v>18.149999999999999</v>
      </c>
      <c r="E215" s="11">
        <f t="shared" si="35"/>
        <v>1.25</v>
      </c>
      <c r="F215" s="11"/>
      <c r="G215" s="10"/>
      <c r="I215" s="25"/>
      <c r="J215" s="25"/>
      <c r="K215" s="277">
        <v>18.149999999999999</v>
      </c>
      <c r="L215" s="279">
        <v>125000000</v>
      </c>
      <c r="N215" s="190">
        <v>2</v>
      </c>
      <c r="O215" s="25" t="s">
        <v>1420</v>
      </c>
      <c r="P215" s="168">
        <v>17.510000000000002</v>
      </c>
      <c r="Q215" s="167">
        <v>12000</v>
      </c>
      <c r="R215" s="236">
        <v>6916426</v>
      </c>
    </row>
    <row r="216" spans="1:18">
      <c r="C216" s="11" t="str">
        <f t="shared" si="33"/>
        <v/>
      </c>
      <c r="D216" s="11">
        <f t="shared" si="34"/>
        <v>16.75</v>
      </c>
      <c r="E216" s="11">
        <f t="shared" si="35"/>
        <v>1.28</v>
      </c>
      <c r="F216" s="11"/>
      <c r="G216" s="10"/>
      <c r="I216" s="64"/>
      <c r="J216" s="64"/>
      <c r="K216" s="277">
        <v>16.75</v>
      </c>
      <c r="L216" s="279">
        <v>128000000</v>
      </c>
      <c r="N216" s="190">
        <v>3</v>
      </c>
      <c r="O216" s="25" t="s">
        <v>1492</v>
      </c>
      <c r="P216" s="168">
        <v>17.510000000000002</v>
      </c>
      <c r="Q216" s="167">
        <v>12000</v>
      </c>
      <c r="R216" s="236">
        <v>6916426</v>
      </c>
    </row>
    <row r="217" spans="1:18" ht="14.5" customHeight="1">
      <c r="C217" s="11" t="str">
        <f t="shared" si="33"/>
        <v xml:space="preserve">上海中汇金锐投资管理有限公司 </v>
      </c>
      <c r="D217" s="11">
        <f t="shared" si="34"/>
        <v>18.5</v>
      </c>
      <c r="E217" s="11">
        <f t="shared" si="35"/>
        <v>0.7</v>
      </c>
      <c r="F217" s="282">
        <f>R217/10000</f>
        <v>403.45819999999998</v>
      </c>
      <c r="G217" s="10">
        <f>F217*J$212/10000</f>
        <v>0.69999997700000005</v>
      </c>
      <c r="I217" s="199"/>
      <c r="J217" s="182" t="s">
        <v>1491</v>
      </c>
      <c r="K217" s="277">
        <v>18.5</v>
      </c>
      <c r="L217" s="280">
        <v>70000000</v>
      </c>
      <c r="N217" s="190">
        <v>4</v>
      </c>
      <c r="O217" s="25" t="s">
        <v>1490</v>
      </c>
      <c r="P217" s="168">
        <v>18.5</v>
      </c>
      <c r="Q217" s="167">
        <v>7000</v>
      </c>
      <c r="R217" s="236">
        <v>4034582</v>
      </c>
    </row>
    <row r="218" spans="1:18">
      <c r="C218" s="11" t="str">
        <f t="shared" si="33"/>
        <v/>
      </c>
      <c r="D218" s="11">
        <f t="shared" si="34"/>
        <v>16.399999999999999</v>
      </c>
      <c r="E218" s="11">
        <f t="shared" si="35"/>
        <v>0.7</v>
      </c>
      <c r="F218" s="11"/>
      <c r="G218" s="10"/>
      <c r="I218" s="227">
        <v>2</v>
      </c>
      <c r="J218" s="156"/>
      <c r="K218" s="277">
        <v>16.399999999999999</v>
      </c>
      <c r="L218" s="280">
        <v>70000000</v>
      </c>
      <c r="N218" s="190">
        <v>5</v>
      </c>
      <c r="O218" s="25" t="s">
        <v>1489</v>
      </c>
      <c r="P218" s="168">
        <v>17.5</v>
      </c>
      <c r="Q218" s="167">
        <v>6500</v>
      </c>
      <c r="R218" s="236">
        <v>3746397</v>
      </c>
    </row>
    <row r="219" spans="1:18">
      <c r="C219" s="11" t="str">
        <f t="shared" si="33"/>
        <v/>
      </c>
      <c r="D219" s="11">
        <f t="shared" si="34"/>
        <v>14.66</v>
      </c>
      <c r="E219" s="11">
        <f t="shared" si="35"/>
        <v>0.7</v>
      </c>
      <c r="F219" s="11"/>
      <c r="G219" s="10"/>
      <c r="I219" s="64"/>
      <c r="J219" s="64"/>
      <c r="K219" s="277">
        <v>14.66</v>
      </c>
      <c r="L219" s="280">
        <v>70000000</v>
      </c>
      <c r="N219" s="190">
        <v>6</v>
      </c>
      <c r="O219" s="25" t="s">
        <v>1488</v>
      </c>
      <c r="P219" s="168">
        <v>18</v>
      </c>
      <c r="Q219" s="167">
        <v>6000</v>
      </c>
      <c r="R219" s="236">
        <v>3458213</v>
      </c>
    </row>
    <row r="220" spans="1:18">
      <c r="C220" s="11" t="str">
        <f t="shared" si="33"/>
        <v xml:space="preserve">鹏华资产管理(深圳)有限公司 </v>
      </c>
      <c r="D220" s="11">
        <f t="shared" si="34"/>
        <v>18</v>
      </c>
      <c r="E220" s="11">
        <f t="shared" si="35"/>
        <v>0.6</v>
      </c>
      <c r="F220" s="282">
        <f>R219/10000</f>
        <v>345.82130000000001</v>
      </c>
      <c r="G220" s="10">
        <f>F220*J$212/10000</f>
        <v>0.59999995550000007</v>
      </c>
      <c r="I220" s="237">
        <v>3</v>
      </c>
      <c r="J220" s="182" t="s">
        <v>1487</v>
      </c>
      <c r="K220" s="277">
        <v>18</v>
      </c>
      <c r="L220" s="280">
        <v>60000000</v>
      </c>
      <c r="N220" s="190">
        <v>7</v>
      </c>
      <c r="O220" s="25" t="s">
        <v>1486</v>
      </c>
      <c r="P220" s="168">
        <v>17.350000000000001</v>
      </c>
      <c r="Q220" s="167">
        <v>6000</v>
      </c>
      <c r="R220" s="236">
        <v>2305478</v>
      </c>
    </row>
    <row r="221" spans="1:18">
      <c r="C221" s="11" t="str">
        <f t="shared" si="33"/>
        <v xml:space="preserve">银河汇达 70号定向资产管理计划 </v>
      </c>
      <c r="D221" s="11">
        <f t="shared" si="34"/>
        <v>17.510000000000002</v>
      </c>
      <c r="E221" s="11">
        <f t="shared" si="35"/>
        <v>1.2</v>
      </c>
      <c r="F221" s="282">
        <f>R216/10000</f>
        <v>691.64260000000002</v>
      </c>
      <c r="G221" s="10">
        <f>F221*J$212/10000</f>
        <v>1.1999999110000001</v>
      </c>
      <c r="I221" s="237">
        <v>4</v>
      </c>
      <c r="J221" s="182" t="s">
        <v>1485</v>
      </c>
      <c r="K221" s="277">
        <v>17.510000000000002</v>
      </c>
      <c r="L221" s="279">
        <v>120000000</v>
      </c>
      <c r="N221" s="200" t="s">
        <v>1484</v>
      </c>
      <c r="O221" s="200"/>
      <c r="P221" s="272" t="s">
        <v>294</v>
      </c>
      <c r="Q221" s="285">
        <v>62000</v>
      </c>
      <c r="R221" s="284">
        <v>34582132</v>
      </c>
    </row>
    <row r="222" spans="1:18">
      <c r="C222" s="11" t="str">
        <f t="shared" si="33"/>
        <v xml:space="preserve">建信基金管理有限责任公司 </v>
      </c>
      <c r="D222" s="11">
        <f t="shared" si="34"/>
        <v>17.510000000000002</v>
      </c>
      <c r="E222" s="11">
        <f t="shared" si="35"/>
        <v>1.2</v>
      </c>
      <c r="F222" s="282">
        <f>R215/10000</f>
        <v>691.64260000000002</v>
      </c>
      <c r="G222" s="10">
        <f>F222*J$212/10000</f>
        <v>1.1999999110000001</v>
      </c>
      <c r="I222" s="278">
        <v>5</v>
      </c>
      <c r="J222" s="182" t="s">
        <v>1483</v>
      </c>
      <c r="K222" s="278">
        <v>17.510000000000002</v>
      </c>
      <c r="L222" s="279">
        <v>120000000</v>
      </c>
    </row>
    <row r="223" spans="1:18" ht="14.5" customHeight="1">
      <c r="C223" s="11" t="str">
        <f t="shared" si="33"/>
        <v xml:space="preserve">红土创新基金管理有限公司 </v>
      </c>
      <c r="D223" s="11">
        <f t="shared" si="34"/>
        <v>17.5</v>
      </c>
      <c r="E223" s="11">
        <f t="shared" si="35"/>
        <v>0.65</v>
      </c>
      <c r="F223" s="282">
        <f>R218/10000</f>
        <v>374.6397</v>
      </c>
      <c r="G223" s="10">
        <f>F223*J$212/10000</f>
        <v>0.64999987950000004</v>
      </c>
      <c r="I223" s="283"/>
      <c r="J223" s="182" t="s">
        <v>1482</v>
      </c>
      <c r="K223" s="277">
        <v>17.5</v>
      </c>
      <c r="L223" s="280">
        <v>65000000</v>
      </c>
    </row>
    <row r="224" spans="1:18">
      <c r="C224" s="11" t="str">
        <f t="shared" si="33"/>
        <v/>
      </c>
      <c r="D224" s="11">
        <f t="shared" si="34"/>
        <v>16.39</v>
      </c>
      <c r="E224" s="11">
        <f t="shared" si="35"/>
        <v>1</v>
      </c>
      <c r="F224" s="282"/>
      <c r="G224" s="10"/>
      <c r="I224" s="227">
        <v>6</v>
      </c>
      <c r="J224" s="25"/>
      <c r="K224" s="277">
        <v>16.39</v>
      </c>
      <c r="L224" s="279">
        <v>100000000</v>
      </c>
    </row>
    <row r="225" spans="3:12">
      <c r="C225" s="11" t="str">
        <f t="shared" si="33"/>
        <v/>
      </c>
      <c r="D225" s="11">
        <f t="shared" si="34"/>
        <v>16.09</v>
      </c>
      <c r="E225" s="11">
        <f t="shared" si="35"/>
        <v>1.2</v>
      </c>
      <c r="F225" s="282"/>
      <c r="G225" s="10"/>
      <c r="I225" s="64"/>
      <c r="J225" s="64"/>
      <c r="K225" s="277">
        <v>16.09</v>
      </c>
      <c r="L225" s="279">
        <v>120000000</v>
      </c>
    </row>
    <row r="226" spans="3:12">
      <c r="C226" s="11" t="str">
        <f t="shared" si="33"/>
        <v xml:space="preserve">武汉工业国有投资有限公司 </v>
      </c>
      <c r="D226" s="11">
        <f t="shared" si="34"/>
        <v>17.350000000000001</v>
      </c>
      <c r="E226" s="11">
        <f t="shared" si="35"/>
        <v>0.6</v>
      </c>
      <c r="F226" s="282">
        <f>R220/10000</f>
        <v>230.5478</v>
      </c>
      <c r="G226" s="10">
        <f>F226*J$212/10000</f>
        <v>0.40000043300000004</v>
      </c>
      <c r="I226" s="278">
        <v>7</v>
      </c>
      <c r="J226" s="182" t="s">
        <v>1481</v>
      </c>
      <c r="K226" s="278">
        <v>17.350000000000001</v>
      </c>
      <c r="L226" s="279">
        <v>60000000</v>
      </c>
    </row>
    <row r="227" spans="3:12">
      <c r="C227" s="11" t="str">
        <f t="shared" si="33"/>
        <v xml:space="preserve">大成基金管理有限公司 </v>
      </c>
      <c r="D227" s="11">
        <f t="shared" si="34"/>
        <v>17.309999999999999</v>
      </c>
      <c r="E227" s="11">
        <f t="shared" si="35"/>
        <v>0.9</v>
      </c>
      <c r="F227" s="11"/>
      <c r="G227" s="11"/>
      <c r="I227" s="278">
        <v>8</v>
      </c>
      <c r="J227" s="182" t="s">
        <v>1480</v>
      </c>
      <c r="K227" s="278">
        <v>17.309999999999999</v>
      </c>
      <c r="L227" s="279">
        <v>90000000</v>
      </c>
    </row>
    <row r="228" spans="3:12">
      <c r="C228" s="11" t="str">
        <f t="shared" si="33"/>
        <v xml:space="preserve">安泰创业投资（深圳）有限公司 </v>
      </c>
      <c r="D228" s="11">
        <f t="shared" si="34"/>
        <v>17.25</v>
      </c>
      <c r="E228" s="11">
        <f t="shared" si="35"/>
        <v>1</v>
      </c>
      <c r="F228" s="11"/>
      <c r="G228" s="11"/>
      <c r="I228" s="237">
        <v>9</v>
      </c>
      <c r="J228" s="156" t="s">
        <v>1479</v>
      </c>
      <c r="K228" s="277">
        <v>17.25</v>
      </c>
      <c r="L228" s="279">
        <v>100000000</v>
      </c>
    </row>
    <row r="229" spans="3:12">
      <c r="C229" s="11" t="str">
        <f t="shared" si="33"/>
        <v xml:space="preserve">西部证券股份有限公司 </v>
      </c>
      <c r="D229" s="11">
        <f t="shared" si="34"/>
        <v>17.25</v>
      </c>
      <c r="E229" s="11">
        <f t="shared" si="35"/>
        <v>0.6</v>
      </c>
      <c r="F229" s="11"/>
      <c r="G229" s="11"/>
      <c r="I229" s="278">
        <v>10</v>
      </c>
      <c r="J229" s="182" t="s">
        <v>1478</v>
      </c>
      <c r="K229" s="278">
        <v>17.25</v>
      </c>
      <c r="L229" s="279">
        <v>60000000</v>
      </c>
    </row>
    <row r="230" spans="3:12">
      <c r="C230" s="11" t="str">
        <f t="shared" si="33"/>
        <v xml:space="preserve">西藏泓涵股权投资管理有限公司 </v>
      </c>
      <c r="D230" s="11">
        <f t="shared" si="34"/>
        <v>17.25</v>
      </c>
      <c r="E230" s="11">
        <f t="shared" si="35"/>
        <v>0.6</v>
      </c>
      <c r="F230" s="11"/>
      <c r="G230" s="11"/>
      <c r="I230" s="237">
        <v>11</v>
      </c>
      <c r="J230" s="155" t="s">
        <v>1477</v>
      </c>
      <c r="K230" s="277">
        <v>17.25</v>
      </c>
      <c r="L230" s="280">
        <v>60000000</v>
      </c>
    </row>
    <row r="231" spans="3:12">
      <c r="C231" s="11" t="str">
        <f t="shared" si="33"/>
        <v xml:space="preserve">深圳市前海梧桐广证定增投资基金企业（有限合伙） </v>
      </c>
      <c r="D231" s="11">
        <f t="shared" si="34"/>
        <v>17.25</v>
      </c>
      <c r="E231" s="11">
        <f t="shared" si="35"/>
        <v>1.02</v>
      </c>
      <c r="F231" s="11"/>
      <c r="G231" s="11"/>
      <c r="I231" s="277">
        <v>12</v>
      </c>
      <c r="J231" s="182" t="s">
        <v>1476</v>
      </c>
      <c r="K231" s="277">
        <v>17.25</v>
      </c>
      <c r="L231" s="276">
        <v>102000000</v>
      </c>
    </row>
    <row r="232" spans="3:12">
      <c r="C232" s="11" t="str">
        <f t="shared" si="33"/>
        <v xml:space="preserve">重庆农信合作投资有限公司 </v>
      </c>
      <c r="D232" s="11">
        <f t="shared" si="34"/>
        <v>17.239999999999998</v>
      </c>
      <c r="E232" s="11">
        <f t="shared" si="35"/>
        <v>0.6</v>
      </c>
      <c r="F232" s="11"/>
      <c r="G232" s="11"/>
      <c r="I232" s="227">
        <v>13</v>
      </c>
      <c r="J232" s="182" t="s">
        <v>1475</v>
      </c>
      <c r="K232" s="277">
        <v>17.239999999999998</v>
      </c>
      <c r="L232" s="276">
        <v>60000000</v>
      </c>
    </row>
    <row r="233" spans="3:12">
      <c r="C233" s="11" t="str">
        <f t="shared" si="33"/>
        <v/>
      </c>
      <c r="D233" s="11">
        <f t="shared" si="34"/>
        <v>16.5</v>
      </c>
      <c r="E233" s="11">
        <f t="shared" si="35"/>
        <v>0.6</v>
      </c>
      <c r="F233" s="11"/>
      <c r="G233" s="11"/>
      <c r="I233" s="25"/>
      <c r="J233" s="25"/>
      <c r="K233" s="277">
        <v>16.5</v>
      </c>
      <c r="L233" s="276">
        <v>60000000</v>
      </c>
    </row>
    <row r="234" spans="3:12">
      <c r="C234" s="11" t="str">
        <f t="shared" si="33"/>
        <v/>
      </c>
      <c r="D234" s="11">
        <f t="shared" si="34"/>
        <v>15.6</v>
      </c>
      <c r="E234" s="11">
        <f t="shared" si="35"/>
        <v>0.6</v>
      </c>
      <c r="F234" s="11"/>
      <c r="G234" s="11"/>
      <c r="I234" s="64"/>
      <c r="J234" s="64"/>
      <c r="K234" s="277">
        <v>15.6</v>
      </c>
      <c r="L234" s="276">
        <v>60000000</v>
      </c>
    </row>
    <row r="235" spans="3:12">
      <c r="C235" s="11" t="str">
        <f t="shared" si="33"/>
        <v xml:space="preserve">鹏华基金管理有限公司 </v>
      </c>
      <c r="D235" s="11">
        <f t="shared" si="34"/>
        <v>17.21</v>
      </c>
      <c r="E235" s="11">
        <f t="shared" si="35"/>
        <v>1.25</v>
      </c>
      <c r="F235" s="281"/>
      <c r="G235" s="11"/>
      <c r="I235" s="278">
        <v>14</v>
      </c>
      <c r="J235" s="182" t="s">
        <v>1474</v>
      </c>
      <c r="K235" s="277">
        <v>17.21</v>
      </c>
      <c r="L235" s="276">
        <v>125000000</v>
      </c>
    </row>
    <row r="236" spans="3:12">
      <c r="C236" s="11" t="str">
        <f t="shared" si="33"/>
        <v/>
      </c>
      <c r="D236" s="11">
        <f t="shared" si="34"/>
        <v>15.87</v>
      </c>
      <c r="E236" s="11">
        <f t="shared" si="35"/>
        <v>2</v>
      </c>
      <c r="F236" s="11"/>
      <c r="G236" s="11"/>
      <c r="I236" s="278"/>
      <c r="J236" s="156"/>
      <c r="K236" s="277">
        <v>15.87</v>
      </c>
      <c r="L236" s="276">
        <v>200000000</v>
      </c>
    </row>
    <row r="237" spans="3:12">
      <c r="C237" s="11" t="str">
        <f t="shared" si="33"/>
        <v xml:space="preserve">泰达宏利基金管理有限公司 </v>
      </c>
      <c r="D237" s="11">
        <f t="shared" si="34"/>
        <v>17.100000000000001</v>
      </c>
      <c r="E237" s="11">
        <f t="shared" si="35"/>
        <v>1.29</v>
      </c>
      <c r="F237" s="11"/>
      <c r="G237" s="11"/>
      <c r="I237" s="278">
        <v>15</v>
      </c>
      <c r="J237" s="182" t="s">
        <v>1473</v>
      </c>
      <c r="K237" s="277">
        <v>17.100000000000001</v>
      </c>
      <c r="L237" s="276">
        <v>129000000</v>
      </c>
    </row>
    <row r="238" spans="3:12">
      <c r="C238" s="11" t="str">
        <f t="shared" si="33"/>
        <v/>
      </c>
      <c r="D238" s="11">
        <f t="shared" si="34"/>
        <v>16.38</v>
      </c>
      <c r="E238" s="11">
        <f t="shared" si="35"/>
        <v>1.47</v>
      </c>
      <c r="F238" s="11"/>
      <c r="G238" s="11"/>
      <c r="I238" s="278"/>
      <c r="J238" s="182"/>
      <c r="K238" s="277">
        <v>16.38</v>
      </c>
      <c r="L238" s="276">
        <v>147000000</v>
      </c>
    </row>
    <row r="239" spans="3:12" ht="18">
      <c r="C239" s="11" t="str">
        <f t="shared" si="33"/>
        <v xml:space="preserve">北信瑞丰基金管理有限公司 </v>
      </c>
      <c r="D239" s="11">
        <f t="shared" si="34"/>
        <v>17.07</v>
      </c>
      <c r="E239" s="11">
        <f t="shared" si="35"/>
        <v>1.05</v>
      </c>
      <c r="F239" s="11"/>
      <c r="G239" s="11"/>
      <c r="I239" s="199"/>
      <c r="J239" s="182" t="s">
        <v>1472</v>
      </c>
      <c r="K239" s="277">
        <v>17.07</v>
      </c>
      <c r="L239" s="276">
        <v>105000000</v>
      </c>
    </row>
    <row r="240" spans="3:12">
      <c r="C240" s="11" t="str">
        <f t="shared" si="33"/>
        <v/>
      </c>
      <c r="D240" s="11">
        <f t="shared" si="34"/>
        <v>16.8</v>
      </c>
      <c r="E240" s="11">
        <f t="shared" si="35"/>
        <v>1.7</v>
      </c>
      <c r="F240" s="11"/>
      <c r="G240" s="11"/>
      <c r="I240" s="227">
        <v>16</v>
      </c>
      <c r="J240" s="25"/>
      <c r="K240" s="277">
        <v>16.8</v>
      </c>
      <c r="L240" s="276">
        <v>170000000</v>
      </c>
    </row>
    <row r="241" spans="3:12">
      <c r="C241" s="11" t="str">
        <f t="shared" si="33"/>
        <v/>
      </c>
      <c r="D241" s="11">
        <f t="shared" si="34"/>
        <v>16.059999999999999</v>
      </c>
      <c r="E241" s="11">
        <f t="shared" si="35"/>
        <v>2</v>
      </c>
      <c r="F241" s="11"/>
      <c r="G241" s="11"/>
      <c r="I241" s="64"/>
      <c r="J241" s="64"/>
      <c r="K241" s="277">
        <v>16.059999999999999</v>
      </c>
      <c r="L241" s="276">
        <v>200000000</v>
      </c>
    </row>
    <row r="242" spans="3:12" ht="18">
      <c r="C242" s="11" t="str">
        <f t="shared" si="33"/>
        <v xml:space="preserve">华安基金管理有限公司 </v>
      </c>
      <c r="D242" s="11">
        <f t="shared" si="34"/>
        <v>17.02</v>
      </c>
      <c r="E242" s="11">
        <f t="shared" si="35"/>
        <v>1</v>
      </c>
      <c r="F242" s="11"/>
      <c r="G242" s="11"/>
      <c r="I242" s="199"/>
      <c r="J242" s="156" t="s">
        <v>1471</v>
      </c>
      <c r="K242" s="277">
        <v>17.02</v>
      </c>
      <c r="L242" s="276">
        <v>100000000</v>
      </c>
    </row>
    <row r="243" spans="3:12">
      <c r="C243" s="11" t="str">
        <f t="shared" si="33"/>
        <v/>
      </c>
      <c r="D243" s="11">
        <f t="shared" si="34"/>
        <v>16.79</v>
      </c>
      <c r="E243" s="11">
        <f t="shared" si="35"/>
        <v>1.45</v>
      </c>
      <c r="F243" s="11"/>
      <c r="G243" s="11"/>
      <c r="I243" s="227">
        <v>17</v>
      </c>
      <c r="J243" s="25"/>
      <c r="K243" s="277">
        <v>16.79</v>
      </c>
      <c r="L243" s="276">
        <v>145000000</v>
      </c>
    </row>
    <row r="244" spans="3:12">
      <c r="C244" s="11" t="str">
        <f t="shared" si="33"/>
        <v/>
      </c>
      <c r="D244" s="11">
        <f t="shared" si="34"/>
        <v>16.38</v>
      </c>
      <c r="E244" s="11">
        <f t="shared" si="35"/>
        <v>1.91</v>
      </c>
      <c r="F244" s="11"/>
      <c r="G244" s="11"/>
      <c r="I244" s="64"/>
      <c r="J244" s="64"/>
      <c r="K244" s="277">
        <v>16.38</v>
      </c>
      <c r="L244" s="276">
        <v>191000000</v>
      </c>
    </row>
    <row r="245" spans="3:12">
      <c r="C245" s="11" t="str">
        <f t="shared" si="33"/>
        <v xml:space="preserve">成都天赐红鹰科技有限公司 </v>
      </c>
      <c r="D245" s="11">
        <f t="shared" si="34"/>
        <v>17.010000000000002</v>
      </c>
      <c r="E245" s="11">
        <f t="shared" si="35"/>
        <v>0.6</v>
      </c>
      <c r="F245" s="11"/>
      <c r="G245" s="11"/>
      <c r="I245" s="278">
        <v>18</v>
      </c>
      <c r="J245" s="182" t="s">
        <v>1470</v>
      </c>
      <c r="K245" s="278">
        <v>17.010000000000002</v>
      </c>
      <c r="L245" s="279">
        <v>60000000</v>
      </c>
    </row>
    <row r="246" spans="3:12">
      <c r="C246" s="11" t="str">
        <f t="shared" ref="C246:C277" si="36">IF(J246=0,"",J246)</f>
        <v xml:space="preserve">中国华融资产管理股份有限公司 </v>
      </c>
      <c r="D246" s="11">
        <f t="shared" ref="D246:D277" si="37">K246</f>
        <v>17</v>
      </c>
      <c r="E246" s="11">
        <f t="shared" ref="E246:E277" si="38">L246/100000000</f>
        <v>2</v>
      </c>
      <c r="F246" s="11"/>
      <c r="G246" s="11"/>
      <c r="I246" s="277">
        <v>19</v>
      </c>
      <c r="J246" s="156" t="s">
        <v>1469</v>
      </c>
      <c r="K246" s="277">
        <v>17</v>
      </c>
      <c r="L246" s="276">
        <v>200000000</v>
      </c>
    </row>
    <row r="247" spans="3:12">
      <c r="C247" s="11" t="str">
        <f t="shared" si="36"/>
        <v xml:space="preserve">北京阳光嘉瑞科技开发有限公司 </v>
      </c>
      <c r="D247" s="11">
        <f t="shared" si="37"/>
        <v>17</v>
      </c>
      <c r="E247" s="11">
        <f t="shared" si="38"/>
        <v>0.6</v>
      </c>
      <c r="F247" s="11"/>
      <c r="G247" s="11"/>
      <c r="I247" s="277">
        <v>20</v>
      </c>
      <c r="J247" s="156" t="s">
        <v>1468</v>
      </c>
      <c r="K247" s="277">
        <v>17</v>
      </c>
      <c r="L247" s="276">
        <v>60000000</v>
      </c>
    </row>
    <row r="248" spans="3:12">
      <c r="C248" s="11" t="str">
        <f t="shared" si="36"/>
        <v xml:space="preserve">财通基金管理有限公司 </v>
      </c>
      <c r="D248" s="11">
        <f t="shared" si="37"/>
        <v>16.95</v>
      </c>
      <c r="E248" s="11">
        <f t="shared" si="38"/>
        <v>2</v>
      </c>
      <c r="F248" s="11"/>
      <c r="G248" s="11"/>
      <c r="I248" s="278">
        <v>21</v>
      </c>
      <c r="J248" s="182" t="s">
        <v>1467</v>
      </c>
      <c r="K248" s="278">
        <v>16.95</v>
      </c>
      <c r="L248" s="279">
        <v>200000000</v>
      </c>
    </row>
    <row r="249" spans="3:12" ht="18">
      <c r="C249" s="11" t="str">
        <f t="shared" si="36"/>
        <v xml:space="preserve">中信证券股份有限公司（资管） </v>
      </c>
      <c r="D249" s="11">
        <f t="shared" si="37"/>
        <v>16.73</v>
      </c>
      <c r="E249" s="11">
        <f t="shared" si="38"/>
        <v>0.9</v>
      </c>
      <c r="F249" s="11"/>
      <c r="G249" s="11"/>
      <c r="I249" s="199"/>
      <c r="J249" s="182" t="s">
        <v>1466</v>
      </c>
      <c r="K249" s="277">
        <v>16.73</v>
      </c>
      <c r="L249" s="276">
        <v>90000000</v>
      </c>
    </row>
    <row r="250" spans="3:12">
      <c r="C250" s="11" t="str">
        <f t="shared" si="36"/>
        <v/>
      </c>
      <c r="D250" s="11">
        <f t="shared" si="37"/>
        <v>16.2</v>
      </c>
      <c r="E250" s="11">
        <f t="shared" si="38"/>
        <v>1.61</v>
      </c>
      <c r="F250" s="11"/>
      <c r="G250" s="11"/>
      <c r="I250" s="227">
        <v>22</v>
      </c>
      <c r="J250" s="156"/>
      <c r="K250" s="277">
        <v>16.2</v>
      </c>
      <c r="L250" s="276">
        <v>161000000</v>
      </c>
    </row>
    <row r="251" spans="3:12">
      <c r="C251" s="11" t="str">
        <f t="shared" si="36"/>
        <v/>
      </c>
      <c r="D251" s="11">
        <f t="shared" si="37"/>
        <v>15.7</v>
      </c>
      <c r="E251" s="11">
        <f t="shared" si="38"/>
        <v>2</v>
      </c>
      <c r="F251" s="11"/>
      <c r="G251" s="11"/>
      <c r="I251" s="64"/>
      <c r="J251" s="64"/>
      <c r="K251" s="277">
        <v>15.7</v>
      </c>
      <c r="L251" s="276">
        <v>200000000</v>
      </c>
    </row>
    <row r="252" spans="3:12" ht="18">
      <c r="C252" s="11" t="str">
        <f t="shared" si="36"/>
        <v xml:space="preserve">九泰基金管理有限公司 </v>
      </c>
      <c r="D252" s="11">
        <f t="shared" si="37"/>
        <v>16.71</v>
      </c>
      <c r="E252" s="11">
        <f t="shared" si="38"/>
        <v>1.1000000000000001</v>
      </c>
      <c r="F252" s="11"/>
      <c r="G252" s="11"/>
      <c r="I252" s="199"/>
      <c r="J252" s="156" t="s">
        <v>1465</v>
      </c>
      <c r="K252" s="277">
        <v>16.71</v>
      </c>
      <c r="L252" s="276">
        <v>110000000</v>
      </c>
    </row>
    <row r="253" spans="3:12">
      <c r="C253" s="11" t="str">
        <f t="shared" si="36"/>
        <v/>
      </c>
      <c r="D253" s="11">
        <f t="shared" si="37"/>
        <v>16.18</v>
      </c>
      <c r="E253" s="11">
        <f t="shared" si="38"/>
        <v>1.57</v>
      </c>
      <c r="F253" s="11"/>
      <c r="G253" s="11"/>
      <c r="I253" s="227">
        <v>23</v>
      </c>
      <c r="J253" s="25"/>
      <c r="K253" s="277">
        <v>16.18</v>
      </c>
      <c r="L253" s="276">
        <v>157000000</v>
      </c>
    </row>
    <row r="254" spans="3:12">
      <c r="C254" s="11" t="str">
        <f t="shared" si="36"/>
        <v/>
      </c>
      <c r="D254" s="11">
        <f t="shared" si="37"/>
        <v>14</v>
      </c>
      <c r="E254" s="11">
        <f t="shared" si="38"/>
        <v>1.78</v>
      </c>
      <c r="F254" s="11"/>
      <c r="G254" s="11"/>
      <c r="I254" s="64"/>
      <c r="J254" s="64"/>
      <c r="K254" s="277">
        <v>14</v>
      </c>
      <c r="L254" s="276">
        <v>178000000</v>
      </c>
    </row>
    <row r="255" spans="3:12">
      <c r="C255" s="11" t="str">
        <f t="shared" si="36"/>
        <v>五矿资本控股有限公司</v>
      </c>
      <c r="D255" s="11">
        <f t="shared" si="37"/>
        <v>16.66</v>
      </c>
      <c r="E255" s="11">
        <f t="shared" si="38"/>
        <v>0.6</v>
      </c>
      <c r="F255" s="11"/>
      <c r="G255" s="11"/>
      <c r="I255" s="278">
        <v>24</v>
      </c>
      <c r="J255" s="182" t="s">
        <v>1464</v>
      </c>
      <c r="K255" s="278">
        <v>16.66</v>
      </c>
      <c r="L255" s="279">
        <v>60000000</v>
      </c>
    </row>
    <row r="256" spans="3:12" ht="18">
      <c r="C256" s="11" t="str">
        <f t="shared" si="36"/>
        <v/>
      </c>
      <c r="D256" s="11">
        <f t="shared" si="37"/>
        <v>16.64</v>
      </c>
      <c r="E256" s="11">
        <f t="shared" si="38"/>
        <v>0.8</v>
      </c>
      <c r="F256" s="11"/>
      <c r="G256" s="11"/>
      <c r="I256" s="199"/>
      <c r="J256" s="222"/>
      <c r="K256" s="277">
        <v>16.64</v>
      </c>
      <c r="L256" s="276">
        <v>80000000</v>
      </c>
    </row>
    <row r="257" spans="3:12">
      <c r="C257" s="11" t="str">
        <f t="shared" si="36"/>
        <v xml:space="preserve">嘉实基金管理有限公司 </v>
      </c>
      <c r="D257" s="11">
        <f t="shared" si="37"/>
        <v>16.100000000000001</v>
      </c>
      <c r="E257" s="11">
        <f t="shared" si="38"/>
        <v>0.9</v>
      </c>
      <c r="F257" s="11"/>
      <c r="G257" s="11"/>
      <c r="I257" s="227">
        <v>25</v>
      </c>
      <c r="J257" s="156" t="s">
        <v>1463</v>
      </c>
      <c r="K257" s="277">
        <v>16.100000000000001</v>
      </c>
      <c r="L257" s="276">
        <v>90000000</v>
      </c>
    </row>
    <row r="258" spans="3:12">
      <c r="C258" s="11" t="str">
        <f t="shared" si="36"/>
        <v/>
      </c>
      <c r="D258" s="11">
        <f t="shared" si="37"/>
        <v>15.5</v>
      </c>
      <c r="E258" s="11">
        <f t="shared" si="38"/>
        <v>2</v>
      </c>
      <c r="F258" s="11"/>
      <c r="G258" s="11"/>
      <c r="I258" s="64"/>
      <c r="J258" s="64"/>
      <c r="K258" s="277">
        <v>15.5</v>
      </c>
      <c r="L258" s="276">
        <v>200000000</v>
      </c>
    </row>
    <row r="259" spans="3:12" ht="17">
      <c r="C259" s="11" t="str">
        <f t="shared" si="36"/>
        <v xml:space="preserve">平安资产鑫享7 号资产管理产品 </v>
      </c>
      <c r="D259" s="11">
        <f t="shared" si="37"/>
        <v>16.62</v>
      </c>
      <c r="E259" s="11">
        <f t="shared" si="38"/>
        <v>0.6</v>
      </c>
      <c r="F259" s="11"/>
      <c r="G259" s="11"/>
      <c r="I259" s="221"/>
      <c r="J259" s="182" t="s">
        <v>1462</v>
      </c>
      <c r="K259" s="277">
        <v>16.62</v>
      </c>
      <c r="L259" s="280">
        <v>60000000</v>
      </c>
    </row>
    <row r="260" spans="3:12">
      <c r="C260" s="11" t="str">
        <f t="shared" si="36"/>
        <v/>
      </c>
      <c r="D260" s="11">
        <f t="shared" si="37"/>
        <v>15.56</v>
      </c>
      <c r="E260" s="11">
        <f t="shared" si="38"/>
        <v>0.9</v>
      </c>
      <c r="F260" s="11"/>
      <c r="G260" s="11"/>
      <c r="I260" s="227">
        <v>26</v>
      </c>
      <c r="J260" s="227"/>
      <c r="K260" s="277">
        <v>15.56</v>
      </c>
      <c r="L260" s="280">
        <v>90000000</v>
      </c>
    </row>
    <row r="261" spans="3:12" ht="18">
      <c r="C261" s="11" t="str">
        <f t="shared" si="36"/>
        <v xml:space="preserve">华融证券股份有限公司 </v>
      </c>
      <c r="D261" s="11">
        <f t="shared" si="37"/>
        <v>16.61</v>
      </c>
      <c r="E261" s="11">
        <f t="shared" si="38"/>
        <v>1.2</v>
      </c>
      <c r="F261" s="11"/>
      <c r="G261" s="11"/>
      <c r="I261" s="199"/>
      <c r="J261" s="156" t="s">
        <v>1461</v>
      </c>
      <c r="K261" s="277">
        <v>16.61</v>
      </c>
      <c r="L261" s="279">
        <v>120000000</v>
      </c>
    </row>
    <row r="262" spans="3:12">
      <c r="C262" s="11" t="str">
        <f t="shared" si="36"/>
        <v/>
      </c>
      <c r="D262" s="11">
        <f t="shared" si="37"/>
        <v>15.9</v>
      </c>
      <c r="E262" s="11">
        <f t="shared" si="38"/>
        <v>1.5</v>
      </c>
      <c r="F262" s="11"/>
      <c r="G262" s="11"/>
      <c r="I262" s="227">
        <v>27</v>
      </c>
      <c r="J262" s="25"/>
      <c r="K262" s="277">
        <v>15.9</v>
      </c>
      <c r="L262" s="279">
        <v>150000000</v>
      </c>
    </row>
    <row r="263" spans="3:12">
      <c r="C263" s="11" t="str">
        <f t="shared" si="36"/>
        <v/>
      </c>
      <c r="D263" s="11">
        <f t="shared" si="37"/>
        <v>14.55</v>
      </c>
      <c r="E263" s="11">
        <f t="shared" si="38"/>
        <v>1.8</v>
      </c>
      <c r="F263" s="11"/>
      <c r="G263" s="11"/>
      <c r="I263" s="64"/>
      <c r="J263" s="64"/>
      <c r="K263" s="277">
        <v>14.55</v>
      </c>
      <c r="L263" s="279">
        <v>180000000</v>
      </c>
    </row>
    <row r="264" spans="3:12">
      <c r="C264" s="11" t="str">
        <f t="shared" si="36"/>
        <v xml:space="preserve">广西铁路发展二期投资基金合伙企业（有限合伙） </v>
      </c>
      <c r="D264" s="11">
        <f t="shared" si="37"/>
        <v>16.579999999999998</v>
      </c>
      <c r="E264" s="11">
        <f t="shared" si="38"/>
        <v>1.2</v>
      </c>
      <c r="F264" s="11"/>
      <c r="G264" s="11"/>
      <c r="I264" s="277">
        <v>28</v>
      </c>
      <c r="J264" s="156" t="s">
        <v>1460</v>
      </c>
      <c r="K264" s="277">
        <v>16.579999999999998</v>
      </c>
      <c r="L264" s="279">
        <v>120000000</v>
      </c>
    </row>
    <row r="265" spans="3:12" ht="18">
      <c r="C265" s="11" t="str">
        <f t="shared" si="36"/>
        <v xml:space="preserve">兴业财富资产管理有限公司 </v>
      </c>
      <c r="D265" s="11">
        <f t="shared" si="37"/>
        <v>16.5</v>
      </c>
      <c r="E265" s="11">
        <f t="shared" si="38"/>
        <v>0.6</v>
      </c>
      <c r="F265" s="11"/>
      <c r="G265" s="11"/>
      <c r="I265" s="199"/>
      <c r="J265" s="182" t="s">
        <v>1459</v>
      </c>
      <c r="K265" s="277">
        <v>16.5</v>
      </c>
      <c r="L265" s="280">
        <v>60000000</v>
      </c>
    </row>
    <row r="266" spans="3:12">
      <c r="C266" s="11" t="str">
        <f t="shared" si="36"/>
        <v/>
      </c>
      <c r="D266" s="11">
        <f t="shared" si="37"/>
        <v>15.3</v>
      </c>
      <c r="E266" s="11">
        <f t="shared" si="38"/>
        <v>0.6</v>
      </c>
      <c r="F266" s="11"/>
      <c r="G266" s="11"/>
      <c r="I266" s="227">
        <v>29</v>
      </c>
      <c r="J266" s="25"/>
      <c r="K266" s="277">
        <v>15.3</v>
      </c>
      <c r="L266" s="280">
        <v>60000000</v>
      </c>
    </row>
    <row r="267" spans="3:12">
      <c r="C267" s="11" t="str">
        <f t="shared" si="36"/>
        <v/>
      </c>
      <c r="D267" s="11">
        <f t="shared" si="37"/>
        <v>14</v>
      </c>
      <c r="E267" s="11">
        <f t="shared" si="38"/>
        <v>0.6</v>
      </c>
      <c r="F267" s="11"/>
      <c r="G267" s="11"/>
      <c r="I267" s="64"/>
      <c r="J267" s="64"/>
      <c r="K267" s="277">
        <v>14</v>
      </c>
      <c r="L267" s="280">
        <v>60000000</v>
      </c>
    </row>
    <row r="268" spans="3:12" ht="18">
      <c r="C268" s="11" t="str">
        <f t="shared" si="36"/>
        <v xml:space="preserve">安信基金管理有限责任公司 </v>
      </c>
      <c r="D268" s="11">
        <f t="shared" si="37"/>
        <v>16.5</v>
      </c>
      <c r="E268" s="11">
        <f t="shared" si="38"/>
        <v>1</v>
      </c>
      <c r="F268" s="11"/>
      <c r="G268" s="11"/>
      <c r="I268" s="199"/>
      <c r="J268" s="182" t="s">
        <v>1458</v>
      </c>
      <c r="K268" s="277">
        <v>16.5</v>
      </c>
      <c r="L268" s="279">
        <v>100000000</v>
      </c>
    </row>
    <row r="269" spans="3:12">
      <c r="C269" s="11" t="str">
        <f t="shared" si="36"/>
        <v/>
      </c>
      <c r="D269" s="11">
        <f t="shared" si="37"/>
        <v>16</v>
      </c>
      <c r="E269" s="11">
        <f t="shared" si="38"/>
        <v>1.8</v>
      </c>
      <c r="F269" s="11"/>
      <c r="G269" s="11"/>
      <c r="I269" s="227">
        <v>30</v>
      </c>
      <c r="J269" s="25"/>
      <c r="K269" s="277">
        <v>16</v>
      </c>
      <c r="L269" s="279">
        <v>180000000</v>
      </c>
    </row>
    <row r="270" spans="3:12">
      <c r="C270" s="11" t="str">
        <f t="shared" si="36"/>
        <v/>
      </c>
      <c r="D270" s="11">
        <f t="shared" si="37"/>
        <v>15.73</v>
      </c>
      <c r="E270" s="11">
        <f t="shared" si="38"/>
        <v>2</v>
      </c>
      <c r="F270" s="11"/>
      <c r="G270" s="11"/>
      <c r="I270" s="64"/>
      <c r="J270" s="64"/>
      <c r="K270" s="277">
        <v>15.73</v>
      </c>
      <c r="L270" s="279">
        <v>200000000</v>
      </c>
    </row>
    <row r="271" spans="3:12">
      <c r="C271" s="11" t="str">
        <f t="shared" si="36"/>
        <v xml:space="preserve">汇添富基金管股份有限公司 </v>
      </c>
      <c r="D271" s="11">
        <f t="shared" si="37"/>
        <v>16.45</v>
      </c>
      <c r="E271" s="11">
        <f t="shared" si="38"/>
        <v>0.91</v>
      </c>
      <c r="F271" s="11"/>
      <c r="G271" s="11"/>
      <c r="I271" s="278">
        <v>31</v>
      </c>
      <c r="J271" s="182" t="s">
        <v>1457</v>
      </c>
      <c r="K271" s="278">
        <v>16.45</v>
      </c>
      <c r="L271" s="279">
        <v>91000000</v>
      </c>
    </row>
    <row r="272" spans="3:12" ht="18">
      <c r="C272" s="11" t="str">
        <f t="shared" si="36"/>
        <v/>
      </c>
      <c r="D272" s="11">
        <f t="shared" si="37"/>
        <v>16.38</v>
      </c>
      <c r="E272" s="11">
        <f t="shared" si="38"/>
        <v>1.51</v>
      </c>
      <c r="F272" s="11"/>
      <c r="G272" s="11"/>
      <c r="I272" s="199"/>
      <c r="J272" s="222"/>
      <c r="K272" s="277">
        <v>16.38</v>
      </c>
      <c r="L272" s="279">
        <v>151000000</v>
      </c>
    </row>
    <row r="273" spans="3:12">
      <c r="C273" s="11" t="str">
        <f t="shared" si="36"/>
        <v xml:space="preserve">天弘基金管理有限公司 </v>
      </c>
      <c r="D273" s="11">
        <f t="shared" si="37"/>
        <v>16.37</v>
      </c>
      <c r="E273" s="11">
        <f t="shared" si="38"/>
        <v>0.65</v>
      </c>
      <c r="F273" s="11"/>
      <c r="G273" s="11"/>
      <c r="I273" s="227">
        <v>32</v>
      </c>
      <c r="J273" s="156" t="s">
        <v>1456</v>
      </c>
      <c r="K273" s="277">
        <v>16.37</v>
      </c>
      <c r="L273" s="280">
        <v>65000000</v>
      </c>
    </row>
    <row r="274" spans="3:12">
      <c r="C274" s="11" t="str">
        <f t="shared" si="36"/>
        <v/>
      </c>
      <c r="D274" s="11">
        <f t="shared" si="37"/>
        <v>16.2</v>
      </c>
      <c r="E274" s="11">
        <f t="shared" si="38"/>
        <v>1.87</v>
      </c>
      <c r="F274" s="11"/>
      <c r="G274" s="11"/>
      <c r="I274" s="64"/>
      <c r="J274" s="64"/>
      <c r="K274" s="277">
        <v>16.2</v>
      </c>
      <c r="L274" s="279">
        <v>187000000</v>
      </c>
    </row>
    <row r="275" spans="3:12">
      <c r="C275" s="11" t="str">
        <f t="shared" si="36"/>
        <v xml:space="preserve">博时基金管理有限公司 </v>
      </c>
      <c r="D275" s="11">
        <f t="shared" si="37"/>
        <v>16.38</v>
      </c>
      <c r="E275" s="11">
        <f t="shared" si="38"/>
        <v>1.79</v>
      </c>
      <c r="F275" s="11"/>
      <c r="G275" s="11"/>
      <c r="I275" s="278">
        <v>33</v>
      </c>
      <c r="J275" s="182" t="s">
        <v>1455</v>
      </c>
      <c r="K275" s="277">
        <v>16.38</v>
      </c>
      <c r="L275" s="279">
        <v>179000000</v>
      </c>
    </row>
    <row r="276" spans="3:12">
      <c r="C276" s="11" t="str">
        <f t="shared" si="36"/>
        <v/>
      </c>
      <c r="D276" s="11">
        <f t="shared" si="37"/>
        <v>15.52</v>
      </c>
      <c r="E276" s="11">
        <f t="shared" si="38"/>
        <v>2</v>
      </c>
      <c r="F276" s="11"/>
      <c r="G276" s="11"/>
      <c r="I276" s="278"/>
      <c r="J276" s="156"/>
      <c r="K276" s="277">
        <v>15.52</v>
      </c>
      <c r="L276" s="279">
        <v>200000000</v>
      </c>
    </row>
    <row r="277" spans="3:12" ht="18">
      <c r="C277" s="11" t="str">
        <f t="shared" si="36"/>
        <v xml:space="preserve">兴证证券资产管理有限公司 </v>
      </c>
      <c r="D277" s="11">
        <f t="shared" si="37"/>
        <v>16.21</v>
      </c>
      <c r="E277" s="11">
        <f t="shared" si="38"/>
        <v>0.73</v>
      </c>
      <c r="F277" s="11"/>
      <c r="G277" s="11"/>
      <c r="I277" s="199"/>
      <c r="J277" s="182" t="s">
        <v>1454</v>
      </c>
      <c r="K277" s="277">
        <v>16.21</v>
      </c>
      <c r="L277" s="280">
        <v>73000000</v>
      </c>
    </row>
    <row r="278" spans="3:12">
      <c r="C278" s="11" t="str">
        <f t="shared" ref="C278:C311" si="39">IF(J278=0,"",J278)</f>
        <v/>
      </c>
      <c r="D278" s="11">
        <f t="shared" ref="D278:D310" si="40">K278</f>
        <v>16.03</v>
      </c>
      <c r="E278" s="11">
        <f t="shared" ref="E278:E310" si="41">L278/100000000</f>
        <v>1.43</v>
      </c>
      <c r="F278" s="11"/>
      <c r="G278" s="11"/>
      <c r="I278" s="227">
        <v>34</v>
      </c>
      <c r="J278" s="25"/>
      <c r="K278" s="277">
        <v>16.03</v>
      </c>
      <c r="L278" s="279">
        <v>143000000</v>
      </c>
    </row>
    <row r="279" spans="3:12">
      <c r="C279" s="11" t="str">
        <f t="shared" si="39"/>
        <v/>
      </c>
      <c r="D279" s="11">
        <f t="shared" si="40"/>
        <v>15.88</v>
      </c>
      <c r="E279" s="11">
        <f t="shared" si="41"/>
        <v>1.94</v>
      </c>
      <c r="F279" s="11"/>
      <c r="G279" s="11"/>
      <c r="I279" s="64"/>
      <c r="J279" s="64"/>
      <c r="K279" s="277">
        <v>15.88</v>
      </c>
      <c r="L279" s="279">
        <v>194000000</v>
      </c>
    </row>
    <row r="280" spans="3:12">
      <c r="C280" s="11" t="str">
        <f t="shared" si="39"/>
        <v xml:space="preserve">东吴基金管理有限公司 </v>
      </c>
      <c r="D280" s="11">
        <f t="shared" si="40"/>
        <v>16.010000000000002</v>
      </c>
      <c r="E280" s="11">
        <f t="shared" si="41"/>
        <v>0.6</v>
      </c>
      <c r="F280" s="11"/>
      <c r="G280" s="11"/>
      <c r="I280" s="278">
        <v>35</v>
      </c>
      <c r="J280" s="182" t="s">
        <v>1453</v>
      </c>
      <c r="K280" s="278">
        <v>16.010000000000002</v>
      </c>
      <c r="L280" s="279">
        <v>60000000</v>
      </c>
    </row>
    <row r="281" spans="3:12">
      <c r="C281" s="11" t="str">
        <f t="shared" si="39"/>
        <v xml:space="preserve">信诚基金管理有限公司 </v>
      </c>
      <c r="D281" s="11">
        <f t="shared" si="40"/>
        <v>15.93</v>
      </c>
      <c r="E281" s="11">
        <f t="shared" si="41"/>
        <v>0.61</v>
      </c>
      <c r="F281" s="11"/>
      <c r="G281" s="11"/>
      <c r="I281" s="278">
        <v>36</v>
      </c>
      <c r="J281" s="182" t="s">
        <v>1452</v>
      </c>
      <c r="K281" s="278">
        <v>15.93</v>
      </c>
      <c r="L281" s="279">
        <v>61000000</v>
      </c>
    </row>
    <row r="282" spans="3:12">
      <c r="C282" s="11" t="str">
        <f t="shared" si="39"/>
        <v xml:space="preserve">汇安基金管理有限责任公司 </v>
      </c>
      <c r="D282" s="11">
        <f t="shared" si="40"/>
        <v>15.81</v>
      </c>
      <c r="E282" s="11">
        <f t="shared" si="41"/>
        <v>0.6</v>
      </c>
      <c r="F282" s="11"/>
      <c r="G282" s="11"/>
      <c r="I282" s="278">
        <v>37</v>
      </c>
      <c r="J282" s="182" t="s">
        <v>1451</v>
      </c>
      <c r="K282" s="278">
        <v>15.81</v>
      </c>
      <c r="L282" s="279">
        <v>60000000</v>
      </c>
    </row>
    <row r="283" spans="3:12">
      <c r="C283" s="11" t="str">
        <f t="shared" si="39"/>
        <v xml:space="preserve">东海基金管理有限责任公司 </v>
      </c>
      <c r="D283" s="11">
        <f t="shared" si="40"/>
        <v>15.8</v>
      </c>
      <c r="E283" s="11">
        <f t="shared" si="41"/>
        <v>0.62</v>
      </c>
      <c r="F283" s="11"/>
      <c r="G283" s="11"/>
      <c r="I283" s="278">
        <v>38</v>
      </c>
      <c r="J283" s="182" t="s">
        <v>1450</v>
      </c>
      <c r="K283" s="278">
        <v>15.8</v>
      </c>
      <c r="L283" s="279">
        <v>62000000</v>
      </c>
    </row>
    <row r="284" spans="3:12">
      <c r="C284" s="11" t="str">
        <f t="shared" si="39"/>
        <v xml:space="preserve">合众人寿保险股份有限公司 </v>
      </c>
      <c r="D284" s="11">
        <f t="shared" si="40"/>
        <v>15.8</v>
      </c>
      <c r="E284" s="11">
        <f t="shared" si="41"/>
        <v>0.6</v>
      </c>
      <c r="F284" s="11"/>
      <c r="G284" s="11"/>
      <c r="I284" s="278">
        <v>39</v>
      </c>
      <c r="J284" s="182" t="s">
        <v>1449</v>
      </c>
      <c r="K284" s="278">
        <v>15.8</v>
      </c>
      <c r="L284" s="279">
        <v>60000000</v>
      </c>
    </row>
    <row r="285" spans="3:12">
      <c r="C285" s="11" t="str">
        <f t="shared" si="39"/>
        <v xml:space="preserve">融通基金管理有限公司 </v>
      </c>
      <c r="D285" s="11">
        <f t="shared" si="40"/>
        <v>15.73</v>
      </c>
      <c r="E285" s="11">
        <f t="shared" si="41"/>
        <v>0.68</v>
      </c>
      <c r="F285" s="11"/>
      <c r="G285" s="11"/>
      <c r="I285" s="278">
        <v>40</v>
      </c>
      <c r="J285" s="182" t="s">
        <v>1448</v>
      </c>
      <c r="K285" s="278">
        <v>15.73</v>
      </c>
      <c r="L285" s="279">
        <v>68000000</v>
      </c>
    </row>
    <row r="286" spans="3:12">
      <c r="C286" s="11" t="str">
        <f t="shared" si="39"/>
        <v>国信证券股份有限公司</v>
      </c>
      <c r="D286" s="11">
        <f t="shared" si="40"/>
        <v>15.69</v>
      </c>
      <c r="E286" s="11">
        <f t="shared" si="41"/>
        <v>0.6</v>
      </c>
      <c r="F286" s="11"/>
      <c r="G286" s="11"/>
      <c r="I286" s="278">
        <v>41</v>
      </c>
      <c r="J286" s="182" t="s">
        <v>1447</v>
      </c>
      <c r="K286" s="278">
        <v>15.69</v>
      </c>
      <c r="L286" s="279">
        <v>60000000</v>
      </c>
    </row>
    <row r="287" spans="3:12">
      <c r="C287" s="11" t="str">
        <f t="shared" si="39"/>
        <v xml:space="preserve">第一创业证券股份有限公司 </v>
      </c>
      <c r="D287" s="11">
        <f t="shared" si="40"/>
        <v>15.62</v>
      </c>
      <c r="E287" s="11">
        <f t="shared" si="41"/>
        <v>2</v>
      </c>
      <c r="F287" s="11"/>
      <c r="G287" s="11"/>
      <c r="I287" s="277">
        <v>42</v>
      </c>
      <c r="J287" s="182" t="s">
        <v>1446</v>
      </c>
      <c r="K287" s="277">
        <v>15.62</v>
      </c>
      <c r="L287" s="279">
        <v>200000000</v>
      </c>
    </row>
    <row r="288" spans="3:12">
      <c r="C288" s="11" t="str">
        <f t="shared" si="39"/>
        <v xml:space="preserve">宁波博翎股权投资合伙企业 </v>
      </c>
      <c r="D288" s="11">
        <f t="shared" si="40"/>
        <v>15.6</v>
      </c>
      <c r="E288" s="11">
        <f t="shared" si="41"/>
        <v>0.61</v>
      </c>
      <c r="F288" s="11"/>
      <c r="G288" s="11"/>
      <c r="I288" s="278">
        <v>43</v>
      </c>
      <c r="J288" s="182" t="s">
        <v>1445</v>
      </c>
      <c r="K288" s="278">
        <v>15.6</v>
      </c>
      <c r="L288" s="279">
        <v>61000000</v>
      </c>
    </row>
    <row r="289" spans="3:12">
      <c r="C289" s="11" t="str">
        <f t="shared" si="39"/>
        <v xml:space="preserve">上海国鑫投资发展有限公司 </v>
      </c>
      <c r="D289" s="11">
        <f t="shared" si="40"/>
        <v>15.54</v>
      </c>
      <c r="E289" s="11">
        <f t="shared" si="41"/>
        <v>0.6</v>
      </c>
      <c r="F289" s="11"/>
      <c r="G289" s="11"/>
      <c r="I289" s="278">
        <v>44</v>
      </c>
      <c r="J289" s="182" t="s">
        <v>1444</v>
      </c>
      <c r="K289" s="278">
        <v>15.54</v>
      </c>
      <c r="L289" s="279">
        <v>60000000</v>
      </c>
    </row>
    <row r="290" spans="3:12">
      <c r="C290" s="11" t="str">
        <f t="shared" si="39"/>
        <v xml:space="preserve">平安大华基金管理有限公司 </v>
      </c>
      <c r="D290" s="11">
        <f t="shared" si="40"/>
        <v>15.53</v>
      </c>
      <c r="E290" s="11">
        <f t="shared" si="41"/>
        <v>0.92</v>
      </c>
      <c r="F290" s="11"/>
      <c r="G290" s="11"/>
      <c r="I290" s="278">
        <v>45</v>
      </c>
      <c r="J290" s="182" t="s">
        <v>1443</v>
      </c>
      <c r="K290" s="227">
        <v>15.53</v>
      </c>
      <c r="L290" s="276">
        <v>92000000</v>
      </c>
    </row>
    <row r="291" spans="3:12">
      <c r="C291" s="11" t="str">
        <f t="shared" si="39"/>
        <v/>
      </c>
      <c r="D291" s="11">
        <f t="shared" si="40"/>
        <v>15.52</v>
      </c>
      <c r="E291" s="11">
        <f t="shared" si="41"/>
        <v>1.62</v>
      </c>
      <c r="F291" s="11"/>
      <c r="G291" s="11"/>
      <c r="I291" s="278"/>
      <c r="J291" s="182"/>
      <c r="K291" s="227">
        <v>15.52</v>
      </c>
      <c r="L291" s="276">
        <v>162000000</v>
      </c>
    </row>
    <row r="292" spans="3:12">
      <c r="C292" s="11" t="str">
        <f t="shared" si="39"/>
        <v xml:space="preserve">国华人寿保险股份有限公司 </v>
      </c>
      <c r="D292" s="11">
        <f t="shared" si="40"/>
        <v>15.53</v>
      </c>
      <c r="E292" s="11">
        <f t="shared" si="41"/>
        <v>1</v>
      </c>
      <c r="F292" s="11"/>
      <c r="G292" s="11"/>
      <c r="I292" s="278">
        <v>46</v>
      </c>
      <c r="J292" s="182" t="s">
        <v>1442</v>
      </c>
      <c r="K292" s="278">
        <v>15.53</v>
      </c>
      <c r="L292" s="279">
        <v>100000000</v>
      </c>
    </row>
    <row r="293" spans="3:12">
      <c r="C293" s="11" t="str">
        <f t="shared" si="39"/>
        <v xml:space="preserve">鞍山钢铁集团公司 </v>
      </c>
      <c r="D293" s="11">
        <f t="shared" si="40"/>
        <v>15.52</v>
      </c>
      <c r="E293" s="11">
        <f t="shared" si="41"/>
        <v>0.6</v>
      </c>
      <c r="F293" s="11"/>
      <c r="G293" s="11"/>
      <c r="I293" s="278">
        <v>47</v>
      </c>
      <c r="J293" s="182" t="s">
        <v>1441</v>
      </c>
      <c r="K293" s="278">
        <v>15.52</v>
      </c>
      <c r="L293" s="279">
        <v>60000000</v>
      </c>
    </row>
    <row r="294" spans="3:12">
      <c r="C294" s="11" t="str">
        <f t="shared" si="39"/>
        <v xml:space="preserve">华泰柏瑞基金管理有限公司 </v>
      </c>
      <c r="D294" s="11">
        <f t="shared" si="40"/>
        <v>15.51</v>
      </c>
      <c r="E294" s="11">
        <f t="shared" si="41"/>
        <v>1.1000000000000001</v>
      </c>
      <c r="F294" s="11"/>
      <c r="G294" s="11"/>
      <c r="I294" s="278">
        <v>48</v>
      </c>
      <c r="J294" s="182" t="s">
        <v>1440</v>
      </c>
      <c r="K294" s="278">
        <v>15.51</v>
      </c>
      <c r="L294" s="279">
        <v>110000000</v>
      </c>
    </row>
    <row r="295" spans="3:12">
      <c r="C295" s="11" t="str">
        <f t="shared" si="39"/>
        <v xml:space="preserve">平安养老保险股份有限公司 </v>
      </c>
      <c r="D295" s="11">
        <f t="shared" si="40"/>
        <v>15.28</v>
      </c>
      <c r="E295" s="11">
        <f t="shared" si="41"/>
        <v>0.6</v>
      </c>
      <c r="F295" s="11"/>
      <c r="G295" s="11"/>
      <c r="I295" s="278">
        <v>49</v>
      </c>
      <c r="J295" s="182" t="s">
        <v>1439</v>
      </c>
      <c r="K295" s="227">
        <v>15.28</v>
      </c>
      <c r="L295" s="276">
        <v>60000000</v>
      </c>
    </row>
    <row r="296" spans="3:12">
      <c r="C296" s="11" t="str">
        <f t="shared" si="39"/>
        <v/>
      </c>
      <c r="D296" s="11">
        <f t="shared" si="40"/>
        <v>13.2</v>
      </c>
      <c r="E296" s="11">
        <f t="shared" si="41"/>
        <v>1.2</v>
      </c>
      <c r="F296" s="11"/>
      <c r="G296" s="11"/>
      <c r="I296" s="278"/>
      <c r="J296" s="182"/>
      <c r="K296" s="227">
        <v>13.2</v>
      </c>
      <c r="L296" s="276">
        <v>120000000</v>
      </c>
    </row>
    <row r="297" spans="3:12">
      <c r="C297" s="11" t="str">
        <f t="shared" si="39"/>
        <v xml:space="preserve">新活力资本投资有限公司 </v>
      </c>
      <c r="D297" s="11">
        <f t="shared" si="40"/>
        <v>15.12</v>
      </c>
      <c r="E297" s="11">
        <f t="shared" si="41"/>
        <v>0.6</v>
      </c>
      <c r="F297" s="11"/>
      <c r="G297" s="11"/>
      <c r="I297" s="278">
        <v>50</v>
      </c>
      <c r="J297" s="169" t="s">
        <v>1438</v>
      </c>
      <c r="K297" s="278">
        <v>15.12</v>
      </c>
      <c r="L297" s="279">
        <v>60000000</v>
      </c>
    </row>
    <row r="298" spans="3:12">
      <c r="C298" s="11" t="str">
        <f t="shared" si="39"/>
        <v xml:space="preserve">兴业全球基金管理有限公司 </v>
      </c>
      <c r="D298" s="11">
        <f t="shared" si="40"/>
        <v>15.1</v>
      </c>
      <c r="E298" s="11">
        <f t="shared" si="41"/>
        <v>1.69</v>
      </c>
      <c r="F298" s="11"/>
      <c r="G298" s="11"/>
      <c r="I298" s="278">
        <v>51</v>
      </c>
      <c r="J298" s="182" t="s">
        <v>1437</v>
      </c>
      <c r="K298" s="227">
        <v>15.1</v>
      </c>
      <c r="L298" s="276">
        <v>169000000</v>
      </c>
    </row>
    <row r="299" spans="3:12">
      <c r="C299" s="11" t="str">
        <f t="shared" si="39"/>
        <v/>
      </c>
      <c r="D299" s="11">
        <f t="shared" si="40"/>
        <v>14.13</v>
      </c>
      <c r="E299" s="11">
        <f t="shared" si="41"/>
        <v>2</v>
      </c>
      <c r="F299" s="11"/>
      <c r="G299" s="11"/>
      <c r="I299" s="278"/>
      <c r="J299" s="182"/>
      <c r="K299" s="227">
        <v>14.13</v>
      </c>
      <c r="L299" s="276">
        <v>200000000</v>
      </c>
    </row>
    <row r="300" spans="3:12">
      <c r="C300" s="11" t="str">
        <f t="shared" si="39"/>
        <v xml:space="preserve">金元顺安基金管理有限公司 </v>
      </c>
      <c r="D300" s="11">
        <f t="shared" si="40"/>
        <v>15</v>
      </c>
      <c r="E300" s="11">
        <f t="shared" si="41"/>
        <v>0.6</v>
      </c>
      <c r="F300" s="11"/>
      <c r="G300" s="11"/>
      <c r="I300" s="278">
        <v>52</v>
      </c>
      <c r="J300" s="182" t="s">
        <v>1436</v>
      </c>
      <c r="K300" s="278">
        <v>15</v>
      </c>
      <c r="L300" s="279">
        <v>60000000</v>
      </c>
    </row>
    <row r="301" spans="3:12">
      <c r="C301" s="11" t="str">
        <f t="shared" si="39"/>
        <v xml:space="preserve">南京瑞达信沨股权投资合伙企业（有限合伙） </v>
      </c>
      <c r="D301" s="11">
        <f t="shared" si="40"/>
        <v>15</v>
      </c>
      <c r="E301" s="11">
        <f t="shared" si="41"/>
        <v>0.6</v>
      </c>
      <c r="F301" s="11"/>
      <c r="G301" s="11"/>
      <c r="I301" s="277">
        <v>53</v>
      </c>
      <c r="J301" s="156" t="s">
        <v>1435</v>
      </c>
      <c r="K301" s="227">
        <v>15</v>
      </c>
      <c r="L301" s="276">
        <v>60000000</v>
      </c>
    </row>
    <row r="302" spans="3:12">
      <c r="C302" s="11" t="str">
        <f t="shared" si="39"/>
        <v xml:space="preserve">安徽建投嘉华投资有限公司 </v>
      </c>
      <c r="D302" s="11">
        <f t="shared" si="40"/>
        <v>14.77</v>
      </c>
      <c r="E302" s="11">
        <f t="shared" si="41"/>
        <v>1.99</v>
      </c>
      <c r="F302" s="11"/>
      <c r="G302" s="11"/>
      <c r="I302" s="278">
        <v>54</v>
      </c>
      <c r="J302" s="182" t="s">
        <v>1434</v>
      </c>
      <c r="K302" s="278">
        <v>14.77</v>
      </c>
      <c r="L302" s="279">
        <v>199000000</v>
      </c>
    </row>
    <row r="303" spans="3:12">
      <c r="C303" s="11" t="str">
        <f t="shared" si="39"/>
        <v xml:space="preserve">广州证券领袖定增 1 号集合资产管理计划 </v>
      </c>
      <c r="D303" s="11">
        <f t="shared" si="40"/>
        <v>14.71</v>
      </c>
      <c r="E303" s="11">
        <f t="shared" si="41"/>
        <v>1.2</v>
      </c>
      <c r="F303" s="11"/>
      <c r="G303" s="11"/>
      <c r="I303" s="277">
        <v>55</v>
      </c>
      <c r="J303" s="182" t="s">
        <v>1433</v>
      </c>
      <c r="K303" s="227">
        <v>14.71</v>
      </c>
      <c r="L303" s="276">
        <v>120000000</v>
      </c>
    </row>
    <row r="304" spans="3:12">
      <c r="C304" s="11" t="str">
        <f t="shared" si="39"/>
        <v xml:space="preserve">诺安基金管理有限公司 </v>
      </c>
      <c r="D304" s="11">
        <f t="shared" si="40"/>
        <v>14.45</v>
      </c>
      <c r="E304" s="11">
        <f t="shared" si="41"/>
        <v>0.6</v>
      </c>
      <c r="F304" s="11"/>
      <c r="G304" s="11"/>
      <c r="I304" s="278">
        <v>56</v>
      </c>
      <c r="J304" s="182" t="s">
        <v>1432</v>
      </c>
      <c r="K304" s="227">
        <v>14.45</v>
      </c>
      <c r="L304" s="276">
        <v>60000000</v>
      </c>
    </row>
    <row r="305" spans="1:17">
      <c r="C305" s="11" t="str">
        <f t="shared" si="39"/>
        <v/>
      </c>
      <c r="D305" s="11">
        <f t="shared" si="40"/>
        <v>14.44</v>
      </c>
      <c r="E305" s="11">
        <f t="shared" si="41"/>
        <v>1.03</v>
      </c>
      <c r="F305" s="11"/>
      <c r="G305" s="11"/>
      <c r="I305" s="278"/>
      <c r="J305" s="156"/>
      <c r="K305" s="227">
        <v>14.44</v>
      </c>
      <c r="L305" s="276">
        <v>103000000</v>
      </c>
    </row>
    <row r="306" spans="1:17">
      <c r="C306" s="11" t="str">
        <f t="shared" si="39"/>
        <v xml:space="preserve">东莞证券股份有限公司 </v>
      </c>
      <c r="D306" s="11">
        <f t="shared" si="40"/>
        <v>14</v>
      </c>
      <c r="E306" s="11">
        <f t="shared" si="41"/>
        <v>0.6</v>
      </c>
      <c r="F306" s="11"/>
      <c r="G306" s="11"/>
      <c r="I306" s="278">
        <v>57</v>
      </c>
      <c r="J306" s="182" t="s">
        <v>1431</v>
      </c>
      <c r="K306" s="278">
        <v>14</v>
      </c>
      <c r="L306" s="279">
        <v>60000000</v>
      </c>
    </row>
    <row r="307" spans="1:17">
      <c r="C307" s="11" t="str">
        <f t="shared" si="39"/>
        <v xml:space="preserve">申万菱信基金管理有限公司 </v>
      </c>
      <c r="D307" s="11">
        <f t="shared" si="40"/>
        <v>13.8</v>
      </c>
      <c r="E307" s="11">
        <f t="shared" si="41"/>
        <v>1.4</v>
      </c>
      <c r="F307" s="11"/>
      <c r="G307" s="11"/>
      <c r="I307" s="278">
        <v>58</v>
      </c>
      <c r="J307" s="182" t="s">
        <v>1430</v>
      </c>
      <c r="K307" s="278">
        <v>13.8</v>
      </c>
      <c r="L307" s="279">
        <v>140000000</v>
      </c>
    </row>
    <row r="308" spans="1:17">
      <c r="C308" s="11" t="str">
        <f t="shared" si="39"/>
        <v>民生通惠资产</v>
      </c>
      <c r="D308" s="11">
        <f t="shared" si="40"/>
        <v>13.33</v>
      </c>
      <c r="E308" s="11">
        <f t="shared" si="41"/>
        <v>0.6</v>
      </c>
      <c r="F308" s="11"/>
      <c r="G308" s="11"/>
      <c r="I308" s="278">
        <v>59</v>
      </c>
      <c r="J308" s="182" t="s">
        <v>1429</v>
      </c>
      <c r="K308" s="227">
        <v>13.33</v>
      </c>
      <c r="L308" s="276">
        <v>60000000</v>
      </c>
    </row>
    <row r="309" spans="1:17">
      <c r="C309" s="11" t="str">
        <f t="shared" si="39"/>
        <v xml:space="preserve">管理有限公司 </v>
      </c>
      <c r="D309" s="11">
        <f t="shared" si="40"/>
        <v>12.18</v>
      </c>
      <c r="E309" s="11">
        <f t="shared" si="41"/>
        <v>0.9</v>
      </c>
      <c r="F309" s="11"/>
      <c r="G309" s="11"/>
      <c r="I309" s="278"/>
      <c r="J309" s="182" t="s">
        <v>1428</v>
      </c>
      <c r="K309" s="227">
        <v>12.18</v>
      </c>
      <c r="L309" s="276">
        <v>90000000</v>
      </c>
    </row>
    <row r="310" spans="1:17">
      <c r="C310" s="11" t="str">
        <f t="shared" si="39"/>
        <v xml:space="preserve">浩熙股权投资管理（上海） 有限公司 </v>
      </c>
      <c r="D310" s="11" t="str">
        <f t="shared" si="40"/>
        <v xml:space="preserve">无效 </v>
      </c>
      <c r="E310" s="11">
        <f t="shared" si="41"/>
        <v>0.6</v>
      </c>
      <c r="F310" s="11"/>
      <c r="G310" s="11"/>
      <c r="I310" s="277">
        <v>60</v>
      </c>
      <c r="J310" s="156" t="s">
        <v>1427</v>
      </c>
      <c r="K310" s="156" t="s">
        <v>1426</v>
      </c>
      <c r="L310" s="276">
        <v>60000000</v>
      </c>
    </row>
    <row r="311" spans="1:17">
      <c r="C311" s="24" t="str">
        <f t="shared" si="39"/>
        <v/>
      </c>
    </row>
    <row r="314" spans="1:17" s="162" customFormat="1">
      <c r="A314" s="164" t="s">
        <v>1315</v>
      </c>
      <c r="B314" s="164"/>
      <c r="C314" s="164" t="s">
        <v>107</v>
      </c>
      <c r="D314" s="164" t="s">
        <v>4</v>
      </c>
      <c r="E314" s="166" t="s">
        <v>108</v>
      </c>
      <c r="F314" s="166" t="s">
        <v>109</v>
      </c>
      <c r="G314" s="164" t="s">
        <v>1314</v>
      </c>
      <c r="H314" s="164" t="s">
        <v>1313</v>
      </c>
      <c r="I314" s="165" t="s">
        <v>1312</v>
      </c>
      <c r="J314" s="163" t="s">
        <v>1311</v>
      </c>
      <c r="K314" s="163" t="s">
        <v>110</v>
      </c>
      <c r="L314" s="163" t="s">
        <v>1310</v>
      </c>
      <c r="M314" s="164" t="s">
        <v>111</v>
      </c>
      <c r="N314" s="163" t="s">
        <v>949</v>
      </c>
      <c r="O314" s="163" t="s">
        <v>948</v>
      </c>
      <c r="P314" s="163" t="s">
        <v>129</v>
      </c>
    </row>
    <row r="315" spans="1:17">
      <c r="A315" s="24">
        <v>285</v>
      </c>
      <c r="B315" s="161" t="s">
        <v>1425</v>
      </c>
      <c r="C315" s="1" t="s">
        <v>1424</v>
      </c>
      <c r="D315" s="1" t="s">
        <v>1423</v>
      </c>
      <c r="E315" s="3">
        <v>3.9644819999999998</v>
      </c>
      <c r="F315" s="3">
        <v>3.9644818245</v>
      </c>
      <c r="G315" s="2">
        <v>42703</v>
      </c>
      <c r="H315" s="24" t="s">
        <v>151</v>
      </c>
      <c r="I315" s="130">
        <v>27.97</v>
      </c>
      <c r="J315" s="3">
        <v>27.15</v>
      </c>
      <c r="K315" s="160">
        <v>25.56</v>
      </c>
      <c r="L315" s="271">
        <v>0.97068287450840185</v>
      </c>
      <c r="M315" s="270">
        <v>5</v>
      </c>
      <c r="N315" s="2">
        <v>43076</v>
      </c>
      <c r="O315" s="24">
        <v>17.84</v>
      </c>
      <c r="P315" s="157">
        <v>0.67366482504604053</v>
      </c>
    </row>
    <row r="316" spans="1:17">
      <c r="C316" s="16" t="s">
        <v>112</v>
      </c>
      <c r="D316" s="16" t="s">
        <v>113</v>
      </c>
      <c r="E316" s="16" t="s">
        <v>1305</v>
      </c>
      <c r="F316" s="17" t="s">
        <v>1304</v>
      </c>
      <c r="G316" s="16" t="s">
        <v>1303</v>
      </c>
      <c r="I316" s="85" t="s">
        <v>118</v>
      </c>
      <c r="J316" s="85" t="s">
        <v>296</v>
      </c>
      <c r="K316" s="225" t="s">
        <v>1390</v>
      </c>
      <c r="L316" s="225" t="s">
        <v>1348</v>
      </c>
      <c r="N316" s="196" t="s">
        <v>1413</v>
      </c>
      <c r="O316" s="196" t="s">
        <v>7</v>
      </c>
      <c r="P316" s="196" t="s">
        <v>323</v>
      </c>
    </row>
    <row r="317" spans="1:17">
      <c r="C317" s="11" t="str">
        <f t="shared" ref="C317:C325" si="42">IF(J317=0,"",J317)</f>
        <v>宝盈基金管理有限公司</v>
      </c>
      <c r="D317" s="11">
        <f t="shared" ref="D317:D324" si="43">K317</f>
        <v>27.96</v>
      </c>
      <c r="E317" s="11">
        <f t="shared" ref="E317:E324" si="44">L317/10000</f>
        <v>0.8</v>
      </c>
      <c r="F317" s="10">
        <f t="shared" ref="F317:F324" si="45">IFERROR(VLOOKUP(C317,O$318:P$322,2,FALSE)/10000,"")</f>
        <v>294.65929999999997</v>
      </c>
      <c r="G317" s="10">
        <f>F317*J$315/10000</f>
        <v>0.79999999949999989</v>
      </c>
      <c r="I317" s="272">
        <v>1</v>
      </c>
      <c r="J317" s="204" t="s">
        <v>332</v>
      </c>
      <c r="K317" s="190">
        <v>27.96</v>
      </c>
      <c r="L317" s="236">
        <v>8000</v>
      </c>
      <c r="N317" s="196" t="s">
        <v>477</v>
      </c>
      <c r="O317" s="196"/>
      <c r="P317" s="196"/>
    </row>
    <row r="318" spans="1:17" ht="14.5" customHeight="1">
      <c r="C318" s="11" t="str">
        <f t="shared" si="42"/>
        <v>申万菱信基金管理有限公司</v>
      </c>
      <c r="D318" s="11">
        <f t="shared" si="43"/>
        <v>27.94</v>
      </c>
      <c r="E318" s="11">
        <f t="shared" si="44"/>
        <v>0.62</v>
      </c>
      <c r="F318" s="10">
        <f t="shared" si="45"/>
        <v>228.36089999999999</v>
      </c>
      <c r="G318" s="10">
        <f>F318*J$315/10000</f>
        <v>0.61999984349999993</v>
      </c>
      <c r="I318" s="272">
        <v>2</v>
      </c>
      <c r="J318" s="204" t="s">
        <v>121</v>
      </c>
      <c r="K318" s="190">
        <v>27.94</v>
      </c>
      <c r="L318" s="236">
        <v>6200</v>
      </c>
      <c r="N318" s="272">
        <v>1</v>
      </c>
      <c r="O318" s="204" t="s">
        <v>1422</v>
      </c>
      <c r="P318" s="275">
        <v>2946593</v>
      </c>
      <c r="Q318" s="273"/>
    </row>
    <row r="319" spans="1:17" ht="14.5" customHeight="1">
      <c r="C319" s="11" t="str">
        <f t="shared" si="42"/>
        <v>北信瑞丰基金管理有限公司</v>
      </c>
      <c r="D319" s="11">
        <f t="shared" si="43"/>
        <v>27.8</v>
      </c>
      <c r="E319" s="11">
        <f t="shared" si="44"/>
        <v>1.17</v>
      </c>
      <c r="F319" s="10">
        <f t="shared" si="45"/>
        <v>430.93920000000003</v>
      </c>
      <c r="G319" s="10">
        <f>F319*J$315/10000</f>
        <v>1.169999928</v>
      </c>
      <c r="I319" s="272">
        <v>3</v>
      </c>
      <c r="J319" s="204" t="s">
        <v>336</v>
      </c>
      <c r="K319" s="190">
        <v>27.8</v>
      </c>
      <c r="L319" s="236">
        <v>11700</v>
      </c>
      <c r="N319" s="182"/>
      <c r="O319" s="64" t="s">
        <v>1366</v>
      </c>
      <c r="P319" s="275">
        <v>2283609</v>
      </c>
      <c r="Q319" s="273"/>
    </row>
    <row r="320" spans="1:17" ht="14.5" customHeight="1">
      <c r="C320" s="11" t="str">
        <f t="shared" si="42"/>
        <v>建信基金管理有限责任公司</v>
      </c>
      <c r="D320" s="11">
        <f t="shared" si="43"/>
        <v>27.7</v>
      </c>
      <c r="E320" s="11">
        <f t="shared" si="44"/>
        <v>1.17</v>
      </c>
      <c r="F320" s="10">
        <f t="shared" si="45"/>
        <v>430.93920000000003</v>
      </c>
      <c r="G320" s="10">
        <f>F320*J$315/10000</f>
        <v>1.169999928</v>
      </c>
      <c r="I320" s="272">
        <v>4</v>
      </c>
      <c r="J320" s="204" t="s">
        <v>130</v>
      </c>
      <c r="K320" s="190">
        <v>27.7</v>
      </c>
      <c r="L320" s="236">
        <v>11700</v>
      </c>
      <c r="N320" s="221"/>
      <c r="O320" s="192" t="s">
        <v>1421</v>
      </c>
      <c r="P320" s="274">
        <v>4309392</v>
      </c>
      <c r="Q320" s="273"/>
    </row>
    <row r="321" spans="1:18" ht="14.5" customHeight="1">
      <c r="C321" s="11" t="str">
        <f t="shared" si="42"/>
        <v>西部证券股份有限公司</v>
      </c>
      <c r="D321" s="11">
        <f t="shared" si="43"/>
        <v>27.15</v>
      </c>
      <c r="E321" s="11">
        <f t="shared" si="44"/>
        <v>0.6</v>
      </c>
      <c r="F321" s="10">
        <f t="shared" si="45"/>
        <v>75.315700000000007</v>
      </c>
      <c r="G321" s="10">
        <f>F321*J$315/10000</f>
        <v>0.2044821255</v>
      </c>
      <c r="I321" s="272">
        <v>5</v>
      </c>
      <c r="J321" s="204" t="s">
        <v>385</v>
      </c>
      <c r="K321" s="190">
        <v>27.15</v>
      </c>
      <c r="L321" s="236">
        <v>6000</v>
      </c>
      <c r="N321" s="25"/>
      <c r="O321" s="192" t="s">
        <v>1420</v>
      </c>
      <c r="P321" s="236">
        <v>4309392</v>
      </c>
    </row>
    <row r="322" spans="1:18">
      <c r="C322" s="11" t="str">
        <f t="shared" si="42"/>
        <v>财通基金管理有限公司</v>
      </c>
      <c r="D322" s="11">
        <f t="shared" si="43"/>
        <v>26.5</v>
      </c>
      <c r="E322" s="11">
        <f t="shared" si="44"/>
        <v>0.74</v>
      </c>
      <c r="F322" s="10" t="str">
        <f t="shared" si="45"/>
        <v/>
      </c>
      <c r="G322" s="11"/>
      <c r="I322" s="272">
        <v>6</v>
      </c>
      <c r="J322" s="204" t="s">
        <v>115</v>
      </c>
      <c r="K322" s="190">
        <v>26.5</v>
      </c>
      <c r="L322" s="236">
        <v>7400</v>
      </c>
      <c r="N322" s="25"/>
      <c r="O322" s="192" t="s">
        <v>1419</v>
      </c>
      <c r="P322" s="236">
        <v>753157</v>
      </c>
    </row>
    <row r="323" spans="1:18">
      <c r="C323" s="11" t="str">
        <f t="shared" si="42"/>
        <v>兴业财富资产管理有限公司</v>
      </c>
      <c r="D323" s="11">
        <f t="shared" si="43"/>
        <v>26</v>
      </c>
      <c r="E323" s="11">
        <f t="shared" si="44"/>
        <v>0.6</v>
      </c>
      <c r="F323" s="10" t="str">
        <f t="shared" si="45"/>
        <v/>
      </c>
      <c r="G323" s="11"/>
      <c r="I323" s="272">
        <v>7</v>
      </c>
      <c r="J323" s="204" t="s">
        <v>352</v>
      </c>
      <c r="K323" s="190">
        <v>26</v>
      </c>
      <c r="L323" s="236">
        <v>6000</v>
      </c>
    </row>
    <row r="324" spans="1:18">
      <c r="C324" s="11" t="str">
        <f t="shared" si="42"/>
        <v>西藏自治区投资有限公司</v>
      </c>
      <c r="D324" s="11">
        <f t="shared" si="43"/>
        <v>25.8</v>
      </c>
      <c r="E324" s="11">
        <f t="shared" si="44"/>
        <v>0.6</v>
      </c>
      <c r="F324" s="10" t="str">
        <f t="shared" si="45"/>
        <v/>
      </c>
      <c r="G324" s="11"/>
      <c r="I324" s="272">
        <v>8</v>
      </c>
      <c r="J324" s="204" t="s">
        <v>329</v>
      </c>
      <c r="K324" s="190">
        <v>25.8</v>
      </c>
      <c r="L324" s="236">
        <v>6000</v>
      </c>
    </row>
    <row r="325" spans="1:18" ht="14.5" customHeight="1">
      <c r="C325" s="24" t="str">
        <f t="shared" si="42"/>
        <v/>
      </c>
    </row>
    <row r="327" spans="1:18" s="162" customFormat="1">
      <c r="A327" s="164" t="s">
        <v>1315</v>
      </c>
      <c r="B327" s="164"/>
      <c r="C327" s="164" t="s">
        <v>107</v>
      </c>
      <c r="D327" s="164" t="s">
        <v>4</v>
      </c>
      <c r="E327" s="166" t="s">
        <v>108</v>
      </c>
      <c r="F327" s="166" t="s">
        <v>109</v>
      </c>
      <c r="G327" s="164" t="s">
        <v>1314</v>
      </c>
      <c r="H327" s="164" t="s">
        <v>1313</v>
      </c>
      <c r="I327" s="165" t="s">
        <v>1312</v>
      </c>
      <c r="J327" s="163" t="s">
        <v>1311</v>
      </c>
      <c r="K327" s="163" t="s">
        <v>110</v>
      </c>
      <c r="L327" s="163" t="s">
        <v>1310</v>
      </c>
      <c r="M327" s="164" t="s">
        <v>111</v>
      </c>
      <c r="N327" s="163" t="s">
        <v>949</v>
      </c>
      <c r="O327" s="163" t="s">
        <v>948</v>
      </c>
      <c r="P327" s="163" t="s">
        <v>129</v>
      </c>
    </row>
    <row r="328" spans="1:18">
      <c r="A328" s="24">
        <v>286</v>
      </c>
      <c r="B328" s="161" t="s">
        <v>1418</v>
      </c>
      <c r="C328" s="1" t="s">
        <v>1417</v>
      </c>
      <c r="D328" s="1" t="s">
        <v>1416</v>
      </c>
      <c r="E328" s="3">
        <v>2.0299999999999998</v>
      </c>
      <c r="F328" s="3">
        <v>2.0299998608999998</v>
      </c>
      <c r="G328" s="124">
        <v>42684</v>
      </c>
      <c r="H328" s="24" t="s">
        <v>1306</v>
      </c>
      <c r="I328" s="130">
        <v>15.23</v>
      </c>
      <c r="J328" s="3">
        <v>15.63</v>
      </c>
      <c r="K328" s="160">
        <v>14.18</v>
      </c>
      <c r="L328" s="271">
        <v>1.0262639527248851</v>
      </c>
      <c r="M328" s="270">
        <v>2</v>
      </c>
      <c r="N328" s="2">
        <v>42712</v>
      </c>
      <c r="O328" s="24">
        <v>15.64</v>
      </c>
      <c r="P328" s="157">
        <v>1.0006397952655151</v>
      </c>
    </row>
    <row r="329" spans="1:18">
      <c r="C329" s="16" t="s">
        <v>112</v>
      </c>
      <c r="D329" s="16" t="s">
        <v>113</v>
      </c>
      <c r="E329" s="16" t="s">
        <v>1305</v>
      </c>
      <c r="F329" s="17" t="s">
        <v>1304</v>
      </c>
      <c r="G329" s="16" t="s">
        <v>1303</v>
      </c>
      <c r="I329" s="192" t="s">
        <v>118</v>
      </c>
      <c r="J329" s="204" t="s">
        <v>347</v>
      </c>
      <c r="K329" s="192" t="s">
        <v>1415</v>
      </c>
      <c r="L329" s="192" t="s">
        <v>1414</v>
      </c>
      <c r="N329" s="203" t="s">
        <v>1413</v>
      </c>
      <c r="O329" s="192" t="s">
        <v>1412</v>
      </c>
      <c r="P329" s="203" t="s">
        <v>1411</v>
      </c>
      <c r="Q329" s="192" t="s">
        <v>410</v>
      </c>
      <c r="R329" s="192" t="s">
        <v>1410</v>
      </c>
    </row>
    <row r="330" spans="1:18">
      <c r="C330" s="11" t="str">
        <f t="shared" ref="C330:C339" si="46">IF(J330=0,"",J330)</f>
        <v>国信证券股份有限公司</v>
      </c>
      <c r="D330" s="11">
        <f t="shared" ref="D330:D339" si="47">K330</f>
        <v>14.19</v>
      </c>
      <c r="E330" s="11">
        <f t="shared" ref="E330:E339" si="48">L330/100000000</f>
        <v>0.41</v>
      </c>
      <c r="F330" s="11" t="str">
        <f t="shared" ref="F330:F339" si="49">IFERROR(VLOOKUP(C330,O$331:R$332,3,FALSE)/10000,"")</f>
        <v/>
      </c>
      <c r="G330" s="11"/>
      <c r="I330" s="192">
        <v>1</v>
      </c>
      <c r="J330" s="204" t="s">
        <v>1142</v>
      </c>
      <c r="K330" s="201">
        <v>14.19</v>
      </c>
      <c r="L330" s="223">
        <v>41000000</v>
      </c>
      <c r="N330" s="203" t="s">
        <v>477</v>
      </c>
      <c r="O330" s="192"/>
      <c r="P330" s="203" t="s">
        <v>1334</v>
      </c>
      <c r="Q330" s="192"/>
      <c r="R330" s="192"/>
    </row>
    <row r="331" spans="1:18">
      <c r="C331" s="11" t="str">
        <f t="shared" si="46"/>
        <v>安信基金管理有限责任公司</v>
      </c>
      <c r="D331" s="11">
        <f t="shared" si="47"/>
        <v>15.63</v>
      </c>
      <c r="E331" s="11">
        <f t="shared" si="48"/>
        <v>0.82</v>
      </c>
      <c r="F331" s="10">
        <f t="shared" si="49"/>
        <v>524.63210000000004</v>
      </c>
      <c r="G331" s="10">
        <f>F331*J$328/10000</f>
        <v>0.8199999723000001</v>
      </c>
      <c r="I331" s="192">
        <v>2</v>
      </c>
      <c r="J331" s="204" t="s">
        <v>371</v>
      </c>
      <c r="K331" s="201">
        <v>15.63</v>
      </c>
      <c r="L331" s="223">
        <v>82000000</v>
      </c>
      <c r="N331" s="204">
        <v>1</v>
      </c>
      <c r="O331" s="204" t="s">
        <v>278</v>
      </c>
      <c r="P331" s="201">
        <v>15.63</v>
      </c>
      <c r="Q331" s="202">
        <v>7741522</v>
      </c>
      <c r="R331" s="206">
        <v>120999988.86</v>
      </c>
    </row>
    <row r="332" spans="1:18">
      <c r="C332" s="11" t="str">
        <f t="shared" si="46"/>
        <v>财通基金管理有限公司</v>
      </c>
      <c r="D332" s="11">
        <f t="shared" si="47"/>
        <v>14.46</v>
      </c>
      <c r="E332" s="11">
        <f t="shared" si="48"/>
        <v>0.54</v>
      </c>
      <c r="F332" s="11" t="str">
        <f t="shared" si="49"/>
        <v/>
      </c>
      <c r="G332" s="11"/>
      <c r="I332" s="192">
        <v>3</v>
      </c>
      <c r="J332" s="203" t="s">
        <v>115</v>
      </c>
      <c r="K332" s="192">
        <v>14.46</v>
      </c>
      <c r="L332" s="205">
        <v>54000000</v>
      </c>
      <c r="N332" s="204">
        <v>2</v>
      </c>
      <c r="O332" s="204" t="s">
        <v>371</v>
      </c>
      <c r="P332" s="201">
        <v>15.63</v>
      </c>
      <c r="Q332" s="202">
        <v>5246321</v>
      </c>
      <c r="R332" s="206">
        <v>81999997.230000004</v>
      </c>
    </row>
    <row r="333" spans="1:18">
      <c r="C333" s="11" t="str">
        <f t="shared" si="46"/>
        <v/>
      </c>
      <c r="D333" s="11">
        <f t="shared" si="47"/>
        <v>14.18</v>
      </c>
      <c r="E333" s="11">
        <f t="shared" si="48"/>
        <v>0.87</v>
      </c>
      <c r="F333" s="11" t="str">
        <f t="shared" si="49"/>
        <v/>
      </c>
      <c r="G333" s="11"/>
      <c r="I333" s="25"/>
      <c r="J333" s="25"/>
      <c r="K333" s="192">
        <v>14.18</v>
      </c>
      <c r="L333" s="205">
        <v>87000000</v>
      </c>
    </row>
    <row r="334" spans="1:18">
      <c r="C334" s="11" t="str">
        <f t="shared" si="46"/>
        <v>深圳天风天成资产管理有限公司</v>
      </c>
      <c r="D334" s="11">
        <f t="shared" si="47"/>
        <v>14.8</v>
      </c>
      <c r="E334" s="11">
        <f t="shared" si="48"/>
        <v>0.41</v>
      </c>
      <c r="F334" s="11" t="str">
        <f t="shared" si="49"/>
        <v/>
      </c>
      <c r="G334" s="11"/>
      <c r="I334" s="204">
        <v>4</v>
      </c>
      <c r="J334" s="204" t="s">
        <v>560</v>
      </c>
      <c r="K334" s="201">
        <v>14.8</v>
      </c>
      <c r="L334" s="223">
        <v>41000000</v>
      </c>
    </row>
    <row r="335" spans="1:18">
      <c r="C335" s="11" t="str">
        <f t="shared" si="46"/>
        <v>北信瑞丰基金管理有限公司</v>
      </c>
      <c r="D335" s="11">
        <f t="shared" si="47"/>
        <v>15.38</v>
      </c>
      <c r="E335" s="11">
        <f t="shared" si="48"/>
        <v>0.61</v>
      </c>
      <c r="F335" s="11" t="str">
        <f t="shared" si="49"/>
        <v/>
      </c>
      <c r="G335" s="11"/>
      <c r="I335" s="192">
        <v>5</v>
      </c>
      <c r="J335" s="203" t="s">
        <v>336</v>
      </c>
      <c r="K335" s="201">
        <v>15.38</v>
      </c>
      <c r="L335" s="223">
        <v>61000000</v>
      </c>
    </row>
    <row r="336" spans="1:18">
      <c r="C336" s="11" t="str">
        <f t="shared" si="46"/>
        <v/>
      </c>
      <c r="D336" s="11">
        <f t="shared" si="47"/>
        <v>14.6</v>
      </c>
      <c r="E336" s="11">
        <f t="shared" si="48"/>
        <v>0.75</v>
      </c>
      <c r="F336" s="11" t="str">
        <f t="shared" si="49"/>
        <v/>
      </c>
      <c r="G336" s="11"/>
      <c r="I336" s="25"/>
      <c r="J336" s="25"/>
      <c r="K336" s="192">
        <v>14.6</v>
      </c>
      <c r="L336" s="205">
        <v>75000000</v>
      </c>
    </row>
    <row r="337" spans="3:12">
      <c r="C337" s="11" t="str">
        <f t="shared" si="46"/>
        <v/>
      </c>
      <c r="D337" s="11">
        <f t="shared" si="47"/>
        <v>14.21</v>
      </c>
      <c r="E337" s="11">
        <f t="shared" si="48"/>
        <v>0.78</v>
      </c>
      <c r="F337" s="11" t="str">
        <f t="shared" si="49"/>
        <v/>
      </c>
      <c r="G337" s="11"/>
      <c r="I337" s="64"/>
      <c r="J337" s="64"/>
      <c r="K337" s="192">
        <v>14.21</v>
      </c>
      <c r="L337" s="205">
        <v>78000000</v>
      </c>
    </row>
    <row r="338" spans="3:12">
      <c r="C338" s="11" t="str">
        <f t="shared" si="46"/>
        <v>金鹰基金管理有限公司</v>
      </c>
      <c r="D338" s="11">
        <f t="shared" si="47"/>
        <v>15.88</v>
      </c>
      <c r="E338" s="11">
        <f t="shared" si="48"/>
        <v>1.21</v>
      </c>
      <c r="F338" s="10">
        <f t="shared" si="49"/>
        <v>774.15219999999999</v>
      </c>
      <c r="G338" s="10">
        <f>F338*J$328/10000</f>
        <v>1.2099998886000001</v>
      </c>
      <c r="I338" s="204">
        <v>6</v>
      </c>
      <c r="J338" s="203" t="s">
        <v>278</v>
      </c>
      <c r="K338" s="201">
        <v>15.88</v>
      </c>
      <c r="L338" s="223">
        <v>121000000</v>
      </c>
    </row>
    <row r="339" spans="3:12">
      <c r="C339" s="11" t="str">
        <f t="shared" si="46"/>
        <v/>
      </c>
      <c r="D339" s="11">
        <f t="shared" si="47"/>
        <v>15.39</v>
      </c>
      <c r="E339" s="11">
        <f t="shared" si="48"/>
        <v>2.0299999999999998</v>
      </c>
      <c r="F339" s="11" t="str">
        <f t="shared" si="49"/>
        <v/>
      </c>
      <c r="G339" s="11"/>
      <c r="I339" s="25"/>
      <c r="J339" s="25"/>
      <c r="K339" s="201">
        <v>15.39</v>
      </c>
      <c r="L339" s="223">
        <v>203000000</v>
      </c>
    </row>
  </sheetData>
  <mergeCells count="1">
    <mergeCell ref="D98:G98"/>
  </mergeCells>
  <phoneticPr fontId="139" type="noConversion"/>
  <hyperlinks>
    <hyperlink ref="B4" r:id="rId1" xr:uid="{00000000-0004-0000-1000-000000000000}"/>
    <hyperlink ref="B35" r:id="rId2" xr:uid="{00000000-0004-0000-1000-000001000000}"/>
    <hyperlink ref="B93" r:id="rId3" xr:uid="{00000000-0004-0000-1000-000002000000}"/>
    <hyperlink ref="B104" r:id="rId4" xr:uid="{00000000-0004-0000-1000-000003000000}"/>
    <hyperlink ref="B129" r:id="rId5" xr:uid="{00000000-0004-0000-1000-000004000000}"/>
    <hyperlink ref="B147" r:id="rId6" xr:uid="{00000000-0004-0000-1000-000005000000}"/>
    <hyperlink ref="B212" r:id="rId7" xr:uid="{00000000-0004-0000-1000-000006000000}"/>
    <hyperlink ref="B315" r:id="rId8" xr:uid="{00000000-0004-0000-1000-000007000000}"/>
    <hyperlink ref="B328" r:id="rId9" xr:uid="{00000000-0004-0000-1000-000008000000}"/>
  </hyperlinks>
  <pageMargins left="0.7" right="0.7" top="0.75" bottom="0.75" header="0.3" footer="0.3"/>
  <pageSetup orientation="portrait" r:id="rId1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T341"/>
  <sheetViews>
    <sheetView topLeftCell="A320" workbookViewId="0">
      <selection activeCell="A311" sqref="A311"/>
    </sheetView>
  </sheetViews>
  <sheetFormatPr defaultColWidth="8.83203125" defaultRowHeight="14"/>
  <cols>
    <col min="1" max="2" width="9.1640625" style="24" customWidth="1"/>
    <col min="3" max="3" width="20.5" style="24" customWidth="1"/>
    <col min="4" max="4" width="11.83203125" style="24" customWidth="1"/>
    <col min="5" max="5" width="14.6640625" style="24" customWidth="1"/>
    <col min="6" max="6" width="14.83203125" style="24" customWidth="1"/>
    <col min="7" max="7" width="13" style="24" customWidth="1"/>
    <col min="8" max="8" width="15.1640625" style="24" customWidth="1"/>
    <col min="9" max="9" width="12.33203125" style="24" bestFit="1" customWidth="1"/>
    <col min="10" max="10" width="10.1640625" style="24" customWidth="1"/>
    <col min="11" max="11" width="8.6640625" style="24" bestFit="1" customWidth="1"/>
    <col min="12" max="12" width="12.83203125" style="24" customWidth="1"/>
    <col min="13" max="13" width="11.83203125" style="24" customWidth="1"/>
    <col min="14" max="14" width="10.6640625" style="24" customWidth="1"/>
    <col min="15" max="15" width="11.33203125" style="24" customWidth="1"/>
    <col min="16" max="16" width="10.1640625" style="24" bestFit="1" customWidth="1"/>
    <col min="17" max="17" width="12.6640625" style="24" bestFit="1" customWidth="1"/>
    <col min="18" max="18" width="14.33203125" style="24" bestFit="1" customWidth="1"/>
    <col min="19" max="19" width="12.83203125" style="24" bestFit="1" customWidth="1"/>
    <col min="20" max="20" width="14.1640625" style="24" bestFit="1" customWidth="1"/>
    <col min="21" max="16384" width="8.83203125" style="24"/>
  </cols>
  <sheetData>
    <row r="1" spans="1:19">
      <c r="A1" s="24" t="s">
        <v>2071</v>
      </c>
    </row>
    <row r="3" spans="1:19" s="162" customFormat="1">
      <c r="A3" s="164" t="s">
        <v>1315</v>
      </c>
      <c r="B3" s="164"/>
      <c r="C3" s="164" t="s">
        <v>107</v>
      </c>
      <c r="D3" s="164" t="s">
        <v>4</v>
      </c>
      <c r="E3" s="166" t="s">
        <v>108</v>
      </c>
      <c r="F3" s="166" t="s">
        <v>109</v>
      </c>
      <c r="G3" s="164" t="s">
        <v>1314</v>
      </c>
      <c r="H3" s="164" t="s">
        <v>1313</v>
      </c>
      <c r="I3" s="165" t="s">
        <v>1312</v>
      </c>
      <c r="J3" s="163" t="s">
        <v>1311</v>
      </c>
      <c r="K3" s="163" t="s">
        <v>110</v>
      </c>
      <c r="L3" s="163" t="s">
        <v>1310</v>
      </c>
      <c r="M3" s="164" t="s">
        <v>111</v>
      </c>
      <c r="N3" s="163" t="s">
        <v>949</v>
      </c>
      <c r="O3" s="163" t="s">
        <v>948</v>
      </c>
      <c r="P3" s="163" t="s">
        <v>129</v>
      </c>
    </row>
    <row r="4" spans="1:19">
      <c r="A4" s="24">
        <v>287</v>
      </c>
      <c r="B4" s="161" t="s">
        <v>1693</v>
      </c>
      <c r="C4" s="1" t="s">
        <v>1692</v>
      </c>
      <c r="D4" s="1" t="s">
        <v>1691</v>
      </c>
      <c r="E4" s="3">
        <v>16.417436073899999</v>
      </c>
      <c r="F4" s="3">
        <v>16.4174358908</v>
      </c>
      <c r="G4" s="124">
        <v>42695</v>
      </c>
      <c r="H4" s="24" t="s">
        <v>151</v>
      </c>
      <c r="I4" s="130">
        <v>17.93</v>
      </c>
      <c r="J4" s="3">
        <v>13.58</v>
      </c>
      <c r="K4" s="160">
        <v>11.99</v>
      </c>
      <c r="L4" s="271">
        <v>0.75738984941438936</v>
      </c>
      <c r="M4" s="270">
        <v>8</v>
      </c>
      <c r="N4" s="2">
        <v>43076</v>
      </c>
      <c r="O4" s="24">
        <v>13.61</v>
      </c>
      <c r="P4" s="157">
        <v>1.0022091310751104</v>
      </c>
    </row>
    <row r="5" spans="1:19">
      <c r="C5" s="16" t="s">
        <v>112</v>
      </c>
      <c r="D5" s="16" t="s">
        <v>113</v>
      </c>
      <c r="E5" s="16" t="s">
        <v>1305</v>
      </c>
      <c r="F5" s="17" t="s">
        <v>1304</v>
      </c>
      <c r="G5" s="16" t="s">
        <v>1303</v>
      </c>
      <c r="I5" s="225" t="s">
        <v>1351</v>
      </c>
      <c r="J5" s="196" t="s">
        <v>296</v>
      </c>
      <c r="K5" s="85" t="s">
        <v>1690</v>
      </c>
      <c r="L5" s="225" t="s">
        <v>1689</v>
      </c>
      <c r="M5" s="225" t="s">
        <v>1682</v>
      </c>
      <c r="O5" s="85" t="s">
        <v>118</v>
      </c>
      <c r="P5" s="85" t="s">
        <v>296</v>
      </c>
      <c r="Q5" s="225" t="s">
        <v>1567</v>
      </c>
      <c r="R5" s="85" t="s">
        <v>1346</v>
      </c>
      <c r="S5" s="85" t="s">
        <v>1335</v>
      </c>
    </row>
    <row r="6" spans="1:19">
      <c r="C6" s="11" t="str">
        <f t="shared" ref="C6:C32" si="0">IF(J6=0,"",J6)</f>
        <v>北京恒宇天泽投资管理有限公司</v>
      </c>
      <c r="D6" s="11">
        <f t="shared" ref="D6:D32" si="1">K6</f>
        <v>14.1</v>
      </c>
      <c r="E6" s="10">
        <f t="shared" ref="E6:E32" si="2">M6/10000</f>
        <v>3.3980999999999999</v>
      </c>
      <c r="F6" s="10">
        <f t="shared" ref="F6:F32" si="3">IFERROR(VLOOKUP(C6,P$6:R$13,2,FALSE)/10000,"")</f>
        <v>2503.6817999999998</v>
      </c>
      <c r="G6" s="10">
        <f>IFERROR(F6*J$4/10000,"")</f>
        <v>3.3999998844000001</v>
      </c>
      <c r="I6" s="168">
        <v>1</v>
      </c>
      <c r="J6" s="192" t="s">
        <v>1604</v>
      </c>
      <c r="K6" s="190">
        <v>14.1</v>
      </c>
      <c r="L6" s="234">
        <v>2410</v>
      </c>
      <c r="M6" s="234">
        <v>33981</v>
      </c>
      <c r="O6" s="168">
        <v>1</v>
      </c>
      <c r="P6" s="204" t="s">
        <v>115</v>
      </c>
      <c r="Q6" s="167">
        <v>14973453</v>
      </c>
      <c r="R6" s="197">
        <v>203339491.74000001</v>
      </c>
      <c r="S6" s="168">
        <v>12</v>
      </c>
    </row>
    <row r="7" spans="1:19">
      <c r="C7" s="11" t="str">
        <f t="shared" si="0"/>
        <v/>
      </c>
      <c r="D7" s="11">
        <f t="shared" si="1"/>
        <v>13.8</v>
      </c>
      <c r="E7" s="10">
        <f t="shared" si="2"/>
        <v>3.3989400000000001</v>
      </c>
      <c r="F7" s="10" t="str">
        <f t="shared" si="3"/>
        <v/>
      </c>
      <c r="G7" s="10" t="str">
        <f t="shared" ref="G7:G31" si="4">IFERROR(F7*J$4/10000,"")</f>
        <v/>
      </c>
      <c r="I7" s="25"/>
      <c r="J7" s="25"/>
      <c r="K7" s="190">
        <v>13.8</v>
      </c>
      <c r="L7" s="234">
        <v>2463</v>
      </c>
      <c r="M7" s="234">
        <v>33989.4</v>
      </c>
      <c r="O7" s="168">
        <v>2</v>
      </c>
      <c r="P7" s="204" t="s">
        <v>1687</v>
      </c>
      <c r="Q7" s="167">
        <v>12607879</v>
      </c>
      <c r="R7" s="197">
        <v>171214996.81999999</v>
      </c>
      <c r="S7" s="168">
        <v>12</v>
      </c>
    </row>
    <row r="8" spans="1:19">
      <c r="C8" s="11" t="str">
        <f t="shared" si="0"/>
        <v/>
      </c>
      <c r="D8" s="11">
        <f t="shared" si="1"/>
        <v>13.6</v>
      </c>
      <c r="E8" s="10">
        <f t="shared" si="2"/>
        <v>3.4</v>
      </c>
      <c r="F8" s="10" t="str">
        <f t="shared" si="3"/>
        <v/>
      </c>
      <c r="G8" s="10" t="str">
        <f t="shared" si="4"/>
        <v/>
      </c>
      <c r="I8" s="64"/>
      <c r="J8" s="64"/>
      <c r="K8" s="190">
        <v>13.6</v>
      </c>
      <c r="L8" s="234">
        <v>2500</v>
      </c>
      <c r="M8" s="234">
        <v>34000</v>
      </c>
      <c r="O8" s="168">
        <v>3</v>
      </c>
      <c r="P8" s="204" t="s">
        <v>234</v>
      </c>
      <c r="Q8" s="167">
        <v>12524521</v>
      </c>
      <c r="R8" s="197">
        <v>170082995.18000001</v>
      </c>
      <c r="S8" s="168">
        <v>12</v>
      </c>
    </row>
    <row r="9" spans="1:19">
      <c r="C9" s="11" t="str">
        <f t="shared" si="0"/>
        <v>广西铁路发展二期投资基金合伙企业（有限合伙）</v>
      </c>
      <c r="D9" s="11">
        <f t="shared" si="1"/>
        <v>14.08</v>
      </c>
      <c r="E9" s="10">
        <f t="shared" si="2"/>
        <v>1.7008639999999999</v>
      </c>
      <c r="F9" s="10">
        <f t="shared" si="3"/>
        <v>1252.4771000000001</v>
      </c>
      <c r="G9" s="10">
        <f t="shared" si="4"/>
        <v>1.7008639018000002</v>
      </c>
      <c r="I9" s="168">
        <v>2</v>
      </c>
      <c r="J9" s="192" t="s">
        <v>1624</v>
      </c>
      <c r="K9" s="190">
        <v>14.08</v>
      </c>
      <c r="L9" s="234">
        <v>1208</v>
      </c>
      <c r="M9" s="234">
        <v>17008.64</v>
      </c>
      <c r="O9" s="168">
        <v>4</v>
      </c>
      <c r="P9" s="204" t="s">
        <v>1624</v>
      </c>
      <c r="Q9" s="167">
        <v>12524771</v>
      </c>
      <c r="R9" s="197">
        <v>170086390.18000001</v>
      </c>
      <c r="S9" s="168">
        <v>12</v>
      </c>
    </row>
    <row r="10" spans="1:19">
      <c r="C10" s="11" t="str">
        <f t="shared" si="0"/>
        <v>江苏盛和投资有限公司</v>
      </c>
      <c r="D10" s="11">
        <f t="shared" si="1"/>
        <v>13.9</v>
      </c>
      <c r="E10" s="10">
        <f t="shared" si="2"/>
        <v>1.7013599999999998</v>
      </c>
      <c r="F10" s="10">
        <f t="shared" si="3"/>
        <v>1252.8424</v>
      </c>
      <c r="G10" s="10">
        <f t="shared" si="4"/>
        <v>1.7013599792</v>
      </c>
      <c r="I10" s="168">
        <v>3</v>
      </c>
      <c r="J10" s="192" t="s">
        <v>1688</v>
      </c>
      <c r="K10" s="190">
        <v>13.9</v>
      </c>
      <c r="L10" s="234">
        <v>1224</v>
      </c>
      <c r="M10" s="234">
        <v>17013.599999999999</v>
      </c>
      <c r="O10" s="168">
        <v>5</v>
      </c>
      <c r="P10" s="204" t="s">
        <v>1688</v>
      </c>
      <c r="Q10" s="167">
        <v>12528424</v>
      </c>
      <c r="R10" s="197">
        <v>170135997.91999999</v>
      </c>
      <c r="S10" s="168">
        <v>12</v>
      </c>
    </row>
    <row r="11" spans="1:19">
      <c r="C11" s="11" t="str">
        <f t="shared" si="0"/>
        <v>国信证券股份有限公司</v>
      </c>
      <c r="D11" s="11">
        <f t="shared" si="1"/>
        <v>13.39</v>
      </c>
      <c r="E11" s="10">
        <f t="shared" si="2"/>
        <v>1.7005299999999999</v>
      </c>
      <c r="F11" s="10" t="str">
        <f t="shared" si="3"/>
        <v/>
      </c>
      <c r="G11" s="10" t="str">
        <f t="shared" si="4"/>
        <v/>
      </c>
      <c r="I11" s="168">
        <v>4</v>
      </c>
      <c r="J11" s="192" t="s">
        <v>1142</v>
      </c>
      <c r="K11" s="190">
        <v>13.39</v>
      </c>
      <c r="L11" s="234">
        <v>1270</v>
      </c>
      <c r="M11" s="234">
        <v>17005.3</v>
      </c>
      <c r="O11" s="168">
        <v>6</v>
      </c>
      <c r="P11" s="204" t="s">
        <v>173</v>
      </c>
      <c r="Q11" s="167">
        <v>23102209</v>
      </c>
      <c r="R11" s="197">
        <v>313727998.22000003</v>
      </c>
      <c r="S11" s="168">
        <v>12</v>
      </c>
    </row>
    <row r="12" spans="1:19">
      <c r="C12" s="11" t="str">
        <f t="shared" si="0"/>
        <v>嘉实基金管理有限公司</v>
      </c>
      <c r="D12" s="11">
        <f t="shared" si="1"/>
        <v>12.5</v>
      </c>
      <c r="E12" s="10">
        <f t="shared" si="2"/>
        <v>1.8</v>
      </c>
      <c r="F12" s="10" t="str">
        <f t="shared" si="3"/>
        <v/>
      </c>
      <c r="G12" s="10" t="str">
        <f t="shared" si="4"/>
        <v/>
      </c>
      <c r="I12" s="168">
        <v>5</v>
      </c>
      <c r="J12" s="192" t="s">
        <v>228</v>
      </c>
      <c r="K12" s="190">
        <v>12.5</v>
      </c>
      <c r="L12" s="234">
        <v>1440</v>
      </c>
      <c r="M12" s="234">
        <v>18000</v>
      </c>
      <c r="O12" s="168">
        <v>7</v>
      </c>
      <c r="P12" s="204" t="s">
        <v>1604</v>
      </c>
      <c r="Q12" s="167">
        <v>25036818</v>
      </c>
      <c r="R12" s="197">
        <v>339999988.44</v>
      </c>
      <c r="S12" s="168">
        <v>12</v>
      </c>
    </row>
    <row r="13" spans="1:19">
      <c r="C13" s="11" t="str">
        <f t="shared" si="0"/>
        <v/>
      </c>
      <c r="D13" s="11">
        <f t="shared" si="1"/>
        <v>12.25</v>
      </c>
      <c r="E13" s="10">
        <f t="shared" si="2"/>
        <v>2.2000999999999999</v>
      </c>
      <c r="F13" s="10" t="str">
        <f t="shared" si="3"/>
        <v/>
      </c>
      <c r="G13" s="10" t="str">
        <f t="shared" si="4"/>
        <v/>
      </c>
      <c r="I13" s="25"/>
      <c r="J13" s="25"/>
      <c r="K13" s="190">
        <v>12.25</v>
      </c>
      <c r="L13" s="234">
        <v>1796</v>
      </c>
      <c r="M13" s="234">
        <v>22001</v>
      </c>
      <c r="O13" s="168">
        <v>8</v>
      </c>
      <c r="P13" s="204" t="s">
        <v>135</v>
      </c>
      <c r="Q13" s="167">
        <v>7596151</v>
      </c>
      <c r="R13" s="197">
        <v>103155730.58</v>
      </c>
      <c r="S13" s="168">
        <v>12</v>
      </c>
    </row>
    <row r="14" spans="1:19">
      <c r="C14" s="11" t="str">
        <f t="shared" si="0"/>
        <v>上海国际集团资产管理有限公司</v>
      </c>
      <c r="D14" s="11">
        <f t="shared" si="1"/>
        <v>14.15</v>
      </c>
      <c r="E14" s="10">
        <f t="shared" si="2"/>
        <v>1.7121500000000001</v>
      </c>
      <c r="F14" s="10">
        <f t="shared" si="3"/>
        <v>1260.7879</v>
      </c>
      <c r="G14" s="10">
        <f t="shared" si="4"/>
        <v>1.7121499682000001</v>
      </c>
      <c r="I14" s="168">
        <v>6</v>
      </c>
      <c r="J14" s="192" t="s">
        <v>1687</v>
      </c>
      <c r="K14" s="190">
        <v>14.15</v>
      </c>
      <c r="L14" s="234">
        <v>1210</v>
      </c>
      <c r="M14" s="234">
        <v>17121.5</v>
      </c>
      <c r="O14" s="196" t="s">
        <v>1293</v>
      </c>
      <c r="P14" s="196"/>
      <c r="Q14" s="167">
        <v>120894226</v>
      </c>
      <c r="R14" s="197">
        <v>1641743589.0799999</v>
      </c>
      <c r="S14" s="168" t="s">
        <v>294</v>
      </c>
    </row>
    <row r="15" spans="1:19">
      <c r="C15" s="11" t="str">
        <f t="shared" si="0"/>
        <v>博时基金管理有限公司</v>
      </c>
      <c r="D15" s="11">
        <f t="shared" si="1"/>
        <v>14.23</v>
      </c>
      <c r="E15" s="10">
        <f t="shared" si="2"/>
        <v>1.785865</v>
      </c>
      <c r="F15" s="10">
        <f t="shared" si="3"/>
        <v>2310.2208999999998</v>
      </c>
      <c r="G15" s="10">
        <f t="shared" si="4"/>
        <v>3.1372799821999999</v>
      </c>
      <c r="I15" s="168">
        <v>7</v>
      </c>
      <c r="J15" s="192" t="s">
        <v>173</v>
      </c>
      <c r="K15" s="190">
        <v>14.23</v>
      </c>
      <c r="L15" s="234">
        <v>1255</v>
      </c>
      <c r="M15" s="234">
        <v>17858.650000000001</v>
      </c>
    </row>
    <row r="16" spans="1:19">
      <c r="C16" s="11" t="str">
        <f t="shared" si="0"/>
        <v/>
      </c>
      <c r="D16" s="11">
        <f t="shared" si="1"/>
        <v>13.76</v>
      </c>
      <c r="E16" s="10">
        <f t="shared" si="2"/>
        <v>3.1372800000000001</v>
      </c>
      <c r="F16" s="10" t="str">
        <f t="shared" si="3"/>
        <v/>
      </c>
      <c r="G16" s="10" t="str">
        <f t="shared" si="4"/>
        <v/>
      </c>
      <c r="I16" s="25"/>
      <c r="J16" s="25"/>
      <c r="K16" s="190">
        <v>13.76</v>
      </c>
      <c r="L16" s="234">
        <v>2280</v>
      </c>
      <c r="M16" s="234">
        <v>31372.799999999999</v>
      </c>
    </row>
    <row r="17" spans="3:13">
      <c r="C17" s="11" t="str">
        <f t="shared" si="0"/>
        <v/>
      </c>
      <c r="D17" s="11">
        <f t="shared" si="1"/>
        <v>13.29</v>
      </c>
      <c r="E17" s="10">
        <f t="shared" si="2"/>
        <v>3.6388019999999996</v>
      </c>
      <c r="F17" s="10" t="str">
        <f t="shared" si="3"/>
        <v/>
      </c>
      <c r="G17" s="10" t="str">
        <f t="shared" si="4"/>
        <v/>
      </c>
      <c r="I17" s="64"/>
      <c r="J17" s="64"/>
      <c r="K17" s="190">
        <v>13.29</v>
      </c>
      <c r="L17" s="234">
        <v>2738</v>
      </c>
      <c r="M17" s="234">
        <v>36388.019999999997</v>
      </c>
    </row>
    <row r="18" spans="3:13">
      <c r="C18" s="11" t="str">
        <f t="shared" si="0"/>
        <v>申万菱信基金管理有限公司</v>
      </c>
      <c r="D18" s="11">
        <f t="shared" si="1"/>
        <v>12.8</v>
      </c>
      <c r="E18" s="10">
        <f t="shared" si="2"/>
        <v>3.3996800000000005</v>
      </c>
      <c r="F18" s="10" t="str">
        <f t="shared" si="3"/>
        <v/>
      </c>
      <c r="G18" s="10" t="str">
        <f t="shared" si="4"/>
        <v/>
      </c>
      <c r="I18" s="168">
        <v>8</v>
      </c>
      <c r="J18" s="192" t="s">
        <v>121</v>
      </c>
      <c r="K18" s="190">
        <v>12.8</v>
      </c>
      <c r="L18" s="234">
        <v>2656</v>
      </c>
      <c r="M18" s="234">
        <v>33996.800000000003</v>
      </c>
    </row>
    <row r="19" spans="3:13">
      <c r="C19" s="11" t="str">
        <f t="shared" si="0"/>
        <v>东海证券股份有限公司</v>
      </c>
      <c r="D19" s="11">
        <f t="shared" si="1"/>
        <v>13.31</v>
      </c>
      <c r="E19" s="10">
        <f t="shared" si="2"/>
        <v>1.7050110000000001</v>
      </c>
      <c r="F19" s="10" t="str">
        <f t="shared" si="3"/>
        <v/>
      </c>
      <c r="G19" s="10" t="str">
        <f t="shared" si="4"/>
        <v/>
      </c>
      <c r="I19" s="168">
        <v>9</v>
      </c>
      <c r="J19" s="192" t="s">
        <v>6</v>
      </c>
      <c r="K19" s="190">
        <v>13.31</v>
      </c>
      <c r="L19" s="234">
        <v>1281</v>
      </c>
      <c r="M19" s="234">
        <v>17050.11</v>
      </c>
    </row>
    <row r="20" spans="3:13">
      <c r="C20" s="11" t="str">
        <f t="shared" si="0"/>
        <v>西部证券股份有限公司</v>
      </c>
      <c r="D20" s="11">
        <f t="shared" si="1"/>
        <v>12.56</v>
      </c>
      <c r="E20" s="10">
        <f t="shared" si="2"/>
        <v>1.7810080000000001</v>
      </c>
      <c r="F20" s="10" t="str">
        <f t="shared" si="3"/>
        <v/>
      </c>
      <c r="G20" s="10" t="str">
        <f t="shared" si="4"/>
        <v/>
      </c>
      <c r="I20" s="168">
        <v>10</v>
      </c>
      <c r="J20" s="192" t="s">
        <v>385</v>
      </c>
      <c r="K20" s="190">
        <v>12.56</v>
      </c>
      <c r="L20" s="234">
        <v>1418</v>
      </c>
      <c r="M20" s="234">
        <v>17810.080000000002</v>
      </c>
    </row>
    <row r="21" spans="3:13">
      <c r="C21" s="11" t="str">
        <f t="shared" si="0"/>
        <v>财通基金管理有限公司</v>
      </c>
      <c r="D21" s="11">
        <f t="shared" si="1"/>
        <v>14.35</v>
      </c>
      <c r="E21" s="10">
        <f t="shared" si="2"/>
        <v>2.0333950000000001</v>
      </c>
      <c r="F21" s="10">
        <f t="shared" si="3"/>
        <v>1497.3453</v>
      </c>
      <c r="G21" s="10">
        <f t="shared" si="4"/>
        <v>2.0333949174000003</v>
      </c>
      <c r="I21" s="191">
        <v>11</v>
      </c>
      <c r="J21" s="192" t="s">
        <v>115</v>
      </c>
      <c r="K21" s="190">
        <v>14.35</v>
      </c>
      <c r="L21" s="234">
        <v>1417</v>
      </c>
      <c r="M21" s="234">
        <v>20333.95</v>
      </c>
    </row>
    <row r="22" spans="3:13">
      <c r="C22" s="11" t="str">
        <f t="shared" si="0"/>
        <v/>
      </c>
      <c r="D22" s="11">
        <f t="shared" si="1"/>
        <v>13.29</v>
      </c>
      <c r="E22" s="10">
        <f t="shared" si="2"/>
        <v>6.9559860000000002</v>
      </c>
      <c r="F22" s="10" t="str">
        <f t="shared" si="3"/>
        <v/>
      </c>
      <c r="G22" s="10" t="str">
        <f t="shared" si="4"/>
        <v/>
      </c>
      <c r="I22" s="25"/>
      <c r="J22" s="25"/>
      <c r="K22" s="190">
        <v>13.29</v>
      </c>
      <c r="L22" s="234">
        <v>5234</v>
      </c>
      <c r="M22" s="234">
        <v>69559.86</v>
      </c>
    </row>
    <row r="23" spans="3:13">
      <c r="C23" s="11" t="str">
        <f t="shared" si="0"/>
        <v/>
      </c>
      <c r="D23" s="11">
        <f t="shared" si="1"/>
        <v>12.5</v>
      </c>
      <c r="E23" s="10">
        <f t="shared" si="2"/>
        <v>8.6425000000000001</v>
      </c>
      <c r="F23" s="10" t="str">
        <f t="shared" si="3"/>
        <v/>
      </c>
      <c r="G23" s="10" t="str">
        <f t="shared" si="4"/>
        <v/>
      </c>
      <c r="I23" s="64"/>
      <c r="J23" s="64"/>
      <c r="K23" s="190">
        <v>12.5</v>
      </c>
      <c r="L23" s="234">
        <v>6914</v>
      </c>
      <c r="M23" s="234">
        <v>86425</v>
      </c>
    </row>
    <row r="24" spans="3:13">
      <c r="C24" s="11" t="str">
        <f t="shared" si="0"/>
        <v>诺安基金管理有限公司</v>
      </c>
      <c r="D24" s="11">
        <f t="shared" si="1"/>
        <v>12.96</v>
      </c>
      <c r="E24" s="10">
        <f t="shared" si="2"/>
        <v>1.7003520000000001</v>
      </c>
      <c r="F24" s="10" t="str">
        <f t="shared" si="3"/>
        <v/>
      </c>
      <c r="G24" s="10" t="str">
        <f t="shared" si="4"/>
        <v/>
      </c>
      <c r="I24" s="191">
        <v>12</v>
      </c>
      <c r="J24" s="192" t="s">
        <v>147</v>
      </c>
      <c r="K24" s="190">
        <v>12.96</v>
      </c>
      <c r="L24" s="234">
        <v>1312</v>
      </c>
      <c r="M24" s="234">
        <v>17003.52</v>
      </c>
    </row>
    <row r="25" spans="3:13">
      <c r="C25" s="11" t="str">
        <f t="shared" si="0"/>
        <v/>
      </c>
      <c r="D25" s="11">
        <f t="shared" si="1"/>
        <v>12.95</v>
      </c>
      <c r="E25" s="10">
        <f t="shared" si="2"/>
        <v>1.9994799999999999</v>
      </c>
      <c r="F25" s="10" t="str">
        <f t="shared" si="3"/>
        <v/>
      </c>
      <c r="G25" s="10" t="str">
        <f t="shared" si="4"/>
        <v/>
      </c>
      <c r="I25" s="25"/>
      <c r="J25" s="25"/>
      <c r="K25" s="190">
        <v>12.95</v>
      </c>
      <c r="L25" s="234">
        <v>1544</v>
      </c>
      <c r="M25" s="234">
        <v>19994.8</v>
      </c>
    </row>
    <row r="26" spans="3:13">
      <c r="C26" s="11" t="str">
        <f t="shared" si="0"/>
        <v>华泰资产管理有限公司</v>
      </c>
      <c r="D26" s="11">
        <f t="shared" si="1"/>
        <v>13.58</v>
      </c>
      <c r="E26" s="10">
        <f t="shared" si="2"/>
        <v>1.9487299999999999</v>
      </c>
      <c r="F26" s="10">
        <f t="shared" si="3"/>
        <v>759.61509999999998</v>
      </c>
      <c r="G26" s="10">
        <f t="shared" si="4"/>
        <v>1.0315573058</v>
      </c>
      <c r="I26" s="191">
        <v>13</v>
      </c>
      <c r="J26" s="192" t="s">
        <v>135</v>
      </c>
      <c r="K26" s="190">
        <v>13.58</v>
      </c>
      <c r="L26" s="234">
        <v>1435</v>
      </c>
      <c r="M26" s="234">
        <v>19487.3</v>
      </c>
    </row>
    <row r="27" spans="3:13">
      <c r="C27" s="11" t="str">
        <f t="shared" si="0"/>
        <v/>
      </c>
      <c r="D27" s="11">
        <f t="shared" si="1"/>
        <v>13.3</v>
      </c>
      <c r="E27" s="10">
        <f t="shared" si="2"/>
        <v>2.2490299999999999</v>
      </c>
      <c r="F27" s="10" t="str">
        <f t="shared" si="3"/>
        <v/>
      </c>
      <c r="G27" s="10" t="str">
        <f t="shared" si="4"/>
        <v/>
      </c>
      <c r="I27" s="25"/>
      <c r="J27" s="25"/>
      <c r="K27" s="190">
        <v>13.3</v>
      </c>
      <c r="L27" s="234">
        <v>1691</v>
      </c>
      <c r="M27" s="234">
        <v>22490.3</v>
      </c>
    </row>
    <row r="28" spans="3:13">
      <c r="C28" s="11" t="str">
        <f t="shared" si="0"/>
        <v>银华基金管理股份有限公司</v>
      </c>
      <c r="D28" s="11">
        <f t="shared" si="1"/>
        <v>13.05</v>
      </c>
      <c r="E28" s="10">
        <f t="shared" si="2"/>
        <v>2.4494849999999997</v>
      </c>
      <c r="F28" s="10" t="str">
        <f t="shared" si="3"/>
        <v/>
      </c>
      <c r="G28" s="10" t="str">
        <f t="shared" si="4"/>
        <v/>
      </c>
      <c r="I28" s="168">
        <v>14</v>
      </c>
      <c r="J28" s="192" t="s">
        <v>982</v>
      </c>
      <c r="K28" s="190">
        <v>13.05</v>
      </c>
      <c r="L28" s="234">
        <v>1877</v>
      </c>
      <c r="M28" s="234">
        <v>24494.85</v>
      </c>
    </row>
    <row r="29" spans="3:13">
      <c r="C29" s="11" t="str">
        <f t="shared" si="0"/>
        <v/>
      </c>
      <c r="D29" s="11">
        <f t="shared" si="1"/>
        <v>13.36</v>
      </c>
      <c r="E29" s="10">
        <f t="shared" si="2"/>
        <v>1.7007279999999998</v>
      </c>
      <c r="F29" s="10" t="str">
        <f t="shared" si="3"/>
        <v/>
      </c>
      <c r="G29" s="10" t="str">
        <f t="shared" si="4"/>
        <v/>
      </c>
      <c r="I29" s="25"/>
      <c r="J29" s="25"/>
      <c r="K29" s="190">
        <v>13.36</v>
      </c>
      <c r="L29" s="234">
        <v>1273</v>
      </c>
      <c r="M29" s="234">
        <v>17007.28</v>
      </c>
    </row>
    <row r="30" spans="3:13">
      <c r="C30" s="11" t="str">
        <f t="shared" si="0"/>
        <v>信达澳银基金管理有限公司</v>
      </c>
      <c r="D30" s="11">
        <f t="shared" si="1"/>
        <v>14.15</v>
      </c>
      <c r="E30" s="10">
        <f t="shared" si="2"/>
        <v>1.7008299999999998</v>
      </c>
      <c r="F30" s="10">
        <f t="shared" si="3"/>
        <v>1252.4521</v>
      </c>
      <c r="G30" s="10">
        <f t="shared" si="4"/>
        <v>1.7008299518000001</v>
      </c>
      <c r="I30" s="168">
        <v>15</v>
      </c>
      <c r="J30" s="192" t="s">
        <v>234</v>
      </c>
      <c r="K30" s="190">
        <v>14.15</v>
      </c>
      <c r="L30" s="234">
        <v>1202</v>
      </c>
      <c r="M30" s="234">
        <v>17008.3</v>
      </c>
    </row>
    <row r="31" spans="3:13">
      <c r="C31" s="11" t="str">
        <f t="shared" si="0"/>
        <v>南京瑞达信沨股权投资合伙企业（有限合伙）</v>
      </c>
      <c r="D31" s="11">
        <f t="shared" si="1"/>
        <v>12</v>
      </c>
      <c r="E31" s="10">
        <f t="shared" si="2"/>
        <v>1.74</v>
      </c>
      <c r="F31" s="10" t="str">
        <f t="shared" si="3"/>
        <v/>
      </c>
      <c r="G31" s="10" t="str">
        <f t="shared" si="4"/>
        <v/>
      </c>
      <c r="I31" s="168">
        <v>16</v>
      </c>
      <c r="J31" s="192" t="s">
        <v>1363</v>
      </c>
      <c r="K31" s="190">
        <v>12</v>
      </c>
      <c r="L31" s="234">
        <v>1450</v>
      </c>
      <c r="M31" s="234">
        <v>17400</v>
      </c>
    </row>
    <row r="32" spans="3:13">
      <c r="C32" s="11" t="str">
        <f t="shared" si="0"/>
        <v>华泰柏瑞基金管理有限公司</v>
      </c>
      <c r="D32" s="11">
        <f t="shared" si="1"/>
        <v>12.51</v>
      </c>
      <c r="E32" s="10">
        <f t="shared" si="2"/>
        <v>2.0015999999999998</v>
      </c>
      <c r="F32" s="10" t="str">
        <f t="shared" si="3"/>
        <v/>
      </c>
      <c r="G32" s="11"/>
      <c r="I32" s="168">
        <v>17</v>
      </c>
      <c r="J32" s="192" t="s">
        <v>122</v>
      </c>
      <c r="K32" s="190">
        <v>12.51</v>
      </c>
      <c r="L32" s="234">
        <v>1600</v>
      </c>
      <c r="M32" s="234">
        <v>20016</v>
      </c>
    </row>
    <row r="33" spans="1:19">
      <c r="I33" s="25"/>
      <c r="J33" s="25"/>
      <c r="K33" s="25"/>
      <c r="L33" s="25"/>
      <c r="M33" s="25"/>
    </row>
    <row r="36" spans="1:19" s="162" customFormat="1">
      <c r="A36" s="164" t="s">
        <v>1315</v>
      </c>
      <c r="B36" s="164"/>
      <c r="C36" s="164" t="s">
        <v>107</v>
      </c>
      <c r="D36" s="164" t="s">
        <v>4</v>
      </c>
      <c r="E36" s="166" t="s">
        <v>108</v>
      </c>
      <c r="F36" s="166" t="s">
        <v>109</v>
      </c>
      <c r="G36" s="164" t="s">
        <v>1314</v>
      </c>
      <c r="H36" s="164" t="s">
        <v>1313</v>
      </c>
      <c r="I36" s="165" t="s">
        <v>1312</v>
      </c>
      <c r="J36" s="163" t="s">
        <v>1311</v>
      </c>
      <c r="K36" s="163" t="s">
        <v>110</v>
      </c>
      <c r="L36" s="163" t="s">
        <v>1310</v>
      </c>
      <c r="M36" s="164" t="s">
        <v>111</v>
      </c>
      <c r="N36" s="163" t="s">
        <v>949</v>
      </c>
      <c r="O36" s="163" t="s">
        <v>948</v>
      </c>
      <c r="P36" s="163" t="s">
        <v>129</v>
      </c>
    </row>
    <row r="37" spans="1:19">
      <c r="A37" s="24">
        <v>288</v>
      </c>
      <c r="B37" s="161" t="s">
        <v>1686</v>
      </c>
      <c r="C37" s="1" t="s">
        <v>1685</v>
      </c>
      <c r="D37" s="1" t="s">
        <v>1684</v>
      </c>
      <c r="E37" s="3">
        <v>25</v>
      </c>
      <c r="F37" s="3">
        <v>12.499999814400001</v>
      </c>
      <c r="G37" s="124">
        <v>42692</v>
      </c>
      <c r="H37" s="24" t="s">
        <v>204</v>
      </c>
      <c r="I37" s="130">
        <v>14.95</v>
      </c>
      <c r="J37" s="3">
        <v>14.72</v>
      </c>
      <c r="K37" s="160">
        <v>14.72</v>
      </c>
      <c r="L37" s="271">
        <v>0.98461538461538467</v>
      </c>
      <c r="M37" s="270">
        <v>3</v>
      </c>
      <c r="N37" s="2">
        <v>43080</v>
      </c>
      <c r="O37" s="24">
        <v>16.36</v>
      </c>
      <c r="P37" s="157">
        <v>1.1182065217391304</v>
      </c>
    </row>
    <row r="38" spans="1:19">
      <c r="C38" s="16" t="s">
        <v>112</v>
      </c>
      <c r="D38" s="16" t="s">
        <v>113</v>
      </c>
      <c r="E38" s="16" t="s">
        <v>1305</v>
      </c>
      <c r="F38" s="17" t="s">
        <v>1304</v>
      </c>
      <c r="G38" s="16" t="s">
        <v>1303</v>
      </c>
      <c r="H38" s="16" t="s">
        <v>1639</v>
      </c>
      <c r="I38" s="196" t="s">
        <v>118</v>
      </c>
      <c r="J38" s="196" t="s">
        <v>296</v>
      </c>
      <c r="K38" s="225" t="s">
        <v>1683</v>
      </c>
      <c r="L38" s="225" t="s">
        <v>1682</v>
      </c>
      <c r="M38" s="25"/>
      <c r="N38" s="196" t="s">
        <v>118</v>
      </c>
      <c r="O38" s="196" t="s">
        <v>1565</v>
      </c>
      <c r="P38" s="225" t="s">
        <v>1311</v>
      </c>
      <c r="Q38" s="85" t="s">
        <v>160</v>
      </c>
      <c r="R38" s="196" t="s">
        <v>1346</v>
      </c>
      <c r="S38" s="196" t="s">
        <v>1335</v>
      </c>
    </row>
    <row r="39" spans="1:19">
      <c r="C39" s="11" t="str">
        <f>J39</f>
        <v>金鹰基金管理有限公司</v>
      </c>
      <c r="D39" s="11">
        <f>K39</f>
        <v>14.72</v>
      </c>
      <c r="E39" s="319">
        <f>L39/10000</f>
        <v>5</v>
      </c>
      <c r="F39" s="11">
        <f>Q40/10000</f>
        <v>3396.7390999999998</v>
      </c>
      <c r="G39" s="319">
        <f>IF(F39*J$37/10000=0,"",F39*J$37/10000)</f>
        <v>4.9999999551999998</v>
      </c>
      <c r="H39" s="11">
        <f>S40</f>
        <v>12</v>
      </c>
      <c r="I39" s="168">
        <v>1</v>
      </c>
      <c r="J39" s="203" t="s">
        <v>278</v>
      </c>
      <c r="K39" s="191">
        <v>14.72</v>
      </c>
      <c r="L39" s="189">
        <v>50000</v>
      </c>
      <c r="M39" s="25"/>
      <c r="N39" s="168">
        <v>1</v>
      </c>
      <c r="O39" s="203" t="s">
        <v>1681</v>
      </c>
      <c r="P39" s="156"/>
      <c r="Q39" s="236">
        <v>16983695</v>
      </c>
      <c r="R39" s="197">
        <v>249999990.40000001</v>
      </c>
      <c r="S39" s="168">
        <v>36</v>
      </c>
    </row>
    <row r="40" spans="1:19">
      <c r="C40" s="16" t="s">
        <v>1551</v>
      </c>
      <c r="D40" s="1689" t="str">
        <f>IF(F40*J$37/10000=0,"",F40*J$37/10000)</f>
        <v/>
      </c>
      <c r="E40" s="1690"/>
      <c r="F40" s="1690"/>
      <c r="G40" s="1690"/>
      <c r="H40" s="1691"/>
      <c r="I40" s="25"/>
      <c r="J40" s="25"/>
      <c r="K40" s="25"/>
      <c r="L40" s="25"/>
      <c r="M40" s="25"/>
      <c r="N40" s="168">
        <v>2</v>
      </c>
      <c r="O40" s="203" t="s">
        <v>278</v>
      </c>
      <c r="P40" s="324"/>
      <c r="Q40" s="236">
        <v>33967391</v>
      </c>
      <c r="R40" s="197">
        <v>499999995.51999998</v>
      </c>
      <c r="S40" s="168">
        <v>12</v>
      </c>
    </row>
    <row r="41" spans="1:19">
      <c r="C41" s="11" t="str">
        <f>J41</f>
        <v>新沃基金管理有限公司</v>
      </c>
      <c r="D41" s="11">
        <f>K41</f>
        <v>14.72</v>
      </c>
      <c r="E41" s="11">
        <f>L41/10000</f>
        <v>5</v>
      </c>
      <c r="F41" s="11">
        <f>Q41/10000</f>
        <v>3396.7390999999998</v>
      </c>
      <c r="G41" s="319">
        <f>IF(F41*J$37/10000=0,"",F41*J$37/10000)</f>
        <v>4.9999999551999998</v>
      </c>
      <c r="H41" s="11">
        <f>S41</f>
        <v>12</v>
      </c>
      <c r="I41" s="168">
        <v>1</v>
      </c>
      <c r="J41" s="203" t="s">
        <v>1070</v>
      </c>
      <c r="K41" s="191">
        <v>14.72</v>
      </c>
      <c r="L41" s="189">
        <v>50000</v>
      </c>
      <c r="M41" s="25"/>
      <c r="N41" s="168">
        <v>3</v>
      </c>
      <c r="O41" s="203" t="s">
        <v>1070</v>
      </c>
      <c r="P41" s="191">
        <v>14.72</v>
      </c>
      <c r="Q41" s="236">
        <v>33967391</v>
      </c>
      <c r="R41" s="197">
        <v>499999995.51999998</v>
      </c>
      <c r="S41" s="168">
        <v>12</v>
      </c>
    </row>
    <row r="42" spans="1:19">
      <c r="C42" s="16" t="s">
        <v>1643</v>
      </c>
      <c r="D42" s="1689" t="str">
        <f>IF(F42*J$37/10000=0,"",F42*J$37/10000)</f>
        <v/>
      </c>
      <c r="E42" s="1690"/>
      <c r="F42" s="1690"/>
      <c r="G42" s="1690"/>
      <c r="H42" s="1691"/>
    </row>
    <row r="43" spans="1:19">
      <c r="C43" s="11" t="str">
        <f>O39</f>
        <v>步步高投资集团股份有限公司</v>
      </c>
      <c r="D43" s="11"/>
      <c r="E43" s="11"/>
      <c r="F43" s="11">
        <f>Q39/10000</f>
        <v>1698.3695</v>
      </c>
      <c r="G43" s="319">
        <f>IF(F43*J$37/10000=0,"",F43*J$37/10000)</f>
        <v>2.4999999040000001</v>
      </c>
      <c r="H43" s="11">
        <f>S39</f>
        <v>36</v>
      </c>
    </row>
    <row r="47" spans="1:19" s="162" customFormat="1">
      <c r="A47" s="164" t="s">
        <v>1315</v>
      </c>
      <c r="B47" s="164"/>
      <c r="C47" s="164" t="s">
        <v>107</v>
      </c>
      <c r="D47" s="164" t="s">
        <v>4</v>
      </c>
      <c r="E47" s="166" t="s">
        <v>108</v>
      </c>
      <c r="F47" s="166" t="s">
        <v>109</v>
      </c>
      <c r="G47" s="164" t="s">
        <v>1314</v>
      </c>
      <c r="H47" s="164" t="s">
        <v>1313</v>
      </c>
      <c r="I47" s="165" t="s">
        <v>1312</v>
      </c>
      <c r="J47" s="163" t="s">
        <v>1311</v>
      </c>
      <c r="K47" s="163" t="s">
        <v>110</v>
      </c>
      <c r="L47" s="163" t="s">
        <v>1310</v>
      </c>
      <c r="M47" s="164" t="s">
        <v>111</v>
      </c>
      <c r="N47" s="163" t="s">
        <v>949</v>
      </c>
      <c r="O47" s="163" t="s">
        <v>948</v>
      </c>
      <c r="P47" s="163" t="s">
        <v>129</v>
      </c>
    </row>
    <row r="48" spans="1:19">
      <c r="A48" s="24">
        <v>289</v>
      </c>
      <c r="B48" s="329" t="s">
        <v>1680</v>
      </c>
      <c r="C48" s="1" t="s">
        <v>1679</v>
      </c>
      <c r="D48" s="1" t="s">
        <v>1678</v>
      </c>
      <c r="E48" s="3">
        <v>4.05</v>
      </c>
      <c r="F48" s="3">
        <v>3.25</v>
      </c>
      <c r="G48" s="332">
        <v>42692</v>
      </c>
      <c r="H48" s="24" t="s">
        <v>1306</v>
      </c>
      <c r="I48" s="130">
        <v>23.89</v>
      </c>
      <c r="J48" s="3">
        <v>25</v>
      </c>
      <c r="K48" s="160">
        <v>21.26</v>
      </c>
      <c r="L48" s="271">
        <v>1.0464629552113855</v>
      </c>
      <c r="M48" s="270">
        <v>2</v>
      </c>
      <c r="N48" s="2">
        <v>42717</v>
      </c>
      <c r="O48" s="24">
        <v>26.36</v>
      </c>
      <c r="P48" s="157">
        <v>1.0544</v>
      </c>
    </row>
    <row r="49" spans="3:19">
      <c r="C49" s="16" t="s">
        <v>112</v>
      </c>
      <c r="D49" s="16" t="s">
        <v>113</v>
      </c>
      <c r="E49" s="16" t="s">
        <v>1305</v>
      </c>
      <c r="F49" s="17" t="s">
        <v>1304</v>
      </c>
      <c r="G49" s="16" t="s">
        <v>1303</v>
      </c>
      <c r="H49" s="16" t="s">
        <v>1639</v>
      </c>
      <c r="J49" s="196" t="s">
        <v>118</v>
      </c>
      <c r="K49" s="196" t="s">
        <v>414</v>
      </c>
      <c r="L49" s="85" t="s">
        <v>488</v>
      </c>
      <c r="M49" s="225" t="s">
        <v>1568</v>
      </c>
      <c r="N49" s="25"/>
      <c r="O49" s="196" t="s">
        <v>118</v>
      </c>
      <c r="P49" s="196" t="s">
        <v>414</v>
      </c>
      <c r="Q49" s="85" t="s">
        <v>1596</v>
      </c>
      <c r="R49" s="85" t="s">
        <v>1318</v>
      </c>
      <c r="S49" s="196" t="s">
        <v>1520</v>
      </c>
    </row>
    <row r="50" spans="3:19">
      <c r="C50" s="11" t="str">
        <f t="shared" ref="C50:C73" si="5">IF(K50=0,"",K50)</f>
        <v>嘉实基金管理有限公司</v>
      </c>
      <c r="D50" s="11">
        <f t="shared" ref="D50:D73" si="6">L50</f>
        <v>22.02</v>
      </c>
      <c r="E50" s="10">
        <f t="shared" ref="E50:E73" si="7">D50*M50/10000</f>
        <v>0.57252000000000003</v>
      </c>
      <c r="F50" s="11" t="str">
        <f t="shared" ref="F50:F73" si="8">IFERROR(VLOOKUP(C50,P$51:R$52,2,FALSE)/10000,"")</f>
        <v/>
      </c>
      <c r="G50" s="11"/>
      <c r="H50" s="11"/>
      <c r="J50" s="168">
        <v>1</v>
      </c>
      <c r="K50" s="203" t="s">
        <v>228</v>
      </c>
      <c r="L50" s="190">
        <v>22.02</v>
      </c>
      <c r="M50" s="168">
        <v>260</v>
      </c>
      <c r="N50" s="25"/>
      <c r="O50" s="196"/>
      <c r="P50" s="196"/>
      <c r="Q50" s="85" t="s">
        <v>1317</v>
      </c>
      <c r="R50" s="85" t="s">
        <v>1316</v>
      </c>
      <c r="S50" s="196"/>
    </row>
    <row r="51" spans="3:19" ht="16">
      <c r="C51" s="11" t="str">
        <f t="shared" si="5"/>
        <v/>
      </c>
      <c r="D51" s="11">
        <f t="shared" si="6"/>
        <v>21.72</v>
      </c>
      <c r="E51" s="10">
        <f t="shared" si="7"/>
        <v>0.76019999999999999</v>
      </c>
      <c r="F51" s="11" t="str">
        <f t="shared" si="8"/>
        <v/>
      </c>
      <c r="G51" s="11"/>
      <c r="H51" s="11"/>
      <c r="J51" s="228"/>
      <c r="K51" s="230"/>
      <c r="L51" s="190">
        <v>21.72</v>
      </c>
      <c r="M51" s="168">
        <v>350</v>
      </c>
      <c r="N51" s="25"/>
      <c r="O51" s="168">
        <v>1</v>
      </c>
      <c r="P51" s="203" t="s">
        <v>1676</v>
      </c>
      <c r="Q51" s="193">
        <v>11000000</v>
      </c>
      <c r="R51" s="193">
        <v>275000000</v>
      </c>
      <c r="S51" s="204" t="s">
        <v>1160</v>
      </c>
    </row>
    <row r="52" spans="3:19">
      <c r="C52" s="11" t="str">
        <f t="shared" si="5"/>
        <v/>
      </c>
      <c r="D52" s="11">
        <f t="shared" si="6"/>
        <v>21.3</v>
      </c>
      <c r="E52" s="10">
        <f t="shared" si="7"/>
        <v>0.80940000000000001</v>
      </c>
      <c r="F52" s="11" t="str">
        <f t="shared" si="8"/>
        <v/>
      </c>
      <c r="G52" s="11"/>
      <c r="H52" s="11"/>
      <c r="J52" s="25"/>
      <c r="K52" s="25"/>
      <c r="L52" s="190">
        <v>21.3</v>
      </c>
      <c r="M52" s="168">
        <v>380</v>
      </c>
      <c r="N52" s="25"/>
      <c r="O52" s="168">
        <v>2</v>
      </c>
      <c r="P52" s="203" t="s">
        <v>1677</v>
      </c>
      <c r="Q52" s="193">
        <v>2000000</v>
      </c>
      <c r="R52" s="193">
        <v>50000000</v>
      </c>
      <c r="S52" s="204" t="s">
        <v>1160</v>
      </c>
    </row>
    <row r="53" spans="3:19">
      <c r="C53" s="11" t="str">
        <f t="shared" si="5"/>
        <v>第一创业证券股份有限公司</v>
      </c>
      <c r="D53" s="11">
        <f t="shared" si="6"/>
        <v>21.33</v>
      </c>
      <c r="E53" s="10">
        <f t="shared" si="7"/>
        <v>1.2797999999999998</v>
      </c>
      <c r="F53" s="11" t="str">
        <f t="shared" si="8"/>
        <v/>
      </c>
      <c r="G53" s="11"/>
      <c r="H53" s="11"/>
      <c r="J53" s="168">
        <v>2</v>
      </c>
      <c r="K53" s="203" t="s">
        <v>127</v>
      </c>
      <c r="L53" s="190">
        <v>21.33</v>
      </c>
      <c r="M53" s="168">
        <v>600</v>
      </c>
      <c r="N53" s="25"/>
      <c r="O53" s="196" t="s">
        <v>1293</v>
      </c>
      <c r="P53" s="196"/>
      <c r="Q53" s="195">
        <v>13000000</v>
      </c>
      <c r="R53" s="195">
        <v>325000000</v>
      </c>
      <c r="S53" s="227"/>
    </row>
    <row r="54" spans="3:19">
      <c r="C54" s="11" t="str">
        <f t="shared" si="5"/>
        <v>中国华电集团财务有限公司</v>
      </c>
      <c r="D54" s="11">
        <f t="shared" si="6"/>
        <v>25</v>
      </c>
      <c r="E54" s="10">
        <f t="shared" si="7"/>
        <v>1</v>
      </c>
      <c r="F54" s="11">
        <f t="shared" si="8"/>
        <v>200</v>
      </c>
      <c r="G54" s="11">
        <f t="shared" ref="G54:G72" si="9">IFERROR(F54*J$48/10000,"")</f>
        <v>0.5</v>
      </c>
      <c r="H54" s="11" t="str">
        <f>S51</f>
        <v>无</v>
      </c>
      <c r="J54" s="168">
        <v>3</v>
      </c>
      <c r="K54" s="203" t="s">
        <v>1677</v>
      </c>
      <c r="L54" s="190">
        <v>25</v>
      </c>
      <c r="M54" s="168">
        <v>400</v>
      </c>
      <c r="N54" s="25"/>
      <c r="O54" s="25"/>
      <c r="P54" s="25"/>
      <c r="Q54" s="25"/>
      <c r="R54" s="25"/>
      <c r="S54" s="25"/>
    </row>
    <row r="55" spans="3:19">
      <c r="C55" s="11" t="str">
        <f t="shared" si="5"/>
        <v>信诚基金管理有限公司</v>
      </c>
      <c r="D55" s="11">
        <f t="shared" si="6"/>
        <v>24.05</v>
      </c>
      <c r="E55" s="10">
        <f t="shared" si="7"/>
        <v>0.62529999999999997</v>
      </c>
      <c r="F55" s="11" t="str">
        <f t="shared" si="8"/>
        <v/>
      </c>
      <c r="G55" s="11" t="str">
        <f t="shared" si="9"/>
        <v/>
      </c>
      <c r="H55" s="11"/>
      <c r="J55" s="168">
        <v>4</v>
      </c>
      <c r="K55" s="203" t="s">
        <v>300</v>
      </c>
      <c r="L55" s="190">
        <v>24.05</v>
      </c>
      <c r="M55" s="168">
        <v>260</v>
      </c>
      <c r="N55" s="25"/>
      <c r="O55" s="25"/>
      <c r="P55" s="25"/>
      <c r="Q55" s="25"/>
      <c r="R55" s="25"/>
      <c r="S55" s="25"/>
    </row>
    <row r="56" spans="3:19">
      <c r="C56" s="11" t="str">
        <f t="shared" si="5"/>
        <v>广西铁路发展投资基金（有限合伙）</v>
      </c>
      <c r="D56" s="11">
        <f t="shared" si="6"/>
        <v>22.7</v>
      </c>
      <c r="E56" s="10">
        <f t="shared" si="7"/>
        <v>0.68100000000000005</v>
      </c>
      <c r="F56" s="11" t="str">
        <f t="shared" si="8"/>
        <v/>
      </c>
      <c r="G56" s="11" t="str">
        <f t="shared" si="9"/>
        <v/>
      </c>
      <c r="H56" s="11"/>
      <c r="J56" s="168">
        <v>5</v>
      </c>
      <c r="K56" s="203" t="s">
        <v>1079</v>
      </c>
      <c r="L56" s="190">
        <v>22.7</v>
      </c>
      <c r="M56" s="168">
        <v>300</v>
      </c>
      <c r="N56" s="25"/>
      <c r="O56" s="25"/>
      <c r="P56" s="25"/>
      <c r="Q56" s="25"/>
      <c r="R56" s="25"/>
      <c r="S56" s="25"/>
    </row>
    <row r="57" spans="3:19">
      <c r="C57" s="11" t="str">
        <f t="shared" si="5"/>
        <v>财通基金管理有限公司</v>
      </c>
      <c r="D57" s="11">
        <f t="shared" si="6"/>
        <v>23.83</v>
      </c>
      <c r="E57" s="10">
        <f t="shared" si="7"/>
        <v>0.61957999999999991</v>
      </c>
      <c r="F57" s="11" t="str">
        <f t="shared" si="8"/>
        <v/>
      </c>
      <c r="G57" s="11" t="str">
        <f t="shared" si="9"/>
        <v/>
      </c>
      <c r="H57" s="11"/>
      <c r="J57" s="168">
        <v>6</v>
      </c>
      <c r="K57" s="203" t="s">
        <v>115</v>
      </c>
      <c r="L57" s="190">
        <v>23.83</v>
      </c>
      <c r="M57" s="168">
        <v>260</v>
      </c>
      <c r="N57" s="25"/>
      <c r="O57" s="25"/>
      <c r="P57" s="25"/>
      <c r="Q57" s="25"/>
      <c r="R57" s="25"/>
      <c r="S57" s="25"/>
    </row>
    <row r="58" spans="3:19" ht="15">
      <c r="C58" s="11" t="str">
        <f t="shared" si="5"/>
        <v/>
      </c>
      <c r="D58" s="11">
        <f t="shared" si="6"/>
        <v>22.3</v>
      </c>
      <c r="E58" s="10">
        <f t="shared" si="7"/>
        <v>1.4941</v>
      </c>
      <c r="F58" s="11" t="str">
        <f t="shared" si="8"/>
        <v/>
      </c>
      <c r="G58" s="11" t="str">
        <f t="shared" si="9"/>
        <v/>
      </c>
      <c r="H58" s="11"/>
      <c r="J58" s="228"/>
      <c r="K58" s="228"/>
      <c r="L58" s="190">
        <v>22.3</v>
      </c>
      <c r="M58" s="168">
        <v>670</v>
      </c>
      <c r="N58" s="25"/>
      <c r="O58" s="25"/>
      <c r="P58" s="25"/>
      <c r="Q58" s="25"/>
      <c r="R58" s="25"/>
      <c r="S58" s="25"/>
    </row>
    <row r="59" spans="3:19">
      <c r="C59" s="11" t="str">
        <f t="shared" si="5"/>
        <v/>
      </c>
      <c r="D59" s="11">
        <f t="shared" si="6"/>
        <v>21.5</v>
      </c>
      <c r="E59" s="10">
        <f t="shared" si="7"/>
        <v>2.6875</v>
      </c>
      <c r="F59" s="11" t="str">
        <f t="shared" si="8"/>
        <v/>
      </c>
      <c r="G59" s="11" t="str">
        <f t="shared" si="9"/>
        <v/>
      </c>
      <c r="H59" s="11"/>
      <c r="J59" s="25"/>
      <c r="K59" s="25"/>
      <c r="L59" s="190">
        <v>21.5</v>
      </c>
      <c r="M59" s="168">
        <v>1250</v>
      </c>
      <c r="N59" s="25"/>
      <c r="O59" s="25"/>
      <c r="P59" s="25"/>
      <c r="Q59" s="25"/>
      <c r="R59" s="25"/>
      <c r="S59" s="25"/>
    </row>
    <row r="60" spans="3:19">
      <c r="C60" s="11" t="str">
        <f t="shared" si="5"/>
        <v>平安大华基金管理有限公司</v>
      </c>
      <c r="D60" s="11">
        <f t="shared" si="6"/>
        <v>22.48</v>
      </c>
      <c r="E60" s="10">
        <f t="shared" si="7"/>
        <v>0.74184000000000005</v>
      </c>
      <c r="F60" s="11" t="str">
        <f t="shared" si="8"/>
        <v/>
      </c>
      <c r="G60" s="11" t="str">
        <f t="shared" si="9"/>
        <v/>
      </c>
      <c r="H60" s="11"/>
      <c r="J60" s="168">
        <v>7</v>
      </c>
      <c r="K60" s="203" t="s">
        <v>146</v>
      </c>
      <c r="L60" s="190">
        <v>22.48</v>
      </c>
      <c r="M60" s="168">
        <v>330</v>
      </c>
      <c r="N60" s="25"/>
      <c r="O60" s="25"/>
      <c r="P60" s="25"/>
      <c r="Q60" s="25"/>
      <c r="R60" s="25"/>
      <c r="S60" s="25"/>
    </row>
    <row r="61" spans="3:19">
      <c r="C61" s="11" t="str">
        <f t="shared" si="5"/>
        <v/>
      </c>
      <c r="D61" s="11">
        <f t="shared" si="6"/>
        <v>21.5</v>
      </c>
      <c r="E61" s="10">
        <f t="shared" si="7"/>
        <v>1.3759999999999999</v>
      </c>
      <c r="F61" s="11" t="str">
        <f t="shared" si="8"/>
        <v/>
      </c>
      <c r="G61" s="11" t="str">
        <f t="shared" si="9"/>
        <v/>
      </c>
      <c r="H61" s="11"/>
      <c r="J61" s="25"/>
      <c r="K61" s="25"/>
      <c r="L61" s="190">
        <v>21.5</v>
      </c>
      <c r="M61" s="168">
        <v>640</v>
      </c>
      <c r="N61" s="25"/>
      <c r="O61" s="25"/>
      <c r="P61" s="25"/>
      <c r="Q61" s="25"/>
      <c r="R61" s="25"/>
      <c r="S61" s="25"/>
    </row>
    <row r="62" spans="3:19">
      <c r="C62" s="11" t="str">
        <f t="shared" si="5"/>
        <v>北信瑞丰基金管理有限公司</v>
      </c>
      <c r="D62" s="11">
        <f t="shared" si="6"/>
        <v>24.55</v>
      </c>
      <c r="E62" s="10">
        <f t="shared" si="7"/>
        <v>0.78559999999999997</v>
      </c>
      <c r="F62" s="11" t="str">
        <f t="shared" si="8"/>
        <v/>
      </c>
      <c r="G62" s="11" t="str">
        <f t="shared" si="9"/>
        <v/>
      </c>
      <c r="H62" s="11"/>
      <c r="J62" s="168">
        <v>8</v>
      </c>
      <c r="K62" s="203" t="s">
        <v>336</v>
      </c>
      <c r="L62" s="190">
        <v>24.55</v>
      </c>
      <c r="M62" s="168">
        <v>320</v>
      </c>
      <c r="N62" s="25"/>
      <c r="O62" s="25"/>
      <c r="P62" s="25"/>
      <c r="Q62" s="25"/>
      <c r="R62" s="25"/>
      <c r="S62" s="25"/>
    </row>
    <row r="63" spans="3:19" ht="16">
      <c r="C63" s="11" t="str">
        <f t="shared" si="5"/>
        <v/>
      </c>
      <c r="D63" s="11">
        <f t="shared" si="6"/>
        <v>22.7</v>
      </c>
      <c r="E63" s="10">
        <f t="shared" si="7"/>
        <v>0.77180000000000004</v>
      </c>
      <c r="F63" s="11" t="str">
        <f t="shared" si="8"/>
        <v/>
      </c>
      <c r="G63" s="11" t="str">
        <f t="shared" si="9"/>
        <v/>
      </c>
      <c r="H63" s="11"/>
      <c r="J63" s="228"/>
      <c r="K63" s="230"/>
      <c r="L63" s="190">
        <v>22.7</v>
      </c>
      <c r="M63" s="168">
        <v>340</v>
      </c>
      <c r="N63" s="25"/>
      <c r="O63" s="25"/>
      <c r="P63" s="25"/>
      <c r="Q63" s="25"/>
      <c r="R63" s="25"/>
      <c r="S63" s="25"/>
    </row>
    <row r="64" spans="3:19">
      <c r="C64" s="11" t="str">
        <f t="shared" si="5"/>
        <v/>
      </c>
      <c r="D64" s="11">
        <f t="shared" si="6"/>
        <v>21.5</v>
      </c>
      <c r="E64" s="10">
        <f t="shared" si="7"/>
        <v>0.75249999999999995</v>
      </c>
      <c r="F64" s="11" t="str">
        <f t="shared" si="8"/>
        <v/>
      </c>
      <c r="G64" s="11" t="str">
        <f t="shared" si="9"/>
        <v/>
      </c>
      <c r="H64" s="11"/>
      <c r="J64" s="25"/>
      <c r="K64" s="25"/>
      <c r="L64" s="190">
        <v>21.5</v>
      </c>
      <c r="M64" s="168">
        <v>350</v>
      </c>
      <c r="N64" s="25"/>
      <c r="O64" s="25"/>
      <c r="P64" s="25"/>
      <c r="Q64" s="25"/>
      <c r="R64" s="25"/>
      <c r="S64" s="25"/>
    </row>
    <row r="65" spans="1:19">
      <c r="C65" s="11" t="str">
        <f t="shared" si="5"/>
        <v>银华基金管理股份有限公司</v>
      </c>
      <c r="D65" s="11">
        <f t="shared" si="6"/>
        <v>22.79</v>
      </c>
      <c r="E65" s="10">
        <f t="shared" si="7"/>
        <v>1.1850799999999999</v>
      </c>
      <c r="F65" s="11" t="str">
        <f t="shared" si="8"/>
        <v/>
      </c>
      <c r="G65" s="11" t="str">
        <f t="shared" si="9"/>
        <v/>
      </c>
      <c r="H65" s="11"/>
      <c r="J65" s="168">
        <v>9</v>
      </c>
      <c r="K65" s="203" t="s">
        <v>982</v>
      </c>
      <c r="L65" s="190">
        <v>22.79</v>
      </c>
      <c r="M65" s="168">
        <v>520</v>
      </c>
      <c r="N65" s="25"/>
      <c r="O65" s="25"/>
      <c r="P65" s="25"/>
      <c r="Q65" s="25"/>
      <c r="R65" s="25"/>
      <c r="S65" s="25"/>
    </row>
    <row r="66" spans="1:19">
      <c r="C66" s="11" t="str">
        <f t="shared" si="5"/>
        <v>华安基金管理有限公司</v>
      </c>
      <c r="D66" s="11">
        <f t="shared" si="6"/>
        <v>22.01</v>
      </c>
      <c r="E66" s="10">
        <f t="shared" si="7"/>
        <v>1.49668</v>
      </c>
      <c r="F66" s="11" t="str">
        <f t="shared" si="8"/>
        <v/>
      </c>
      <c r="G66" s="11" t="str">
        <f t="shared" si="9"/>
        <v/>
      </c>
      <c r="H66" s="11"/>
      <c r="J66" s="168">
        <v>10</v>
      </c>
      <c r="K66" s="203" t="s">
        <v>136</v>
      </c>
      <c r="L66" s="190">
        <v>22.01</v>
      </c>
      <c r="M66" s="168">
        <v>680</v>
      </c>
      <c r="N66" s="25"/>
      <c r="O66" s="25"/>
      <c r="P66" s="25"/>
      <c r="Q66" s="25"/>
      <c r="R66" s="25"/>
      <c r="S66" s="25"/>
    </row>
    <row r="67" spans="1:19">
      <c r="C67" s="11" t="str">
        <f t="shared" si="5"/>
        <v/>
      </c>
      <c r="D67" s="11">
        <f t="shared" si="6"/>
        <v>22.7</v>
      </c>
      <c r="E67" s="10">
        <f t="shared" si="7"/>
        <v>0.68100000000000005</v>
      </c>
      <c r="F67" s="11" t="str">
        <f t="shared" si="8"/>
        <v/>
      </c>
      <c r="G67" s="11" t="str">
        <f t="shared" si="9"/>
        <v/>
      </c>
      <c r="H67" s="11"/>
      <c r="J67" s="25"/>
      <c r="K67" s="25"/>
      <c r="L67" s="190">
        <v>22.7</v>
      </c>
      <c r="M67" s="168">
        <v>300</v>
      </c>
      <c r="N67" s="25"/>
      <c r="O67" s="25"/>
      <c r="P67" s="25"/>
      <c r="Q67" s="25"/>
      <c r="R67" s="25"/>
      <c r="S67" s="25"/>
    </row>
    <row r="68" spans="1:19">
      <c r="C68" s="11" t="str">
        <f t="shared" si="5"/>
        <v>兴业财富资产管理有限公司</v>
      </c>
      <c r="D68" s="11">
        <f t="shared" si="6"/>
        <v>23.83</v>
      </c>
      <c r="E68" s="10">
        <f t="shared" si="7"/>
        <v>0.61957999999999991</v>
      </c>
      <c r="F68" s="11" t="str">
        <f t="shared" si="8"/>
        <v/>
      </c>
      <c r="G68" s="11" t="str">
        <f t="shared" si="9"/>
        <v/>
      </c>
      <c r="H68" s="11"/>
      <c r="J68" s="168">
        <v>11</v>
      </c>
      <c r="K68" s="203" t="s">
        <v>352</v>
      </c>
      <c r="L68" s="190">
        <v>23.83</v>
      </c>
      <c r="M68" s="168">
        <v>260</v>
      </c>
      <c r="N68" s="25"/>
      <c r="O68" s="25"/>
      <c r="P68" s="25"/>
      <c r="Q68" s="25"/>
      <c r="R68" s="25"/>
      <c r="S68" s="25"/>
    </row>
    <row r="69" spans="1:19" ht="16">
      <c r="C69" s="11" t="str">
        <f t="shared" si="5"/>
        <v/>
      </c>
      <c r="D69" s="11">
        <f t="shared" si="6"/>
        <v>22.69</v>
      </c>
      <c r="E69" s="10">
        <f t="shared" si="7"/>
        <v>0.58994000000000002</v>
      </c>
      <c r="F69" s="11" t="str">
        <f t="shared" si="8"/>
        <v/>
      </c>
      <c r="G69" s="11" t="str">
        <f t="shared" si="9"/>
        <v/>
      </c>
      <c r="H69" s="11"/>
      <c r="J69" s="228"/>
      <c r="K69" s="230"/>
      <c r="L69" s="190">
        <v>22.69</v>
      </c>
      <c r="M69" s="168">
        <v>260</v>
      </c>
      <c r="N69" s="25"/>
      <c r="O69" s="25"/>
      <c r="P69" s="25"/>
      <c r="Q69" s="25"/>
      <c r="R69" s="25"/>
      <c r="S69" s="25"/>
    </row>
    <row r="70" spans="1:19">
      <c r="C70" s="11" t="str">
        <f t="shared" si="5"/>
        <v/>
      </c>
      <c r="D70" s="11">
        <f t="shared" si="6"/>
        <v>21.5</v>
      </c>
      <c r="E70" s="10">
        <f t="shared" si="7"/>
        <v>0.55900000000000005</v>
      </c>
      <c r="F70" s="11" t="str">
        <f t="shared" si="8"/>
        <v/>
      </c>
      <c r="G70" s="11" t="str">
        <f t="shared" si="9"/>
        <v/>
      </c>
      <c r="H70" s="11"/>
      <c r="J70" s="25"/>
      <c r="K70" s="25"/>
      <c r="L70" s="190">
        <v>21.5</v>
      </c>
      <c r="M70" s="168">
        <v>260</v>
      </c>
      <c r="N70" s="25"/>
      <c r="O70" s="25"/>
      <c r="P70" s="25"/>
      <c r="Q70" s="25"/>
      <c r="R70" s="25"/>
      <c r="S70" s="25"/>
    </row>
    <row r="71" spans="1:19">
      <c r="C71" s="11" t="str">
        <f t="shared" si="5"/>
        <v>西藏泓涵股权投资管理有限公司</v>
      </c>
      <c r="D71" s="11">
        <f t="shared" si="6"/>
        <v>23.87</v>
      </c>
      <c r="E71" s="10">
        <f t="shared" si="7"/>
        <v>0.62061999999999995</v>
      </c>
      <c r="F71" s="11" t="str">
        <f t="shared" si="8"/>
        <v/>
      </c>
      <c r="G71" s="11" t="str">
        <f t="shared" si="9"/>
        <v/>
      </c>
      <c r="H71" s="11"/>
      <c r="J71" s="168">
        <v>12</v>
      </c>
      <c r="K71" s="203" t="s">
        <v>954</v>
      </c>
      <c r="L71" s="190">
        <v>23.87</v>
      </c>
      <c r="M71" s="168">
        <v>260</v>
      </c>
      <c r="N71" s="25"/>
      <c r="O71" s="25"/>
      <c r="P71" s="25"/>
      <c r="Q71" s="25"/>
      <c r="R71" s="25"/>
      <c r="S71" s="25"/>
    </row>
    <row r="72" spans="1:19">
      <c r="C72" s="11" t="str">
        <f t="shared" si="5"/>
        <v>江西和信融智资产管理有限公司</v>
      </c>
      <c r="D72" s="11">
        <f t="shared" si="6"/>
        <v>25.5</v>
      </c>
      <c r="E72" s="10">
        <f t="shared" si="7"/>
        <v>2.8050000000000002</v>
      </c>
      <c r="F72" s="11">
        <f t="shared" si="8"/>
        <v>1100</v>
      </c>
      <c r="G72" s="11">
        <f t="shared" si="9"/>
        <v>2.75</v>
      </c>
      <c r="H72" s="11" t="str">
        <f>S52</f>
        <v>无</v>
      </c>
      <c r="J72" s="168">
        <v>13</v>
      </c>
      <c r="K72" s="203" t="s">
        <v>1676</v>
      </c>
      <c r="L72" s="190">
        <v>25.5</v>
      </c>
      <c r="M72" s="168">
        <v>1100</v>
      </c>
      <c r="N72" s="25"/>
      <c r="O72" s="25"/>
      <c r="P72" s="25"/>
      <c r="Q72" s="25"/>
      <c r="R72" s="25"/>
      <c r="S72" s="25"/>
    </row>
    <row r="73" spans="1:19">
      <c r="C73" s="11" t="str">
        <f t="shared" si="5"/>
        <v>张举</v>
      </c>
      <c r="D73" s="11">
        <f t="shared" si="6"/>
        <v>24</v>
      </c>
      <c r="E73" s="10">
        <f t="shared" si="7"/>
        <v>1.248</v>
      </c>
      <c r="F73" s="11" t="str">
        <f t="shared" si="8"/>
        <v/>
      </c>
      <c r="G73" s="11"/>
      <c r="H73" s="11"/>
      <c r="J73" s="168">
        <v>14</v>
      </c>
      <c r="K73" s="203" t="s">
        <v>1675</v>
      </c>
      <c r="L73" s="190">
        <v>24</v>
      </c>
      <c r="M73" s="168">
        <v>520</v>
      </c>
      <c r="N73" s="25"/>
      <c r="O73" s="25"/>
      <c r="P73" s="25"/>
      <c r="Q73" s="25"/>
      <c r="R73" s="25"/>
      <c r="S73" s="25"/>
    </row>
    <row r="77" spans="1:19" s="162" customFormat="1">
      <c r="A77" s="164" t="s">
        <v>1315</v>
      </c>
      <c r="B77" s="164"/>
      <c r="C77" s="164" t="s">
        <v>107</v>
      </c>
      <c r="D77" s="164" t="s">
        <v>4</v>
      </c>
      <c r="E77" s="166" t="s">
        <v>108</v>
      </c>
      <c r="F77" s="166" t="s">
        <v>109</v>
      </c>
      <c r="G77" s="164" t="s">
        <v>1314</v>
      </c>
      <c r="H77" s="164" t="s">
        <v>1313</v>
      </c>
      <c r="I77" s="165" t="s">
        <v>1312</v>
      </c>
      <c r="J77" s="163" t="s">
        <v>1311</v>
      </c>
      <c r="K77" s="163" t="s">
        <v>110</v>
      </c>
      <c r="L77" s="163" t="s">
        <v>1310</v>
      </c>
      <c r="M77" s="164" t="s">
        <v>111</v>
      </c>
      <c r="N77" s="163" t="s">
        <v>949</v>
      </c>
      <c r="O77" s="163" t="s">
        <v>948</v>
      </c>
      <c r="P77" s="163" t="s">
        <v>129</v>
      </c>
    </row>
    <row r="78" spans="1:19">
      <c r="A78" s="24">
        <v>290</v>
      </c>
      <c r="B78" s="329" t="s">
        <v>1674</v>
      </c>
      <c r="C78" s="1" t="s">
        <v>1673</v>
      </c>
      <c r="D78" s="1" t="s">
        <v>1672</v>
      </c>
      <c r="E78" s="3">
        <v>8</v>
      </c>
      <c r="F78" s="3">
        <v>7.9999997699999996</v>
      </c>
      <c r="G78" s="332">
        <v>42696</v>
      </c>
      <c r="H78" s="24" t="s">
        <v>1306</v>
      </c>
      <c r="I78" s="130">
        <v>40.96</v>
      </c>
      <c r="J78" s="3">
        <v>37</v>
      </c>
      <c r="K78" s="160">
        <v>35.97</v>
      </c>
      <c r="L78" s="271">
        <v>0.9033203125</v>
      </c>
      <c r="M78" s="270">
        <v>5</v>
      </c>
      <c r="N78" s="2">
        <v>43088</v>
      </c>
      <c r="O78" s="24">
        <v>11.8</v>
      </c>
      <c r="P78" s="157">
        <v>0.64054054054054066</v>
      </c>
    </row>
    <row r="79" spans="1:19" ht="15">
      <c r="C79" s="16" t="s">
        <v>112</v>
      </c>
      <c r="D79" s="16" t="s">
        <v>113</v>
      </c>
      <c r="E79" s="16" t="s">
        <v>1305</v>
      </c>
      <c r="F79" s="17" t="s">
        <v>1304</v>
      </c>
      <c r="G79" s="16" t="s">
        <v>1303</v>
      </c>
      <c r="I79" s="225" t="s">
        <v>118</v>
      </c>
      <c r="J79" s="85" t="s">
        <v>7</v>
      </c>
      <c r="K79" s="196" t="s">
        <v>1520</v>
      </c>
      <c r="L79" s="225" t="s">
        <v>1519</v>
      </c>
      <c r="M79" s="225" t="s">
        <v>1619</v>
      </c>
      <c r="N79" s="25"/>
      <c r="O79" s="85" t="s">
        <v>118</v>
      </c>
      <c r="P79" s="225" t="s">
        <v>414</v>
      </c>
      <c r="Q79" s="196" t="s">
        <v>1671</v>
      </c>
      <c r="R79" s="84" t="s">
        <v>410</v>
      </c>
      <c r="S79" s="225" t="s">
        <v>1300</v>
      </c>
    </row>
    <row r="80" spans="1:19">
      <c r="C80" s="11" t="str">
        <f t="shared" ref="C80:C91" si="10">IF(J80=0,"",J80)</f>
        <v>第一创业证券股份有限公司</v>
      </c>
      <c r="D80" s="11">
        <f t="shared" ref="D80:D91" si="11">L80</f>
        <v>36.86</v>
      </c>
      <c r="E80" s="11">
        <f t="shared" ref="E80:E91" si="12">M80/10000</f>
        <v>1.6</v>
      </c>
      <c r="F80" s="11" t="str">
        <f t="shared" ref="F80:F91" si="13">IFERROR(VLOOKUP(C80,P$80:S$84,3,FALSE)/10000,"")</f>
        <v/>
      </c>
      <c r="G80" s="11" t="str">
        <f t="shared" ref="G80:G91" si="14">IFERROR(F80*J$78/10000,"")</f>
        <v/>
      </c>
      <c r="I80" s="168">
        <v>1</v>
      </c>
      <c r="J80" s="192" t="s">
        <v>127</v>
      </c>
      <c r="K80" s="293"/>
      <c r="L80" s="190">
        <v>36.86</v>
      </c>
      <c r="M80" s="297">
        <v>16000</v>
      </c>
      <c r="N80" s="25"/>
      <c r="O80" s="168">
        <v>1</v>
      </c>
      <c r="P80" s="192" t="s">
        <v>1670</v>
      </c>
      <c r="Q80" s="190">
        <v>37</v>
      </c>
      <c r="R80" s="236">
        <v>8108108</v>
      </c>
      <c r="S80" s="234">
        <v>299999996</v>
      </c>
    </row>
    <row r="81" spans="1:20">
      <c r="C81" s="11" t="str">
        <f t="shared" si="10"/>
        <v>四川省集成电路和信息安全产业投资基金有限公司</v>
      </c>
      <c r="D81" s="11">
        <f t="shared" si="11"/>
        <v>40</v>
      </c>
      <c r="E81" s="11">
        <f t="shared" si="12"/>
        <v>3</v>
      </c>
      <c r="F81" s="11">
        <f t="shared" si="13"/>
        <v>810.81079999999997</v>
      </c>
      <c r="G81" s="337">
        <f t="shared" si="14"/>
        <v>2.9999999599999998</v>
      </c>
      <c r="I81" s="182"/>
      <c r="J81" s="192" t="s">
        <v>1669</v>
      </c>
      <c r="K81" s="182"/>
      <c r="L81" s="190">
        <v>40</v>
      </c>
      <c r="M81" s="297">
        <v>30000</v>
      </c>
      <c r="N81" s="25"/>
      <c r="O81" s="168">
        <v>2</v>
      </c>
      <c r="P81" s="192" t="s">
        <v>1668</v>
      </c>
      <c r="Q81" s="190">
        <v>37</v>
      </c>
      <c r="R81" s="236">
        <v>4324324</v>
      </c>
      <c r="S81" s="234">
        <v>159999988</v>
      </c>
    </row>
    <row r="82" spans="1:20" ht="15">
      <c r="C82" s="11" t="str">
        <f t="shared" si="10"/>
        <v/>
      </c>
      <c r="D82" s="11">
        <f t="shared" si="11"/>
        <v>39.01</v>
      </c>
      <c r="E82" s="11">
        <f t="shared" si="12"/>
        <v>3</v>
      </c>
      <c r="F82" s="11" t="str">
        <f t="shared" si="13"/>
        <v/>
      </c>
      <c r="G82" s="337" t="str">
        <f t="shared" si="14"/>
        <v/>
      </c>
      <c r="I82" s="305"/>
      <c r="J82" s="25"/>
      <c r="K82" s="305"/>
      <c r="L82" s="190">
        <v>39.01</v>
      </c>
      <c r="M82" s="297">
        <v>30000</v>
      </c>
      <c r="N82" s="25"/>
      <c r="O82" s="168">
        <v>3</v>
      </c>
      <c r="P82" s="192" t="s">
        <v>974</v>
      </c>
      <c r="Q82" s="190">
        <v>37</v>
      </c>
      <c r="R82" s="236">
        <v>4324324</v>
      </c>
      <c r="S82" s="234">
        <v>159999988</v>
      </c>
    </row>
    <row r="83" spans="1:20">
      <c r="C83" s="11" t="str">
        <f t="shared" si="10"/>
        <v/>
      </c>
      <c r="D83" s="11">
        <f t="shared" si="11"/>
        <v>38.01</v>
      </c>
      <c r="E83" s="11">
        <f t="shared" si="12"/>
        <v>3</v>
      </c>
      <c r="F83" s="11" t="str">
        <f t="shared" si="13"/>
        <v/>
      </c>
      <c r="G83" s="337" t="str">
        <f t="shared" si="14"/>
        <v/>
      </c>
      <c r="I83" s="168">
        <v>2</v>
      </c>
      <c r="J83" s="64"/>
      <c r="K83" s="191">
        <v>12</v>
      </c>
      <c r="L83" s="190">
        <v>38.01</v>
      </c>
      <c r="M83" s="297">
        <v>30000</v>
      </c>
      <c r="N83" s="25"/>
      <c r="O83" s="168">
        <v>4</v>
      </c>
      <c r="P83" s="192" t="s">
        <v>115</v>
      </c>
      <c r="Q83" s="190">
        <v>37</v>
      </c>
      <c r="R83" s="236">
        <v>4324324</v>
      </c>
      <c r="S83" s="234">
        <v>159999988</v>
      </c>
    </row>
    <row r="84" spans="1:20">
      <c r="C84" s="11" t="str">
        <f t="shared" si="10"/>
        <v>东吴基金管理有限公司</v>
      </c>
      <c r="D84" s="11">
        <f t="shared" si="11"/>
        <v>38.049999999999997</v>
      </c>
      <c r="E84" s="11">
        <f t="shared" si="12"/>
        <v>1.6</v>
      </c>
      <c r="F84" s="11">
        <f t="shared" si="13"/>
        <v>432.43239999999997</v>
      </c>
      <c r="G84" s="337">
        <f t="shared" si="14"/>
        <v>1.5999998799999999</v>
      </c>
      <c r="I84" s="168">
        <v>3</v>
      </c>
      <c r="J84" s="192" t="s">
        <v>974</v>
      </c>
      <c r="K84" s="191">
        <v>12</v>
      </c>
      <c r="L84" s="190">
        <v>38.049999999999997</v>
      </c>
      <c r="M84" s="297">
        <v>16000</v>
      </c>
      <c r="N84" s="25"/>
      <c r="O84" s="168">
        <v>5</v>
      </c>
      <c r="P84" s="192" t="s">
        <v>1667</v>
      </c>
      <c r="Q84" s="190">
        <v>37</v>
      </c>
      <c r="R84" s="236">
        <v>540541</v>
      </c>
      <c r="S84" s="234">
        <v>20000017</v>
      </c>
    </row>
    <row r="85" spans="1:20">
      <c r="C85" s="11" t="str">
        <f t="shared" si="10"/>
        <v>九泰基金管理有限公司</v>
      </c>
      <c r="D85" s="11">
        <f t="shared" si="11"/>
        <v>36.049999999999997</v>
      </c>
      <c r="E85" s="11">
        <f t="shared" si="12"/>
        <v>1.6</v>
      </c>
      <c r="F85" s="11" t="str">
        <f t="shared" si="13"/>
        <v/>
      </c>
      <c r="G85" s="337" t="str">
        <f t="shared" si="14"/>
        <v/>
      </c>
      <c r="I85" s="168">
        <v>4</v>
      </c>
      <c r="J85" s="192" t="s">
        <v>666</v>
      </c>
      <c r="K85" s="293"/>
      <c r="L85" s="190">
        <v>36.049999999999997</v>
      </c>
      <c r="M85" s="297">
        <v>16000</v>
      </c>
      <c r="N85" s="25"/>
      <c r="O85" s="196" t="s">
        <v>1293</v>
      </c>
      <c r="P85" s="196"/>
      <c r="Q85" s="196"/>
      <c r="R85" s="236">
        <v>21621621</v>
      </c>
      <c r="S85" s="234">
        <v>799999977</v>
      </c>
    </row>
    <row r="86" spans="1:20">
      <c r="C86" s="11" t="str">
        <f t="shared" si="10"/>
        <v>财通基金管理有限公司</v>
      </c>
      <c r="D86" s="11">
        <f t="shared" si="11"/>
        <v>37.65</v>
      </c>
      <c r="E86" s="11">
        <f t="shared" si="12"/>
        <v>1.6</v>
      </c>
      <c r="F86" s="11">
        <f t="shared" si="13"/>
        <v>432.43239999999997</v>
      </c>
      <c r="G86" s="337">
        <f t="shared" si="14"/>
        <v>1.5999998799999999</v>
      </c>
      <c r="I86" s="182"/>
      <c r="J86" s="192" t="s">
        <v>115</v>
      </c>
      <c r="K86" s="182"/>
      <c r="L86" s="190">
        <v>37.65</v>
      </c>
      <c r="M86" s="297">
        <v>16000</v>
      </c>
      <c r="N86" s="25"/>
      <c r="O86" s="25"/>
      <c r="P86" s="25"/>
      <c r="Q86" s="25"/>
      <c r="R86" s="25"/>
      <c r="S86" s="25"/>
    </row>
    <row r="87" spans="1:20" ht="16">
      <c r="C87" s="11" t="str">
        <f t="shared" si="10"/>
        <v/>
      </c>
      <c r="D87" s="11">
        <f t="shared" si="11"/>
        <v>36.549999999999997</v>
      </c>
      <c r="E87" s="11">
        <f t="shared" si="12"/>
        <v>2.2000000000000002</v>
      </c>
      <c r="F87" s="11" t="str">
        <f t="shared" si="13"/>
        <v/>
      </c>
      <c r="G87" s="337" t="str">
        <f t="shared" si="14"/>
        <v/>
      </c>
      <c r="I87" s="305"/>
      <c r="J87" s="339"/>
      <c r="K87" s="305"/>
      <c r="L87" s="190">
        <v>36.549999999999997</v>
      </c>
      <c r="M87" s="297">
        <v>22000</v>
      </c>
      <c r="N87" s="25"/>
      <c r="O87" s="25"/>
      <c r="P87" s="25"/>
      <c r="Q87" s="25"/>
      <c r="R87" s="25"/>
      <c r="S87" s="25"/>
    </row>
    <row r="88" spans="1:20">
      <c r="C88" s="11" t="str">
        <f t="shared" si="10"/>
        <v/>
      </c>
      <c r="D88" s="11">
        <f t="shared" si="11"/>
        <v>36.1</v>
      </c>
      <c r="E88" s="11">
        <f t="shared" si="12"/>
        <v>2.4</v>
      </c>
      <c r="F88" s="11" t="str">
        <f t="shared" si="13"/>
        <v/>
      </c>
      <c r="G88" s="337" t="str">
        <f t="shared" si="14"/>
        <v/>
      </c>
      <c r="I88" s="168">
        <v>5</v>
      </c>
      <c r="J88" s="25"/>
      <c r="K88" s="191">
        <v>12</v>
      </c>
      <c r="L88" s="190">
        <v>36.1</v>
      </c>
      <c r="M88" s="297">
        <v>24000</v>
      </c>
      <c r="N88" s="25"/>
      <c r="O88" s="25"/>
      <c r="P88" s="25"/>
      <c r="Q88" s="25"/>
      <c r="R88" s="25"/>
      <c r="S88" s="25"/>
    </row>
    <row r="89" spans="1:20">
      <c r="C89" s="11" t="str">
        <f t="shared" si="10"/>
        <v>诺安基金管理有限公司</v>
      </c>
      <c r="D89" s="11">
        <f t="shared" si="11"/>
        <v>36.06</v>
      </c>
      <c r="E89" s="11">
        <f t="shared" si="12"/>
        <v>1.6</v>
      </c>
      <c r="F89" s="11" t="str">
        <f t="shared" si="13"/>
        <v/>
      </c>
      <c r="G89" s="337" t="str">
        <f t="shared" si="14"/>
        <v/>
      </c>
      <c r="I89" s="168">
        <v>6</v>
      </c>
      <c r="J89" s="192" t="s">
        <v>147</v>
      </c>
      <c r="K89" s="293"/>
      <c r="L89" s="190">
        <v>36.06</v>
      </c>
      <c r="M89" s="297">
        <v>16000</v>
      </c>
      <c r="N89" s="25"/>
      <c r="O89" s="25"/>
      <c r="P89" s="25"/>
      <c r="Q89" s="25"/>
      <c r="R89" s="25"/>
      <c r="S89" s="25"/>
    </row>
    <row r="90" spans="1:20">
      <c r="C90" s="11" t="str">
        <f t="shared" si="10"/>
        <v>广东宝丽华新能源股份有限公司</v>
      </c>
      <c r="D90" s="11">
        <f t="shared" si="11"/>
        <v>37</v>
      </c>
      <c r="E90" s="11">
        <f t="shared" si="12"/>
        <v>1.6</v>
      </c>
      <c r="F90" s="11">
        <f t="shared" si="13"/>
        <v>54.054099999999998</v>
      </c>
      <c r="G90" s="337">
        <f t="shared" si="14"/>
        <v>0.20000017</v>
      </c>
      <c r="I90" s="168">
        <v>7</v>
      </c>
      <c r="J90" s="192" t="s">
        <v>1666</v>
      </c>
      <c r="K90" s="191">
        <v>12</v>
      </c>
      <c r="L90" s="190">
        <v>37</v>
      </c>
      <c r="M90" s="297">
        <v>16000</v>
      </c>
      <c r="N90" s="25"/>
      <c r="O90" s="25"/>
      <c r="P90" s="25"/>
      <c r="Q90" s="25"/>
      <c r="R90" s="25"/>
      <c r="S90" s="25"/>
    </row>
    <row r="91" spans="1:20">
      <c r="C91" s="11" t="str">
        <f t="shared" si="10"/>
        <v>贵州铁路发展基金管理有限公司</v>
      </c>
      <c r="D91" s="11">
        <f t="shared" si="11"/>
        <v>39.17</v>
      </c>
      <c r="E91" s="11">
        <f t="shared" si="12"/>
        <v>1.6</v>
      </c>
      <c r="F91" s="11">
        <f t="shared" si="13"/>
        <v>432.43239999999997</v>
      </c>
      <c r="G91" s="337">
        <f t="shared" si="14"/>
        <v>1.5999998799999999</v>
      </c>
      <c r="I91" s="168">
        <v>8</v>
      </c>
      <c r="J91" s="192" t="s">
        <v>1665</v>
      </c>
      <c r="K91" s="191">
        <v>12</v>
      </c>
      <c r="L91" s="190">
        <v>39.17</v>
      </c>
      <c r="M91" s="297">
        <v>16000</v>
      </c>
      <c r="N91" s="25"/>
      <c r="O91" s="25"/>
      <c r="P91" s="25"/>
      <c r="Q91" s="25"/>
      <c r="R91" s="25"/>
      <c r="S91" s="25"/>
    </row>
    <row r="94" spans="1:20" s="162" customFormat="1">
      <c r="A94" s="164" t="s">
        <v>1315</v>
      </c>
      <c r="B94" s="164"/>
      <c r="C94" s="164" t="s">
        <v>107</v>
      </c>
      <c r="D94" s="164" t="s">
        <v>4</v>
      </c>
      <c r="E94" s="166" t="s">
        <v>108</v>
      </c>
      <c r="F94" s="166" t="s">
        <v>109</v>
      </c>
      <c r="G94" s="164" t="s">
        <v>1314</v>
      </c>
      <c r="H94" s="164" t="s">
        <v>1313</v>
      </c>
      <c r="I94" s="165" t="s">
        <v>1312</v>
      </c>
      <c r="J94" s="163" t="s">
        <v>1311</v>
      </c>
      <c r="K94" s="163" t="s">
        <v>110</v>
      </c>
      <c r="L94" s="163" t="s">
        <v>1310</v>
      </c>
      <c r="M94" s="164" t="s">
        <v>111</v>
      </c>
      <c r="N94" s="163" t="s">
        <v>949</v>
      </c>
      <c r="O94" s="163" t="s">
        <v>948</v>
      </c>
      <c r="P94" s="163" t="s">
        <v>129</v>
      </c>
    </row>
    <row r="95" spans="1:20">
      <c r="A95" s="24">
        <v>291</v>
      </c>
      <c r="B95" s="329" t="s">
        <v>1664</v>
      </c>
      <c r="C95" s="1" t="s">
        <v>1663</v>
      </c>
      <c r="D95" s="1" t="s">
        <v>1662</v>
      </c>
      <c r="E95" s="3">
        <v>19.5</v>
      </c>
      <c r="F95" s="3">
        <v>19.499999890800002</v>
      </c>
      <c r="G95" s="332">
        <v>42709</v>
      </c>
      <c r="H95" s="24" t="s">
        <v>191</v>
      </c>
      <c r="I95" s="130">
        <v>17.28</v>
      </c>
      <c r="J95" s="3">
        <v>17.16</v>
      </c>
      <c r="K95" s="160">
        <v>14.21</v>
      </c>
      <c r="L95" s="271">
        <v>0.99305555555555547</v>
      </c>
      <c r="M95" s="270">
        <v>8</v>
      </c>
      <c r="N95" s="2">
        <v>43087</v>
      </c>
      <c r="O95" s="24">
        <v>14.43</v>
      </c>
      <c r="P95" s="157">
        <v>0.8464452214452215</v>
      </c>
    </row>
    <row r="96" spans="1:20">
      <c r="C96" s="16" t="s">
        <v>112</v>
      </c>
      <c r="D96" s="16" t="s">
        <v>113</v>
      </c>
      <c r="E96" s="16" t="s">
        <v>1305</v>
      </c>
      <c r="F96" s="17" t="s">
        <v>1304</v>
      </c>
      <c r="G96" s="16" t="s">
        <v>1303</v>
      </c>
      <c r="H96" s="16" t="s">
        <v>1639</v>
      </c>
      <c r="J96" s="330" t="s">
        <v>118</v>
      </c>
      <c r="K96" s="330" t="s">
        <v>296</v>
      </c>
      <c r="L96" s="330" t="s">
        <v>1661</v>
      </c>
      <c r="M96" s="330" t="s">
        <v>1660</v>
      </c>
      <c r="N96" s="330" t="s">
        <v>1659</v>
      </c>
      <c r="P96" s="196" t="s">
        <v>118</v>
      </c>
      <c r="Q96" s="183"/>
      <c r="R96" s="196" t="s">
        <v>1520</v>
      </c>
      <c r="S96" s="225" t="s">
        <v>160</v>
      </c>
      <c r="T96" s="183"/>
    </row>
    <row r="97" spans="3:20" ht="16.5">
      <c r="C97" s="11" t="str">
        <f t="shared" ref="C97:C128" si="15">IF(K97=0,"",K97)</f>
        <v>浙江省发展资产经营有限公司</v>
      </c>
      <c r="D97" s="11">
        <f t="shared" ref="D97:D128" si="16">M97</f>
        <v>16</v>
      </c>
      <c r="E97" s="11">
        <f t="shared" ref="E97:E128" si="17">N97/10000</f>
        <v>2</v>
      </c>
      <c r="F97" s="11" t="str">
        <f t="shared" ref="F97:F128" si="18">IFERROR(VLOOKUP(C97,Q$98:T$105,3,FALSE)/10000,"")</f>
        <v/>
      </c>
      <c r="G97" s="11"/>
      <c r="H97" s="11" t="str">
        <f t="shared" ref="H97:H128" si="19">IFERROR(VLOOKUP(C97,Q$98:T$105,2,FALSE),"")</f>
        <v/>
      </c>
      <c r="J97" s="338"/>
      <c r="K97" s="192" t="s">
        <v>1658</v>
      </c>
      <c r="L97" s="191">
        <v>1</v>
      </c>
      <c r="M97" s="168">
        <v>16</v>
      </c>
      <c r="N97" s="234">
        <v>20000</v>
      </c>
      <c r="P97" s="196"/>
      <c r="Q97" s="225" t="s">
        <v>1565</v>
      </c>
      <c r="R97" s="196" t="s">
        <v>1657</v>
      </c>
      <c r="S97" s="225" t="s">
        <v>1317</v>
      </c>
      <c r="T97" s="84" t="s">
        <v>1346</v>
      </c>
    </row>
    <row r="98" spans="3:20">
      <c r="C98" s="11" t="str">
        <f t="shared" si="15"/>
        <v/>
      </c>
      <c r="D98" s="11">
        <f t="shared" si="16"/>
        <v>15.82</v>
      </c>
      <c r="E98" s="11">
        <f t="shared" si="17"/>
        <v>2</v>
      </c>
      <c r="F98" s="11" t="str">
        <f t="shared" si="18"/>
        <v/>
      </c>
      <c r="G98" s="11"/>
      <c r="H98" s="11" t="str">
        <f t="shared" si="19"/>
        <v/>
      </c>
      <c r="J98" s="168">
        <v>1</v>
      </c>
      <c r="K98" s="192"/>
      <c r="L98" s="191">
        <v>2</v>
      </c>
      <c r="M98" s="168">
        <v>15.82</v>
      </c>
      <c r="N98" s="234">
        <v>20000</v>
      </c>
      <c r="P98" s="296">
        <v>1</v>
      </c>
      <c r="Q98" s="192" t="s">
        <v>1656</v>
      </c>
      <c r="R98" s="168">
        <v>36</v>
      </c>
      <c r="S98" s="236">
        <v>11655012</v>
      </c>
      <c r="T98" s="234">
        <v>200000005.91999999</v>
      </c>
    </row>
    <row r="99" spans="3:20">
      <c r="C99" s="11" t="str">
        <f t="shared" si="15"/>
        <v/>
      </c>
      <c r="D99" s="11">
        <f t="shared" si="16"/>
        <v>15.42</v>
      </c>
      <c r="E99" s="11">
        <f t="shared" si="17"/>
        <v>2</v>
      </c>
      <c r="F99" s="11" t="str">
        <f t="shared" si="18"/>
        <v/>
      </c>
      <c r="G99" s="11"/>
      <c r="H99" s="11" t="str">
        <f t="shared" si="19"/>
        <v/>
      </c>
      <c r="J99" s="64"/>
      <c r="K99" s="192"/>
      <c r="L99" s="191">
        <v>3</v>
      </c>
      <c r="M99" s="168">
        <v>15.42</v>
      </c>
      <c r="N99" s="234">
        <v>20000</v>
      </c>
      <c r="P99" s="296">
        <v>2</v>
      </c>
      <c r="Q99" s="192" t="s">
        <v>371</v>
      </c>
      <c r="R99" s="168">
        <v>12</v>
      </c>
      <c r="S99" s="236">
        <v>13986013</v>
      </c>
      <c r="T99" s="234">
        <v>239999983.08000001</v>
      </c>
    </row>
    <row r="100" spans="3:20" ht="16.5">
      <c r="C100" s="11" t="str">
        <f t="shared" si="15"/>
        <v>北京恒宇天泽投资管理有限公司</v>
      </c>
      <c r="D100" s="11">
        <f t="shared" si="16"/>
        <v>15.3</v>
      </c>
      <c r="E100" s="11">
        <f t="shared" si="17"/>
        <v>2</v>
      </c>
      <c r="F100" s="11" t="str">
        <f t="shared" si="18"/>
        <v/>
      </c>
      <c r="G100" s="11"/>
      <c r="H100" s="11" t="str">
        <f t="shared" si="19"/>
        <v/>
      </c>
      <c r="J100" s="338"/>
      <c r="K100" s="192" t="s">
        <v>1604</v>
      </c>
      <c r="L100" s="191">
        <v>1</v>
      </c>
      <c r="M100" s="168">
        <v>15.3</v>
      </c>
      <c r="N100" s="234">
        <v>20000</v>
      </c>
      <c r="P100" s="296">
        <v>3</v>
      </c>
      <c r="Q100" s="192" t="s">
        <v>960</v>
      </c>
      <c r="R100" s="168">
        <v>12</v>
      </c>
      <c r="S100" s="236">
        <v>11655011</v>
      </c>
      <c r="T100" s="234">
        <v>199999988.75999999</v>
      </c>
    </row>
    <row r="101" spans="3:20">
      <c r="C101" s="11" t="str">
        <f t="shared" si="15"/>
        <v/>
      </c>
      <c r="D101" s="11">
        <f t="shared" si="16"/>
        <v>15.07</v>
      </c>
      <c r="E101" s="11">
        <f t="shared" si="17"/>
        <v>2</v>
      </c>
      <c r="F101" s="11" t="str">
        <f t="shared" si="18"/>
        <v/>
      </c>
      <c r="G101" s="11"/>
      <c r="H101" s="11" t="str">
        <f t="shared" si="19"/>
        <v/>
      </c>
      <c r="J101" s="168">
        <v>2</v>
      </c>
      <c r="K101" s="192"/>
      <c r="L101" s="191">
        <v>2</v>
      </c>
      <c r="M101" s="168">
        <v>15.07</v>
      </c>
      <c r="N101" s="234">
        <v>20000</v>
      </c>
      <c r="P101" s="296">
        <v>4</v>
      </c>
      <c r="Q101" s="192" t="s">
        <v>1655</v>
      </c>
      <c r="R101" s="296">
        <v>12</v>
      </c>
      <c r="S101" s="275">
        <v>17540792</v>
      </c>
      <c r="T101" s="297">
        <v>300999990.72000003</v>
      </c>
    </row>
    <row r="102" spans="3:20">
      <c r="C102" s="11" t="str">
        <f t="shared" si="15"/>
        <v/>
      </c>
      <c r="D102" s="11">
        <f t="shared" si="16"/>
        <v>14.21</v>
      </c>
      <c r="E102" s="11">
        <f t="shared" si="17"/>
        <v>2</v>
      </c>
      <c r="F102" s="11" t="str">
        <f t="shared" si="18"/>
        <v/>
      </c>
      <c r="G102" s="11"/>
      <c r="H102" s="11" t="str">
        <f t="shared" si="19"/>
        <v/>
      </c>
      <c r="J102" s="64"/>
      <c r="K102" s="192"/>
      <c r="L102" s="191">
        <v>3</v>
      </c>
      <c r="M102" s="168">
        <v>14.21</v>
      </c>
      <c r="N102" s="234">
        <v>20000</v>
      </c>
      <c r="P102" s="296">
        <v>5</v>
      </c>
      <c r="Q102" s="192" t="s">
        <v>148</v>
      </c>
      <c r="R102" s="168">
        <v>12</v>
      </c>
      <c r="S102" s="236">
        <v>11655011</v>
      </c>
      <c r="T102" s="234">
        <v>199999988.75999999</v>
      </c>
    </row>
    <row r="103" spans="3:20">
      <c r="C103" s="11" t="str">
        <f t="shared" si="15"/>
        <v>第一创业证券股份有限公司</v>
      </c>
      <c r="D103" s="11">
        <f t="shared" si="16"/>
        <v>14.52</v>
      </c>
      <c r="E103" s="11">
        <f t="shared" si="17"/>
        <v>3</v>
      </c>
      <c r="F103" s="11" t="str">
        <f t="shared" si="18"/>
        <v/>
      </c>
      <c r="G103" s="11"/>
      <c r="H103" s="11" t="str">
        <f t="shared" si="19"/>
        <v/>
      </c>
      <c r="J103" s="168">
        <v>3</v>
      </c>
      <c r="K103" s="192" t="s">
        <v>127</v>
      </c>
      <c r="L103" s="191">
        <v>1</v>
      </c>
      <c r="M103" s="168">
        <v>14.52</v>
      </c>
      <c r="N103" s="234">
        <v>30000</v>
      </c>
      <c r="P103" s="296">
        <v>6</v>
      </c>
      <c r="Q103" s="192" t="s">
        <v>336</v>
      </c>
      <c r="R103" s="168">
        <v>12</v>
      </c>
      <c r="S103" s="236">
        <v>11655011</v>
      </c>
      <c r="T103" s="234">
        <v>199999988.75999999</v>
      </c>
    </row>
    <row r="104" spans="3:20" ht="16.5">
      <c r="C104" s="11" t="str">
        <f t="shared" si="15"/>
        <v>中信证券股份有限公司</v>
      </c>
      <c r="D104" s="11">
        <f t="shared" si="16"/>
        <v>15.8</v>
      </c>
      <c r="E104" s="11">
        <f t="shared" si="17"/>
        <v>4.32</v>
      </c>
      <c r="F104" s="11" t="str">
        <f t="shared" si="18"/>
        <v/>
      </c>
      <c r="G104" s="11"/>
      <c r="H104" s="11" t="str">
        <f t="shared" si="19"/>
        <v/>
      </c>
      <c r="J104" s="338"/>
      <c r="K104" s="192" t="s">
        <v>316</v>
      </c>
      <c r="L104" s="191">
        <v>1</v>
      </c>
      <c r="M104" s="168">
        <v>15.8</v>
      </c>
      <c r="N104" s="234">
        <v>43200</v>
      </c>
      <c r="P104" s="296">
        <v>7</v>
      </c>
      <c r="Q104" s="192" t="s">
        <v>1650</v>
      </c>
      <c r="R104" s="168">
        <v>12</v>
      </c>
      <c r="S104" s="236">
        <v>11655011</v>
      </c>
      <c r="T104" s="234">
        <v>199999988.75999999</v>
      </c>
    </row>
    <row r="105" spans="3:20">
      <c r="C105" s="11" t="str">
        <f t="shared" si="15"/>
        <v>中信证券股份有限公司</v>
      </c>
      <c r="D105" s="11">
        <f t="shared" si="16"/>
        <v>15.49</v>
      </c>
      <c r="E105" s="11">
        <f t="shared" si="17"/>
        <v>5.7</v>
      </c>
      <c r="F105" s="11" t="str">
        <f t="shared" si="18"/>
        <v/>
      </c>
      <c r="G105" s="11"/>
      <c r="H105" s="11" t="str">
        <f t="shared" si="19"/>
        <v/>
      </c>
      <c r="J105" s="168">
        <v>4</v>
      </c>
      <c r="K105" s="192" t="s">
        <v>316</v>
      </c>
      <c r="L105" s="191">
        <v>2</v>
      </c>
      <c r="M105" s="168">
        <v>15.49</v>
      </c>
      <c r="N105" s="234">
        <v>57000</v>
      </c>
      <c r="P105" s="296">
        <v>8</v>
      </c>
      <c r="Q105" s="192" t="s">
        <v>1654</v>
      </c>
      <c r="R105" s="296">
        <v>12</v>
      </c>
      <c r="S105" s="275">
        <v>23834502</v>
      </c>
      <c r="T105" s="297">
        <v>409000054.31999999</v>
      </c>
    </row>
    <row r="106" spans="3:20">
      <c r="C106" s="11" t="str">
        <f t="shared" si="15"/>
        <v/>
      </c>
      <c r="D106" s="11">
        <f t="shared" si="16"/>
        <v>15.17</v>
      </c>
      <c r="E106" s="11">
        <f t="shared" si="17"/>
        <v>6</v>
      </c>
      <c r="F106" s="11" t="str">
        <f t="shared" si="18"/>
        <v/>
      </c>
      <c r="G106" s="11"/>
      <c r="H106" s="11" t="str">
        <f t="shared" si="19"/>
        <v/>
      </c>
      <c r="J106" s="64"/>
      <c r="K106" s="192"/>
      <c r="L106" s="191">
        <v>3</v>
      </c>
      <c r="M106" s="168">
        <v>15.17</v>
      </c>
      <c r="N106" s="234">
        <v>60000</v>
      </c>
    </row>
    <row r="107" spans="3:20">
      <c r="C107" s="11" t="str">
        <f t="shared" si="15"/>
        <v>中船投资发展有限公司</v>
      </c>
      <c r="D107" s="11">
        <f t="shared" si="16"/>
        <v>15.56</v>
      </c>
      <c r="E107" s="11">
        <f t="shared" si="17"/>
        <v>2</v>
      </c>
      <c r="F107" s="11" t="str">
        <f t="shared" si="18"/>
        <v/>
      </c>
      <c r="G107" s="11"/>
      <c r="H107" s="11" t="str">
        <f t="shared" si="19"/>
        <v/>
      </c>
      <c r="J107" s="296">
        <v>5</v>
      </c>
      <c r="K107" s="192" t="s">
        <v>1653</v>
      </c>
      <c r="L107" s="191">
        <v>1</v>
      </c>
      <c r="M107" s="168">
        <v>15.56</v>
      </c>
      <c r="N107" s="234">
        <v>20000</v>
      </c>
    </row>
    <row r="108" spans="3:20">
      <c r="C108" s="11" t="str">
        <f t="shared" si="15"/>
        <v/>
      </c>
      <c r="D108" s="11">
        <f t="shared" si="16"/>
        <v>14.77</v>
      </c>
      <c r="E108" s="11">
        <f t="shared" si="17"/>
        <v>2</v>
      </c>
      <c r="F108" s="11" t="str">
        <f t="shared" si="18"/>
        <v/>
      </c>
      <c r="G108" s="11"/>
      <c r="H108" s="11" t="str">
        <f t="shared" si="19"/>
        <v/>
      </c>
      <c r="J108" s="296"/>
      <c r="K108" s="192"/>
      <c r="L108" s="191">
        <v>2</v>
      </c>
      <c r="M108" s="168">
        <v>14.77</v>
      </c>
      <c r="N108" s="234">
        <v>20000</v>
      </c>
    </row>
    <row r="109" spans="3:20">
      <c r="C109" s="11" t="str">
        <f t="shared" si="15"/>
        <v>广西铁路发展投资基金（有限合伙）</v>
      </c>
      <c r="D109" s="11">
        <f t="shared" si="16"/>
        <v>15.92</v>
      </c>
      <c r="E109" s="11">
        <f t="shared" si="17"/>
        <v>2</v>
      </c>
      <c r="F109" s="11" t="str">
        <f t="shared" si="18"/>
        <v/>
      </c>
      <c r="G109" s="11"/>
      <c r="H109" s="11" t="str">
        <f t="shared" si="19"/>
        <v/>
      </c>
      <c r="J109" s="168">
        <v>6</v>
      </c>
      <c r="K109" s="192" t="s">
        <v>1079</v>
      </c>
      <c r="L109" s="191">
        <v>1</v>
      </c>
      <c r="M109" s="168">
        <v>15.92</v>
      </c>
      <c r="N109" s="234">
        <v>20000</v>
      </c>
    </row>
    <row r="110" spans="3:20" ht="16.5">
      <c r="C110" s="11" t="str">
        <f t="shared" si="15"/>
        <v>湖北省国有资本运营有限公司</v>
      </c>
      <c r="D110" s="11">
        <f t="shared" si="16"/>
        <v>15.79</v>
      </c>
      <c r="E110" s="11">
        <f t="shared" si="17"/>
        <v>2</v>
      </c>
      <c r="F110" s="11" t="str">
        <f t="shared" si="18"/>
        <v/>
      </c>
      <c r="G110" s="11"/>
      <c r="H110" s="11" t="str">
        <f t="shared" si="19"/>
        <v/>
      </c>
      <c r="J110" s="338"/>
      <c r="K110" s="192" t="s">
        <v>1652</v>
      </c>
      <c r="L110" s="191">
        <v>1</v>
      </c>
      <c r="M110" s="168">
        <v>15.79</v>
      </c>
      <c r="N110" s="234">
        <v>20000</v>
      </c>
    </row>
    <row r="111" spans="3:20">
      <c r="C111" s="11" t="str">
        <f t="shared" si="15"/>
        <v/>
      </c>
      <c r="D111" s="11">
        <f t="shared" si="16"/>
        <v>14.99</v>
      </c>
      <c r="E111" s="11">
        <f t="shared" si="17"/>
        <v>2</v>
      </c>
      <c r="F111" s="11" t="str">
        <f t="shared" si="18"/>
        <v/>
      </c>
      <c r="G111" s="11"/>
      <c r="H111" s="11" t="str">
        <f t="shared" si="19"/>
        <v/>
      </c>
      <c r="J111" s="168">
        <v>7</v>
      </c>
      <c r="K111" s="192"/>
      <c r="L111" s="191">
        <v>2</v>
      </c>
      <c r="M111" s="168">
        <v>14.99</v>
      </c>
      <c r="N111" s="234">
        <v>20000</v>
      </c>
    </row>
    <row r="112" spans="3:20">
      <c r="C112" s="11" t="str">
        <f t="shared" si="15"/>
        <v/>
      </c>
      <c r="D112" s="11">
        <f t="shared" si="16"/>
        <v>14.68</v>
      </c>
      <c r="E112" s="11">
        <f t="shared" si="17"/>
        <v>2</v>
      </c>
      <c r="F112" s="11" t="str">
        <f t="shared" si="18"/>
        <v/>
      </c>
      <c r="G112" s="11"/>
      <c r="H112" s="11" t="str">
        <f t="shared" si="19"/>
        <v/>
      </c>
      <c r="J112" s="64"/>
      <c r="K112" s="192"/>
      <c r="L112" s="191">
        <v>3</v>
      </c>
      <c r="M112" s="168">
        <v>14.68</v>
      </c>
      <c r="N112" s="234">
        <v>20000</v>
      </c>
    </row>
    <row r="113" spans="3:14">
      <c r="C113" s="11" t="str">
        <f t="shared" si="15"/>
        <v>中国银河证券股份有限公司</v>
      </c>
      <c r="D113" s="11">
        <f t="shared" si="16"/>
        <v>15.08</v>
      </c>
      <c r="E113" s="11">
        <f t="shared" si="17"/>
        <v>2.1</v>
      </c>
      <c r="F113" s="11" t="str">
        <f t="shared" si="18"/>
        <v/>
      </c>
      <c r="G113" s="11"/>
      <c r="H113" s="11" t="str">
        <f t="shared" si="19"/>
        <v/>
      </c>
      <c r="J113" s="168">
        <v>8</v>
      </c>
      <c r="K113" s="192" t="s">
        <v>13</v>
      </c>
      <c r="L113" s="191">
        <v>1</v>
      </c>
      <c r="M113" s="168">
        <v>15.08</v>
      </c>
      <c r="N113" s="234">
        <v>21000</v>
      </c>
    </row>
    <row r="114" spans="3:14">
      <c r="C114" s="11" t="str">
        <f t="shared" si="15"/>
        <v>五矿证券有限公司</v>
      </c>
      <c r="D114" s="11">
        <f t="shared" si="16"/>
        <v>15.86</v>
      </c>
      <c r="E114" s="11">
        <f t="shared" si="17"/>
        <v>2</v>
      </c>
      <c r="F114" s="11" t="str">
        <f t="shared" si="18"/>
        <v/>
      </c>
      <c r="G114" s="11"/>
      <c r="H114" s="11" t="str">
        <f t="shared" si="19"/>
        <v/>
      </c>
      <c r="J114" s="168">
        <v>9</v>
      </c>
      <c r="K114" s="192" t="s">
        <v>1594</v>
      </c>
      <c r="L114" s="191">
        <v>1</v>
      </c>
      <c r="M114" s="168">
        <v>15.86</v>
      </c>
      <c r="N114" s="234">
        <v>20000</v>
      </c>
    </row>
    <row r="115" spans="3:14">
      <c r="C115" s="11" t="str">
        <f t="shared" si="15"/>
        <v>银华基金管理股份有限公司</v>
      </c>
      <c r="D115" s="11">
        <f t="shared" si="16"/>
        <v>16.3</v>
      </c>
      <c r="E115" s="11">
        <f t="shared" si="17"/>
        <v>2</v>
      </c>
      <c r="F115" s="11" t="str">
        <f t="shared" si="18"/>
        <v/>
      </c>
      <c r="G115" s="11"/>
      <c r="H115" s="11" t="str">
        <f t="shared" si="19"/>
        <v/>
      </c>
      <c r="J115" s="168">
        <v>10</v>
      </c>
      <c r="K115" s="192" t="s">
        <v>982</v>
      </c>
      <c r="L115" s="191">
        <v>1</v>
      </c>
      <c r="M115" s="168">
        <v>16.3</v>
      </c>
      <c r="N115" s="234">
        <v>20000</v>
      </c>
    </row>
    <row r="116" spans="3:14">
      <c r="C116" s="11" t="str">
        <f t="shared" si="15"/>
        <v>国信证券股份有限公司</v>
      </c>
      <c r="D116" s="11">
        <f t="shared" si="16"/>
        <v>15.19</v>
      </c>
      <c r="E116" s="11">
        <f t="shared" si="17"/>
        <v>2</v>
      </c>
      <c r="F116" s="11" t="str">
        <f t="shared" si="18"/>
        <v/>
      </c>
      <c r="G116" s="11"/>
      <c r="H116" s="11" t="str">
        <f t="shared" si="19"/>
        <v/>
      </c>
      <c r="J116" s="168">
        <v>11</v>
      </c>
      <c r="K116" s="192" t="s">
        <v>1142</v>
      </c>
      <c r="L116" s="191">
        <v>1</v>
      </c>
      <c r="M116" s="168">
        <v>15.19</v>
      </c>
      <c r="N116" s="234">
        <v>20000</v>
      </c>
    </row>
    <row r="117" spans="3:14">
      <c r="C117" s="11" t="str">
        <f t="shared" si="15"/>
        <v>博时基金管理有限公司</v>
      </c>
      <c r="D117" s="11">
        <f t="shared" si="16"/>
        <v>14.67</v>
      </c>
      <c r="E117" s="11">
        <f t="shared" si="17"/>
        <v>3.1</v>
      </c>
      <c r="F117" s="11" t="str">
        <f t="shared" si="18"/>
        <v/>
      </c>
      <c r="G117" s="11"/>
      <c r="H117" s="11" t="str">
        <f t="shared" si="19"/>
        <v/>
      </c>
      <c r="J117" s="168">
        <v>12</v>
      </c>
      <c r="K117" s="192" t="s">
        <v>173</v>
      </c>
      <c r="L117" s="191">
        <v>1</v>
      </c>
      <c r="M117" s="168">
        <v>14.67</v>
      </c>
      <c r="N117" s="234">
        <v>31000</v>
      </c>
    </row>
    <row r="118" spans="3:14">
      <c r="C118" s="11" t="str">
        <f t="shared" si="15"/>
        <v>山东省金融资产管理股份有限公司</v>
      </c>
      <c r="D118" s="11">
        <f t="shared" si="16"/>
        <v>16.3</v>
      </c>
      <c r="E118" s="11">
        <f t="shared" si="17"/>
        <v>2</v>
      </c>
      <c r="F118" s="11" t="str">
        <f t="shared" si="18"/>
        <v/>
      </c>
      <c r="G118" s="11"/>
      <c r="H118" s="11" t="str">
        <f t="shared" si="19"/>
        <v/>
      </c>
      <c r="J118" s="168">
        <v>13</v>
      </c>
      <c r="K118" s="192" t="s">
        <v>468</v>
      </c>
      <c r="L118" s="191">
        <v>1</v>
      </c>
      <c r="M118" s="168">
        <v>16.3</v>
      </c>
      <c r="N118" s="234">
        <v>20000</v>
      </c>
    </row>
    <row r="119" spans="3:14">
      <c r="C119" s="11" t="str">
        <f t="shared" si="15"/>
        <v>金元顺安基金管理有限公司</v>
      </c>
      <c r="D119" s="11">
        <f t="shared" si="16"/>
        <v>17.600000000000001</v>
      </c>
      <c r="E119" s="11">
        <f t="shared" si="17"/>
        <v>2</v>
      </c>
      <c r="F119" s="10">
        <f t="shared" si="18"/>
        <v>1165.5011</v>
      </c>
      <c r="G119" s="337">
        <f t="shared" ref="G119:G146" si="20">IFERROR(F119*J$95/10000,"")</f>
        <v>1.9999998875999998</v>
      </c>
      <c r="H119" s="11">
        <f t="shared" si="19"/>
        <v>12</v>
      </c>
      <c r="J119" s="168">
        <v>14</v>
      </c>
      <c r="K119" s="192" t="s">
        <v>960</v>
      </c>
      <c r="L119" s="191">
        <v>1</v>
      </c>
      <c r="M119" s="168">
        <v>17.600000000000001</v>
      </c>
      <c r="N119" s="234">
        <v>20000</v>
      </c>
    </row>
    <row r="120" spans="3:14">
      <c r="C120" s="11" t="str">
        <f t="shared" si="15"/>
        <v>广东省铁路发展基金有限责任公司</v>
      </c>
      <c r="D120" s="11">
        <f t="shared" si="16"/>
        <v>17.16</v>
      </c>
      <c r="E120" s="11">
        <f t="shared" si="17"/>
        <v>6</v>
      </c>
      <c r="F120" s="10">
        <f t="shared" si="18"/>
        <v>2383.4502000000002</v>
      </c>
      <c r="G120" s="337">
        <f t="shared" si="20"/>
        <v>4.0900005432000004</v>
      </c>
      <c r="H120" s="11">
        <f t="shared" si="19"/>
        <v>12</v>
      </c>
      <c r="J120" s="168">
        <v>15</v>
      </c>
      <c r="K120" s="192" t="s">
        <v>1651</v>
      </c>
      <c r="L120" s="191">
        <v>1</v>
      </c>
      <c r="M120" s="168">
        <v>17.16</v>
      </c>
      <c r="N120" s="234">
        <v>60000</v>
      </c>
    </row>
    <row r="121" spans="3:14">
      <c r="C121" s="11" t="str">
        <f t="shared" si="15"/>
        <v>鹏华资产管理有限公司</v>
      </c>
      <c r="D121" s="11">
        <f t="shared" si="16"/>
        <v>17.2</v>
      </c>
      <c r="E121" s="11">
        <f t="shared" si="17"/>
        <v>2</v>
      </c>
      <c r="F121" s="10">
        <f t="shared" si="18"/>
        <v>1165.5011</v>
      </c>
      <c r="G121" s="337">
        <f t="shared" si="20"/>
        <v>1.9999998875999998</v>
      </c>
      <c r="H121" s="11">
        <f t="shared" si="19"/>
        <v>12</v>
      </c>
      <c r="J121" s="168">
        <v>16</v>
      </c>
      <c r="K121" s="192" t="s">
        <v>1650</v>
      </c>
      <c r="L121" s="191">
        <v>1</v>
      </c>
      <c r="M121" s="168">
        <v>17.2</v>
      </c>
      <c r="N121" s="234">
        <v>20000</v>
      </c>
    </row>
    <row r="122" spans="3:14">
      <c r="C122" s="11" t="str">
        <f t="shared" si="15"/>
        <v>华安基金管理有限公司</v>
      </c>
      <c r="D122" s="11">
        <f t="shared" si="16"/>
        <v>14.5</v>
      </c>
      <c r="E122" s="11">
        <f t="shared" si="17"/>
        <v>2.33</v>
      </c>
      <c r="F122" s="10" t="str">
        <f t="shared" si="18"/>
        <v/>
      </c>
      <c r="G122" s="337" t="str">
        <f t="shared" si="20"/>
        <v/>
      </c>
      <c r="H122" s="11" t="str">
        <f t="shared" si="19"/>
        <v/>
      </c>
      <c r="J122" s="168">
        <v>17</v>
      </c>
      <c r="K122" s="192" t="s">
        <v>136</v>
      </c>
      <c r="L122" s="191">
        <v>1</v>
      </c>
      <c r="M122" s="168">
        <v>14.5</v>
      </c>
      <c r="N122" s="234">
        <v>23300</v>
      </c>
    </row>
    <row r="123" spans="3:14" ht="16.5">
      <c r="C123" s="11" t="str">
        <f t="shared" si="15"/>
        <v>深圳天风天成资产管理有限公司</v>
      </c>
      <c r="D123" s="11">
        <f t="shared" si="16"/>
        <v>17.28</v>
      </c>
      <c r="E123" s="11">
        <f t="shared" si="17"/>
        <v>3.01</v>
      </c>
      <c r="F123" s="10">
        <f t="shared" si="18"/>
        <v>1754.0791999999999</v>
      </c>
      <c r="G123" s="337">
        <f t="shared" si="20"/>
        <v>3.0099999071999997</v>
      </c>
      <c r="H123" s="11">
        <f t="shared" si="19"/>
        <v>12</v>
      </c>
      <c r="J123" s="338"/>
      <c r="K123" s="192" t="s">
        <v>560</v>
      </c>
      <c r="L123" s="191">
        <v>1</v>
      </c>
      <c r="M123" s="168">
        <v>17.28</v>
      </c>
      <c r="N123" s="234">
        <v>30100</v>
      </c>
    </row>
    <row r="124" spans="3:14">
      <c r="C124" s="11" t="str">
        <f t="shared" si="15"/>
        <v/>
      </c>
      <c r="D124" s="11">
        <f t="shared" si="16"/>
        <v>16.600000000000001</v>
      </c>
      <c r="E124" s="11">
        <f t="shared" si="17"/>
        <v>3.02</v>
      </c>
      <c r="F124" s="10" t="str">
        <f t="shared" si="18"/>
        <v/>
      </c>
      <c r="G124" s="337" t="str">
        <f t="shared" si="20"/>
        <v/>
      </c>
      <c r="H124" s="11" t="str">
        <f t="shared" si="19"/>
        <v/>
      </c>
      <c r="J124" s="191">
        <v>18</v>
      </c>
      <c r="K124" s="192"/>
      <c r="L124" s="191">
        <v>2</v>
      </c>
      <c r="M124" s="168">
        <v>16.600000000000001</v>
      </c>
      <c r="N124" s="234">
        <v>30200</v>
      </c>
    </row>
    <row r="125" spans="3:14">
      <c r="C125" s="11" t="str">
        <f t="shared" si="15"/>
        <v/>
      </c>
      <c r="D125" s="11">
        <f t="shared" si="16"/>
        <v>15.89</v>
      </c>
      <c r="E125" s="11">
        <f t="shared" si="17"/>
        <v>3.03</v>
      </c>
      <c r="F125" s="11" t="str">
        <f t="shared" si="18"/>
        <v/>
      </c>
      <c r="G125" s="337" t="str">
        <f t="shared" si="20"/>
        <v/>
      </c>
      <c r="H125" s="11" t="str">
        <f t="shared" si="19"/>
        <v/>
      </c>
      <c r="J125" s="64"/>
      <c r="K125" s="192"/>
      <c r="L125" s="191">
        <v>3</v>
      </c>
      <c r="M125" s="168">
        <v>15.89</v>
      </c>
      <c r="N125" s="234">
        <v>30300</v>
      </c>
    </row>
    <row r="126" spans="3:14">
      <c r="C126" s="11" t="str">
        <f t="shared" si="15"/>
        <v>杭州海源国际商贸有限公司</v>
      </c>
      <c r="D126" s="11">
        <f t="shared" si="16"/>
        <v>16.420000000000002</v>
      </c>
      <c r="E126" s="11">
        <f t="shared" si="17"/>
        <v>2.1</v>
      </c>
      <c r="F126" s="11" t="str">
        <f t="shared" si="18"/>
        <v/>
      </c>
      <c r="G126" s="337" t="str">
        <f t="shared" si="20"/>
        <v/>
      </c>
      <c r="H126" s="11" t="str">
        <f t="shared" si="19"/>
        <v/>
      </c>
      <c r="J126" s="191">
        <v>19</v>
      </c>
      <c r="K126" s="192" t="s">
        <v>1649</v>
      </c>
      <c r="L126" s="191">
        <v>1</v>
      </c>
      <c r="M126" s="168">
        <v>16.420000000000002</v>
      </c>
      <c r="N126" s="234">
        <v>21000</v>
      </c>
    </row>
    <row r="127" spans="3:14" ht="16.5">
      <c r="C127" s="11" t="str">
        <f t="shared" si="15"/>
        <v>浙江浙商证券资产管理有限公司</v>
      </c>
      <c r="D127" s="11">
        <f t="shared" si="16"/>
        <v>17.600000000000001</v>
      </c>
      <c r="E127" s="11">
        <f t="shared" si="17"/>
        <v>2</v>
      </c>
      <c r="F127" s="11" t="str">
        <f t="shared" si="18"/>
        <v/>
      </c>
      <c r="G127" s="337" t="str">
        <f t="shared" si="20"/>
        <v/>
      </c>
      <c r="H127" s="11" t="str">
        <f t="shared" si="19"/>
        <v/>
      </c>
      <c r="J127" s="338"/>
      <c r="K127" s="192" t="s">
        <v>154</v>
      </c>
      <c r="L127" s="191">
        <v>1</v>
      </c>
      <c r="M127" s="168">
        <v>17.600000000000001</v>
      </c>
      <c r="N127" s="234">
        <v>20000</v>
      </c>
    </row>
    <row r="128" spans="3:14">
      <c r="C128" s="11" t="str">
        <f t="shared" si="15"/>
        <v/>
      </c>
      <c r="D128" s="11">
        <f t="shared" si="16"/>
        <v>16.489999999999998</v>
      </c>
      <c r="E128" s="11">
        <f t="shared" si="17"/>
        <v>3.98</v>
      </c>
      <c r="F128" s="11" t="str">
        <f t="shared" si="18"/>
        <v/>
      </c>
      <c r="G128" s="337" t="str">
        <f t="shared" si="20"/>
        <v/>
      </c>
      <c r="H128" s="11" t="str">
        <f t="shared" si="19"/>
        <v/>
      </c>
      <c r="J128" s="191">
        <v>20</v>
      </c>
      <c r="K128" s="192"/>
      <c r="L128" s="191">
        <v>2</v>
      </c>
      <c r="M128" s="168">
        <v>16.489999999999998</v>
      </c>
      <c r="N128" s="234">
        <v>39800</v>
      </c>
    </row>
    <row r="129" spans="3:14">
      <c r="C129" s="11" t="str">
        <f t="shared" ref="C129:C146" si="21">IF(K129=0,"",K129)</f>
        <v/>
      </c>
      <c r="D129" s="11">
        <f t="shared" ref="D129:D146" si="22">M129</f>
        <v>15.6</v>
      </c>
      <c r="E129" s="11">
        <f t="shared" ref="E129:E146" si="23">N129/10000</f>
        <v>4.18</v>
      </c>
      <c r="F129" s="11" t="str">
        <f t="shared" ref="F129:F146" si="24">IFERROR(VLOOKUP(C129,Q$98:T$105,3,FALSE)/10000,"")</f>
        <v/>
      </c>
      <c r="G129" s="337" t="str">
        <f t="shared" si="20"/>
        <v/>
      </c>
      <c r="H129" s="11" t="str">
        <f t="shared" ref="H129:H146" si="25">IFERROR(VLOOKUP(C129,Q$98:T$105,2,FALSE),"")</f>
        <v/>
      </c>
      <c r="J129" s="64"/>
      <c r="K129" s="192"/>
      <c r="L129" s="191">
        <v>3</v>
      </c>
      <c r="M129" s="168">
        <v>15.6</v>
      </c>
      <c r="N129" s="234">
        <v>41800</v>
      </c>
    </row>
    <row r="130" spans="3:14">
      <c r="C130" s="11" t="str">
        <f t="shared" si="21"/>
        <v>平安大华基金管理有限公司</v>
      </c>
      <c r="D130" s="11">
        <f t="shared" si="22"/>
        <v>14.67</v>
      </c>
      <c r="E130" s="11">
        <f t="shared" si="23"/>
        <v>2</v>
      </c>
      <c r="F130" s="11" t="str">
        <f t="shared" si="24"/>
        <v/>
      </c>
      <c r="G130" s="337" t="str">
        <f t="shared" si="20"/>
        <v/>
      </c>
      <c r="H130" s="11" t="str">
        <f t="shared" si="25"/>
        <v/>
      </c>
      <c r="J130" s="191">
        <v>21</v>
      </c>
      <c r="K130" s="192" t="s">
        <v>146</v>
      </c>
      <c r="L130" s="191">
        <v>1</v>
      </c>
      <c r="M130" s="168">
        <v>14.67</v>
      </c>
      <c r="N130" s="234">
        <v>20000</v>
      </c>
    </row>
    <row r="131" spans="3:14" ht="16.5">
      <c r="C131" s="11" t="str">
        <f t="shared" si="21"/>
        <v>浙江农资集团投资发展有限公司</v>
      </c>
      <c r="D131" s="11">
        <f t="shared" si="22"/>
        <v>17.05</v>
      </c>
      <c r="E131" s="11">
        <f t="shared" si="23"/>
        <v>2</v>
      </c>
      <c r="F131" s="11" t="str">
        <f t="shared" si="24"/>
        <v/>
      </c>
      <c r="G131" s="337" t="str">
        <f t="shared" si="20"/>
        <v/>
      </c>
      <c r="H131" s="11" t="str">
        <f t="shared" si="25"/>
        <v/>
      </c>
      <c r="J131" s="338"/>
      <c r="K131" s="192" t="s">
        <v>1648</v>
      </c>
      <c r="L131" s="191">
        <v>1</v>
      </c>
      <c r="M131" s="168">
        <v>17.05</v>
      </c>
      <c r="N131" s="234">
        <v>20000</v>
      </c>
    </row>
    <row r="132" spans="3:14">
      <c r="C132" s="11" t="str">
        <f t="shared" si="21"/>
        <v/>
      </c>
      <c r="D132" s="11">
        <f t="shared" si="22"/>
        <v>16.8</v>
      </c>
      <c r="E132" s="11">
        <f t="shared" si="23"/>
        <v>2</v>
      </c>
      <c r="F132" s="11" t="str">
        <f t="shared" si="24"/>
        <v/>
      </c>
      <c r="G132" s="337" t="str">
        <f t="shared" si="20"/>
        <v/>
      </c>
      <c r="H132" s="11" t="str">
        <f t="shared" si="25"/>
        <v/>
      </c>
      <c r="J132" s="191">
        <v>22</v>
      </c>
      <c r="K132" s="192"/>
      <c r="L132" s="191">
        <v>2</v>
      </c>
      <c r="M132" s="168">
        <v>16.8</v>
      </c>
      <c r="N132" s="234">
        <v>20000</v>
      </c>
    </row>
    <row r="133" spans="3:14">
      <c r="C133" s="11" t="str">
        <f t="shared" si="21"/>
        <v/>
      </c>
      <c r="D133" s="11">
        <f t="shared" si="22"/>
        <v>16.5</v>
      </c>
      <c r="E133" s="11">
        <f t="shared" si="23"/>
        <v>2</v>
      </c>
      <c r="F133" s="11" t="str">
        <f t="shared" si="24"/>
        <v/>
      </c>
      <c r="G133" s="337" t="str">
        <f t="shared" si="20"/>
        <v/>
      </c>
      <c r="H133" s="11" t="str">
        <f t="shared" si="25"/>
        <v/>
      </c>
      <c r="J133" s="64"/>
      <c r="K133" s="192"/>
      <c r="L133" s="191">
        <v>3</v>
      </c>
      <c r="M133" s="168">
        <v>16.5</v>
      </c>
      <c r="N133" s="234">
        <v>20000</v>
      </c>
    </row>
    <row r="134" spans="3:14">
      <c r="C134" s="11" t="str">
        <f t="shared" si="21"/>
        <v>广东温氏投资有限公司</v>
      </c>
      <c r="D134" s="11">
        <f t="shared" si="22"/>
        <v>16.5</v>
      </c>
      <c r="E134" s="11">
        <f t="shared" si="23"/>
        <v>4</v>
      </c>
      <c r="F134" s="11" t="str">
        <f t="shared" si="24"/>
        <v/>
      </c>
      <c r="G134" s="337" t="str">
        <f t="shared" si="20"/>
        <v/>
      </c>
      <c r="H134" s="11" t="str">
        <f t="shared" si="25"/>
        <v/>
      </c>
      <c r="J134" s="191">
        <v>23</v>
      </c>
      <c r="K134" s="192" t="s">
        <v>140</v>
      </c>
      <c r="L134" s="191">
        <v>1</v>
      </c>
      <c r="M134" s="168">
        <v>16.5</v>
      </c>
      <c r="N134" s="234">
        <v>40000</v>
      </c>
    </row>
    <row r="135" spans="3:14">
      <c r="C135" s="11" t="str">
        <f t="shared" si="21"/>
        <v>泰达宏利基金管理有限公司</v>
      </c>
      <c r="D135" s="11">
        <f t="shared" si="22"/>
        <v>17.28</v>
      </c>
      <c r="E135" s="11">
        <f t="shared" si="23"/>
        <v>2</v>
      </c>
      <c r="F135" s="10">
        <f t="shared" si="24"/>
        <v>1165.5011</v>
      </c>
      <c r="G135" s="337">
        <f t="shared" si="20"/>
        <v>1.9999998875999998</v>
      </c>
      <c r="H135" s="11">
        <f t="shared" si="25"/>
        <v>12</v>
      </c>
      <c r="J135" s="296">
        <v>24</v>
      </c>
      <c r="K135" s="192" t="s">
        <v>148</v>
      </c>
      <c r="L135" s="191">
        <v>1</v>
      </c>
      <c r="M135" s="168">
        <v>17.28</v>
      </c>
      <c r="N135" s="234">
        <v>20000</v>
      </c>
    </row>
    <row r="136" spans="3:14">
      <c r="C136" s="11" t="str">
        <f t="shared" si="21"/>
        <v/>
      </c>
      <c r="D136" s="11">
        <f t="shared" si="22"/>
        <v>16.3</v>
      </c>
      <c r="E136" s="11">
        <f t="shared" si="23"/>
        <v>2.15</v>
      </c>
      <c r="F136" s="10" t="str">
        <f t="shared" si="24"/>
        <v/>
      </c>
      <c r="G136" s="337" t="str">
        <f t="shared" si="20"/>
        <v/>
      </c>
      <c r="H136" s="11" t="str">
        <f t="shared" si="25"/>
        <v/>
      </c>
      <c r="J136" s="296"/>
      <c r="K136" s="192"/>
      <c r="L136" s="191">
        <v>2</v>
      </c>
      <c r="M136" s="168">
        <v>16.3</v>
      </c>
      <c r="N136" s="234">
        <v>21500</v>
      </c>
    </row>
    <row r="137" spans="3:14">
      <c r="C137" s="11" t="str">
        <f t="shared" si="21"/>
        <v>财通基金管理有限公司</v>
      </c>
      <c r="D137" s="11">
        <f t="shared" si="22"/>
        <v>16.05</v>
      </c>
      <c r="E137" s="11">
        <f t="shared" si="23"/>
        <v>2.52</v>
      </c>
      <c r="F137" s="10" t="str">
        <f t="shared" si="24"/>
        <v/>
      </c>
      <c r="G137" s="337" t="str">
        <f t="shared" si="20"/>
        <v/>
      </c>
      <c r="H137" s="11" t="str">
        <f t="shared" si="25"/>
        <v/>
      </c>
      <c r="J137" s="296">
        <v>25</v>
      </c>
      <c r="K137" s="192" t="s">
        <v>115</v>
      </c>
      <c r="L137" s="191">
        <v>1</v>
      </c>
      <c r="M137" s="168">
        <v>16.05</v>
      </c>
      <c r="N137" s="234">
        <v>25200</v>
      </c>
    </row>
    <row r="138" spans="3:14">
      <c r="C138" s="11" t="str">
        <f t="shared" si="21"/>
        <v/>
      </c>
      <c r="D138" s="11">
        <f t="shared" si="22"/>
        <v>15.48</v>
      </c>
      <c r="E138" s="11">
        <f t="shared" si="23"/>
        <v>6</v>
      </c>
      <c r="F138" s="10" t="str">
        <f t="shared" si="24"/>
        <v/>
      </c>
      <c r="G138" s="337" t="str">
        <f t="shared" si="20"/>
        <v/>
      </c>
      <c r="H138" s="11" t="str">
        <f t="shared" si="25"/>
        <v/>
      </c>
      <c r="J138" s="296"/>
      <c r="K138" s="192"/>
      <c r="L138" s="191">
        <v>2</v>
      </c>
      <c r="M138" s="168">
        <v>15.48</v>
      </c>
      <c r="N138" s="234">
        <v>60000</v>
      </c>
    </row>
    <row r="139" spans="3:14">
      <c r="C139" s="11" t="str">
        <f t="shared" si="21"/>
        <v>宁波博翎股权投资合伙企业（有限合伙）</v>
      </c>
      <c r="D139" s="11">
        <f t="shared" si="22"/>
        <v>16</v>
      </c>
      <c r="E139" s="11">
        <f t="shared" si="23"/>
        <v>2.0099999999999998</v>
      </c>
      <c r="F139" s="10" t="str">
        <f t="shared" si="24"/>
        <v/>
      </c>
      <c r="G139" s="337" t="str">
        <f t="shared" si="20"/>
        <v/>
      </c>
      <c r="H139" s="11" t="str">
        <f t="shared" si="25"/>
        <v/>
      </c>
      <c r="J139" s="191">
        <v>26</v>
      </c>
      <c r="K139" s="192" t="s">
        <v>1647</v>
      </c>
      <c r="L139" s="191">
        <v>1</v>
      </c>
      <c r="M139" s="168">
        <v>16</v>
      </c>
      <c r="N139" s="234">
        <v>20100</v>
      </c>
    </row>
    <row r="140" spans="3:14" ht="16.5">
      <c r="C140" s="11" t="str">
        <f t="shared" si="21"/>
        <v>北信瑞丰基金管理有限公司</v>
      </c>
      <c r="D140" s="11">
        <f t="shared" si="22"/>
        <v>17.28</v>
      </c>
      <c r="E140" s="11">
        <f t="shared" si="23"/>
        <v>2</v>
      </c>
      <c r="F140" s="10">
        <f t="shared" si="24"/>
        <v>1165.5011</v>
      </c>
      <c r="G140" s="337">
        <f t="shared" si="20"/>
        <v>1.9999998875999998</v>
      </c>
      <c r="H140" s="11">
        <f t="shared" si="25"/>
        <v>12</v>
      </c>
      <c r="J140" s="338"/>
      <c r="K140" s="192" t="s">
        <v>336</v>
      </c>
      <c r="L140" s="191">
        <v>1</v>
      </c>
      <c r="M140" s="168">
        <v>17.28</v>
      </c>
      <c r="N140" s="234">
        <v>20000</v>
      </c>
    </row>
    <row r="141" spans="3:14">
      <c r="C141" s="11" t="str">
        <f t="shared" si="21"/>
        <v/>
      </c>
      <c r="D141" s="11">
        <f t="shared" si="22"/>
        <v>16.3</v>
      </c>
      <c r="E141" s="11">
        <f t="shared" si="23"/>
        <v>2.77</v>
      </c>
      <c r="F141" s="10" t="str">
        <f t="shared" si="24"/>
        <v/>
      </c>
      <c r="G141" s="337" t="str">
        <f t="shared" si="20"/>
        <v/>
      </c>
      <c r="H141" s="11" t="str">
        <f t="shared" si="25"/>
        <v/>
      </c>
      <c r="J141" s="191">
        <v>27</v>
      </c>
      <c r="K141" s="192"/>
      <c r="L141" s="191">
        <v>2</v>
      </c>
      <c r="M141" s="168">
        <v>16.3</v>
      </c>
      <c r="N141" s="234">
        <v>27700</v>
      </c>
    </row>
    <row r="142" spans="3:14">
      <c r="C142" s="11" t="str">
        <f t="shared" si="21"/>
        <v/>
      </c>
      <c r="D142" s="11">
        <f t="shared" si="22"/>
        <v>15.98</v>
      </c>
      <c r="E142" s="11">
        <f t="shared" si="23"/>
        <v>4.92</v>
      </c>
      <c r="F142" s="10" t="str">
        <f t="shared" si="24"/>
        <v/>
      </c>
      <c r="G142" s="337" t="str">
        <f t="shared" si="20"/>
        <v/>
      </c>
      <c r="H142" s="11" t="str">
        <f t="shared" si="25"/>
        <v/>
      </c>
      <c r="J142" s="64"/>
      <c r="K142" s="192"/>
      <c r="L142" s="191">
        <v>3</v>
      </c>
      <c r="M142" s="168">
        <v>15.98</v>
      </c>
      <c r="N142" s="234">
        <v>49200</v>
      </c>
    </row>
    <row r="143" spans="3:14">
      <c r="C143" s="11" t="str">
        <f t="shared" si="21"/>
        <v>芜湖市晨优商贸有限公司</v>
      </c>
      <c r="D143" s="11">
        <f t="shared" si="22"/>
        <v>17.010000000000002</v>
      </c>
      <c r="E143" s="11">
        <f t="shared" si="23"/>
        <v>2</v>
      </c>
      <c r="F143" s="10" t="str">
        <f t="shared" si="24"/>
        <v/>
      </c>
      <c r="G143" s="337" t="str">
        <f t="shared" si="20"/>
        <v/>
      </c>
      <c r="H143" s="11" t="str">
        <f t="shared" si="25"/>
        <v/>
      </c>
      <c r="J143" s="191">
        <v>28</v>
      </c>
      <c r="K143" s="192" t="s">
        <v>1646</v>
      </c>
      <c r="L143" s="191">
        <v>1</v>
      </c>
      <c r="M143" s="168">
        <v>17.010000000000002</v>
      </c>
      <c r="N143" s="234">
        <v>20000</v>
      </c>
    </row>
    <row r="144" spans="3:14">
      <c r="C144" s="11" t="str">
        <f t="shared" si="21"/>
        <v>安信基金管理有限责任公司</v>
      </c>
      <c r="D144" s="11">
        <f t="shared" si="22"/>
        <v>18.98</v>
      </c>
      <c r="E144" s="11">
        <f t="shared" si="23"/>
        <v>2.4</v>
      </c>
      <c r="F144" s="10">
        <f t="shared" si="24"/>
        <v>1398.6013</v>
      </c>
      <c r="G144" s="337">
        <f t="shared" si="20"/>
        <v>2.3999998308000001</v>
      </c>
      <c r="H144" s="11">
        <f t="shared" si="25"/>
        <v>12</v>
      </c>
      <c r="J144" s="191">
        <v>29</v>
      </c>
      <c r="K144" s="192" t="s">
        <v>371</v>
      </c>
      <c r="L144" s="191">
        <v>1</v>
      </c>
      <c r="M144" s="168">
        <v>18.98</v>
      </c>
      <c r="N144" s="234">
        <v>24000</v>
      </c>
    </row>
    <row r="145" spans="1:18">
      <c r="C145" s="11" t="str">
        <f t="shared" si="21"/>
        <v>上海市北高新股份有限公司</v>
      </c>
      <c r="D145" s="11">
        <f t="shared" si="22"/>
        <v>15.88</v>
      </c>
      <c r="E145" s="11">
        <f t="shared" si="23"/>
        <v>2</v>
      </c>
      <c r="F145" s="10" t="str">
        <f t="shared" si="24"/>
        <v/>
      </c>
      <c r="G145" s="337" t="str">
        <f t="shared" si="20"/>
        <v/>
      </c>
      <c r="H145" s="11" t="str">
        <f t="shared" si="25"/>
        <v/>
      </c>
      <c r="J145" s="191">
        <v>30</v>
      </c>
      <c r="K145" s="192" t="s">
        <v>1645</v>
      </c>
      <c r="L145" s="191">
        <v>1</v>
      </c>
      <c r="M145" s="168">
        <v>15.88</v>
      </c>
      <c r="N145" s="234">
        <v>20000</v>
      </c>
    </row>
    <row r="146" spans="1:18">
      <c r="C146" s="11" t="str">
        <f t="shared" si="21"/>
        <v>贵诚汇鑫股权投资有限公司</v>
      </c>
      <c r="D146" s="11">
        <f t="shared" si="22"/>
        <v>17.02</v>
      </c>
      <c r="E146" s="11">
        <f t="shared" si="23"/>
        <v>2</v>
      </c>
      <c r="F146" s="10" t="str">
        <f t="shared" si="24"/>
        <v/>
      </c>
      <c r="G146" s="337" t="str">
        <f t="shared" si="20"/>
        <v/>
      </c>
      <c r="H146" s="11" t="str">
        <f t="shared" si="25"/>
        <v/>
      </c>
      <c r="J146" s="191">
        <v>31</v>
      </c>
      <c r="K146" s="192" t="s">
        <v>1644</v>
      </c>
      <c r="L146" s="191">
        <v>1</v>
      </c>
      <c r="M146" s="168">
        <v>17.02</v>
      </c>
      <c r="N146" s="234">
        <v>20000</v>
      </c>
    </row>
    <row r="147" spans="1:18">
      <c r="C147" s="16" t="s">
        <v>1643</v>
      </c>
      <c r="D147" s="1686" t="str">
        <f>IFERROR(VLOOKUP(C147,Q$98:T$105,3,FALSE)/10000,"")</f>
        <v/>
      </c>
      <c r="E147" s="1687"/>
      <c r="F147" s="1687"/>
      <c r="G147" s="1687"/>
      <c r="H147" s="1688"/>
    </row>
    <row r="148" spans="1:18">
      <c r="C148" s="11" t="str">
        <f>Q98</f>
        <v>浙报传媒控股集团有限公司</v>
      </c>
      <c r="D148" s="11"/>
      <c r="E148" s="11"/>
      <c r="F148" s="10">
        <f>IFERROR(VLOOKUP(C148,Q$98:T$105,3,FALSE)/10000,"")</f>
        <v>1165.5011999999999</v>
      </c>
      <c r="G148" s="337">
        <f>IFERROR(F148*J$95/10000,"")</f>
        <v>2.0000000592</v>
      </c>
      <c r="H148" s="11">
        <f>IFERROR(VLOOKUP(C148,Q$98:T$105,2,FALSE),"")</f>
        <v>36</v>
      </c>
    </row>
    <row r="152" spans="1:18" s="162" customFormat="1">
      <c r="A152" s="164" t="s">
        <v>1315</v>
      </c>
      <c r="B152" s="164"/>
      <c r="C152" s="164" t="s">
        <v>107</v>
      </c>
      <c r="D152" s="164" t="s">
        <v>4</v>
      </c>
      <c r="E152" s="166" t="s">
        <v>108</v>
      </c>
      <c r="F152" s="166" t="s">
        <v>109</v>
      </c>
      <c r="G152" s="164" t="s">
        <v>1314</v>
      </c>
      <c r="H152" s="164" t="s">
        <v>1313</v>
      </c>
      <c r="I152" s="165" t="s">
        <v>1312</v>
      </c>
      <c r="J152" s="163" t="s">
        <v>1311</v>
      </c>
      <c r="K152" s="163" t="s">
        <v>110</v>
      </c>
      <c r="L152" s="163" t="s">
        <v>1310</v>
      </c>
      <c r="M152" s="164" t="s">
        <v>111</v>
      </c>
      <c r="N152" s="163" t="s">
        <v>949</v>
      </c>
      <c r="O152" s="163" t="s">
        <v>948</v>
      </c>
      <c r="P152" s="163" t="s">
        <v>129</v>
      </c>
    </row>
    <row r="153" spans="1:18">
      <c r="A153" s="24">
        <v>292</v>
      </c>
      <c r="B153" s="329" t="s">
        <v>1642</v>
      </c>
      <c r="C153" s="1" t="s">
        <v>1641</v>
      </c>
      <c r="D153" s="1" t="s">
        <v>1640</v>
      </c>
      <c r="E153" s="3">
        <v>13</v>
      </c>
      <c r="F153" s="3">
        <v>7.7149799999999997</v>
      </c>
      <c r="G153" s="2">
        <v>42698</v>
      </c>
      <c r="H153" s="24" t="s">
        <v>151</v>
      </c>
      <c r="I153" s="130">
        <v>22.88</v>
      </c>
      <c r="J153" s="3">
        <v>21.98</v>
      </c>
      <c r="K153" s="160">
        <v>21.98</v>
      </c>
      <c r="L153" s="271">
        <v>0.96066433566433573</v>
      </c>
      <c r="M153" s="270">
        <v>5</v>
      </c>
      <c r="N153" s="2">
        <v>43087</v>
      </c>
      <c r="O153" s="24">
        <v>13.19</v>
      </c>
      <c r="P153" s="157">
        <v>0.600090991810737</v>
      </c>
    </row>
    <row r="154" spans="1:18">
      <c r="C154" s="16" t="s">
        <v>112</v>
      </c>
      <c r="D154" s="16" t="s">
        <v>113</v>
      </c>
      <c r="E154" s="16" t="s">
        <v>1305</v>
      </c>
      <c r="F154" s="17" t="s">
        <v>1304</v>
      </c>
      <c r="G154" s="16" t="s">
        <v>1303</v>
      </c>
      <c r="H154" s="16" t="s">
        <v>1639</v>
      </c>
      <c r="J154" s="85" t="s">
        <v>118</v>
      </c>
      <c r="K154" s="85" t="s">
        <v>7</v>
      </c>
      <c r="L154" s="225" t="s">
        <v>488</v>
      </c>
      <c r="M154" s="225" t="s">
        <v>1638</v>
      </c>
      <c r="O154" s="204" t="s">
        <v>118</v>
      </c>
      <c r="P154" s="204" t="s">
        <v>7</v>
      </c>
      <c r="Q154" s="192"/>
      <c r="R154" s="204" t="s">
        <v>1318</v>
      </c>
    </row>
    <row r="155" spans="1:18">
      <c r="C155" s="11" t="str">
        <f t="shared" ref="C155:C164" si="26">IF(K155=0,"",K155)</f>
        <v>刘晓东</v>
      </c>
      <c r="D155" s="11" t="str">
        <f t="shared" ref="D155:D162" si="27">L155</f>
        <v>-</v>
      </c>
      <c r="E155" s="11"/>
      <c r="F155" s="11">
        <f t="shared" ref="F155:F162" si="28">IFERROR(VLOOKUP(C155,P$155:R$159,2,FALSE)/10000,"")</f>
        <v>600</v>
      </c>
      <c r="G155" s="10">
        <f t="shared" ref="G155:G162" si="29">IFERROR(F155*J$153/10000,"")</f>
        <v>1.3188</v>
      </c>
      <c r="H155" s="11">
        <v>36</v>
      </c>
      <c r="J155" s="272">
        <v>1</v>
      </c>
      <c r="K155" s="204" t="s">
        <v>1637</v>
      </c>
      <c r="L155" s="190" t="s">
        <v>294</v>
      </c>
      <c r="M155" s="236">
        <v>6000000</v>
      </c>
      <c r="O155" s="168">
        <v>1</v>
      </c>
      <c r="P155" s="204" t="s">
        <v>1637</v>
      </c>
      <c r="Q155" s="236">
        <v>6000000</v>
      </c>
      <c r="R155" s="234">
        <v>131880000</v>
      </c>
    </row>
    <row r="156" spans="1:18">
      <c r="C156" s="11" t="str">
        <f t="shared" si="26"/>
        <v>博时基金管理有限公司</v>
      </c>
      <c r="D156" s="11">
        <f t="shared" si="27"/>
        <v>22.1</v>
      </c>
      <c r="E156" s="10">
        <f t="shared" ref="E156:E162" si="30">D156*M156/100000000</f>
        <v>2.4531000000000005</v>
      </c>
      <c r="F156" s="11">
        <f t="shared" si="28"/>
        <v>1120</v>
      </c>
      <c r="G156" s="10">
        <f t="shared" si="29"/>
        <v>2.4617600000000004</v>
      </c>
      <c r="H156" s="11">
        <v>12</v>
      </c>
      <c r="J156" s="336">
        <v>2</v>
      </c>
      <c r="K156" s="203" t="s">
        <v>173</v>
      </c>
      <c r="L156" s="190">
        <v>22.1</v>
      </c>
      <c r="M156" s="236">
        <v>11100000</v>
      </c>
      <c r="O156" s="168">
        <v>2</v>
      </c>
      <c r="P156" s="204" t="s">
        <v>361</v>
      </c>
      <c r="Q156" s="236">
        <v>5900000</v>
      </c>
      <c r="R156" s="234">
        <v>129682000</v>
      </c>
    </row>
    <row r="157" spans="1:18">
      <c r="C157" s="11" t="str">
        <f t="shared" si="26"/>
        <v/>
      </c>
      <c r="D157" s="11">
        <f t="shared" si="27"/>
        <v>21.98</v>
      </c>
      <c r="E157" s="10">
        <f t="shared" si="30"/>
        <v>2.4617599999999999</v>
      </c>
      <c r="F157" s="11" t="str">
        <f t="shared" si="28"/>
        <v/>
      </c>
      <c r="G157" s="10" t="str">
        <f t="shared" si="29"/>
        <v/>
      </c>
      <c r="H157" s="11"/>
      <c r="J157" s="336"/>
      <c r="K157" s="25"/>
      <c r="L157" s="190">
        <v>21.98</v>
      </c>
      <c r="M157" s="236">
        <v>11200000</v>
      </c>
      <c r="O157" s="168">
        <v>3</v>
      </c>
      <c r="P157" s="203" t="s">
        <v>173</v>
      </c>
      <c r="Q157" s="193">
        <v>11200000</v>
      </c>
      <c r="R157" s="189">
        <v>246176000</v>
      </c>
    </row>
    <row r="158" spans="1:18">
      <c r="C158" s="11" t="str">
        <f t="shared" si="26"/>
        <v>长信基金管理有限责任公司</v>
      </c>
      <c r="D158" s="11">
        <f t="shared" si="27"/>
        <v>22.05</v>
      </c>
      <c r="E158" s="10">
        <f t="shared" si="30"/>
        <v>1.3009500000000001</v>
      </c>
      <c r="F158" s="11">
        <f t="shared" si="28"/>
        <v>590</v>
      </c>
      <c r="G158" s="10">
        <f t="shared" si="29"/>
        <v>1.2968200000000001</v>
      </c>
      <c r="H158" s="11">
        <v>12</v>
      </c>
      <c r="J158" s="272">
        <v>3</v>
      </c>
      <c r="K158" s="203" t="s">
        <v>361</v>
      </c>
      <c r="L158" s="190">
        <v>22.05</v>
      </c>
      <c r="M158" s="236">
        <v>5900000</v>
      </c>
      <c r="O158" s="168">
        <v>4</v>
      </c>
      <c r="P158" s="204" t="s">
        <v>1636</v>
      </c>
      <c r="Q158" s="236">
        <v>6000000</v>
      </c>
      <c r="R158" s="234">
        <v>131880000</v>
      </c>
    </row>
    <row r="159" spans="1:18">
      <c r="C159" s="11" t="str">
        <f t="shared" si="26"/>
        <v/>
      </c>
      <c r="D159" s="11">
        <f t="shared" si="27"/>
        <v>22</v>
      </c>
      <c r="E159" s="10">
        <f t="shared" si="30"/>
        <v>1.298</v>
      </c>
      <c r="F159" s="11" t="str">
        <f t="shared" si="28"/>
        <v/>
      </c>
      <c r="G159" s="10" t="str">
        <f t="shared" si="29"/>
        <v/>
      </c>
      <c r="H159" s="11"/>
      <c r="J159" s="25"/>
      <c r="K159" s="25"/>
      <c r="L159" s="190">
        <v>22</v>
      </c>
      <c r="M159" s="236">
        <v>5900000</v>
      </c>
      <c r="O159" s="168">
        <v>5</v>
      </c>
      <c r="P159" s="204" t="s">
        <v>1635</v>
      </c>
      <c r="Q159" s="236">
        <v>6000000</v>
      </c>
      <c r="R159" s="234">
        <v>131880000</v>
      </c>
    </row>
    <row r="160" spans="1:18">
      <c r="C160" s="11" t="str">
        <f t="shared" si="26"/>
        <v/>
      </c>
      <c r="D160" s="11">
        <f t="shared" si="27"/>
        <v>21.98</v>
      </c>
      <c r="E160" s="10">
        <f t="shared" si="30"/>
        <v>1.2968200000000001</v>
      </c>
      <c r="F160" s="11" t="str">
        <f t="shared" si="28"/>
        <v/>
      </c>
      <c r="G160" s="10" t="str">
        <f t="shared" si="29"/>
        <v/>
      </c>
      <c r="H160" s="11"/>
      <c r="J160" s="64"/>
      <c r="K160" s="64"/>
      <c r="L160" s="190">
        <v>21.98</v>
      </c>
      <c r="M160" s="236">
        <v>5900000</v>
      </c>
    </row>
    <row r="161" spans="1:20">
      <c r="C161" s="11" t="str">
        <f t="shared" si="26"/>
        <v>寇光智</v>
      </c>
      <c r="D161" s="11">
        <f t="shared" si="27"/>
        <v>21.98</v>
      </c>
      <c r="E161" s="10">
        <f t="shared" si="30"/>
        <v>1.3188</v>
      </c>
      <c r="F161" s="11">
        <f t="shared" si="28"/>
        <v>600</v>
      </c>
      <c r="G161" s="10">
        <f t="shared" si="29"/>
        <v>1.3188</v>
      </c>
      <c r="H161" s="11">
        <v>12</v>
      </c>
      <c r="J161" s="272">
        <v>4</v>
      </c>
      <c r="K161" s="204" t="s">
        <v>1636</v>
      </c>
      <c r="L161" s="190">
        <v>21.98</v>
      </c>
      <c r="M161" s="236">
        <v>6000000</v>
      </c>
    </row>
    <row r="162" spans="1:20">
      <c r="C162" s="11" t="str">
        <f t="shared" si="26"/>
        <v>杨洪</v>
      </c>
      <c r="D162" s="11">
        <f t="shared" si="27"/>
        <v>21.98</v>
      </c>
      <c r="E162" s="10">
        <f t="shared" si="30"/>
        <v>1.3188</v>
      </c>
      <c r="F162" s="11">
        <f t="shared" si="28"/>
        <v>600</v>
      </c>
      <c r="G162" s="10">
        <f t="shared" si="29"/>
        <v>1.3188</v>
      </c>
      <c r="H162" s="11">
        <v>12</v>
      </c>
      <c r="J162" s="272">
        <v>5</v>
      </c>
      <c r="K162" s="204" t="s">
        <v>1635</v>
      </c>
      <c r="L162" s="190">
        <v>21.98</v>
      </c>
      <c r="M162" s="236">
        <v>6000000</v>
      </c>
    </row>
    <row r="163" spans="1:20">
      <c r="C163" s="24" t="str">
        <f t="shared" si="26"/>
        <v/>
      </c>
    </row>
    <row r="164" spans="1:20">
      <c r="C164" s="24" t="str">
        <f t="shared" si="26"/>
        <v/>
      </c>
    </row>
    <row r="165" spans="1:20">
      <c r="G165" s="5"/>
    </row>
    <row r="166" spans="1:20" s="162" customFormat="1">
      <c r="A166" s="164" t="s">
        <v>1315</v>
      </c>
      <c r="B166" s="164"/>
      <c r="C166" s="164" t="s">
        <v>107</v>
      </c>
      <c r="D166" s="164" t="s">
        <v>4</v>
      </c>
      <c r="E166" s="166" t="s">
        <v>108</v>
      </c>
      <c r="F166" s="166" t="s">
        <v>109</v>
      </c>
      <c r="G166" s="164" t="s">
        <v>1314</v>
      </c>
      <c r="H166" s="164" t="s">
        <v>1313</v>
      </c>
      <c r="I166" s="165" t="s">
        <v>1312</v>
      </c>
      <c r="J166" s="163" t="s">
        <v>1311</v>
      </c>
      <c r="K166" s="163" t="s">
        <v>110</v>
      </c>
      <c r="L166" s="163" t="s">
        <v>1310</v>
      </c>
      <c r="M166" s="164" t="s">
        <v>111</v>
      </c>
      <c r="N166" s="163" t="s">
        <v>949</v>
      </c>
      <c r="O166" s="163" t="s">
        <v>948</v>
      </c>
      <c r="P166" s="163" t="s">
        <v>129</v>
      </c>
    </row>
    <row r="167" spans="1:20">
      <c r="A167" s="24">
        <v>293</v>
      </c>
      <c r="B167" s="329" t="s">
        <v>1634</v>
      </c>
      <c r="C167" s="1" t="s">
        <v>1633</v>
      </c>
      <c r="D167" s="1" t="s">
        <v>1632</v>
      </c>
      <c r="E167" s="3">
        <v>15.336773000000001</v>
      </c>
      <c r="F167" s="3">
        <v>15.33677295</v>
      </c>
      <c r="G167" s="2">
        <v>42710</v>
      </c>
      <c r="H167" s="24" t="s">
        <v>1546</v>
      </c>
      <c r="I167" s="130">
        <v>9.3000000000000007</v>
      </c>
      <c r="J167" s="3">
        <v>7.5</v>
      </c>
      <c r="K167" s="160">
        <v>3.96</v>
      </c>
      <c r="L167" s="271">
        <v>0.80645161290322576</v>
      </c>
      <c r="M167" s="270">
        <v>8</v>
      </c>
      <c r="N167" s="2">
        <v>43087</v>
      </c>
      <c r="O167" s="24">
        <v>6.62</v>
      </c>
      <c r="P167" s="157">
        <v>0.88933333333333331</v>
      </c>
    </row>
    <row r="168" spans="1:20" ht="14.5">
      <c r="C168" s="179" t="s">
        <v>112</v>
      </c>
      <c r="D168" s="179" t="s">
        <v>113</v>
      </c>
      <c r="E168" s="179" t="s">
        <v>1305</v>
      </c>
      <c r="F168" s="180" t="s">
        <v>1304</v>
      </c>
      <c r="G168" s="16" t="s">
        <v>1303</v>
      </c>
      <c r="H168" s="4"/>
      <c r="J168" s="335" t="s">
        <v>118</v>
      </c>
      <c r="K168" s="335" t="s">
        <v>296</v>
      </c>
      <c r="L168" s="334" t="s">
        <v>488</v>
      </c>
      <c r="M168" s="334" t="s">
        <v>1568</v>
      </c>
      <c r="N168" s="334" t="s">
        <v>1619</v>
      </c>
      <c r="P168" s="196" t="s">
        <v>118</v>
      </c>
      <c r="Q168" s="196" t="s">
        <v>296</v>
      </c>
      <c r="R168" s="225" t="s">
        <v>1631</v>
      </c>
      <c r="S168" s="225" t="s">
        <v>1630</v>
      </c>
      <c r="T168" s="225" t="s">
        <v>1629</v>
      </c>
    </row>
    <row r="169" spans="1:20">
      <c r="C169" s="11" t="str">
        <f t="shared" ref="C169:C207" si="31">IF(K169=0,"",K169)</f>
        <v>李锋</v>
      </c>
      <c r="D169" s="11">
        <f t="shared" ref="D169:D206" si="32">L169</f>
        <v>7</v>
      </c>
      <c r="E169" s="10">
        <f t="shared" ref="E169:E206" si="33">N169/10000</f>
        <v>1.5994999999999999</v>
      </c>
      <c r="F169" s="11" t="str">
        <f t="shared" ref="F169:F206" si="34">IFERROR(VLOOKUP(C169,Q$169:R$176,2,FALSE)/10000,"")</f>
        <v/>
      </c>
      <c r="G169" s="11"/>
      <c r="J169" s="168">
        <v>1</v>
      </c>
      <c r="K169" s="203" t="s">
        <v>1628</v>
      </c>
      <c r="L169" s="168">
        <v>7</v>
      </c>
      <c r="M169" s="234">
        <v>2285</v>
      </c>
      <c r="N169" s="234">
        <v>15995</v>
      </c>
      <c r="P169" s="168">
        <v>1</v>
      </c>
      <c r="Q169" s="203" t="s">
        <v>1627</v>
      </c>
      <c r="R169" s="167">
        <v>20640000</v>
      </c>
      <c r="S169" s="156"/>
      <c r="T169" s="234">
        <v>154800000</v>
      </c>
    </row>
    <row r="170" spans="1:20">
      <c r="C170" s="11" t="str">
        <f t="shared" si="31"/>
        <v/>
      </c>
      <c r="D170" s="11">
        <f t="shared" si="32"/>
        <v>6.8</v>
      </c>
      <c r="E170" s="10">
        <f t="shared" si="33"/>
        <v>1.5993600000000001</v>
      </c>
      <c r="F170" s="11" t="str">
        <f t="shared" si="34"/>
        <v/>
      </c>
      <c r="G170" s="11"/>
      <c r="J170" s="25"/>
      <c r="K170" s="25"/>
      <c r="L170" s="168">
        <v>6.8</v>
      </c>
      <c r="M170" s="234">
        <v>2352</v>
      </c>
      <c r="N170" s="234">
        <v>15993.6</v>
      </c>
      <c r="P170" s="168">
        <v>2</v>
      </c>
      <c r="Q170" s="203" t="s">
        <v>666</v>
      </c>
      <c r="R170" s="167">
        <v>20506266</v>
      </c>
      <c r="S170" s="156"/>
      <c r="T170" s="234">
        <v>153796995</v>
      </c>
    </row>
    <row r="171" spans="1:20">
      <c r="C171" s="11" t="str">
        <f t="shared" si="31"/>
        <v/>
      </c>
      <c r="D171" s="11">
        <f t="shared" si="32"/>
        <v>6.6</v>
      </c>
      <c r="E171" s="10">
        <f t="shared" si="33"/>
        <v>1.5998399999999999</v>
      </c>
      <c r="F171" s="11" t="str">
        <f t="shared" si="34"/>
        <v/>
      </c>
      <c r="G171" s="11"/>
      <c r="J171" s="64"/>
      <c r="K171" s="64"/>
      <c r="L171" s="168">
        <v>6.6</v>
      </c>
      <c r="M171" s="234">
        <v>2424</v>
      </c>
      <c r="N171" s="234">
        <v>15998.4</v>
      </c>
      <c r="P171" s="168">
        <v>3</v>
      </c>
      <c r="Q171" s="203" t="s">
        <v>115</v>
      </c>
      <c r="R171" s="167">
        <v>39382000</v>
      </c>
      <c r="S171" s="156"/>
      <c r="T171" s="234">
        <v>295365000</v>
      </c>
    </row>
    <row r="172" spans="1:20">
      <c r="C172" s="11" t="str">
        <f t="shared" si="31"/>
        <v>济源投资集团有限公司</v>
      </c>
      <c r="D172" s="11">
        <f t="shared" si="32"/>
        <v>9</v>
      </c>
      <c r="E172" s="10">
        <f t="shared" si="33"/>
        <v>1.548</v>
      </c>
      <c r="F172" s="10">
        <f t="shared" si="34"/>
        <v>2064</v>
      </c>
      <c r="G172" s="10">
        <f t="shared" ref="G172:G201" si="35">IFERROR(F172*J$167/10000,"")</f>
        <v>1.548</v>
      </c>
      <c r="J172" s="168">
        <v>2</v>
      </c>
      <c r="K172" s="203" t="s">
        <v>1627</v>
      </c>
      <c r="L172" s="168">
        <v>9</v>
      </c>
      <c r="M172" s="234">
        <v>1720</v>
      </c>
      <c r="N172" s="234">
        <v>15480</v>
      </c>
      <c r="P172" s="168">
        <v>4</v>
      </c>
      <c r="Q172" s="203" t="s">
        <v>146</v>
      </c>
      <c r="R172" s="167">
        <v>23692680</v>
      </c>
      <c r="S172" s="156"/>
      <c r="T172" s="234">
        <v>177695100</v>
      </c>
    </row>
    <row r="173" spans="1:20">
      <c r="C173" s="11" t="str">
        <f t="shared" si="31"/>
        <v>华夏人寿保险股份有限公司</v>
      </c>
      <c r="D173" s="11">
        <f t="shared" si="32"/>
        <v>6</v>
      </c>
      <c r="E173" s="10">
        <f t="shared" si="33"/>
        <v>1.5336773400000001</v>
      </c>
      <c r="F173" s="10" t="str">
        <f t="shared" si="34"/>
        <v/>
      </c>
      <c r="G173" s="10" t="str">
        <f t="shared" si="35"/>
        <v/>
      </c>
      <c r="J173" s="168">
        <v>3</v>
      </c>
      <c r="K173" s="203" t="s">
        <v>119</v>
      </c>
      <c r="L173" s="168">
        <v>6</v>
      </c>
      <c r="M173" s="234">
        <v>2556.1289000000002</v>
      </c>
      <c r="N173" s="234">
        <v>15336.7734</v>
      </c>
      <c r="P173" s="168">
        <v>5</v>
      </c>
      <c r="Q173" s="203" t="s">
        <v>300</v>
      </c>
      <c r="R173" s="167">
        <v>22662800</v>
      </c>
      <c r="S173" s="149"/>
      <c r="T173" s="234">
        <v>169971000</v>
      </c>
    </row>
    <row r="174" spans="1:20">
      <c r="C174" s="11" t="str">
        <f t="shared" si="31"/>
        <v>池州市东方辰天贸易有限公司</v>
      </c>
      <c r="D174" s="11">
        <f t="shared" si="32"/>
        <v>7.28</v>
      </c>
      <c r="E174" s="10">
        <f t="shared" si="33"/>
        <v>1.55064</v>
      </c>
      <c r="F174" s="10" t="str">
        <f t="shared" si="34"/>
        <v/>
      </c>
      <c r="G174" s="10" t="str">
        <f t="shared" si="35"/>
        <v/>
      </c>
      <c r="J174" s="168">
        <v>4</v>
      </c>
      <c r="K174" s="203" t="s">
        <v>1626</v>
      </c>
      <c r="L174" s="168">
        <v>7.28</v>
      </c>
      <c r="M174" s="234">
        <v>2130</v>
      </c>
      <c r="N174" s="234">
        <v>15506.4</v>
      </c>
      <c r="P174" s="168">
        <v>6</v>
      </c>
      <c r="Q174" s="203" t="s">
        <v>523</v>
      </c>
      <c r="R174" s="167">
        <v>20449332</v>
      </c>
      <c r="S174" s="191">
        <v>7.5</v>
      </c>
      <c r="T174" s="234">
        <v>153369990</v>
      </c>
    </row>
    <row r="175" spans="1:20">
      <c r="C175" s="11" t="str">
        <f t="shared" si="31"/>
        <v/>
      </c>
      <c r="D175" s="11">
        <f t="shared" si="32"/>
        <v>7.08</v>
      </c>
      <c r="E175" s="10">
        <f t="shared" si="33"/>
        <v>1.57884</v>
      </c>
      <c r="F175" s="10" t="str">
        <f t="shared" si="34"/>
        <v/>
      </c>
      <c r="G175" s="10" t="str">
        <f t="shared" si="35"/>
        <v/>
      </c>
      <c r="J175" s="25"/>
      <c r="K175" s="25"/>
      <c r="L175" s="168">
        <v>7.08</v>
      </c>
      <c r="M175" s="234">
        <v>2230</v>
      </c>
      <c r="N175" s="234">
        <v>15788.4</v>
      </c>
      <c r="P175" s="168">
        <v>7</v>
      </c>
      <c r="Q175" s="203" t="s">
        <v>127</v>
      </c>
      <c r="R175" s="167">
        <v>39999920</v>
      </c>
      <c r="S175" s="64"/>
      <c r="T175" s="234">
        <v>299999400</v>
      </c>
    </row>
    <row r="176" spans="1:20">
      <c r="C176" s="11" t="str">
        <f t="shared" si="31"/>
        <v/>
      </c>
      <c r="D176" s="11">
        <f t="shared" si="32"/>
        <v>6.88</v>
      </c>
      <c r="E176" s="10">
        <f t="shared" si="33"/>
        <v>1.59616</v>
      </c>
      <c r="F176" s="10" t="str">
        <f t="shared" si="34"/>
        <v/>
      </c>
      <c r="G176" s="10" t="str">
        <f t="shared" si="35"/>
        <v/>
      </c>
      <c r="J176" s="64"/>
      <c r="K176" s="64"/>
      <c r="L176" s="168">
        <v>6.88</v>
      </c>
      <c r="M176" s="234">
        <v>2320</v>
      </c>
      <c r="N176" s="234">
        <v>15961.6</v>
      </c>
      <c r="P176" s="168">
        <v>8</v>
      </c>
      <c r="Q176" s="203" t="s">
        <v>311</v>
      </c>
      <c r="R176" s="167">
        <v>17157308</v>
      </c>
      <c r="S176" s="64"/>
      <c r="T176" s="234">
        <v>128679810</v>
      </c>
    </row>
    <row r="177" spans="3:20">
      <c r="C177" s="11" t="str">
        <f t="shared" si="31"/>
        <v>信诚基金管理有限公司</v>
      </c>
      <c r="D177" s="11">
        <f t="shared" si="32"/>
        <v>8.1</v>
      </c>
      <c r="E177" s="10">
        <f t="shared" si="33"/>
        <v>1.5973200000000001</v>
      </c>
      <c r="F177" s="10">
        <f t="shared" si="34"/>
        <v>2266.2800000000002</v>
      </c>
      <c r="G177" s="10">
        <f t="shared" si="35"/>
        <v>1.6997100000000003</v>
      </c>
      <c r="J177" s="168">
        <v>5</v>
      </c>
      <c r="K177" s="203" t="s">
        <v>300</v>
      </c>
      <c r="L177" s="168">
        <v>8.1</v>
      </c>
      <c r="M177" s="234">
        <v>1972</v>
      </c>
      <c r="N177" s="234">
        <v>15973.2</v>
      </c>
      <c r="P177" s="196" t="s">
        <v>1293</v>
      </c>
      <c r="Q177" s="196"/>
      <c r="R177" s="285">
        <v>204490306</v>
      </c>
      <c r="S177" s="64"/>
      <c r="T177" s="323">
        <v>1533677295</v>
      </c>
    </row>
    <row r="178" spans="3:20">
      <c r="C178" s="11" t="str">
        <f t="shared" si="31"/>
        <v/>
      </c>
      <c r="D178" s="11">
        <f t="shared" si="32"/>
        <v>7.95</v>
      </c>
      <c r="E178" s="10">
        <f t="shared" si="33"/>
        <v>1.6997099999999998</v>
      </c>
      <c r="F178" s="10" t="str">
        <f t="shared" si="34"/>
        <v/>
      </c>
      <c r="G178" s="10" t="str">
        <f t="shared" si="35"/>
        <v/>
      </c>
      <c r="J178" s="25"/>
      <c r="K178" s="25"/>
      <c r="L178" s="168">
        <v>7.95</v>
      </c>
      <c r="M178" s="234">
        <v>2138</v>
      </c>
      <c r="N178" s="234">
        <v>16997.099999999999</v>
      </c>
    </row>
    <row r="179" spans="3:20">
      <c r="C179" s="11" t="str">
        <f t="shared" si="31"/>
        <v>九泰基金管理有限公司</v>
      </c>
      <c r="D179" s="11">
        <f t="shared" si="32"/>
        <v>8.89</v>
      </c>
      <c r="E179" s="10">
        <f t="shared" si="33"/>
        <v>1.5379700000000001</v>
      </c>
      <c r="F179" s="10">
        <f t="shared" si="34"/>
        <v>2050.6266000000001</v>
      </c>
      <c r="G179" s="10">
        <f t="shared" si="35"/>
        <v>1.5379699500000001</v>
      </c>
      <c r="J179" s="168">
        <v>6</v>
      </c>
      <c r="K179" s="203" t="s">
        <v>666</v>
      </c>
      <c r="L179" s="168">
        <v>8.89</v>
      </c>
      <c r="M179" s="234">
        <v>1730</v>
      </c>
      <c r="N179" s="234">
        <v>15379.7</v>
      </c>
    </row>
    <row r="180" spans="3:20">
      <c r="C180" s="11" t="str">
        <f t="shared" si="31"/>
        <v/>
      </c>
      <c r="D180" s="11">
        <f t="shared" si="32"/>
        <v>6.95</v>
      </c>
      <c r="E180" s="10">
        <f t="shared" si="33"/>
        <v>1.8452249999999999</v>
      </c>
      <c r="F180" s="10" t="str">
        <f t="shared" si="34"/>
        <v/>
      </c>
      <c r="G180" s="10" t="str">
        <f t="shared" si="35"/>
        <v/>
      </c>
      <c r="J180" s="25"/>
      <c r="K180" s="25"/>
      <c r="L180" s="168">
        <v>6.95</v>
      </c>
      <c r="M180" s="234">
        <v>2655</v>
      </c>
      <c r="N180" s="234">
        <v>18452.25</v>
      </c>
    </row>
    <row r="181" spans="3:20">
      <c r="C181" s="11" t="str">
        <f t="shared" si="31"/>
        <v/>
      </c>
      <c r="D181" s="11">
        <f t="shared" si="32"/>
        <v>5.03</v>
      </c>
      <c r="E181" s="10">
        <f t="shared" si="33"/>
        <v>2.0617970000000003</v>
      </c>
      <c r="F181" s="10" t="str">
        <f t="shared" si="34"/>
        <v/>
      </c>
      <c r="G181" s="10" t="str">
        <f t="shared" si="35"/>
        <v/>
      </c>
      <c r="J181" s="64"/>
      <c r="K181" s="64"/>
      <c r="L181" s="168">
        <v>5.03</v>
      </c>
      <c r="M181" s="234">
        <v>4099</v>
      </c>
      <c r="N181" s="234">
        <v>20617.97</v>
      </c>
    </row>
    <row r="182" spans="3:20">
      <c r="C182" s="11" t="str">
        <f t="shared" si="31"/>
        <v>第一创业证券股份有限公司</v>
      </c>
      <c r="D182" s="11">
        <f t="shared" si="32"/>
        <v>8.02</v>
      </c>
      <c r="E182" s="10">
        <f t="shared" si="33"/>
        <v>1.59999</v>
      </c>
      <c r="F182" s="10">
        <f t="shared" si="34"/>
        <v>3999.9920000000002</v>
      </c>
      <c r="G182" s="10">
        <f t="shared" si="35"/>
        <v>2.999994</v>
      </c>
      <c r="J182" s="296">
        <v>7</v>
      </c>
      <c r="K182" s="203" t="s">
        <v>127</v>
      </c>
      <c r="L182" s="168">
        <v>8.02</v>
      </c>
      <c r="M182" s="234">
        <v>1995</v>
      </c>
      <c r="N182" s="234">
        <v>15999.9</v>
      </c>
    </row>
    <row r="183" spans="3:20">
      <c r="C183" s="11" t="str">
        <f t="shared" si="31"/>
        <v/>
      </c>
      <c r="D183" s="11">
        <f t="shared" si="32"/>
        <v>7.62</v>
      </c>
      <c r="E183" s="10">
        <f t="shared" si="33"/>
        <v>2.999994</v>
      </c>
      <c r="F183" s="10" t="str">
        <f t="shared" si="34"/>
        <v/>
      </c>
      <c r="G183" s="10" t="str">
        <f t="shared" si="35"/>
        <v/>
      </c>
      <c r="J183" s="296"/>
      <c r="K183" s="25"/>
      <c r="L183" s="168">
        <v>7.62</v>
      </c>
      <c r="M183" s="234">
        <v>3937</v>
      </c>
      <c r="N183" s="234">
        <v>29999.94</v>
      </c>
    </row>
    <row r="184" spans="3:20">
      <c r="C184" s="11" t="str">
        <f t="shared" si="31"/>
        <v>红土创新基金管理有限公司</v>
      </c>
      <c r="D184" s="11">
        <f t="shared" si="32"/>
        <v>7.2</v>
      </c>
      <c r="E184" s="10">
        <f t="shared" si="33"/>
        <v>1.548</v>
      </c>
      <c r="F184" s="10" t="str">
        <f t="shared" si="34"/>
        <v/>
      </c>
      <c r="G184" s="10" t="str">
        <f t="shared" si="35"/>
        <v/>
      </c>
      <c r="J184" s="168">
        <v>8</v>
      </c>
      <c r="K184" s="203" t="s">
        <v>1065</v>
      </c>
      <c r="L184" s="168">
        <v>7.2</v>
      </c>
      <c r="M184" s="234">
        <v>2150</v>
      </c>
      <c r="N184" s="234">
        <v>15480</v>
      </c>
    </row>
    <row r="185" spans="3:20">
      <c r="C185" s="11" t="str">
        <f t="shared" si="31"/>
        <v>民生通惠资产管理有限公司</v>
      </c>
      <c r="D185" s="11">
        <f t="shared" si="32"/>
        <v>7.02</v>
      </c>
      <c r="E185" s="10">
        <f t="shared" si="33"/>
        <v>1.5399999341999999</v>
      </c>
      <c r="F185" s="10" t="str">
        <f t="shared" si="34"/>
        <v/>
      </c>
      <c r="G185" s="10" t="str">
        <f t="shared" si="35"/>
        <v/>
      </c>
      <c r="J185" s="168">
        <v>9</v>
      </c>
      <c r="K185" s="203" t="s">
        <v>351</v>
      </c>
      <c r="L185" s="168">
        <v>7.02</v>
      </c>
      <c r="M185" s="234">
        <v>2193.7321000000002</v>
      </c>
      <c r="N185" s="234">
        <v>15399.999341999999</v>
      </c>
    </row>
    <row r="186" spans="3:20">
      <c r="C186" s="11" t="str">
        <f t="shared" si="31"/>
        <v/>
      </c>
      <c r="D186" s="11">
        <f t="shared" si="32"/>
        <v>6.56</v>
      </c>
      <c r="E186" s="10">
        <f t="shared" si="33"/>
        <v>1.9999998768</v>
      </c>
      <c r="F186" s="10" t="str">
        <f t="shared" si="34"/>
        <v/>
      </c>
      <c r="G186" s="10" t="str">
        <f t="shared" si="35"/>
        <v/>
      </c>
      <c r="J186" s="25"/>
      <c r="K186" s="25"/>
      <c r="L186" s="168">
        <v>6.56</v>
      </c>
      <c r="M186" s="234">
        <v>3048.7802999999999</v>
      </c>
      <c r="N186" s="234">
        <v>19999.998768000001</v>
      </c>
    </row>
    <row r="187" spans="3:20">
      <c r="C187" s="11" t="str">
        <f t="shared" si="31"/>
        <v/>
      </c>
      <c r="D187" s="11">
        <f t="shared" si="32"/>
        <v>6.08</v>
      </c>
      <c r="E187" s="10">
        <f t="shared" si="33"/>
        <v>2.4999999968000002</v>
      </c>
      <c r="F187" s="10" t="str">
        <f t="shared" si="34"/>
        <v/>
      </c>
      <c r="G187" s="10" t="str">
        <f t="shared" si="35"/>
        <v/>
      </c>
      <c r="J187" s="64"/>
      <c r="K187" s="64"/>
      <c r="L187" s="168">
        <v>6.08</v>
      </c>
      <c r="M187" s="234">
        <v>4111.8420999999998</v>
      </c>
      <c r="N187" s="234">
        <v>24999.999968</v>
      </c>
    </row>
    <row r="188" spans="3:20">
      <c r="C188" s="11" t="str">
        <f t="shared" si="31"/>
        <v>福建融盛伟业投资管理有限公司</v>
      </c>
      <c r="D188" s="11">
        <f t="shared" si="32"/>
        <v>6.26</v>
      </c>
      <c r="E188" s="10">
        <f t="shared" si="33"/>
        <v>2.9999999572</v>
      </c>
      <c r="F188" s="10" t="str">
        <f t="shared" si="34"/>
        <v/>
      </c>
      <c r="G188" s="10" t="str">
        <f t="shared" si="35"/>
        <v/>
      </c>
      <c r="J188" s="168">
        <v>10</v>
      </c>
      <c r="K188" s="203" t="s">
        <v>1625</v>
      </c>
      <c r="L188" s="168">
        <v>6.26</v>
      </c>
      <c r="M188" s="234">
        <v>4792.3321999999998</v>
      </c>
      <c r="N188" s="234">
        <v>29999.999572000001</v>
      </c>
    </row>
    <row r="189" spans="3:20">
      <c r="C189" s="11" t="str">
        <f t="shared" si="31"/>
        <v/>
      </c>
      <c r="D189" s="11">
        <f t="shared" si="32"/>
        <v>5.88</v>
      </c>
      <c r="E189" s="10">
        <f t="shared" si="33"/>
        <v>2.9999999904000001</v>
      </c>
      <c r="F189" s="10" t="str">
        <f t="shared" si="34"/>
        <v/>
      </c>
      <c r="G189" s="10" t="str">
        <f t="shared" si="35"/>
        <v/>
      </c>
      <c r="J189" s="25"/>
      <c r="K189" s="25"/>
      <c r="L189" s="168">
        <v>5.88</v>
      </c>
      <c r="M189" s="234">
        <v>5102.0407999999998</v>
      </c>
      <c r="N189" s="234">
        <v>29999.999904</v>
      </c>
    </row>
    <row r="190" spans="3:20">
      <c r="C190" s="11" t="str">
        <f t="shared" si="31"/>
        <v/>
      </c>
      <c r="D190" s="11">
        <f t="shared" si="32"/>
        <v>5.41</v>
      </c>
      <c r="E190" s="10">
        <f t="shared" si="33"/>
        <v>2.9999999964999997</v>
      </c>
      <c r="F190" s="10" t="str">
        <f t="shared" si="34"/>
        <v/>
      </c>
      <c r="G190" s="10" t="str">
        <f t="shared" si="35"/>
        <v/>
      </c>
      <c r="J190" s="64"/>
      <c r="K190" s="64"/>
      <c r="L190" s="168">
        <v>5.41</v>
      </c>
      <c r="M190" s="234">
        <v>5545.2865000000002</v>
      </c>
      <c r="N190" s="234">
        <v>29999.999964999999</v>
      </c>
    </row>
    <row r="191" spans="3:20">
      <c r="C191" s="11" t="str">
        <f t="shared" si="31"/>
        <v>东方证券股份有限公司</v>
      </c>
      <c r="D191" s="11">
        <f t="shared" si="32"/>
        <v>7.17</v>
      </c>
      <c r="E191" s="10">
        <f t="shared" si="33"/>
        <v>1.5336773400000001</v>
      </c>
      <c r="F191" s="10" t="str">
        <f t="shared" si="34"/>
        <v/>
      </c>
      <c r="G191" s="10" t="str">
        <f t="shared" si="35"/>
        <v/>
      </c>
      <c r="J191" s="168">
        <v>11</v>
      </c>
      <c r="K191" s="203" t="s">
        <v>1055</v>
      </c>
      <c r="L191" s="168">
        <v>7.17</v>
      </c>
      <c r="M191" s="234">
        <v>2139.02</v>
      </c>
      <c r="N191" s="234">
        <v>15336.7734</v>
      </c>
    </row>
    <row r="192" spans="3:20">
      <c r="C192" s="11" t="str">
        <f t="shared" si="31"/>
        <v>德盈润泰实业有限公司</v>
      </c>
      <c r="D192" s="11">
        <f t="shared" si="32"/>
        <v>7.91</v>
      </c>
      <c r="E192" s="10">
        <f t="shared" si="33"/>
        <v>1.5336999579999999</v>
      </c>
      <c r="F192" s="10">
        <f t="shared" si="34"/>
        <v>2044.9331999999999</v>
      </c>
      <c r="G192" s="10">
        <f t="shared" si="35"/>
        <v>1.5336999</v>
      </c>
      <c r="J192" s="168">
        <v>12</v>
      </c>
      <c r="K192" s="203" t="s">
        <v>523</v>
      </c>
      <c r="L192" s="168">
        <v>7.91</v>
      </c>
      <c r="M192" s="234">
        <v>1938.9380000000001</v>
      </c>
      <c r="N192" s="234">
        <v>15336.99958</v>
      </c>
    </row>
    <row r="193" spans="3:14">
      <c r="C193" s="11" t="str">
        <f t="shared" si="31"/>
        <v>申万菱信基金管理有限公司</v>
      </c>
      <c r="D193" s="11">
        <f t="shared" si="32"/>
        <v>7.38</v>
      </c>
      <c r="E193" s="10">
        <f t="shared" si="33"/>
        <v>1.5336820799999999</v>
      </c>
      <c r="F193" s="10" t="str">
        <f t="shared" si="34"/>
        <v/>
      </c>
      <c r="G193" s="10" t="str">
        <f t="shared" si="35"/>
        <v/>
      </c>
      <c r="J193" s="168">
        <v>13</v>
      </c>
      <c r="K193" s="203" t="s">
        <v>121</v>
      </c>
      <c r="L193" s="168">
        <v>7.38</v>
      </c>
      <c r="M193" s="234">
        <v>2078.16</v>
      </c>
      <c r="N193" s="234">
        <v>15336.8208</v>
      </c>
    </row>
    <row r="194" spans="3:14">
      <c r="C194" s="11" t="str">
        <f t="shared" si="31"/>
        <v>东海证券股份有限公司</v>
      </c>
      <c r="D194" s="11">
        <f t="shared" si="32"/>
        <v>6.51</v>
      </c>
      <c r="E194" s="10">
        <f t="shared" si="33"/>
        <v>1.5359998017000001</v>
      </c>
      <c r="F194" s="11" t="str">
        <f t="shared" si="34"/>
        <v/>
      </c>
      <c r="G194" s="10" t="str">
        <f t="shared" si="35"/>
        <v/>
      </c>
      <c r="J194" s="168">
        <v>14</v>
      </c>
      <c r="K194" s="203" t="s">
        <v>6</v>
      </c>
      <c r="L194" s="168">
        <v>6.51</v>
      </c>
      <c r="M194" s="234">
        <v>2359.4467</v>
      </c>
      <c r="N194" s="234">
        <v>15359.998017</v>
      </c>
    </row>
    <row r="195" spans="3:14">
      <c r="C195" s="11" t="str">
        <f t="shared" si="31"/>
        <v>平安大华基金管理有限公司</v>
      </c>
      <c r="D195" s="11">
        <f t="shared" si="32"/>
        <v>8.3699999999999992</v>
      </c>
      <c r="E195" s="10">
        <f t="shared" si="33"/>
        <v>1.7769509999999999</v>
      </c>
      <c r="F195" s="10">
        <f t="shared" si="34"/>
        <v>2369.268</v>
      </c>
      <c r="G195" s="10">
        <f t="shared" si="35"/>
        <v>1.7769510000000002</v>
      </c>
      <c r="J195" s="168">
        <v>15</v>
      </c>
      <c r="K195" s="203" t="s">
        <v>146</v>
      </c>
      <c r="L195" s="168">
        <v>8.3699999999999992</v>
      </c>
      <c r="M195" s="234">
        <v>2123</v>
      </c>
      <c r="N195" s="234">
        <v>17769.509999999998</v>
      </c>
    </row>
    <row r="196" spans="3:14">
      <c r="C196" s="11" t="str">
        <f t="shared" si="31"/>
        <v>财通基金管理有限公司</v>
      </c>
      <c r="D196" s="11">
        <f t="shared" si="32"/>
        <v>8.6999999999999993</v>
      </c>
      <c r="E196" s="10">
        <f t="shared" si="33"/>
        <v>2.9536500000000001</v>
      </c>
      <c r="F196" s="10">
        <f t="shared" si="34"/>
        <v>3938.2</v>
      </c>
      <c r="G196" s="10">
        <f t="shared" si="35"/>
        <v>2.9536500000000001</v>
      </c>
      <c r="J196" s="168">
        <v>16</v>
      </c>
      <c r="K196" s="203" t="s">
        <v>115</v>
      </c>
      <c r="L196" s="168">
        <v>8.6999999999999993</v>
      </c>
      <c r="M196" s="234">
        <v>3395</v>
      </c>
      <c r="N196" s="234">
        <v>29536.5</v>
      </c>
    </row>
    <row r="197" spans="3:14">
      <c r="C197" s="11" t="str">
        <f t="shared" si="31"/>
        <v>国华人寿保险股份有限公司</v>
      </c>
      <c r="D197" s="11">
        <f t="shared" si="32"/>
        <v>7.08</v>
      </c>
      <c r="E197" s="10">
        <f t="shared" si="33"/>
        <v>1.9993919999999998</v>
      </c>
      <c r="F197" s="10" t="str">
        <f t="shared" si="34"/>
        <v/>
      </c>
      <c r="G197" s="10" t="str">
        <f t="shared" si="35"/>
        <v/>
      </c>
      <c r="J197" s="168">
        <v>17</v>
      </c>
      <c r="K197" s="203" t="s">
        <v>320</v>
      </c>
      <c r="L197" s="168">
        <v>7.08</v>
      </c>
      <c r="M197" s="234">
        <v>2824</v>
      </c>
      <c r="N197" s="234">
        <v>19993.919999999998</v>
      </c>
    </row>
    <row r="198" spans="3:14">
      <c r="C198" s="11" t="str">
        <f t="shared" si="31"/>
        <v>广西铁路发展二期投资基金合伙企业（有限合伙）</v>
      </c>
      <c r="D198" s="11">
        <f t="shared" si="32"/>
        <v>7.04</v>
      </c>
      <c r="E198" s="10">
        <f t="shared" si="33"/>
        <v>1.534016</v>
      </c>
      <c r="F198" s="10" t="str">
        <f t="shared" si="34"/>
        <v/>
      </c>
      <c r="G198" s="10" t="str">
        <f t="shared" si="35"/>
        <v/>
      </c>
      <c r="J198" s="296">
        <v>18</v>
      </c>
      <c r="K198" s="203" t="s">
        <v>1624</v>
      </c>
      <c r="L198" s="296">
        <v>7.04</v>
      </c>
      <c r="M198" s="297">
        <v>2179</v>
      </c>
      <c r="N198" s="297">
        <v>15340.16</v>
      </c>
    </row>
    <row r="199" spans="3:14">
      <c r="C199" s="11" t="str">
        <f t="shared" si="31"/>
        <v/>
      </c>
      <c r="D199" s="11">
        <f t="shared" si="32"/>
        <v>6.32</v>
      </c>
      <c r="E199" s="10">
        <f t="shared" si="33"/>
        <v>1.5336773072000001</v>
      </c>
      <c r="F199" s="10" t="str">
        <f t="shared" si="34"/>
        <v/>
      </c>
      <c r="G199" s="10" t="str">
        <f t="shared" si="35"/>
        <v/>
      </c>
      <c r="J199" s="324"/>
      <c r="K199" s="333"/>
      <c r="L199" s="168">
        <v>6.32</v>
      </c>
      <c r="M199" s="234">
        <v>2426.7046</v>
      </c>
      <c r="N199" s="234">
        <v>15336.773072</v>
      </c>
    </row>
    <row r="200" spans="3:14">
      <c r="C200" s="11" t="str">
        <f t="shared" si="31"/>
        <v>诺安基金管理有限公司</v>
      </c>
      <c r="D200" s="11">
        <f t="shared" si="32"/>
        <v>6.31</v>
      </c>
      <c r="E200" s="10">
        <f t="shared" si="33"/>
        <v>1.931250589</v>
      </c>
      <c r="F200" s="10" t="str">
        <f t="shared" si="34"/>
        <v/>
      </c>
      <c r="G200" s="10" t="str">
        <f t="shared" si="35"/>
        <v/>
      </c>
      <c r="J200" s="168">
        <v>19</v>
      </c>
      <c r="K200" s="203" t="s">
        <v>147</v>
      </c>
      <c r="L200" s="168">
        <v>6.31</v>
      </c>
      <c r="M200" s="234">
        <v>3060.6190000000001</v>
      </c>
      <c r="N200" s="234">
        <v>19312.50589</v>
      </c>
    </row>
    <row r="201" spans="3:14">
      <c r="C201" s="11" t="str">
        <f t="shared" si="31"/>
        <v>南京瑞达信沨股权投资合伙企业（有限合伙）</v>
      </c>
      <c r="D201" s="11">
        <f t="shared" si="32"/>
        <v>7.5</v>
      </c>
      <c r="E201" s="10">
        <f t="shared" si="33"/>
        <v>1.599999975</v>
      </c>
      <c r="F201" s="10">
        <f t="shared" si="34"/>
        <v>1715.7308</v>
      </c>
      <c r="G201" s="10">
        <f t="shared" si="35"/>
        <v>1.2867980999999999</v>
      </c>
      <c r="J201" s="190">
        <v>20</v>
      </c>
      <c r="K201" s="203" t="s">
        <v>311</v>
      </c>
      <c r="L201" s="168">
        <v>7.5</v>
      </c>
      <c r="M201" s="234">
        <v>2133.3332999999998</v>
      </c>
      <c r="N201" s="234">
        <v>15999.999750000001</v>
      </c>
    </row>
    <row r="202" spans="3:14">
      <c r="C202" s="11" t="str">
        <f t="shared" si="31"/>
        <v>华泰资产管理有限公司</v>
      </c>
      <c r="D202" s="11">
        <f t="shared" si="32"/>
        <v>7.48</v>
      </c>
      <c r="E202" s="10">
        <f t="shared" si="33"/>
        <v>1.539999978</v>
      </c>
      <c r="F202" s="10" t="str">
        <f t="shared" si="34"/>
        <v/>
      </c>
      <c r="G202" s="11"/>
      <c r="J202" s="168">
        <v>21</v>
      </c>
      <c r="K202" s="203" t="s">
        <v>135</v>
      </c>
      <c r="L202" s="168">
        <v>7.48</v>
      </c>
      <c r="M202" s="234">
        <v>2058.8235</v>
      </c>
      <c r="N202" s="234">
        <v>15399.99978</v>
      </c>
    </row>
    <row r="203" spans="3:14">
      <c r="C203" s="11" t="str">
        <f t="shared" si="31"/>
        <v/>
      </c>
      <c r="D203" s="11">
        <f t="shared" si="32"/>
        <v>7.08</v>
      </c>
      <c r="E203" s="10">
        <f t="shared" si="33"/>
        <v>2.0199998267999999</v>
      </c>
      <c r="F203" s="11" t="str">
        <f t="shared" si="34"/>
        <v/>
      </c>
      <c r="G203" s="11"/>
      <c r="J203" s="25"/>
      <c r="K203" s="25"/>
      <c r="L203" s="168">
        <v>7.08</v>
      </c>
      <c r="M203" s="234">
        <v>2853.1071000000002</v>
      </c>
      <c r="N203" s="234">
        <v>20199.998267999999</v>
      </c>
    </row>
    <row r="204" spans="3:14">
      <c r="C204" s="11" t="str">
        <f t="shared" si="31"/>
        <v/>
      </c>
      <c r="D204" s="11">
        <f t="shared" si="32"/>
        <v>6.79</v>
      </c>
      <c r="E204" s="10">
        <f t="shared" si="33"/>
        <v>2.0199999448999999</v>
      </c>
      <c r="F204" s="11" t="str">
        <f t="shared" si="34"/>
        <v/>
      </c>
      <c r="G204" s="11"/>
      <c r="J204" s="64"/>
      <c r="K204" s="64"/>
      <c r="L204" s="168">
        <v>6.79</v>
      </c>
      <c r="M204" s="234">
        <v>2974.9630999999999</v>
      </c>
      <c r="N204" s="234">
        <v>20199.999448999999</v>
      </c>
    </row>
    <row r="205" spans="3:14">
      <c r="C205" s="11" t="str">
        <f t="shared" si="31"/>
        <v>俞洪泉</v>
      </c>
      <c r="D205" s="11">
        <f t="shared" si="32"/>
        <v>7.5</v>
      </c>
      <c r="E205" s="10">
        <f t="shared" si="33"/>
        <v>1.5337499999999999</v>
      </c>
      <c r="F205" s="11" t="str">
        <f t="shared" si="34"/>
        <v/>
      </c>
      <c r="G205" s="11"/>
      <c r="J205" s="190">
        <v>22</v>
      </c>
      <c r="K205" s="203" t="s">
        <v>1623</v>
      </c>
      <c r="L205" s="168">
        <v>7.5</v>
      </c>
      <c r="M205" s="234">
        <v>2045</v>
      </c>
      <c r="N205" s="234">
        <v>15337.5</v>
      </c>
    </row>
    <row r="206" spans="3:14">
      <c r="C206" s="11" t="str">
        <f t="shared" si="31"/>
        <v>广州金控资产管理有限公司</v>
      </c>
      <c r="D206" s="11">
        <f t="shared" si="32"/>
        <v>7</v>
      </c>
      <c r="E206" s="10">
        <f t="shared" si="33"/>
        <v>1.54</v>
      </c>
      <c r="F206" s="11" t="str">
        <f t="shared" si="34"/>
        <v/>
      </c>
      <c r="G206" s="11"/>
      <c r="J206" s="190">
        <v>23</v>
      </c>
      <c r="K206" s="203" t="s">
        <v>1059</v>
      </c>
      <c r="L206" s="168">
        <v>7</v>
      </c>
      <c r="M206" s="234">
        <v>2200</v>
      </c>
      <c r="N206" s="234">
        <v>15400</v>
      </c>
    </row>
    <row r="207" spans="3:14">
      <c r="C207" s="24" t="str">
        <f t="shared" si="31"/>
        <v/>
      </c>
    </row>
    <row r="210" spans="1:17" s="162" customFormat="1">
      <c r="A210" s="164" t="s">
        <v>1315</v>
      </c>
      <c r="B210" s="164"/>
      <c r="C210" s="164" t="s">
        <v>107</v>
      </c>
      <c r="D210" s="164" t="s">
        <v>4</v>
      </c>
      <c r="E210" s="166" t="s">
        <v>108</v>
      </c>
      <c r="F210" s="166" t="s">
        <v>109</v>
      </c>
      <c r="G210" s="164" t="s">
        <v>1314</v>
      </c>
      <c r="H210" s="164" t="s">
        <v>1313</v>
      </c>
      <c r="I210" s="165" t="s">
        <v>1312</v>
      </c>
      <c r="J210" s="163" t="s">
        <v>1311</v>
      </c>
      <c r="K210" s="163" t="s">
        <v>110</v>
      </c>
      <c r="L210" s="163" t="s">
        <v>1310</v>
      </c>
      <c r="M210" s="164" t="s">
        <v>111</v>
      </c>
      <c r="N210" s="163" t="s">
        <v>949</v>
      </c>
      <c r="O210" s="163" t="s">
        <v>948</v>
      </c>
      <c r="P210" s="163" t="s">
        <v>129</v>
      </c>
    </row>
    <row r="211" spans="1:17">
      <c r="A211" s="24">
        <v>294</v>
      </c>
      <c r="B211" s="329" t="s">
        <v>1622</v>
      </c>
      <c r="C211" s="1" t="s">
        <v>1621</v>
      </c>
      <c r="D211" s="1" t="s">
        <v>1620</v>
      </c>
      <c r="E211" s="3">
        <v>10</v>
      </c>
      <c r="F211" s="3">
        <v>9.9999999840000005</v>
      </c>
      <c r="G211" s="332">
        <v>42705</v>
      </c>
      <c r="H211" s="24" t="s">
        <v>151</v>
      </c>
      <c r="I211" s="130">
        <v>4.3600000000000003</v>
      </c>
      <c r="J211" s="3">
        <v>4.16</v>
      </c>
      <c r="K211" s="160">
        <v>3.98</v>
      </c>
      <c r="L211" s="271">
        <v>0.95412844036697242</v>
      </c>
      <c r="M211" s="270">
        <v>5</v>
      </c>
      <c r="N211" s="2">
        <v>43087</v>
      </c>
      <c r="O211" s="24">
        <v>4.6399999999999997</v>
      </c>
      <c r="P211" s="157">
        <v>1.1394230769230766</v>
      </c>
    </row>
    <row r="212" spans="1:17">
      <c r="C212" s="16" t="s">
        <v>112</v>
      </c>
      <c r="D212" s="16" t="s">
        <v>113</v>
      </c>
      <c r="E212" s="16" t="s">
        <v>1305</v>
      </c>
      <c r="F212" s="17" t="s">
        <v>1304</v>
      </c>
      <c r="G212" s="16" t="s">
        <v>1303</v>
      </c>
      <c r="I212" s="196" t="s">
        <v>118</v>
      </c>
      <c r="J212" s="196" t="s">
        <v>324</v>
      </c>
      <c r="K212" s="225" t="s">
        <v>1519</v>
      </c>
      <c r="L212" s="225" t="s">
        <v>1619</v>
      </c>
      <c r="N212" s="331" t="s">
        <v>118</v>
      </c>
      <c r="O212" s="331" t="s">
        <v>1618</v>
      </c>
      <c r="P212" s="331" t="s">
        <v>1617</v>
      </c>
      <c r="Q212" s="331" t="s">
        <v>1300</v>
      </c>
    </row>
    <row r="213" spans="1:17">
      <c r="C213" s="11" t="str">
        <f t="shared" ref="C213:C233" si="36">IF(J213=0,"",J213)</f>
        <v>西部证券股份有限公司</v>
      </c>
      <c r="D213" s="11">
        <f t="shared" ref="D213:D233" si="37">K213</f>
        <v>4.33</v>
      </c>
      <c r="E213" s="11">
        <f t="shared" ref="E213:E233" si="38">L213/10000</f>
        <v>1</v>
      </c>
      <c r="F213" s="10">
        <f t="shared" ref="F213:F233" si="39">IFERROR(VLOOKUP(C213,O$213:Q$217,2,FALSE)/10000,"")</f>
        <v>2403.8461000000002</v>
      </c>
      <c r="G213" s="10">
        <f t="shared" ref="G213:G219" si="40">IFERROR(F213*J$211/10000,"")</f>
        <v>0.99999997760000003</v>
      </c>
      <c r="I213" s="168">
        <v>1</v>
      </c>
      <c r="J213" s="204" t="s">
        <v>385</v>
      </c>
      <c r="K213" s="191">
        <v>4.33</v>
      </c>
      <c r="L213" s="167">
        <v>10000</v>
      </c>
      <c r="N213" s="168">
        <v>1</v>
      </c>
      <c r="O213" s="203" t="s">
        <v>385</v>
      </c>
      <c r="P213" s="167">
        <v>24038461</v>
      </c>
      <c r="Q213" s="197">
        <v>99999997.760000005</v>
      </c>
    </row>
    <row r="214" spans="1:17">
      <c r="C214" s="11" t="str">
        <f t="shared" si="36"/>
        <v>财通基金管理有限公司</v>
      </c>
      <c r="D214" s="11">
        <f t="shared" si="37"/>
        <v>4.3</v>
      </c>
      <c r="E214" s="11">
        <f t="shared" si="38"/>
        <v>1.41</v>
      </c>
      <c r="F214" s="10">
        <f t="shared" si="39"/>
        <v>3389.4229999999998</v>
      </c>
      <c r="G214" s="10">
        <f t="shared" si="40"/>
        <v>1.4099999679999999</v>
      </c>
      <c r="I214" s="168">
        <v>2</v>
      </c>
      <c r="J214" s="203" t="s">
        <v>115</v>
      </c>
      <c r="K214" s="191">
        <v>4.3</v>
      </c>
      <c r="L214" s="167">
        <v>14100</v>
      </c>
      <c r="N214" s="168">
        <v>2</v>
      </c>
      <c r="O214" s="203" t="s">
        <v>115</v>
      </c>
      <c r="P214" s="167">
        <v>33894230</v>
      </c>
      <c r="Q214" s="197">
        <v>140999996.80000001</v>
      </c>
    </row>
    <row r="215" spans="1:17">
      <c r="C215" s="11" t="str">
        <f t="shared" si="36"/>
        <v/>
      </c>
      <c r="D215" s="11">
        <f t="shared" si="37"/>
        <v>4.0999999999999996</v>
      </c>
      <c r="E215" s="11">
        <f t="shared" si="38"/>
        <v>2.4700000000000002</v>
      </c>
      <c r="F215" s="10" t="str">
        <f t="shared" si="39"/>
        <v/>
      </c>
      <c r="G215" s="10" t="str">
        <f t="shared" si="40"/>
        <v/>
      </c>
      <c r="I215" s="25"/>
      <c r="J215" s="25"/>
      <c r="K215" s="191">
        <v>4.0999999999999996</v>
      </c>
      <c r="L215" s="167">
        <v>24700</v>
      </c>
      <c r="N215" s="168">
        <v>3</v>
      </c>
      <c r="O215" s="203" t="s">
        <v>1127</v>
      </c>
      <c r="P215" s="167">
        <v>25240384</v>
      </c>
      <c r="Q215" s="197">
        <v>104999997.44</v>
      </c>
    </row>
    <row r="216" spans="1:17">
      <c r="C216" s="11" t="str">
        <f t="shared" si="36"/>
        <v/>
      </c>
      <c r="D216" s="11">
        <f t="shared" si="37"/>
        <v>4.0199999999999996</v>
      </c>
      <c r="E216" s="11">
        <f t="shared" si="38"/>
        <v>4.95</v>
      </c>
      <c r="F216" s="10" t="str">
        <f t="shared" si="39"/>
        <v/>
      </c>
      <c r="G216" s="10" t="str">
        <f t="shared" si="40"/>
        <v/>
      </c>
      <c r="I216" s="64"/>
      <c r="J216" s="64"/>
      <c r="K216" s="191">
        <v>4.0199999999999996</v>
      </c>
      <c r="L216" s="167">
        <v>49500</v>
      </c>
      <c r="N216" s="168">
        <v>4</v>
      </c>
      <c r="O216" s="203" t="s">
        <v>1616</v>
      </c>
      <c r="P216" s="167">
        <v>120192307</v>
      </c>
      <c r="Q216" s="197">
        <v>499999997.12</v>
      </c>
    </row>
    <row r="217" spans="1:17">
      <c r="C217" s="11" t="str">
        <f t="shared" si="36"/>
        <v>大成基金管理有限公司</v>
      </c>
      <c r="D217" s="11">
        <f t="shared" si="37"/>
        <v>4.29</v>
      </c>
      <c r="E217" s="11">
        <f t="shared" si="38"/>
        <v>1.05</v>
      </c>
      <c r="F217" s="10">
        <f t="shared" si="39"/>
        <v>2524.0383999999999</v>
      </c>
      <c r="G217" s="10">
        <f t="shared" si="40"/>
        <v>1.0499999744000001</v>
      </c>
      <c r="I217" s="168">
        <v>3</v>
      </c>
      <c r="J217" s="204" t="s">
        <v>1127</v>
      </c>
      <c r="K217" s="191">
        <v>4.29</v>
      </c>
      <c r="L217" s="167">
        <v>10500</v>
      </c>
      <c r="N217" s="168">
        <v>5</v>
      </c>
      <c r="O217" s="203" t="s">
        <v>371</v>
      </c>
      <c r="P217" s="167">
        <v>37019233</v>
      </c>
      <c r="Q217" s="197">
        <v>154000009.28</v>
      </c>
    </row>
    <row r="218" spans="1:17">
      <c r="C218" s="11" t="str">
        <f t="shared" si="36"/>
        <v>中晟（深圳）金融服务集团有限公司</v>
      </c>
      <c r="D218" s="11">
        <f t="shared" si="37"/>
        <v>4.17</v>
      </c>
      <c r="E218" s="11">
        <f t="shared" si="38"/>
        <v>5</v>
      </c>
      <c r="F218" s="10">
        <f t="shared" si="39"/>
        <v>12019.2307</v>
      </c>
      <c r="G218" s="10">
        <f t="shared" si="40"/>
        <v>4.9999999712000003</v>
      </c>
      <c r="I218" s="168">
        <v>4</v>
      </c>
      <c r="J218" s="204" t="s">
        <v>1616</v>
      </c>
      <c r="K218" s="191">
        <v>4.17</v>
      </c>
      <c r="L218" s="167">
        <v>50000</v>
      </c>
      <c r="N218" s="330" t="s">
        <v>1330</v>
      </c>
      <c r="O218" s="330"/>
      <c r="P218" s="167">
        <v>240384615</v>
      </c>
      <c r="Q218" s="197">
        <v>999999998.39999998</v>
      </c>
    </row>
    <row r="219" spans="1:17">
      <c r="C219" s="11" t="str">
        <f t="shared" si="36"/>
        <v>安信基金管理有限责任公司</v>
      </c>
      <c r="D219" s="11">
        <f t="shared" si="37"/>
        <v>4.16</v>
      </c>
      <c r="E219" s="11">
        <f t="shared" si="38"/>
        <v>3</v>
      </c>
      <c r="F219" s="10">
        <f t="shared" si="39"/>
        <v>3701.9232999999999</v>
      </c>
      <c r="G219" s="10">
        <f t="shared" si="40"/>
        <v>1.5400000927999999</v>
      </c>
      <c r="I219" s="168">
        <v>5</v>
      </c>
      <c r="J219" s="155" t="s">
        <v>371</v>
      </c>
      <c r="K219" s="191">
        <v>4.16</v>
      </c>
      <c r="L219" s="167">
        <v>30000</v>
      </c>
    </row>
    <row r="220" spans="1:17">
      <c r="C220" s="11" t="str">
        <f t="shared" si="36"/>
        <v>广西铁路发展投资基金（有限合伙）</v>
      </c>
      <c r="D220" s="11">
        <f t="shared" si="37"/>
        <v>4.01</v>
      </c>
      <c r="E220" s="11">
        <f t="shared" si="38"/>
        <v>1</v>
      </c>
      <c r="F220" s="10" t="str">
        <f t="shared" si="39"/>
        <v/>
      </c>
      <c r="G220" s="11"/>
      <c r="I220" s="168">
        <v>6</v>
      </c>
      <c r="J220" s="204" t="s">
        <v>1079</v>
      </c>
      <c r="K220" s="191">
        <v>4.01</v>
      </c>
      <c r="L220" s="167">
        <v>10000</v>
      </c>
    </row>
    <row r="221" spans="1:17">
      <c r="C221" s="11" t="str">
        <f t="shared" si="36"/>
        <v>嘉实基金管理有限公司</v>
      </c>
      <c r="D221" s="11">
        <f t="shared" si="37"/>
        <v>4.1500000000000004</v>
      </c>
      <c r="E221" s="11">
        <f t="shared" si="38"/>
        <v>1.3</v>
      </c>
      <c r="F221" s="10" t="str">
        <f t="shared" si="39"/>
        <v/>
      </c>
      <c r="G221" s="11"/>
      <c r="I221" s="168">
        <v>7</v>
      </c>
      <c r="J221" s="203" t="s">
        <v>228</v>
      </c>
      <c r="K221" s="191">
        <v>4.1500000000000004</v>
      </c>
      <c r="L221" s="167">
        <v>13000</v>
      </c>
    </row>
    <row r="222" spans="1:17">
      <c r="C222" s="11" t="str">
        <f t="shared" si="36"/>
        <v/>
      </c>
      <c r="D222" s="11">
        <f t="shared" si="37"/>
        <v>4.05</v>
      </c>
      <c r="E222" s="11">
        <f t="shared" si="38"/>
        <v>1.6</v>
      </c>
      <c r="F222" s="10" t="str">
        <f t="shared" si="39"/>
        <v/>
      </c>
      <c r="G222" s="11"/>
      <c r="I222" s="25"/>
      <c r="J222" s="25"/>
      <c r="K222" s="191">
        <v>4.05</v>
      </c>
      <c r="L222" s="167">
        <v>16000</v>
      </c>
    </row>
    <row r="223" spans="1:17">
      <c r="C223" s="11" t="str">
        <f t="shared" si="36"/>
        <v/>
      </c>
      <c r="D223" s="11">
        <f t="shared" si="37"/>
        <v>4</v>
      </c>
      <c r="E223" s="11">
        <f t="shared" si="38"/>
        <v>2</v>
      </c>
      <c r="F223" s="10" t="str">
        <f t="shared" si="39"/>
        <v/>
      </c>
      <c r="G223" s="10"/>
      <c r="I223" s="64"/>
      <c r="J223" s="64"/>
      <c r="K223" s="191">
        <v>4</v>
      </c>
      <c r="L223" s="167">
        <v>20000</v>
      </c>
    </row>
    <row r="224" spans="1:17">
      <c r="C224" s="11" t="str">
        <f t="shared" si="36"/>
        <v>中信证券股份有限公司</v>
      </c>
      <c r="D224" s="11">
        <f t="shared" si="37"/>
        <v>4</v>
      </c>
      <c r="E224" s="11">
        <f t="shared" si="38"/>
        <v>1.89</v>
      </c>
      <c r="F224" s="10" t="str">
        <f t="shared" si="39"/>
        <v/>
      </c>
      <c r="G224" s="11"/>
      <c r="I224" s="168">
        <v>8</v>
      </c>
      <c r="J224" s="204" t="s">
        <v>316</v>
      </c>
      <c r="K224" s="191">
        <v>4</v>
      </c>
      <c r="L224" s="167">
        <v>18900</v>
      </c>
    </row>
    <row r="225" spans="1:18">
      <c r="C225" s="11" t="str">
        <f t="shared" si="36"/>
        <v>东莞证券股份有限公司</v>
      </c>
      <c r="D225" s="11">
        <f t="shared" si="37"/>
        <v>3.98</v>
      </c>
      <c r="E225" s="11">
        <f t="shared" si="38"/>
        <v>1</v>
      </c>
      <c r="F225" s="10" t="str">
        <f t="shared" si="39"/>
        <v/>
      </c>
      <c r="G225" s="11"/>
      <c r="I225" s="168">
        <v>9</v>
      </c>
      <c r="J225" s="204" t="s">
        <v>384</v>
      </c>
      <c r="K225" s="191">
        <v>3.98</v>
      </c>
      <c r="L225" s="167">
        <v>10000</v>
      </c>
    </row>
    <row r="226" spans="1:18">
      <c r="C226" s="11" t="str">
        <f t="shared" si="36"/>
        <v>九泰基金管理有限公司</v>
      </c>
      <c r="D226" s="11">
        <f t="shared" si="37"/>
        <v>4.12</v>
      </c>
      <c r="E226" s="11">
        <f t="shared" si="38"/>
        <v>1</v>
      </c>
      <c r="F226" s="10" t="str">
        <f t="shared" si="39"/>
        <v/>
      </c>
      <c r="G226" s="11"/>
      <c r="I226" s="168">
        <v>10</v>
      </c>
      <c r="J226" s="204" t="s">
        <v>666</v>
      </c>
      <c r="K226" s="191">
        <v>4.12</v>
      </c>
      <c r="L226" s="167">
        <v>10000</v>
      </c>
    </row>
    <row r="227" spans="1:18">
      <c r="C227" s="11" t="str">
        <f t="shared" si="36"/>
        <v>平安大华基金管理有限公司</v>
      </c>
      <c r="D227" s="11">
        <f t="shared" si="37"/>
        <v>3.99</v>
      </c>
      <c r="E227" s="11">
        <f t="shared" si="38"/>
        <v>1.3</v>
      </c>
      <c r="F227" s="10" t="str">
        <f t="shared" si="39"/>
        <v/>
      </c>
      <c r="G227" s="11"/>
      <c r="I227" s="168">
        <v>11</v>
      </c>
      <c r="J227" s="204" t="s">
        <v>146</v>
      </c>
      <c r="K227" s="191">
        <v>3.99</v>
      </c>
      <c r="L227" s="167">
        <v>13000</v>
      </c>
    </row>
    <row r="228" spans="1:18">
      <c r="C228" s="11" t="str">
        <f t="shared" si="36"/>
        <v>周荣良</v>
      </c>
      <c r="D228" s="11">
        <f t="shared" si="37"/>
        <v>3.98</v>
      </c>
      <c r="E228" s="11">
        <f t="shared" si="38"/>
        <v>1</v>
      </c>
      <c r="F228" s="10" t="str">
        <f t="shared" si="39"/>
        <v/>
      </c>
      <c r="G228" s="11"/>
      <c r="I228" s="168">
        <v>12</v>
      </c>
      <c r="J228" s="204" t="s">
        <v>1615</v>
      </c>
      <c r="K228" s="191">
        <v>3.98</v>
      </c>
      <c r="L228" s="167">
        <v>10000</v>
      </c>
    </row>
    <row r="229" spans="1:18">
      <c r="C229" s="11" t="str">
        <f t="shared" si="36"/>
        <v>北信瑞丰基金管理有限公司</v>
      </c>
      <c r="D229" s="11">
        <f t="shared" si="37"/>
        <v>4.1500000000000004</v>
      </c>
      <c r="E229" s="11">
        <f t="shared" si="38"/>
        <v>1</v>
      </c>
      <c r="F229" s="10" t="str">
        <f t="shared" si="39"/>
        <v/>
      </c>
      <c r="G229" s="11"/>
      <c r="I229" s="168">
        <v>13</v>
      </c>
      <c r="J229" s="203" t="s">
        <v>336</v>
      </c>
      <c r="K229" s="191">
        <v>4.1500000000000004</v>
      </c>
      <c r="L229" s="167">
        <v>10000</v>
      </c>
    </row>
    <row r="230" spans="1:18">
      <c r="C230" s="11" t="str">
        <f t="shared" si="36"/>
        <v/>
      </c>
      <c r="D230" s="11">
        <f t="shared" si="37"/>
        <v>4.0999999999999996</v>
      </c>
      <c r="E230" s="11">
        <f t="shared" si="38"/>
        <v>1.02</v>
      </c>
      <c r="F230" s="10" t="str">
        <f t="shared" si="39"/>
        <v/>
      </c>
      <c r="G230" s="11"/>
      <c r="I230" s="25"/>
      <c r="J230" s="25"/>
      <c r="K230" s="191">
        <v>4.0999999999999996</v>
      </c>
      <c r="L230" s="167">
        <v>10200</v>
      </c>
    </row>
    <row r="231" spans="1:18">
      <c r="C231" s="11" t="str">
        <f t="shared" si="36"/>
        <v/>
      </c>
      <c r="D231" s="11">
        <f t="shared" si="37"/>
        <v>3.99</v>
      </c>
      <c r="E231" s="11">
        <f t="shared" si="38"/>
        <v>1.04</v>
      </c>
      <c r="F231" s="10" t="str">
        <f t="shared" si="39"/>
        <v/>
      </c>
      <c r="G231" s="11"/>
      <c r="I231" s="64"/>
      <c r="J231" s="64"/>
      <c r="K231" s="191">
        <v>3.99</v>
      </c>
      <c r="L231" s="167">
        <v>10400</v>
      </c>
    </row>
    <row r="232" spans="1:18">
      <c r="C232" s="11" t="str">
        <f t="shared" si="36"/>
        <v>长石投资有限公司</v>
      </c>
      <c r="D232" s="11">
        <f t="shared" si="37"/>
        <v>4</v>
      </c>
      <c r="E232" s="11">
        <f t="shared" si="38"/>
        <v>1</v>
      </c>
      <c r="F232" s="10" t="str">
        <f t="shared" si="39"/>
        <v/>
      </c>
      <c r="G232" s="11"/>
      <c r="I232" s="168">
        <v>14</v>
      </c>
      <c r="J232" s="204" t="s">
        <v>1614</v>
      </c>
      <c r="K232" s="191">
        <v>4</v>
      </c>
      <c r="L232" s="167">
        <v>10000</v>
      </c>
    </row>
    <row r="233" spans="1:18">
      <c r="C233" s="11" t="str">
        <f t="shared" si="36"/>
        <v>兴证证券资产管理有限公司</v>
      </c>
      <c r="D233" s="11">
        <f t="shared" si="37"/>
        <v>4.01</v>
      </c>
      <c r="E233" s="11">
        <f t="shared" si="38"/>
        <v>1.53</v>
      </c>
      <c r="F233" s="10" t="str">
        <f t="shared" si="39"/>
        <v/>
      </c>
      <c r="G233" s="11"/>
      <c r="I233" s="168">
        <v>15</v>
      </c>
      <c r="J233" s="204" t="s">
        <v>150</v>
      </c>
      <c r="K233" s="191">
        <v>4.01</v>
      </c>
      <c r="L233" s="167">
        <v>15300</v>
      </c>
    </row>
    <row r="237" spans="1:18" s="162" customFormat="1">
      <c r="A237" s="164" t="s">
        <v>1315</v>
      </c>
      <c r="B237" s="164"/>
      <c r="C237" s="164" t="s">
        <v>107</v>
      </c>
      <c r="D237" s="164" t="s">
        <v>4</v>
      </c>
      <c r="E237" s="166" t="s">
        <v>108</v>
      </c>
      <c r="F237" s="166" t="s">
        <v>109</v>
      </c>
      <c r="G237" s="164" t="s">
        <v>1314</v>
      </c>
      <c r="H237" s="164" t="s">
        <v>1313</v>
      </c>
      <c r="I237" s="165" t="s">
        <v>1312</v>
      </c>
      <c r="J237" s="163" t="s">
        <v>1311</v>
      </c>
      <c r="K237" s="163" t="s">
        <v>110</v>
      </c>
      <c r="L237" s="163" t="s">
        <v>1310</v>
      </c>
      <c r="M237" s="164" t="s">
        <v>111</v>
      </c>
      <c r="N237" s="163" t="s">
        <v>949</v>
      </c>
      <c r="O237" s="163" t="s">
        <v>948</v>
      </c>
      <c r="P237" s="163" t="s">
        <v>129</v>
      </c>
    </row>
    <row r="238" spans="1:18">
      <c r="A238" s="24">
        <v>295</v>
      </c>
      <c r="B238" s="329" t="s">
        <v>1613</v>
      </c>
      <c r="C238" s="1" t="s">
        <v>1612</v>
      </c>
      <c r="D238" s="1" t="s">
        <v>1611</v>
      </c>
      <c r="E238" s="3">
        <v>8.6204000000000001</v>
      </c>
      <c r="F238" s="3">
        <v>8.6203999907999993</v>
      </c>
      <c r="G238" s="2">
        <v>42712</v>
      </c>
      <c r="H238" s="24" t="s">
        <v>151</v>
      </c>
      <c r="I238" s="130">
        <v>35.450000000000003</v>
      </c>
      <c r="J238" s="3">
        <v>35.19</v>
      </c>
      <c r="K238" s="160">
        <v>26.56</v>
      </c>
      <c r="L238" s="271">
        <v>0.99266572637517614</v>
      </c>
      <c r="M238" s="270">
        <v>7</v>
      </c>
      <c r="N238" s="2">
        <v>43090</v>
      </c>
      <c r="O238" s="24">
        <v>39.21</v>
      </c>
      <c r="P238" s="157">
        <v>1.1142369991474852</v>
      </c>
    </row>
    <row r="239" spans="1:18">
      <c r="C239" s="16" t="s">
        <v>112</v>
      </c>
      <c r="D239" s="16" t="s">
        <v>113</v>
      </c>
      <c r="E239" s="16" t="s">
        <v>1305</v>
      </c>
      <c r="F239" s="17" t="s">
        <v>1304</v>
      </c>
      <c r="G239" s="16" t="s">
        <v>1303</v>
      </c>
      <c r="I239" s="203" t="s">
        <v>1413</v>
      </c>
      <c r="J239" s="192" t="s">
        <v>296</v>
      </c>
      <c r="K239" s="203" t="s">
        <v>488</v>
      </c>
      <c r="L239" s="192" t="s">
        <v>475</v>
      </c>
      <c r="N239" s="204" t="s">
        <v>118</v>
      </c>
      <c r="O239" s="204" t="s">
        <v>296</v>
      </c>
      <c r="P239" s="204" t="s">
        <v>323</v>
      </c>
      <c r="Q239" s="204" t="s">
        <v>1346</v>
      </c>
      <c r="R239" s="204" t="s">
        <v>1335</v>
      </c>
    </row>
    <row r="240" spans="1:18">
      <c r="C240" s="11" t="str">
        <f t="shared" ref="C240:C271" si="41">IF(J240=0,"",J240)</f>
        <v>弘道天华（天津）资产管理合伙企业（有限合伙）</v>
      </c>
      <c r="D240" s="11">
        <f t="shared" ref="D240:D271" si="42">K240</f>
        <v>29.02</v>
      </c>
      <c r="E240" s="10">
        <f t="shared" ref="E240:E271" si="43">L240/100000000</f>
        <v>0.87000015659999996</v>
      </c>
      <c r="F240" s="11" t="str">
        <f t="shared" ref="F240:F271" si="44">IFERROR(VLOOKUP(C240,O$240:Q$246,2,FALSE)/10000,"")</f>
        <v/>
      </c>
      <c r="G240" s="11"/>
      <c r="I240" s="156"/>
      <c r="J240" s="203" t="s">
        <v>1610</v>
      </c>
      <c r="K240" s="168">
        <v>29.02</v>
      </c>
      <c r="L240" s="197">
        <v>87000015.659999996</v>
      </c>
      <c r="N240" s="296">
        <v>1</v>
      </c>
      <c r="O240" s="204" t="s">
        <v>1378</v>
      </c>
      <c r="P240" s="275">
        <v>8134129</v>
      </c>
      <c r="Q240" s="297">
        <v>286239999.50999999</v>
      </c>
      <c r="R240" s="296">
        <v>12</v>
      </c>
    </row>
    <row r="241" spans="3:18">
      <c r="C241" s="11" t="str">
        <f t="shared" si="41"/>
        <v/>
      </c>
      <c r="D241" s="11">
        <f t="shared" si="42"/>
        <v>28</v>
      </c>
      <c r="E241" s="10">
        <f t="shared" si="43"/>
        <v>0.87000003999999997</v>
      </c>
      <c r="F241" s="11" t="str">
        <f t="shared" si="44"/>
        <v/>
      </c>
      <c r="G241" s="11"/>
      <c r="I241" s="324"/>
      <c r="J241" s="25"/>
      <c r="K241" s="168">
        <v>28</v>
      </c>
      <c r="L241" s="197">
        <v>87000004</v>
      </c>
      <c r="N241" s="168">
        <v>2</v>
      </c>
      <c r="O241" s="204" t="s">
        <v>156</v>
      </c>
      <c r="P241" s="167">
        <v>5761398</v>
      </c>
      <c r="Q241" s="197">
        <v>202743595.62</v>
      </c>
      <c r="R241" s="168">
        <v>12</v>
      </c>
    </row>
    <row r="242" spans="3:18">
      <c r="C242" s="11" t="str">
        <f t="shared" si="41"/>
        <v/>
      </c>
      <c r="D242" s="11">
        <f t="shared" si="42"/>
        <v>26.56</v>
      </c>
      <c r="E242" s="10">
        <f t="shared" si="43"/>
        <v>0.87000015680000009</v>
      </c>
      <c r="F242" s="11" t="str">
        <f t="shared" si="44"/>
        <v/>
      </c>
      <c r="G242" s="11"/>
      <c r="I242" s="168">
        <v>1</v>
      </c>
      <c r="J242" s="64"/>
      <c r="K242" s="168">
        <v>26.56</v>
      </c>
      <c r="L242" s="197">
        <v>87000015.680000007</v>
      </c>
      <c r="N242" s="168">
        <v>3</v>
      </c>
      <c r="O242" s="204" t="s">
        <v>629</v>
      </c>
      <c r="P242" s="167">
        <v>2500712</v>
      </c>
      <c r="Q242" s="197">
        <v>88000055.280000001</v>
      </c>
      <c r="R242" s="168">
        <v>12</v>
      </c>
    </row>
    <row r="243" spans="3:18">
      <c r="C243" s="11" t="str">
        <f t="shared" si="41"/>
        <v>北京众和成长投资中心（有限合伙）</v>
      </c>
      <c r="D243" s="11">
        <f t="shared" si="42"/>
        <v>29.02</v>
      </c>
      <c r="E243" s="10">
        <f t="shared" si="43"/>
        <v>0.87060000000000004</v>
      </c>
      <c r="F243" s="11" t="str">
        <f t="shared" si="44"/>
        <v/>
      </c>
      <c r="G243" s="11"/>
      <c r="I243" s="296">
        <v>2</v>
      </c>
      <c r="J243" s="204" t="s">
        <v>1609</v>
      </c>
      <c r="K243" s="296">
        <v>29.02</v>
      </c>
      <c r="L243" s="297">
        <v>87060000</v>
      </c>
      <c r="N243" s="296">
        <v>4</v>
      </c>
      <c r="O243" s="203" t="s">
        <v>1608</v>
      </c>
      <c r="P243" s="275">
        <v>2472294</v>
      </c>
      <c r="Q243" s="297">
        <v>87000025.859999999</v>
      </c>
      <c r="R243" s="296">
        <v>12</v>
      </c>
    </row>
    <row r="244" spans="3:18">
      <c r="C244" s="11" t="str">
        <f t="shared" si="41"/>
        <v/>
      </c>
      <c r="D244" s="11">
        <f t="shared" si="42"/>
        <v>0</v>
      </c>
      <c r="E244" s="10">
        <f t="shared" si="43"/>
        <v>0</v>
      </c>
      <c r="F244" s="11" t="str">
        <f t="shared" si="44"/>
        <v/>
      </c>
      <c r="G244" s="11"/>
      <c r="I244" s="296"/>
      <c r="J244" s="204"/>
      <c r="K244" s="296"/>
      <c r="L244" s="297"/>
      <c r="N244" s="296">
        <v>5</v>
      </c>
      <c r="O244" s="203" t="s">
        <v>1601</v>
      </c>
      <c r="P244" s="275">
        <v>2472294</v>
      </c>
      <c r="Q244" s="297">
        <v>87000025.859999999</v>
      </c>
      <c r="R244" s="296">
        <v>12</v>
      </c>
    </row>
    <row r="245" spans="3:18">
      <c r="C245" s="11" t="str">
        <f t="shared" si="41"/>
        <v>上海逸合投资管理有限公司</v>
      </c>
      <c r="D245" s="11">
        <f t="shared" si="42"/>
        <v>33.44</v>
      </c>
      <c r="E245" s="10">
        <f t="shared" si="43"/>
        <v>2.5861201872000001</v>
      </c>
      <c r="F245" s="11" t="str">
        <f t="shared" si="44"/>
        <v/>
      </c>
      <c r="G245" s="11"/>
      <c r="I245" s="168">
        <v>3</v>
      </c>
      <c r="J245" s="203" t="s">
        <v>1607</v>
      </c>
      <c r="K245" s="168">
        <v>33.44</v>
      </c>
      <c r="L245" s="197">
        <v>258612018.72</v>
      </c>
      <c r="N245" s="168">
        <v>6</v>
      </c>
      <c r="O245" s="204" t="s">
        <v>1602</v>
      </c>
      <c r="P245" s="167">
        <v>2472293</v>
      </c>
      <c r="Q245" s="197">
        <v>86999990.670000002</v>
      </c>
      <c r="R245" s="168">
        <v>12</v>
      </c>
    </row>
    <row r="246" spans="3:18">
      <c r="C246" s="11" t="str">
        <f t="shared" si="41"/>
        <v/>
      </c>
      <c r="D246" s="11">
        <f t="shared" si="42"/>
        <v>32.39</v>
      </c>
      <c r="E246" s="10">
        <f t="shared" si="43"/>
        <v>2.5861202763</v>
      </c>
      <c r="F246" s="11" t="str">
        <f t="shared" si="44"/>
        <v/>
      </c>
      <c r="G246" s="11"/>
      <c r="I246" s="324"/>
      <c r="J246" s="232"/>
      <c r="K246" s="168">
        <v>32.39</v>
      </c>
      <c r="L246" s="197">
        <v>258612027.63</v>
      </c>
      <c r="N246" s="168">
        <v>7</v>
      </c>
      <c r="O246" s="204" t="s">
        <v>152</v>
      </c>
      <c r="P246" s="167">
        <v>683612</v>
      </c>
      <c r="Q246" s="197">
        <v>24056306.280000001</v>
      </c>
      <c r="R246" s="168">
        <v>12</v>
      </c>
    </row>
    <row r="247" spans="3:18">
      <c r="C247" s="11" t="str">
        <f t="shared" si="41"/>
        <v/>
      </c>
      <c r="D247" s="11">
        <f t="shared" si="42"/>
        <v>31.68</v>
      </c>
      <c r="E247" s="10">
        <f t="shared" si="43"/>
        <v>2.5861201343999998</v>
      </c>
      <c r="F247" s="11" t="str">
        <f t="shared" si="44"/>
        <v/>
      </c>
      <c r="G247" s="11"/>
      <c r="I247" s="25"/>
      <c r="J247" s="25"/>
      <c r="K247" s="168">
        <v>31.68</v>
      </c>
      <c r="L247" s="197">
        <v>258612013.44</v>
      </c>
      <c r="N247" s="192" t="s">
        <v>1293</v>
      </c>
      <c r="O247" s="192"/>
      <c r="P247" s="167">
        <v>24496732</v>
      </c>
      <c r="Q247" s="197">
        <v>862039999.08000004</v>
      </c>
      <c r="R247" s="168" t="s">
        <v>294</v>
      </c>
    </row>
    <row r="248" spans="3:18">
      <c r="C248" s="11" t="str">
        <f t="shared" si="41"/>
        <v>国元证券股份有限公司</v>
      </c>
      <c r="D248" s="11">
        <f t="shared" si="42"/>
        <v>26.56</v>
      </c>
      <c r="E248" s="10">
        <f t="shared" si="43"/>
        <v>0.92959999999999998</v>
      </c>
      <c r="F248" s="11" t="str">
        <f t="shared" si="44"/>
        <v/>
      </c>
      <c r="G248" s="11"/>
      <c r="I248" s="168">
        <v>4</v>
      </c>
      <c r="J248" s="204" t="s">
        <v>1606</v>
      </c>
      <c r="K248" s="168">
        <v>26.56</v>
      </c>
      <c r="L248" s="197">
        <v>92960000</v>
      </c>
    </row>
    <row r="249" spans="3:18">
      <c r="C249" s="11" t="str">
        <f t="shared" si="41"/>
        <v>东海证券股份有限公司</v>
      </c>
      <c r="D249" s="11">
        <f t="shared" si="42"/>
        <v>30.88</v>
      </c>
      <c r="E249" s="10">
        <f t="shared" si="43"/>
        <v>0.87100004480000004</v>
      </c>
      <c r="F249" s="11" t="str">
        <f t="shared" si="44"/>
        <v/>
      </c>
      <c r="G249" s="11"/>
      <c r="I249" s="168">
        <v>5</v>
      </c>
      <c r="J249" s="204" t="s">
        <v>6</v>
      </c>
      <c r="K249" s="168">
        <v>30.88</v>
      </c>
      <c r="L249" s="197">
        <v>87100004.480000004</v>
      </c>
    </row>
    <row r="250" spans="3:18">
      <c r="C250" s="11" t="str">
        <f t="shared" si="41"/>
        <v>第一创业证券股份有限公司</v>
      </c>
      <c r="D250" s="11">
        <f t="shared" si="42"/>
        <v>30.12</v>
      </c>
      <c r="E250" s="10">
        <f t="shared" si="43"/>
        <v>0.99998399999999998</v>
      </c>
      <c r="F250" s="11" t="str">
        <f t="shared" si="44"/>
        <v/>
      </c>
      <c r="G250" s="11"/>
      <c r="I250" s="168">
        <v>6</v>
      </c>
      <c r="J250" s="203" t="s">
        <v>127</v>
      </c>
      <c r="K250" s="168">
        <v>30.12</v>
      </c>
      <c r="L250" s="197">
        <v>99998400</v>
      </c>
    </row>
    <row r="251" spans="3:18">
      <c r="C251" s="11" t="str">
        <f t="shared" si="41"/>
        <v/>
      </c>
      <c r="D251" s="11">
        <f t="shared" si="42"/>
        <v>28.22</v>
      </c>
      <c r="E251" s="10">
        <f t="shared" si="43"/>
        <v>1.9999514</v>
      </c>
      <c r="F251" s="11" t="str">
        <f t="shared" si="44"/>
        <v/>
      </c>
      <c r="G251" s="11"/>
      <c r="I251" s="324"/>
      <c r="J251" s="149"/>
      <c r="K251" s="168">
        <v>28.22</v>
      </c>
      <c r="L251" s="197">
        <v>199995140</v>
      </c>
    </row>
    <row r="252" spans="3:18">
      <c r="C252" s="11" t="str">
        <f t="shared" si="41"/>
        <v/>
      </c>
      <c r="D252" s="11">
        <f t="shared" si="42"/>
        <v>27.03</v>
      </c>
      <c r="E252" s="10">
        <f t="shared" si="43"/>
        <v>2.9997894000000001</v>
      </c>
      <c r="F252" s="11" t="str">
        <f t="shared" si="44"/>
        <v/>
      </c>
      <c r="G252" s="11"/>
      <c r="I252" s="25"/>
      <c r="J252" s="25"/>
      <c r="K252" s="168">
        <v>27.03</v>
      </c>
      <c r="L252" s="197">
        <v>299978940</v>
      </c>
    </row>
    <row r="253" spans="3:18">
      <c r="C253" s="11" t="str">
        <f t="shared" si="41"/>
        <v>中融基金管理有限公司</v>
      </c>
      <c r="D253" s="11">
        <f t="shared" si="42"/>
        <v>36</v>
      </c>
      <c r="E253" s="10">
        <f t="shared" si="43"/>
        <v>0.88000056000000004</v>
      </c>
      <c r="F253" s="10">
        <f t="shared" si="44"/>
        <v>250.0712</v>
      </c>
      <c r="G253" s="10">
        <f t="shared" ref="G253:G296" si="45">IFERROR(F253*J$238/10000,"")</f>
        <v>0.8800005528</v>
      </c>
      <c r="I253" s="168">
        <v>7</v>
      </c>
      <c r="J253" s="204" t="s">
        <v>629</v>
      </c>
      <c r="K253" s="168">
        <v>36</v>
      </c>
      <c r="L253" s="197">
        <v>88000056</v>
      </c>
    </row>
    <row r="254" spans="3:18">
      <c r="C254" s="11" t="str">
        <f t="shared" si="41"/>
        <v>兴业全球基金管理有限公司</v>
      </c>
      <c r="D254" s="11">
        <f t="shared" si="42"/>
        <v>30.05</v>
      </c>
      <c r="E254" s="10">
        <f t="shared" si="43"/>
        <v>0.87000008750000002</v>
      </c>
      <c r="F254" s="10" t="str">
        <f t="shared" si="44"/>
        <v/>
      </c>
      <c r="G254" s="10" t="str">
        <f t="shared" si="45"/>
        <v/>
      </c>
      <c r="I254" s="168">
        <v>8</v>
      </c>
      <c r="J254" s="203" t="s">
        <v>131</v>
      </c>
      <c r="K254" s="168">
        <v>30.05</v>
      </c>
      <c r="L254" s="197">
        <v>87000008.75</v>
      </c>
    </row>
    <row r="255" spans="3:18">
      <c r="C255" s="11" t="str">
        <f t="shared" si="41"/>
        <v/>
      </c>
      <c r="D255" s="11">
        <f t="shared" si="42"/>
        <v>26.62</v>
      </c>
      <c r="E255" s="10">
        <f t="shared" si="43"/>
        <v>2.0499982139999999</v>
      </c>
      <c r="F255" s="10" t="str">
        <f t="shared" si="44"/>
        <v/>
      </c>
      <c r="G255" s="10" t="str">
        <f t="shared" si="45"/>
        <v/>
      </c>
      <c r="I255" s="25"/>
      <c r="J255" s="25"/>
      <c r="K255" s="168">
        <v>26.62</v>
      </c>
      <c r="L255" s="197">
        <v>204999821.40000001</v>
      </c>
    </row>
    <row r="256" spans="3:18">
      <c r="C256" s="11" t="str">
        <f t="shared" si="41"/>
        <v>泰达宏利基金管理有限公司</v>
      </c>
      <c r="D256" s="11">
        <f t="shared" si="42"/>
        <v>33.44</v>
      </c>
      <c r="E256" s="10">
        <f t="shared" si="43"/>
        <v>0.87000012000000004</v>
      </c>
      <c r="F256" s="10" t="str">
        <f t="shared" si="44"/>
        <v/>
      </c>
      <c r="G256" s="10" t="str">
        <f t="shared" si="45"/>
        <v/>
      </c>
      <c r="I256" s="168">
        <v>9</v>
      </c>
      <c r="J256" s="204" t="s">
        <v>148</v>
      </c>
      <c r="K256" s="168">
        <v>33.44</v>
      </c>
      <c r="L256" s="197">
        <v>87000012</v>
      </c>
    </row>
    <row r="257" spans="3:12">
      <c r="C257" s="11" t="str">
        <f t="shared" si="41"/>
        <v>国信证券股份有限公司</v>
      </c>
      <c r="D257" s="11">
        <f t="shared" si="42"/>
        <v>31.37</v>
      </c>
      <c r="E257" s="10">
        <f t="shared" si="43"/>
        <v>0.87000020870000006</v>
      </c>
      <c r="F257" s="10" t="str">
        <f t="shared" si="44"/>
        <v/>
      </c>
      <c r="G257" s="10" t="str">
        <f t="shared" si="45"/>
        <v/>
      </c>
      <c r="I257" s="168">
        <v>10</v>
      </c>
      <c r="J257" s="204" t="s">
        <v>1142</v>
      </c>
      <c r="K257" s="168">
        <v>31.37</v>
      </c>
      <c r="L257" s="197">
        <v>87000020.870000005</v>
      </c>
    </row>
    <row r="258" spans="3:12">
      <c r="C258" s="11" t="str">
        <f t="shared" si="41"/>
        <v>博时基金管理有限公司</v>
      </c>
      <c r="D258" s="11">
        <f t="shared" si="42"/>
        <v>33.44</v>
      </c>
      <c r="E258" s="10">
        <f t="shared" si="43"/>
        <v>1.2707200000000001</v>
      </c>
      <c r="F258" s="10" t="str">
        <f t="shared" si="44"/>
        <v/>
      </c>
      <c r="G258" s="10" t="str">
        <f t="shared" si="45"/>
        <v/>
      </c>
      <c r="I258" s="168">
        <v>11</v>
      </c>
      <c r="J258" s="204" t="s">
        <v>173</v>
      </c>
      <c r="K258" s="168">
        <v>33.44</v>
      </c>
      <c r="L258" s="197">
        <v>127072000</v>
      </c>
    </row>
    <row r="259" spans="3:12">
      <c r="C259" s="11" t="str">
        <f t="shared" si="41"/>
        <v>国寿安保基金管理有限公司</v>
      </c>
      <c r="D259" s="11">
        <f t="shared" si="42"/>
        <v>34.5</v>
      </c>
      <c r="E259" s="10">
        <f t="shared" si="43"/>
        <v>1.740000255</v>
      </c>
      <c r="F259" s="10" t="str">
        <f t="shared" si="44"/>
        <v/>
      </c>
      <c r="G259" s="10" t="str">
        <f t="shared" si="45"/>
        <v/>
      </c>
      <c r="I259" s="191">
        <v>12</v>
      </c>
      <c r="J259" s="203" t="s">
        <v>403</v>
      </c>
      <c r="K259" s="168">
        <v>34.5</v>
      </c>
      <c r="L259" s="197">
        <v>174000025.5</v>
      </c>
    </row>
    <row r="260" spans="3:12">
      <c r="C260" s="11" t="str">
        <f t="shared" si="41"/>
        <v/>
      </c>
      <c r="D260" s="11">
        <f t="shared" si="42"/>
        <v>33.799999999999997</v>
      </c>
      <c r="E260" s="10">
        <f t="shared" si="43"/>
        <v>1.7400000019999999</v>
      </c>
      <c r="F260" s="10" t="str">
        <f t="shared" si="44"/>
        <v/>
      </c>
      <c r="G260" s="10" t="str">
        <f t="shared" si="45"/>
        <v/>
      </c>
      <c r="I260" s="324"/>
      <c r="J260" s="149"/>
      <c r="K260" s="168">
        <v>33.799999999999997</v>
      </c>
      <c r="L260" s="197">
        <v>174000000.19999999</v>
      </c>
    </row>
    <row r="261" spans="3:12">
      <c r="C261" s="11" t="str">
        <f t="shared" si="41"/>
        <v/>
      </c>
      <c r="D261" s="11">
        <f t="shared" si="42"/>
        <v>32.380000000000003</v>
      </c>
      <c r="E261" s="10">
        <f t="shared" si="43"/>
        <v>1.7400001744</v>
      </c>
      <c r="F261" s="10" t="str">
        <f t="shared" si="44"/>
        <v/>
      </c>
      <c r="G261" s="10" t="str">
        <f t="shared" si="45"/>
        <v/>
      </c>
      <c r="I261" s="25"/>
      <c r="J261" s="25"/>
      <c r="K261" s="168">
        <v>32.380000000000003</v>
      </c>
      <c r="L261" s="197">
        <v>174000017.44</v>
      </c>
    </row>
    <row r="262" spans="3:12">
      <c r="C262" s="11" t="str">
        <f t="shared" si="41"/>
        <v>九泰基金管理有限公司</v>
      </c>
      <c r="D262" s="11">
        <f t="shared" si="42"/>
        <v>31.68</v>
      </c>
      <c r="E262" s="10">
        <f t="shared" si="43"/>
        <v>0.87000027840000005</v>
      </c>
      <c r="F262" s="10" t="str">
        <f t="shared" si="44"/>
        <v/>
      </c>
      <c r="G262" s="10" t="str">
        <f t="shared" si="45"/>
        <v/>
      </c>
      <c r="I262" s="168">
        <v>13</v>
      </c>
      <c r="J262" s="204" t="s">
        <v>666</v>
      </c>
      <c r="K262" s="168">
        <v>31.68</v>
      </c>
      <c r="L262" s="197">
        <v>87000027.840000004</v>
      </c>
    </row>
    <row r="263" spans="3:12">
      <c r="C263" s="11" t="str">
        <f t="shared" si="41"/>
        <v/>
      </c>
      <c r="D263" s="11">
        <f t="shared" si="42"/>
        <v>30.03</v>
      </c>
      <c r="E263" s="10">
        <f t="shared" si="43"/>
        <v>0.95599964459999998</v>
      </c>
      <c r="F263" s="10" t="str">
        <f t="shared" si="44"/>
        <v/>
      </c>
      <c r="G263" s="10" t="str">
        <f t="shared" si="45"/>
        <v/>
      </c>
      <c r="I263" s="293"/>
      <c r="J263" s="293"/>
      <c r="K263" s="191">
        <v>30.03</v>
      </c>
      <c r="L263" s="197">
        <v>95599964.459999993</v>
      </c>
    </row>
    <row r="264" spans="3:12">
      <c r="C264" s="11" t="str">
        <f t="shared" si="41"/>
        <v/>
      </c>
      <c r="D264" s="11">
        <f t="shared" si="42"/>
        <v>28.4</v>
      </c>
      <c r="E264" s="10">
        <f t="shared" si="43"/>
        <v>0.96600043999999996</v>
      </c>
      <c r="F264" s="10" t="str">
        <f t="shared" si="44"/>
        <v/>
      </c>
      <c r="G264" s="10" t="str">
        <f t="shared" si="45"/>
        <v/>
      </c>
      <c r="I264" s="293"/>
      <c r="J264" s="293"/>
      <c r="K264" s="191">
        <v>28.4</v>
      </c>
      <c r="L264" s="197">
        <v>96600044</v>
      </c>
    </row>
    <row r="265" spans="3:12">
      <c r="C265" s="11" t="str">
        <f t="shared" si="41"/>
        <v>北京东富新投投资管理中心（有限合伙）</v>
      </c>
      <c r="D265" s="11">
        <f t="shared" si="42"/>
        <v>36.53</v>
      </c>
      <c r="E265" s="10">
        <f t="shared" si="43"/>
        <v>1.4612000000000001</v>
      </c>
      <c r="F265" s="10">
        <f t="shared" si="44"/>
        <v>813.41290000000004</v>
      </c>
      <c r="G265" s="10">
        <f t="shared" si="45"/>
        <v>2.8623999950999996</v>
      </c>
      <c r="I265" s="203"/>
      <c r="J265" s="192" t="s">
        <v>1605</v>
      </c>
      <c r="K265" s="191">
        <v>36.53</v>
      </c>
      <c r="L265" s="197">
        <v>146120000</v>
      </c>
    </row>
    <row r="266" spans="3:12" ht="14.5" customHeight="1">
      <c r="C266" s="11" t="str">
        <f t="shared" si="41"/>
        <v/>
      </c>
      <c r="D266" s="11">
        <f t="shared" si="42"/>
        <v>35.78</v>
      </c>
      <c r="E266" s="10">
        <f t="shared" si="43"/>
        <v>2.8624000000000001</v>
      </c>
      <c r="F266" s="10" t="str">
        <f t="shared" si="44"/>
        <v/>
      </c>
      <c r="G266" s="10" t="str">
        <f t="shared" si="45"/>
        <v/>
      </c>
      <c r="I266" s="191">
        <v>14</v>
      </c>
      <c r="J266" s="192"/>
      <c r="K266" s="191">
        <v>35.78</v>
      </c>
      <c r="L266" s="197">
        <v>286240000</v>
      </c>
    </row>
    <row r="267" spans="3:12">
      <c r="C267" s="11" t="str">
        <f t="shared" si="41"/>
        <v>申万菱信基金管理有限公司</v>
      </c>
      <c r="D267" s="11">
        <f t="shared" si="42"/>
        <v>28.58</v>
      </c>
      <c r="E267" s="10">
        <f t="shared" si="43"/>
        <v>0.8700000645999999</v>
      </c>
      <c r="F267" s="10" t="str">
        <f t="shared" si="44"/>
        <v/>
      </c>
      <c r="G267" s="10" t="str">
        <f t="shared" si="45"/>
        <v/>
      </c>
      <c r="I267" s="191">
        <v>15</v>
      </c>
      <c r="J267" s="203" t="s">
        <v>121</v>
      </c>
      <c r="K267" s="191">
        <v>28.58</v>
      </c>
      <c r="L267" s="197">
        <v>87000006.459999993</v>
      </c>
    </row>
    <row r="268" spans="3:12">
      <c r="C268" s="11" t="str">
        <f t="shared" si="41"/>
        <v/>
      </c>
      <c r="D268" s="11">
        <f t="shared" si="42"/>
        <v>26.58</v>
      </c>
      <c r="E268" s="10">
        <f t="shared" si="43"/>
        <v>1.7400001608000002</v>
      </c>
      <c r="F268" s="10" t="str">
        <f t="shared" si="44"/>
        <v/>
      </c>
      <c r="G268" s="10" t="str">
        <f t="shared" si="45"/>
        <v/>
      </c>
      <c r="I268" s="25"/>
      <c r="J268" s="25"/>
      <c r="K268" s="191">
        <v>26.58</v>
      </c>
      <c r="L268" s="197">
        <v>174000016.08000001</v>
      </c>
    </row>
    <row r="269" spans="3:12">
      <c r="C269" s="11" t="str">
        <f t="shared" si="41"/>
        <v>鹏华基金管理有限公司</v>
      </c>
      <c r="D269" s="11">
        <f t="shared" si="42"/>
        <v>35.19</v>
      </c>
      <c r="E269" s="10">
        <f t="shared" si="43"/>
        <v>0.87000025859999996</v>
      </c>
      <c r="F269" s="10">
        <f t="shared" si="44"/>
        <v>68.361199999999997</v>
      </c>
      <c r="G269" s="10">
        <f t="shared" si="45"/>
        <v>0.24056306279999998</v>
      </c>
      <c r="I269" s="191">
        <v>16</v>
      </c>
      <c r="J269" s="203" t="s">
        <v>152</v>
      </c>
      <c r="K269" s="191">
        <v>35.19</v>
      </c>
      <c r="L269" s="197">
        <v>87000025.859999999</v>
      </c>
    </row>
    <row r="270" spans="3:12">
      <c r="C270" s="11" t="str">
        <f t="shared" si="41"/>
        <v/>
      </c>
      <c r="D270" s="11">
        <f t="shared" si="42"/>
        <v>32.369999999999997</v>
      </c>
      <c r="E270" s="10">
        <f t="shared" si="43"/>
        <v>0.88000013790000009</v>
      </c>
      <c r="F270" s="10" t="str">
        <f t="shared" si="44"/>
        <v/>
      </c>
      <c r="G270" s="10" t="str">
        <f t="shared" si="45"/>
        <v/>
      </c>
      <c r="I270" s="25"/>
      <c r="J270" s="25"/>
      <c r="K270" s="191">
        <v>32.369999999999997</v>
      </c>
      <c r="L270" s="197">
        <v>88000013.790000007</v>
      </c>
    </row>
    <row r="271" spans="3:12">
      <c r="C271" s="11" t="str">
        <f t="shared" si="41"/>
        <v>北京恒宇天泽投资管理有限公司</v>
      </c>
      <c r="D271" s="11">
        <f t="shared" si="42"/>
        <v>32.72</v>
      </c>
      <c r="E271" s="10">
        <f t="shared" si="43"/>
        <v>0.87099985599999996</v>
      </c>
      <c r="F271" s="10" t="str">
        <f t="shared" si="44"/>
        <v/>
      </c>
      <c r="G271" s="10" t="str">
        <f t="shared" si="45"/>
        <v/>
      </c>
      <c r="I271" s="191">
        <v>17</v>
      </c>
      <c r="J271" s="203" t="s">
        <v>1604</v>
      </c>
      <c r="K271" s="191">
        <v>32.72</v>
      </c>
      <c r="L271" s="197">
        <v>87099985.599999994</v>
      </c>
    </row>
    <row r="272" spans="3:12">
      <c r="C272" s="11" t="str">
        <f t="shared" ref="C272:C301" si="46">IF(J272=0,"",J272)</f>
        <v/>
      </c>
      <c r="D272" s="11">
        <f t="shared" ref="D272:D300" si="47">K272</f>
        <v>30</v>
      </c>
      <c r="E272" s="10">
        <f t="shared" ref="E272:E300" si="48">L272/100000000</f>
        <v>0.87099990000000005</v>
      </c>
      <c r="F272" s="10" t="str">
        <f t="shared" ref="F272:F303" si="49">IFERROR(VLOOKUP(C272,O$240:Q$246,2,FALSE)/10000,"")</f>
        <v/>
      </c>
      <c r="G272" s="10" t="str">
        <f t="shared" si="45"/>
        <v/>
      </c>
      <c r="I272" s="324"/>
      <c r="J272" s="149"/>
      <c r="K272" s="191">
        <v>30</v>
      </c>
      <c r="L272" s="197">
        <v>87099990</v>
      </c>
    </row>
    <row r="273" spans="3:12">
      <c r="C273" s="11" t="str">
        <f t="shared" si="46"/>
        <v/>
      </c>
      <c r="D273" s="11">
        <f t="shared" si="47"/>
        <v>26.56</v>
      </c>
      <c r="E273" s="10">
        <f t="shared" si="48"/>
        <v>0.8709998752</v>
      </c>
      <c r="F273" s="10" t="str">
        <f t="shared" si="49"/>
        <v/>
      </c>
      <c r="G273" s="10" t="str">
        <f t="shared" si="45"/>
        <v/>
      </c>
      <c r="I273" s="25"/>
      <c r="J273" s="25"/>
      <c r="K273" s="191">
        <v>26.56</v>
      </c>
      <c r="L273" s="197">
        <v>87099987.519999996</v>
      </c>
    </row>
    <row r="274" spans="3:12">
      <c r="C274" s="11" t="str">
        <f t="shared" si="46"/>
        <v>广西铁路发展投资基金（有限合伙）</v>
      </c>
      <c r="D274" s="11">
        <f t="shared" si="47"/>
        <v>34.700000000000003</v>
      </c>
      <c r="E274" s="10">
        <f t="shared" si="48"/>
        <v>0.99999986799999996</v>
      </c>
      <c r="F274" s="10" t="str">
        <f t="shared" si="49"/>
        <v/>
      </c>
      <c r="G274" s="10" t="str">
        <f t="shared" si="45"/>
        <v/>
      </c>
      <c r="I274" s="296">
        <v>18</v>
      </c>
      <c r="J274" s="204" t="s">
        <v>1603</v>
      </c>
      <c r="K274" s="296">
        <v>34.700000000000003</v>
      </c>
      <c r="L274" s="297">
        <v>99999986.799999997</v>
      </c>
    </row>
    <row r="275" spans="3:12">
      <c r="C275" s="11" t="str">
        <f t="shared" si="46"/>
        <v/>
      </c>
      <c r="D275" s="11">
        <f t="shared" si="47"/>
        <v>0</v>
      </c>
      <c r="E275" s="10">
        <f t="shared" si="48"/>
        <v>0</v>
      </c>
      <c r="F275" s="10" t="str">
        <f t="shared" si="49"/>
        <v/>
      </c>
      <c r="G275" s="10" t="str">
        <f t="shared" si="45"/>
        <v/>
      </c>
      <c r="I275" s="296"/>
      <c r="J275" s="204"/>
      <c r="K275" s="296"/>
      <c r="L275" s="297"/>
    </row>
    <row r="276" spans="3:12">
      <c r="C276" s="11" t="str">
        <f t="shared" si="46"/>
        <v>财通基金管理有限公司</v>
      </c>
      <c r="D276" s="11">
        <f t="shared" si="47"/>
        <v>34.1</v>
      </c>
      <c r="E276" s="10">
        <f t="shared" si="48"/>
        <v>1.2003200000000001</v>
      </c>
      <c r="F276" s="10" t="str">
        <f t="shared" si="49"/>
        <v/>
      </c>
      <c r="G276" s="10" t="str">
        <f t="shared" si="45"/>
        <v/>
      </c>
      <c r="I276" s="191">
        <v>19</v>
      </c>
      <c r="J276" s="203" t="s">
        <v>115</v>
      </c>
      <c r="K276" s="191">
        <v>34.1</v>
      </c>
      <c r="L276" s="197">
        <v>120032000</v>
      </c>
    </row>
    <row r="277" spans="3:12">
      <c r="C277" s="11" t="str">
        <f t="shared" si="46"/>
        <v/>
      </c>
      <c r="D277" s="11">
        <f t="shared" si="47"/>
        <v>32.380000000000003</v>
      </c>
      <c r="E277" s="10">
        <f t="shared" si="48"/>
        <v>4.0831179999999998</v>
      </c>
      <c r="F277" s="10" t="str">
        <f t="shared" si="49"/>
        <v/>
      </c>
      <c r="G277" s="10" t="str">
        <f t="shared" si="45"/>
        <v/>
      </c>
      <c r="I277" s="324"/>
      <c r="J277" s="149"/>
      <c r="K277" s="191">
        <v>32.380000000000003</v>
      </c>
      <c r="L277" s="197">
        <v>408311800</v>
      </c>
    </row>
    <row r="278" spans="3:12">
      <c r="C278" s="11" t="str">
        <f t="shared" si="46"/>
        <v/>
      </c>
      <c r="D278" s="11">
        <f t="shared" si="47"/>
        <v>31.68</v>
      </c>
      <c r="E278" s="10">
        <f t="shared" si="48"/>
        <v>5.9590079999999999</v>
      </c>
      <c r="F278" s="10" t="str">
        <f t="shared" si="49"/>
        <v/>
      </c>
      <c r="G278" s="10" t="str">
        <f t="shared" si="45"/>
        <v/>
      </c>
      <c r="I278" s="25"/>
      <c r="J278" s="25"/>
      <c r="K278" s="191">
        <v>31.68</v>
      </c>
      <c r="L278" s="197">
        <v>595900800</v>
      </c>
    </row>
    <row r="279" spans="3:12">
      <c r="C279" s="11" t="str">
        <f t="shared" si="46"/>
        <v>诺安基金管理有限公司</v>
      </c>
      <c r="D279" s="11">
        <f t="shared" si="47"/>
        <v>27.78</v>
      </c>
      <c r="E279" s="10">
        <f t="shared" si="48"/>
        <v>0.87000014999999997</v>
      </c>
      <c r="F279" s="10" t="str">
        <f t="shared" si="49"/>
        <v/>
      </c>
      <c r="G279" s="10" t="str">
        <f t="shared" si="45"/>
        <v/>
      </c>
      <c r="I279" s="191">
        <v>20</v>
      </c>
      <c r="J279" s="203" t="s">
        <v>147</v>
      </c>
      <c r="K279" s="191">
        <v>27.78</v>
      </c>
      <c r="L279" s="197">
        <v>87000015</v>
      </c>
    </row>
    <row r="280" spans="3:12">
      <c r="C280" s="11" t="str">
        <f t="shared" si="46"/>
        <v/>
      </c>
      <c r="D280" s="11">
        <f t="shared" si="47"/>
        <v>27.77</v>
      </c>
      <c r="E280" s="10">
        <f t="shared" si="48"/>
        <v>1.1699998083000001</v>
      </c>
      <c r="F280" s="10" t="str">
        <f t="shared" si="49"/>
        <v/>
      </c>
      <c r="G280" s="10" t="str">
        <f t="shared" si="45"/>
        <v/>
      </c>
      <c r="I280" s="25"/>
      <c r="J280" s="25"/>
      <c r="K280" s="191">
        <v>27.77</v>
      </c>
      <c r="L280" s="197">
        <v>116999980.83</v>
      </c>
    </row>
    <row r="281" spans="3:12">
      <c r="C281" s="11" t="str">
        <f t="shared" si="46"/>
        <v>华宝信托有限责任公司</v>
      </c>
      <c r="D281" s="11">
        <f t="shared" si="47"/>
        <v>35.880000000000003</v>
      </c>
      <c r="E281" s="10">
        <f t="shared" si="48"/>
        <v>2.0274359976</v>
      </c>
      <c r="F281" s="10">
        <f t="shared" si="49"/>
        <v>576.13980000000004</v>
      </c>
      <c r="G281" s="10">
        <f t="shared" si="45"/>
        <v>2.0274359562000002</v>
      </c>
      <c r="I281" s="191">
        <v>21</v>
      </c>
      <c r="J281" s="203" t="s">
        <v>156</v>
      </c>
      <c r="K281" s="191">
        <v>35.880000000000003</v>
      </c>
      <c r="L281" s="197">
        <v>202743599.75999999</v>
      </c>
    </row>
    <row r="282" spans="3:12">
      <c r="C282" s="11" t="str">
        <f t="shared" si="46"/>
        <v/>
      </c>
      <c r="D282" s="11">
        <f t="shared" si="47"/>
        <v>32.58</v>
      </c>
      <c r="E282" s="10">
        <f t="shared" si="48"/>
        <v>2.2982094900000001</v>
      </c>
      <c r="F282" s="10" t="str">
        <f t="shared" si="49"/>
        <v/>
      </c>
      <c r="G282" s="10" t="str">
        <f t="shared" si="45"/>
        <v/>
      </c>
      <c r="I282" s="324"/>
      <c r="J282" s="149"/>
      <c r="K282" s="191">
        <v>32.58</v>
      </c>
      <c r="L282" s="197">
        <v>229820949</v>
      </c>
    </row>
    <row r="283" spans="3:12">
      <c r="C283" s="11" t="str">
        <f t="shared" si="46"/>
        <v/>
      </c>
      <c r="D283" s="11">
        <f t="shared" si="47"/>
        <v>30.63</v>
      </c>
      <c r="E283" s="10">
        <f t="shared" si="48"/>
        <v>3.1356421080000003</v>
      </c>
      <c r="F283" s="10" t="str">
        <f t="shared" si="49"/>
        <v/>
      </c>
      <c r="G283" s="10" t="str">
        <f t="shared" si="45"/>
        <v/>
      </c>
      <c r="I283" s="25"/>
      <c r="J283" s="25"/>
      <c r="K283" s="191">
        <v>30.63</v>
      </c>
      <c r="L283" s="197">
        <v>313564210.80000001</v>
      </c>
    </row>
    <row r="284" spans="3:12">
      <c r="C284" s="11" t="str">
        <f t="shared" si="46"/>
        <v>周昆仑</v>
      </c>
      <c r="D284" s="11">
        <f t="shared" si="47"/>
        <v>35.659999999999997</v>
      </c>
      <c r="E284" s="10">
        <f t="shared" si="48"/>
        <v>0.87000022939999999</v>
      </c>
      <c r="F284" s="10">
        <f t="shared" si="49"/>
        <v>247.22929999999999</v>
      </c>
      <c r="G284" s="10">
        <f t="shared" si="45"/>
        <v>0.86999990669999994</v>
      </c>
      <c r="I284" s="191">
        <v>22</v>
      </c>
      <c r="J284" s="204" t="s">
        <v>1602</v>
      </c>
      <c r="K284" s="191">
        <v>35.659999999999997</v>
      </c>
      <c r="L284" s="197">
        <v>87000022.939999998</v>
      </c>
    </row>
    <row r="285" spans="3:12">
      <c r="C285" s="11" t="str">
        <f t="shared" si="46"/>
        <v/>
      </c>
      <c r="D285" s="11">
        <f t="shared" si="47"/>
        <v>34.659999999999997</v>
      </c>
      <c r="E285" s="10">
        <f t="shared" si="48"/>
        <v>0.87000031340000006</v>
      </c>
      <c r="F285" s="10" t="str">
        <f t="shared" si="49"/>
        <v/>
      </c>
      <c r="G285" s="10" t="str">
        <f t="shared" si="45"/>
        <v/>
      </c>
      <c r="I285" s="324"/>
      <c r="J285" s="149"/>
      <c r="K285" s="191">
        <v>34.659999999999997</v>
      </c>
      <c r="L285" s="197">
        <v>87000031.340000004</v>
      </c>
    </row>
    <row r="286" spans="3:12">
      <c r="C286" s="11" t="str">
        <f t="shared" si="46"/>
        <v/>
      </c>
      <c r="D286" s="11">
        <f t="shared" si="47"/>
        <v>33.659999999999997</v>
      </c>
      <c r="E286" s="10">
        <f t="shared" si="48"/>
        <v>0.87000025859999996</v>
      </c>
      <c r="F286" s="10" t="str">
        <f t="shared" si="49"/>
        <v/>
      </c>
      <c r="G286" s="10" t="str">
        <f t="shared" si="45"/>
        <v/>
      </c>
      <c r="I286" s="25"/>
      <c r="J286" s="25"/>
      <c r="K286" s="191">
        <v>33.659999999999997</v>
      </c>
      <c r="L286" s="197">
        <v>87000025.859999999</v>
      </c>
    </row>
    <row r="287" spans="3:12">
      <c r="C287" s="11" t="str">
        <f t="shared" si="46"/>
        <v>北信瑞丰基金管理有限公司</v>
      </c>
      <c r="D287" s="11">
        <f t="shared" si="47"/>
        <v>32.74</v>
      </c>
      <c r="E287" s="10">
        <f t="shared" si="48"/>
        <v>0.90034999999999998</v>
      </c>
      <c r="F287" s="10" t="str">
        <f t="shared" si="49"/>
        <v/>
      </c>
      <c r="G287" s="10" t="str">
        <f t="shared" si="45"/>
        <v/>
      </c>
      <c r="I287" s="191">
        <v>23</v>
      </c>
      <c r="J287" s="203" t="s">
        <v>336</v>
      </c>
      <c r="K287" s="191">
        <v>32.74</v>
      </c>
      <c r="L287" s="197">
        <v>90035000</v>
      </c>
    </row>
    <row r="288" spans="3:12">
      <c r="C288" s="11" t="str">
        <f t="shared" si="46"/>
        <v/>
      </c>
      <c r="D288" s="11">
        <f t="shared" si="47"/>
        <v>31.69</v>
      </c>
      <c r="E288" s="10">
        <f t="shared" si="48"/>
        <v>0.98872800000000005</v>
      </c>
      <c r="F288" s="10" t="str">
        <f t="shared" si="49"/>
        <v/>
      </c>
      <c r="G288" s="10" t="str">
        <f t="shared" si="45"/>
        <v/>
      </c>
      <c r="I288" s="324"/>
      <c r="J288" s="149"/>
      <c r="K288" s="191">
        <v>31.69</v>
      </c>
      <c r="L288" s="197">
        <v>98872800</v>
      </c>
    </row>
    <row r="289" spans="1:16">
      <c r="C289" s="11" t="str">
        <f t="shared" si="46"/>
        <v/>
      </c>
      <c r="D289" s="11">
        <f t="shared" si="47"/>
        <v>27.5</v>
      </c>
      <c r="E289" s="10">
        <f t="shared" si="48"/>
        <v>1.32</v>
      </c>
      <c r="F289" s="10" t="str">
        <f t="shared" si="49"/>
        <v/>
      </c>
      <c r="G289" s="10" t="str">
        <f t="shared" si="45"/>
        <v/>
      </c>
      <c r="I289" s="25"/>
      <c r="J289" s="25"/>
      <c r="K289" s="191">
        <v>27.5</v>
      </c>
      <c r="L289" s="197">
        <v>132000000</v>
      </c>
    </row>
    <row r="290" spans="1:16">
      <c r="C290" s="11" t="str">
        <f t="shared" si="46"/>
        <v>南京瑞达信沨股权投资合伙企业（有限合伙）</v>
      </c>
      <c r="D290" s="11">
        <f t="shared" si="47"/>
        <v>31.85</v>
      </c>
      <c r="E290" s="10">
        <f t="shared" si="48"/>
        <v>0.89180000000000004</v>
      </c>
      <c r="F290" s="10" t="str">
        <f t="shared" si="49"/>
        <v/>
      </c>
      <c r="G290" s="10" t="str">
        <f t="shared" si="45"/>
        <v/>
      </c>
      <c r="I290" s="296">
        <v>24</v>
      </c>
      <c r="J290" s="204" t="s">
        <v>1363</v>
      </c>
      <c r="K290" s="296">
        <v>31.85</v>
      </c>
      <c r="L290" s="297">
        <v>89180000</v>
      </c>
    </row>
    <row r="291" spans="1:16">
      <c r="C291" s="11" t="str">
        <f t="shared" si="46"/>
        <v/>
      </c>
      <c r="D291" s="11">
        <f t="shared" si="47"/>
        <v>0</v>
      </c>
      <c r="E291" s="10">
        <f t="shared" si="48"/>
        <v>0</v>
      </c>
      <c r="F291" s="10" t="str">
        <f t="shared" si="49"/>
        <v/>
      </c>
      <c r="G291" s="10" t="str">
        <f t="shared" si="45"/>
        <v/>
      </c>
      <c r="I291" s="296"/>
      <c r="J291" s="204"/>
      <c r="K291" s="296"/>
      <c r="L291" s="297"/>
    </row>
    <row r="292" spans="1:16">
      <c r="C292" s="11" t="str">
        <f t="shared" si="46"/>
        <v>国泰君安创新投资有限公司</v>
      </c>
      <c r="D292" s="11">
        <f t="shared" si="47"/>
        <v>36.799999999999997</v>
      </c>
      <c r="E292" s="10">
        <f t="shared" si="48"/>
        <v>0.870000208</v>
      </c>
      <c r="F292" s="10">
        <f t="shared" si="49"/>
        <v>247.2294</v>
      </c>
      <c r="G292" s="10">
        <f t="shared" si="45"/>
        <v>0.87000025859999985</v>
      </c>
      <c r="I292" s="191">
        <v>25</v>
      </c>
      <c r="J292" s="203" t="s">
        <v>1516</v>
      </c>
      <c r="K292" s="191">
        <v>36.799999999999997</v>
      </c>
      <c r="L292" s="197">
        <v>87000020.799999997</v>
      </c>
    </row>
    <row r="293" spans="1:16">
      <c r="C293" s="11" t="str">
        <f t="shared" si="46"/>
        <v/>
      </c>
      <c r="D293" s="11">
        <f t="shared" si="47"/>
        <v>35.5</v>
      </c>
      <c r="E293" s="10">
        <f t="shared" si="48"/>
        <v>0.87000027499999999</v>
      </c>
      <c r="F293" s="10" t="str">
        <f t="shared" si="49"/>
        <v/>
      </c>
      <c r="G293" s="10" t="str">
        <f t="shared" si="45"/>
        <v/>
      </c>
      <c r="I293" s="324"/>
      <c r="J293" s="149"/>
      <c r="K293" s="191">
        <v>35.5</v>
      </c>
      <c r="L293" s="197">
        <v>87000027.5</v>
      </c>
    </row>
    <row r="294" spans="1:16">
      <c r="C294" s="11" t="str">
        <f t="shared" si="46"/>
        <v/>
      </c>
      <c r="D294" s="11">
        <f t="shared" si="47"/>
        <v>34</v>
      </c>
      <c r="E294" s="10">
        <f t="shared" si="48"/>
        <v>0.87000016000000002</v>
      </c>
      <c r="F294" s="10" t="str">
        <f t="shared" si="49"/>
        <v/>
      </c>
      <c r="G294" s="10" t="str">
        <f t="shared" si="45"/>
        <v/>
      </c>
      <c r="I294" s="25"/>
      <c r="J294" s="25"/>
      <c r="K294" s="191">
        <v>34</v>
      </c>
      <c r="L294" s="197">
        <v>87000016</v>
      </c>
    </row>
    <row r="295" spans="1:16">
      <c r="C295" s="11" t="str">
        <f t="shared" si="46"/>
        <v>山西国君创投股权投资合伙企业（有限合伙）</v>
      </c>
      <c r="D295" s="11">
        <f t="shared" si="47"/>
        <v>36.799999999999997</v>
      </c>
      <c r="E295" s="10">
        <f t="shared" si="48"/>
        <v>0.870000208</v>
      </c>
      <c r="F295" s="10">
        <f t="shared" si="49"/>
        <v>247.2294</v>
      </c>
      <c r="G295" s="10">
        <f t="shared" si="45"/>
        <v>0.87000025859999985</v>
      </c>
      <c r="I295" s="156"/>
      <c r="J295" s="204" t="s">
        <v>1601</v>
      </c>
      <c r="K295" s="191">
        <v>36.799999999999997</v>
      </c>
      <c r="L295" s="197">
        <v>87000020.799999997</v>
      </c>
    </row>
    <row r="296" spans="1:16">
      <c r="C296" s="11" t="str">
        <f t="shared" si="46"/>
        <v/>
      </c>
      <c r="D296" s="11">
        <f t="shared" si="47"/>
        <v>35.5</v>
      </c>
      <c r="E296" s="10">
        <f t="shared" si="48"/>
        <v>0.87000027499999999</v>
      </c>
      <c r="F296" s="10" t="str">
        <f t="shared" si="49"/>
        <v/>
      </c>
      <c r="G296" s="10" t="str">
        <f t="shared" si="45"/>
        <v/>
      </c>
      <c r="I296" s="324"/>
      <c r="J296" s="25"/>
      <c r="K296" s="191">
        <v>35.5</v>
      </c>
      <c r="L296" s="197">
        <v>87000027.5</v>
      </c>
    </row>
    <row r="297" spans="1:16">
      <c r="C297" s="11" t="str">
        <f t="shared" si="46"/>
        <v/>
      </c>
      <c r="D297" s="11">
        <f t="shared" si="47"/>
        <v>34</v>
      </c>
      <c r="E297" s="10">
        <f t="shared" si="48"/>
        <v>0.87000016000000002</v>
      </c>
      <c r="F297" s="10" t="str">
        <f t="shared" si="49"/>
        <v/>
      </c>
      <c r="G297" s="11"/>
      <c r="I297" s="191">
        <v>26</v>
      </c>
      <c r="J297" s="204"/>
      <c r="K297" s="191">
        <v>34</v>
      </c>
      <c r="L297" s="197">
        <v>87000016</v>
      </c>
    </row>
    <row r="298" spans="1:16">
      <c r="C298" s="11" t="str">
        <f t="shared" si="46"/>
        <v>富国基金管理有限公司</v>
      </c>
      <c r="D298" s="11">
        <f t="shared" si="47"/>
        <v>33.979999999999997</v>
      </c>
      <c r="E298" s="10">
        <f t="shared" si="48"/>
        <v>0.87000013400000009</v>
      </c>
      <c r="F298" s="10" t="str">
        <f t="shared" si="49"/>
        <v/>
      </c>
      <c r="G298" s="11"/>
      <c r="I298" s="156"/>
      <c r="J298" s="203" t="s">
        <v>295</v>
      </c>
      <c r="K298" s="168">
        <v>33.979999999999997</v>
      </c>
      <c r="L298" s="197">
        <v>87000013.400000006</v>
      </c>
    </row>
    <row r="299" spans="1:16">
      <c r="C299" s="11" t="str">
        <f t="shared" si="46"/>
        <v/>
      </c>
      <c r="D299" s="11">
        <f t="shared" si="47"/>
        <v>32.56</v>
      </c>
      <c r="E299" s="10">
        <f t="shared" si="48"/>
        <v>1.0700000695999998</v>
      </c>
      <c r="F299" s="11" t="str">
        <f t="shared" si="49"/>
        <v/>
      </c>
      <c r="G299" s="11"/>
      <c r="I299" s="324"/>
      <c r="J299" s="149"/>
      <c r="K299" s="168">
        <v>32.56</v>
      </c>
      <c r="L299" s="197">
        <v>107000006.95999999</v>
      </c>
    </row>
    <row r="300" spans="1:16">
      <c r="C300" s="11" t="str">
        <f t="shared" si="46"/>
        <v/>
      </c>
      <c r="D300" s="11">
        <f t="shared" si="47"/>
        <v>30.7</v>
      </c>
      <c r="E300" s="10">
        <f t="shared" si="48"/>
        <v>1.270000056</v>
      </c>
      <c r="F300" s="11" t="str">
        <f t="shared" si="49"/>
        <v/>
      </c>
      <c r="G300" s="11"/>
      <c r="I300" s="191">
        <v>27</v>
      </c>
      <c r="J300" s="25"/>
      <c r="K300" s="168">
        <v>30.7</v>
      </c>
      <c r="L300" s="197">
        <v>127000005.59999999</v>
      </c>
    </row>
    <row r="301" spans="1:16">
      <c r="C301" s="24" t="str">
        <f t="shared" si="46"/>
        <v/>
      </c>
      <c r="F301" s="24" t="str">
        <f t="shared" si="49"/>
        <v/>
      </c>
    </row>
    <row r="302" spans="1:16">
      <c r="F302" s="24" t="str">
        <f t="shared" si="49"/>
        <v/>
      </c>
    </row>
    <row r="303" spans="1:16">
      <c r="F303" s="24" t="str">
        <f t="shared" si="49"/>
        <v/>
      </c>
    </row>
    <row r="304" spans="1:16" s="162" customFormat="1">
      <c r="A304" s="164" t="s">
        <v>1315</v>
      </c>
      <c r="B304" s="164"/>
      <c r="C304" s="164" t="s">
        <v>107</v>
      </c>
      <c r="D304" s="164" t="s">
        <v>4</v>
      </c>
      <c r="E304" s="166" t="s">
        <v>108</v>
      </c>
      <c r="F304" s="166" t="s">
        <v>109</v>
      </c>
      <c r="G304" s="164" t="s">
        <v>1314</v>
      </c>
      <c r="H304" s="164" t="s">
        <v>1313</v>
      </c>
      <c r="I304" s="165" t="s">
        <v>1312</v>
      </c>
      <c r="J304" s="163" t="s">
        <v>1311</v>
      </c>
      <c r="K304" s="163" t="s">
        <v>110</v>
      </c>
      <c r="L304" s="163" t="s">
        <v>1310</v>
      </c>
      <c r="M304" s="164" t="s">
        <v>111</v>
      </c>
      <c r="N304" s="163" t="s">
        <v>949</v>
      </c>
      <c r="O304" s="163" t="s">
        <v>948</v>
      </c>
      <c r="P304" s="163" t="s">
        <v>129</v>
      </c>
    </row>
    <row r="305" spans="1:17">
      <c r="A305" s="24">
        <v>296</v>
      </c>
      <c r="B305" s="161" t="s">
        <v>1600</v>
      </c>
      <c r="C305" s="1" t="s">
        <v>1599</v>
      </c>
      <c r="D305" s="1" t="s">
        <v>1598</v>
      </c>
      <c r="E305" s="3">
        <v>6.5</v>
      </c>
      <c r="F305" s="3">
        <v>6.4999999815000002</v>
      </c>
      <c r="G305" s="2">
        <v>42709</v>
      </c>
      <c r="H305" s="24" t="s">
        <v>153</v>
      </c>
      <c r="I305" s="130">
        <v>8.6</v>
      </c>
      <c r="J305" s="3">
        <v>8.15</v>
      </c>
      <c r="K305" s="160">
        <v>6.92</v>
      </c>
      <c r="L305" s="271">
        <f>J305/I305</f>
        <v>0.94767441860465129</v>
      </c>
      <c r="M305" s="270">
        <v>8</v>
      </c>
      <c r="N305" s="2">
        <v>43091</v>
      </c>
      <c r="O305" s="24">
        <v>3.59</v>
      </c>
      <c r="P305" s="157">
        <f>(O305*(1+R305/10)+S305/10)/J305</f>
        <v>0.44049079754601222</v>
      </c>
    </row>
    <row r="306" spans="1:17">
      <c r="C306" s="16" t="s">
        <v>112</v>
      </c>
      <c r="D306" s="16" t="s">
        <v>113</v>
      </c>
      <c r="E306" s="16" t="s">
        <v>1305</v>
      </c>
      <c r="F306" s="17" t="s">
        <v>1304</v>
      </c>
      <c r="G306" s="16" t="s">
        <v>1303</v>
      </c>
      <c r="I306" s="85" t="s">
        <v>118</v>
      </c>
      <c r="J306" s="225" t="s">
        <v>1597</v>
      </c>
      <c r="K306" s="84" t="s">
        <v>488</v>
      </c>
      <c r="L306" s="225" t="s">
        <v>401</v>
      </c>
      <c r="M306" s="25"/>
      <c r="N306" s="85" t="s">
        <v>118</v>
      </c>
      <c r="O306" s="225" t="s">
        <v>486</v>
      </c>
      <c r="P306" s="84" t="s">
        <v>1301</v>
      </c>
      <c r="Q306" s="225" t="s">
        <v>1596</v>
      </c>
    </row>
    <row r="307" spans="1:17" ht="14.5" customHeight="1">
      <c r="C307" s="11" t="str">
        <f t="shared" ref="C307:C341" si="50">IF(J307=0,"",J307)</f>
        <v>泰达宏利基金管理有限公司</v>
      </c>
      <c r="D307" s="11">
        <f t="shared" ref="D307:D341" si="51">K307</f>
        <v>8.56</v>
      </c>
      <c r="E307" s="11">
        <f t="shared" ref="E307:E341" si="52">L307/100000000</f>
        <v>0.93</v>
      </c>
      <c r="F307" s="10">
        <f t="shared" ref="F307:F341" si="53">IFERROR(VLOOKUP(C307,O$307:Q$314,3,FALSE)/10000,"")</f>
        <v>1141.1042</v>
      </c>
      <c r="G307" s="10">
        <f t="shared" ref="G307:G319" si="54">IFERROR(F307*J$305/10000,"")</f>
        <v>0.9299999229999999</v>
      </c>
      <c r="I307" s="296">
        <v>1</v>
      </c>
      <c r="J307" s="192" t="s">
        <v>148</v>
      </c>
      <c r="K307" s="190">
        <v>8.56</v>
      </c>
      <c r="L307" s="236">
        <v>93000000</v>
      </c>
      <c r="M307" s="25"/>
      <c r="N307" s="168">
        <v>1</v>
      </c>
      <c r="O307" s="203" t="s">
        <v>148</v>
      </c>
      <c r="P307" s="190">
        <v>8.15</v>
      </c>
      <c r="Q307" s="236">
        <v>11411042</v>
      </c>
    </row>
    <row r="308" spans="1:17">
      <c r="C308" s="11" t="str">
        <f t="shared" si="50"/>
        <v/>
      </c>
      <c r="D308" s="11">
        <f t="shared" si="51"/>
        <v>7.96</v>
      </c>
      <c r="E308" s="11">
        <f t="shared" si="52"/>
        <v>1.05</v>
      </c>
      <c r="F308" s="10" t="str">
        <f t="shared" si="53"/>
        <v/>
      </c>
      <c r="G308" s="10" t="str">
        <f t="shared" si="54"/>
        <v/>
      </c>
      <c r="I308" s="296"/>
      <c r="J308" s="192"/>
      <c r="K308" s="190">
        <v>7.96</v>
      </c>
      <c r="L308" s="236">
        <v>105000000</v>
      </c>
      <c r="M308" s="25"/>
      <c r="N308" s="168">
        <v>2</v>
      </c>
      <c r="O308" s="203" t="s">
        <v>1142</v>
      </c>
      <c r="P308" s="190">
        <v>8.15</v>
      </c>
      <c r="Q308" s="236">
        <v>7975460</v>
      </c>
    </row>
    <row r="309" spans="1:17">
      <c r="C309" s="11" t="str">
        <f t="shared" si="50"/>
        <v>国信证券股份有限公司</v>
      </c>
      <c r="D309" s="11">
        <f t="shared" si="51"/>
        <v>8.4</v>
      </c>
      <c r="E309" s="11">
        <f t="shared" si="52"/>
        <v>0.65</v>
      </c>
      <c r="F309" s="10">
        <f t="shared" si="53"/>
        <v>797.54600000000005</v>
      </c>
      <c r="G309" s="10">
        <f t="shared" si="54"/>
        <v>0.64999999000000008</v>
      </c>
      <c r="I309" s="168">
        <v>2</v>
      </c>
      <c r="J309" s="203" t="s">
        <v>1142</v>
      </c>
      <c r="K309" s="190">
        <v>8.4</v>
      </c>
      <c r="L309" s="236">
        <v>65000000</v>
      </c>
      <c r="M309" s="25"/>
      <c r="N309" s="168">
        <v>3</v>
      </c>
      <c r="O309" s="203" t="s">
        <v>385</v>
      </c>
      <c r="P309" s="190">
        <v>8.15</v>
      </c>
      <c r="Q309" s="236">
        <v>22085889</v>
      </c>
    </row>
    <row r="310" spans="1:17">
      <c r="C310" s="11" t="str">
        <f t="shared" si="50"/>
        <v>西部证券股份有限公司</v>
      </c>
      <c r="D310" s="11">
        <f t="shared" si="51"/>
        <v>8.3800000000000008</v>
      </c>
      <c r="E310" s="11">
        <f t="shared" si="52"/>
        <v>1.8</v>
      </c>
      <c r="F310" s="10">
        <f t="shared" si="53"/>
        <v>2208.5889000000002</v>
      </c>
      <c r="G310" s="10">
        <f t="shared" si="54"/>
        <v>1.7999999535000002</v>
      </c>
      <c r="I310" s="168">
        <v>3</v>
      </c>
      <c r="J310" s="203" t="s">
        <v>385</v>
      </c>
      <c r="K310" s="190">
        <v>8.3800000000000008</v>
      </c>
      <c r="L310" s="236">
        <v>180000000</v>
      </c>
      <c r="M310" s="25"/>
      <c r="N310" s="168">
        <v>4</v>
      </c>
      <c r="O310" s="203" t="s">
        <v>352</v>
      </c>
      <c r="P310" s="190">
        <v>8.15</v>
      </c>
      <c r="Q310" s="236">
        <v>7975460</v>
      </c>
    </row>
    <row r="311" spans="1:17">
      <c r="C311" s="11" t="str">
        <f t="shared" si="50"/>
        <v>兴业财富资产管理有限公司</v>
      </c>
      <c r="D311" s="11">
        <f t="shared" si="51"/>
        <v>8.6999999999999993</v>
      </c>
      <c r="E311" s="11">
        <f t="shared" si="52"/>
        <v>0.65</v>
      </c>
      <c r="F311" s="10">
        <f t="shared" si="53"/>
        <v>797.54600000000005</v>
      </c>
      <c r="G311" s="10">
        <f t="shared" si="54"/>
        <v>0.64999999000000008</v>
      </c>
      <c r="I311" s="168">
        <v>4</v>
      </c>
      <c r="J311" s="203" t="s">
        <v>352</v>
      </c>
      <c r="K311" s="190">
        <v>8.6999999999999993</v>
      </c>
      <c r="L311" s="236">
        <v>65000000</v>
      </c>
      <c r="M311" s="25"/>
      <c r="N311" s="296">
        <v>5</v>
      </c>
      <c r="O311" s="203" t="s">
        <v>1595</v>
      </c>
      <c r="P311" s="296">
        <v>8.15</v>
      </c>
      <c r="Q311" s="275">
        <v>9815950</v>
      </c>
    </row>
    <row r="312" spans="1:17">
      <c r="C312" s="11" t="str">
        <f t="shared" si="50"/>
        <v/>
      </c>
      <c r="D312" s="11">
        <f t="shared" si="51"/>
        <v>8.35</v>
      </c>
      <c r="E312" s="11">
        <f t="shared" si="52"/>
        <v>0.65</v>
      </c>
      <c r="F312" s="10" t="str">
        <f t="shared" si="53"/>
        <v/>
      </c>
      <c r="G312" s="10" t="str">
        <f t="shared" si="54"/>
        <v/>
      </c>
      <c r="I312" s="25"/>
      <c r="J312" s="25"/>
      <c r="K312" s="190">
        <v>8.35</v>
      </c>
      <c r="L312" s="236">
        <v>65000000</v>
      </c>
      <c r="M312" s="25"/>
      <c r="N312" s="168">
        <v>6</v>
      </c>
      <c r="O312" s="203" t="s">
        <v>977</v>
      </c>
      <c r="P312" s="190">
        <v>8.15</v>
      </c>
      <c r="Q312" s="236">
        <v>9815950</v>
      </c>
    </row>
    <row r="313" spans="1:17">
      <c r="C313" s="11" t="str">
        <f t="shared" si="50"/>
        <v/>
      </c>
      <c r="D313" s="11">
        <f t="shared" si="51"/>
        <v>7.5</v>
      </c>
      <c r="E313" s="11">
        <f t="shared" si="52"/>
        <v>0.65</v>
      </c>
      <c r="F313" s="10" t="str">
        <f t="shared" si="53"/>
        <v/>
      </c>
      <c r="G313" s="10" t="str">
        <f t="shared" si="54"/>
        <v/>
      </c>
      <c r="I313" s="64"/>
      <c r="J313" s="64"/>
      <c r="K313" s="190">
        <v>7.5</v>
      </c>
      <c r="L313" s="236">
        <v>65000000</v>
      </c>
      <c r="M313" s="25"/>
      <c r="N313" s="168">
        <v>7</v>
      </c>
      <c r="O313" s="203" t="s">
        <v>966</v>
      </c>
      <c r="P313" s="190">
        <v>8.15</v>
      </c>
      <c r="Q313" s="236">
        <v>8343558</v>
      </c>
    </row>
    <row r="314" spans="1:17">
      <c r="C314" s="11" t="str">
        <f t="shared" si="50"/>
        <v>安徽中安资本投资基金有限公司</v>
      </c>
      <c r="D314" s="11">
        <f t="shared" si="51"/>
        <v>8.27</v>
      </c>
      <c r="E314" s="11">
        <f t="shared" si="52"/>
        <v>0.8</v>
      </c>
      <c r="F314" s="10">
        <f t="shared" si="53"/>
        <v>981.59500000000003</v>
      </c>
      <c r="G314" s="10">
        <f t="shared" si="54"/>
        <v>0.79999992500000006</v>
      </c>
      <c r="I314" s="296">
        <v>5</v>
      </c>
      <c r="J314" s="203" t="s">
        <v>1595</v>
      </c>
      <c r="K314" s="296">
        <v>8.27</v>
      </c>
      <c r="L314" s="275">
        <v>80000000</v>
      </c>
      <c r="M314" s="25"/>
      <c r="N314" s="168">
        <v>8</v>
      </c>
      <c r="O314" s="203" t="s">
        <v>115</v>
      </c>
      <c r="P314" s="190">
        <v>8.15</v>
      </c>
      <c r="Q314" s="236">
        <v>2331292</v>
      </c>
    </row>
    <row r="315" spans="1:17">
      <c r="C315" s="11" t="str">
        <f t="shared" si="50"/>
        <v/>
      </c>
      <c r="D315" s="11">
        <f t="shared" si="51"/>
        <v>0</v>
      </c>
      <c r="E315" s="11">
        <f t="shared" si="52"/>
        <v>0</v>
      </c>
      <c r="F315" s="10" t="str">
        <f t="shared" si="53"/>
        <v/>
      </c>
      <c r="G315" s="10" t="str">
        <f t="shared" si="54"/>
        <v/>
      </c>
      <c r="I315" s="296"/>
      <c r="J315" s="203"/>
      <c r="K315" s="296"/>
      <c r="L315" s="275"/>
      <c r="M315" s="25"/>
      <c r="N315" s="25"/>
      <c r="O315" s="25"/>
      <c r="P315" s="25"/>
      <c r="Q315" s="25"/>
    </row>
    <row r="316" spans="1:17">
      <c r="C316" s="11" t="str">
        <f t="shared" si="50"/>
        <v>银华基金管理有限公司</v>
      </c>
      <c r="D316" s="11">
        <f t="shared" si="51"/>
        <v>8.23</v>
      </c>
      <c r="E316" s="11">
        <f t="shared" si="52"/>
        <v>0.8</v>
      </c>
      <c r="F316" s="10">
        <f t="shared" si="53"/>
        <v>981.59500000000003</v>
      </c>
      <c r="G316" s="10">
        <f t="shared" si="54"/>
        <v>0.79999992500000006</v>
      </c>
      <c r="I316" s="296">
        <v>6</v>
      </c>
      <c r="J316" s="192" t="s">
        <v>977</v>
      </c>
      <c r="K316" s="190">
        <v>8.23</v>
      </c>
      <c r="L316" s="236">
        <v>80000000</v>
      </c>
      <c r="M316" s="25"/>
      <c r="N316" s="25"/>
      <c r="O316" s="25"/>
      <c r="P316" s="25"/>
      <c r="Q316" s="25"/>
    </row>
    <row r="317" spans="1:17">
      <c r="C317" s="11" t="str">
        <f t="shared" si="50"/>
        <v/>
      </c>
      <c r="D317" s="11">
        <f t="shared" si="51"/>
        <v>7.96</v>
      </c>
      <c r="E317" s="11">
        <f t="shared" si="52"/>
        <v>1.8</v>
      </c>
      <c r="F317" s="10" t="str">
        <f t="shared" si="53"/>
        <v/>
      </c>
      <c r="G317" s="10" t="str">
        <f t="shared" si="54"/>
        <v/>
      </c>
      <c r="I317" s="296"/>
      <c r="J317" s="192"/>
      <c r="K317" s="190">
        <v>7.96</v>
      </c>
      <c r="L317" s="236">
        <v>180000000</v>
      </c>
      <c r="M317" s="25"/>
      <c r="N317" s="25"/>
      <c r="O317" s="25"/>
      <c r="P317" s="25"/>
      <c r="Q317" s="25"/>
    </row>
    <row r="318" spans="1:17">
      <c r="C318" s="11" t="str">
        <f t="shared" si="50"/>
        <v>融通基金管理有限公司</v>
      </c>
      <c r="D318" s="11">
        <f t="shared" si="51"/>
        <v>8.2100000000000009</v>
      </c>
      <c r="E318" s="11">
        <f t="shared" si="52"/>
        <v>0.68</v>
      </c>
      <c r="F318" s="10">
        <f t="shared" si="53"/>
        <v>834.35580000000004</v>
      </c>
      <c r="G318" s="10">
        <f t="shared" si="54"/>
        <v>0.67999997700000003</v>
      </c>
      <c r="I318" s="168">
        <v>7</v>
      </c>
      <c r="J318" s="203" t="s">
        <v>966</v>
      </c>
      <c r="K318" s="190">
        <v>8.2100000000000009</v>
      </c>
      <c r="L318" s="236">
        <v>68000000</v>
      </c>
      <c r="M318" s="25"/>
      <c r="N318" s="25"/>
      <c r="O318" s="25"/>
      <c r="P318" s="25"/>
      <c r="Q318" s="25"/>
    </row>
    <row r="319" spans="1:17">
      <c r="C319" s="11" t="str">
        <f t="shared" si="50"/>
        <v>财通基金管理有限公司</v>
      </c>
      <c r="D319" s="11">
        <f t="shared" si="51"/>
        <v>8.15</v>
      </c>
      <c r="E319" s="11">
        <f t="shared" si="52"/>
        <v>1.79</v>
      </c>
      <c r="F319" s="10">
        <f t="shared" si="53"/>
        <v>233.1292</v>
      </c>
      <c r="G319" s="10">
        <f t="shared" si="54"/>
        <v>0.19000029799999998</v>
      </c>
      <c r="I319" s="296">
        <v>8</v>
      </c>
      <c r="J319" s="192" t="s">
        <v>115</v>
      </c>
      <c r="K319" s="190">
        <v>8.15</v>
      </c>
      <c r="L319" s="236">
        <v>179000000</v>
      </c>
      <c r="M319" s="25"/>
      <c r="N319" s="25"/>
      <c r="O319" s="25"/>
      <c r="P319" s="25"/>
      <c r="Q319" s="25"/>
    </row>
    <row r="320" spans="1:17">
      <c r="C320" s="11" t="str">
        <f t="shared" si="50"/>
        <v/>
      </c>
      <c r="D320" s="11">
        <f t="shared" si="51"/>
        <v>8.0500000000000007</v>
      </c>
      <c r="E320" s="11">
        <f t="shared" si="52"/>
        <v>2.6</v>
      </c>
      <c r="F320" s="10" t="str">
        <f t="shared" si="53"/>
        <v/>
      </c>
      <c r="G320" s="11"/>
      <c r="I320" s="296"/>
      <c r="J320" s="192"/>
      <c r="K320" s="190">
        <v>8.0500000000000007</v>
      </c>
      <c r="L320" s="236">
        <v>260000000</v>
      </c>
      <c r="M320" s="25"/>
      <c r="N320" s="25"/>
      <c r="O320" s="25"/>
      <c r="P320" s="25"/>
      <c r="Q320" s="25"/>
    </row>
    <row r="321" spans="3:17">
      <c r="C321" s="11" t="str">
        <f t="shared" si="50"/>
        <v>嘉实基金管理有限公司</v>
      </c>
      <c r="D321" s="11">
        <f t="shared" si="51"/>
        <v>8.15</v>
      </c>
      <c r="E321" s="11">
        <f t="shared" si="52"/>
        <v>0.9</v>
      </c>
      <c r="F321" s="10" t="str">
        <f t="shared" si="53"/>
        <v/>
      </c>
      <c r="G321" s="11"/>
      <c r="I321" s="168">
        <v>9</v>
      </c>
      <c r="J321" s="203" t="s">
        <v>228</v>
      </c>
      <c r="K321" s="190">
        <v>8.15</v>
      </c>
      <c r="L321" s="236">
        <v>90000000</v>
      </c>
      <c r="M321" s="25"/>
      <c r="N321" s="25"/>
      <c r="O321" s="25"/>
      <c r="P321" s="25"/>
      <c r="Q321" s="25"/>
    </row>
    <row r="322" spans="3:17">
      <c r="C322" s="11" t="str">
        <f t="shared" si="50"/>
        <v/>
      </c>
      <c r="D322" s="11">
        <f t="shared" si="51"/>
        <v>7.8</v>
      </c>
      <c r="E322" s="11">
        <f t="shared" si="52"/>
        <v>1.1000000000000001</v>
      </c>
      <c r="F322" s="10" t="str">
        <f t="shared" si="53"/>
        <v/>
      </c>
      <c r="G322" s="11"/>
      <c r="I322" s="25"/>
      <c r="J322" s="25"/>
      <c r="K322" s="190">
        <v>7.8</v>
      </c>
      <c r="L322" s="236">
        <v>110000000</v>
      </c>
      <c r="M322" s="25"/>
      <c r="N322" s="25"/>
      <c r="O322" s="25"/>
      <c r="P322" s="25"/>
      <c r="Q322" s="25"/>
    </row>
    <row r="323" spans="3:17">
      <c r="C323" s="11" t="str">
        <f t="shared" si="50"/>
        <v/>
      </c>
      <c r="D323" s="11">
        <f t="shared" si="51"/>
        <v>7.5</v>
      </c>
      <c r="E323" s="11">
        <f t="shared" si="52"/>
        <v>1.3</v>
      </c>
      <c r="F323" s="10" t="str">
        <f t="shared" si="53"/>
        <v/>
      </c>
      <c r="G323" s="11"/>
      <c r="I323" s="64"/>
      <c r="J323" s="64"/>
      <c r="K323" s="190">
        <v>7.5</v>
      </c>
      <c r="L323" s="236">
        <v>130000000</v>
      </c>
      <c r="M323" s="25"/>
      <c r="N323" s="25"/>
      <c r="O323" s="25"/>
      <c r="P323" s="25"/>
      <c r="Q323" s="25"/>
    </row>
    <row r="324" spans="3:17">
      <c r="C324" s="11" t="str">
        <f t="shared" si="50"/>
        <v>九泰基金管理有限公司</v>
      </c>
      <c r="D324" s="11">
        <f t="shared" si="51"/>
        <v>8.06</v>
      </c>
      <c r="E324" s="11">
        <f t="shared" si="52"/>
        <v>1.4</v>
      </c>
      <c r="F324" s="10" t="str">
        <f t="shared" si="53"/>
        <v/>
      </c>
      <c r="G324" s="11"/>
      <c r="I324" s="191">
        <v>10</v>
      </c>
      <c r="J324" s="203" t="s">
        <v>666</v>
      </c>
      <c r="K324" s="190">
        <v>8.06</v>
      </c>
      <c r="L324" s="236">
        <v>140000000</v>
      </c>
      <c r="M324" s="25"/>
      <c r="N324" s="25"/>
      <c r="O324" s="25"/>
      <c r="P324" s="25"/>
      <c r="Q324" s="25"/>
    </row>
    <row r="325" spans="3:17">
      <c r="C325" s="11" t="str">
        <f t="shared" si="50"/>
        <v/>
      </c>
      <c r="D325" s="11">
        <f t="shared" si="51"/>
        <v>7.65</v>
      </c>
      <c r="E325" s="11">
        <f t="shared" si="52"/>
        <v>1.59</v>
      </c>
      <c r="F325" s="10" t="str">
        <f t="shared" si="53"/>
        <v/>
      </c>
      <c r="G325" s="11"/>
      <c r="I325" s="25"/>
      <c r="J325" s="25"/>
      <c r="K325" s="190">
        <v>7.65</v>
      </c>
      <c r="L325" s="236">
        <v>159000000</v>
      </c>
      <c r="M325" s="25"/>
      <c r="N325" s="25"/>
      <c r="O325" s="25"/>
      <c r="P325" s="25"/>
      <c r="Q325" s="25"/>
    </row>
    <row r="326" spans="3:17">
      <c r="C326" s="11" t="str">
        <f t="shared" si="50"/>
        <v/>
      </c>
      <c r="D326" s="11">
        <f t="shared" si="51"/>
        <v>7.04</v>
      </c>
      <c r="E326" s="11">
        <f t="shared" si="52"/>
        <v>1.84</v>
      </c>
      <c r="F326" s="10" t="str">
        <f t="shared" si="53"/>
        <v/>
      </c>
      <c r="G326" s="11"/>
      <c r="I326" s="64"/>
      <c r="J326" s="64"/>
      <c r="K326" s="190">
        <v>7.04</v>
      </c>
      <c r="L326" s="236">
        <v>184000000</v>
      </c>
      <c r="M326" s="25"/>
      <c r="N326" s="25"/>
      <c r="O326" s="25"/>
      <c r="P326" s="25"/>
      <c r="Q326" s="25"/>
    </row>
    <row r="327" spans="3:17">
      <c r="C327" s="11" t="str">
        <f t="shared" si="50"/>
        <v>金鹰基金管理有限公司</v>
      </c>
      <c r="D327" s="11">
        <f t="shared" si="51"/>
        <v>8.06</v>
      </c>
      <c r="E327" s="11">
        <f t="shared" si="52"/>
        <v>1.3</v>
      </c>
      <c r="F327" s="10" t="str">
        <f t="shared" si="53"/>
        <v/>
      </c>
      <c r="G327" s="11"/>
      <c r="I327" s="168">
        <v>11</v>
      </c>
      <c r="J327" s="203" t="s">
        <v>278</v>
      </c>
      <c r="K327" s="190">
        <v>8.06</v>
      </c>
      <c r="L327" s="236">
        <v>130000000</v>
      </c>
      <c r="M327" s="25"/>
      <c r="N327" s="25"/>
      <c r="O327" s="25"/>
      <c r="P327" s="25"/>
      <c r="Q327" s="25"/>
    </row>
    <row r="328" spans="3:17">
      <c r="C328" s="11" t="str">
        <f t="shared" si="50"/>
        <v>五矿证券有限公司</v>
      </c>
      <c r="D328" s="11">
        <f t="shared" si="51"/>
        <v>7.86</v>
      </c>
      <c r="E328" s="11">
        <f t="shared" si="52"/>
        <v>0.65</v>
      </c>
      <c r="F328" s="10" t="str">
        <f t="shared" si="53"/>
        <v/>
      </c>
      <c r="G328" s="11"/>
      <c r="I328" s="168">
        <v>12</v>
      </c>
      <c r="J328" s="203" t="s">
        <v>1594</v>
      </c>
      <c r="K328" s="190">
        <v>7.86</v>
      </c>
      <c r="L328" s="236">
        <v>65000000</v>
      </c>
      <c r="M328" s="25"/>
      <c r="N328" s="25"/>
      <c r="O328" s="25"/>
      <c r="P328" s="25"/>
      <c r="Q328" s="25"/>
    </row>
    <row r="329" spans="3:17">
      <c r="C329" s="11" t="str">
        <f t="shared" si="50"/>
        <v>云南通达资本管理有限公司</v>
      </c>
      <c r="D329" s="11">
        <f t="shared" si="51"/>
        <v>7.8</v>
      </c>
      <c r="E329" s="11">
        <f t="shared" si="52"/>
        <v>0.65</v>
      </c>
      <c r="F329" s="10" t="str">
        <f t="shared" si="53"/>
        <v/>
      </c>
      <c r="G329" s="11"/>
      <c r="I329" s="191">
        <v>13</v>
      </c>
      <c r="J329" s="203" t="s">
        <v>1593</v>
      </c>
      <c r="K329" s="190">
        <v>7.8</v>
      </c>
      <c r="L329" s="236">
        <v>65000000</v>
      </c>
      <c r="M329" s="25"/>
      <c r="N329" s="25"/>
      <c r="O329" s="25"/>
      <c r="P329" s="25"/>
      <c r="Q329" s="25"/>
    </row>
    <row r="330" spans="3:17">
      <c r="C330" s="11" t="str">
        <f t="shared" si="50"/>
        <v/>
      </c>
      <c r="D330" s="11">
        <f t="shared" si="51"/>
        <v>7.55</v>
      </c>
      <c r="E330" s="11">
        <f t="shared" si="52"/>
        <v>0.67</v>
      </c>
      <c r="F330" s="10" t="str">
        <f t="shared" si="53"/>
        <v/>
      </c>
      <c r="G330" s="11"/>
      <c r="I330" s="25"/>
      <c r="J330" s="25"/>
      <c r="K330" s="190">
        <v>7.55</v>
      </c>
      <c r="L330" s="236">
        <v>67000000</v>
      </c>
      <c r="M330" s="25"/>
      <c r="N330" s="25"/>
      <c r="O330" s="25"/>
      <c r="P330" s="25"/>
      <c r="Q330" s="25"/>
    </row>
    <row r="331" spans="3:17">
      <c r="C331" s="11" t="str">
        <f t="shared" si="50"/>
        <v/>
      </c>
      <c r="D331" s="11">
        <f t="shared" si="51"/>
        <v>7.38</v>
      </c>
      <c r="E331" s="11">
        <f t="shared" si="52"/>
        <v>0.68</v>
      </c>
      <c r="F331" s="10" t="str">
        <f t="shared" si="53"/>
        <v/>
      </c>
      <c r="G331" s="11"/>
      <c r="I331" s="64"/>
      <c r="J331" s="64"/>
      <c r="K331" s="190">
        <v>7.38</v>
      </c>
      <c r="L331" s="236">
        <v>68000000</v>
      </c>
      <c r="M331" s="25"/>
      <c r="N331" s="25"/>
      <c r="O331" s="25"/>
      <c r="P331" s="25"/>
      <c r="Q331" s="25"/>
    </row>
    <row r="332" spans="3:17">
      <c r="C332" s="11" t="str">
        <f t="shared" si="50"/>
        <v>汉富(北京）资本管理有限公司</v>
      </c>
      <c r="D332" s="11">
        <f t="shared" si="51"/>
        <v>7.75</v>
      </c>
      <c r="E332" s="11">
        <f t="shared" si="52"/>
        <v>0.65</v>
      </c>
      <c r="F332" s="10" t="str">
        <f t="shared" si="53"/>
        <v/>
      </c>
      <c r="G332" s="11"/>
      <c r="I332" s="296">
        <v>14</v>
      </c>
      <c r="J332" s="203" t="s">
        <v>1592</v>
      </c>
      <c r="K332" s="296">
        <v>7.75</v>
      </c>
      <c r="L332" s="275">
        <v>65000000</v>
      </c>
      <c r="M332" s="25"/>
      <c r="N332" s="25"/>
      <c r="O332" s="25"/>
      <c r="P332" s="25"/>
      <c r="Q332" s="25"/>
    </row>
    <row r="333" spans="3:17" ht="26" customHeight="1">
      <c r="C333" s="11" t="str">
        <f t="shared" si="50"/>
        <v>北信瑞丰基金管理有限公司</v>
      </c>
      <c r="D333" s="11">
        <f t="shared" si="51"/>
        <v>7.75</v>
      </c>
      <c r="E333" s="11">
        <f t="shared" si="52"/>
        <v>0.65</v>
      </c>
      <c r="F333" s="10" t="str">
        <f t="shared" si="53"/>
        <v/>
      </c>
      <c r="G333" s="11"/>
      <c r="I333" s="296">
        <v>15</v>
      </c>
      <c r="J333" s="192" t="s">
        <v>336</v>
      </c>
      <c r="K333" s="190">
        <v>7.75</v>
      </c>
      <c r="L333" s="236">
        <v>65000000</v>
      </c>
      <c r="M333" s="25"/>
      <c r="N333" s="25"/>
      <c r="O333" s="25"/>
      <c r="P333" s="25"/>
      <c r="Q333" s="25"/>
    </row>
    <row r="334" spans="3:17">
      <c r="C334" s="11" t="str">
        <f t="shared" si="50"/>
        <v/>
      </c>
      <c r="D334" s="11">
        <f t="shared" si="51"/>
        <v>7.55</v>
      </c>
      <c r="E334" s="11">
        <f t="shared" si="52"/>
        <v>0.65</v>
      </c>
      <c r="F334" s="10" t="str">
        <f t="shared" si="53"/>
        <v/>
      </c>
      <c r="G334" s="11"/>
      <c r="I334" s="296"/>
      <c r="J334" s="192"/>
      <c r="K334" s="190">
        <v>7.55</v>
      </c>
      <c r="L334" s="236">
        <v>65000000</v>
      </c>
      <c r="M334" s="25"/>
      <c r="N334" s="25"/>
      <c r="O334" s="25"/>
      <c r="P334" s="25"/>
      <c r="Q334" s="25"/>
    </row>
    <row r="335" spans="3:17">
      <c r="C335" s="11" t="str">
        <f t="shared" si="50"/>
        <v>东海证券股份有限公司</v>
      </c>
      <c r="D335" s="11">
        <f t="shared" si="51"/>
        <v>7.61</v>
      </c>
      <c r="E335" s="11">
        <f t="shared" si="52"/>
        <v>1.3</v>
      </c>
      <c r="F335" s="10" t="str">
        <f t="shared" si="53"/>
        <v/>
      </c>
      <c r="G335" s="11"/>
      <c r="I335" s="168">
        <v>16</v>
      </c>
      <c r="J335" s="203" t="s">
        <v>6</v>
      </c>
      <c r="K335" s="190">
        <v>7.61</v>
      </c>
      <c r="L335" s="236">
        <v>130000000</v>
      </c>
      <c r="M335" s="25"/>
      <c r="N335" s="25"/>
      <c r="O335" s="25"/>
      <c r="P335" s="25"/>
      <c r="Q335" s="25"/>
    </row>
    <row r="336" spans="3:17">
      <c r="C336" s="11" t="str">
        <f t="shared" si="50"/>
        <v>第一创业证券股份有限公司</v>
      </c>
      <c r="D336" s="11">
        <f t="shared" si="51"/>
        <v>7.52</v>
      </c>
      <c r="E336" s="11">
        <f t="shared" si="52"/>
        <v>2.5</v>
      </c>
      <c r="F336" s="10" t="str">
        <f t="shared" si="53"/>
        <v/>
      </c>
      <c r="G336" s="11"/>
      <c r="I336" s="168">
        <v>17</v>
      </c>
      <c r="J336" s="203" t="s">
        <v>127</v>
      </c>
      <c r="K336" s="190">
        <v>7.52</v>
      </c>
      <c r="L336" s="236">
        <v>250000000</v>
      </c>
      <c r="M336" s="25"/>
      <c r="N336" s="25"/>
      <c r="O336" s="25"/>
      <c r="P336" s="25"/>
      <c r="Q336" s="25"/>
    </row>
    <row r="337" spans="3:17">
      <c r="C337" s="11" t="str">
        <f t="shared" si="50"/>
        <v>深圳前海恒兆亿基金管理有限公司</v>
      </c>
      <c r="D337" s="11">
        <f t="shared" si="51"/>
        <v>7.48</v>
      </c>
      <c r="E337" s="11">
        <f t="shared" si="52"/>
        <v>0.66</v>
      </c>
      <c r="F337" s="10" t="str">
        <f t="shared" si="53"/>
        <v/>
      </c>
      <c r="G337" s="11"/>
      <c r="I337" s="296">
        <v>18</v>
      </c>
      <c r="J337" s="203" t="s">
        <v>1591</v>
      </c>
      <c r="K337" s="296">
        <v>7.48</v>
      </c>
      <c r="L337" s="275">
        <v>66000000</v>
      </c>
      <c r="M337" s="25"/>
      <c r="N337" s="25"/>
      <c r="O337" s="25"/>
      <c r="P337" s="25"/>
      <c r="Q337" s="25"/>
    </row>
    <row r="338" spans="3:17">
      <c r="C338" s="11" t="str">
        <f t="shared" si="50"/>
        <v>诺安基金管理有限公司</v>
      </c>
      <c r="D338" s="11">
        <f t="shared" si="51"/>
        <v>7.36</v>
      </c>
      <c r="E338" s="11">
        <f t="shared" si="52"/>
        <v>0.65</v>
      </c>
      <c r="F338" s="10" t="str">
        <f t="shared" si="53"/>
        <v/>
      </c>
      <c r="G338" s="11"/>
      <c r="I338" s="296">
        <v>19</v>
      </c>
      <c r="J338" s="192" t="s">
        <v>147</v>
      </c>
      <c r="K338" s="190">
        <v>7.36</v>
      </c>
      <c r="L338" s="236">
        <v>65000000</v>
      </c>
      <c r="M338" s="25"/>
      <c r="N338" s="25"/>
      <c r="O338" s="25"/>
      <c r="P338" s="25"/>
      <c r="Q338" s="25"/>
    </row>
    <row r="339" spans="3:17">
      <c r="C339" s="11" t="str">
        <f t="shared" si="50"/>
        <v/>
      </c>
      <c r="D339" s="11">
        <f t="shared" si="51"/>
        <v>7.35</v>
      </c>
      <c r="E339" s="11">
        <f t="shared" si="52"/>
        <v>0.72</v>
      </c>
      <c r="F339" s="10" t="str">
        <f t="shared" si="53"/>
        <v/>
      </c>
      <c r="G339" s="11"/>
      <c r="I339" s="296"/>
      <c r="J339" s="192"/>
      <c r="K339" s="190">
        <v>7.35</v>
      </c>
      <c r="L339" s="236">
        <v>72000000</v>
      </c>
      <c r="M339" s="25"/>
      <c r="N339" s="25"/>
      <c r="O339" s="25"/>
      <c r="P339" s="25"/>
      <c r="Q339" s="25"/>
    </row>
    <row r="340" spans="3:17">
      <c r="C340" s="11" t="str">
        <f t="shared" si="50"/>
        <v>华泰柏瑞基金管理有限公司</v>
      </c>
      <c r="D340" s="11">
        <f t="shared" si="51"/>
        <v>7.13</v>
      </c>
      <c r="E340" s="11">
        <f t="shared" si="52"/>
        <v>1.3</v>
      </c>
      <c r="F340" s="10" t="str">
        <f t="shared" si="53"/>
        <v/>
      </c>
      <c r="G340" s="11"/>
      <c r="I340" s="168">
        <v>20</v>
      </c>
      <c r="J340" s="203" t="s">
        <v>122</v>
      </c>
      <c r="K340" s="190">
        <v>7.13</v>
      </c>
      <c r="L340" s="236">
        <v>130000000</v>
      </c>
      <c r="M340" s="25"/>
      <c r="N340" s="25"/>
      <c r="O340" s="25"/>
      <c r="P340" s="25"/>
      <c r="Q340" s="25"/>
    </row>
    <row r="341" spans="3:17">
      <c r="C341" s="11" t="str">
        <f t="shared" si="50"/>
        <v>东吴基金管理有限公司</v>
      </c>
      <c r="D341" s="11">
        <f t="shared" si="51"/>
        <v>6.92</v>
      </c>
      <c r="E341" s="11">
        <f t="shared" si="52"/>
        <v>0.65</v>
      </c>
      <c r="F341" s="10" t="str">
        <f t="shared" si="53"/>
        <v/>
      </c>
      <c r="G341" s="11"/>
      <c r="I341" s="168">
        <v>21</v>
      </c>
      <c r="J341" s="203" t="s">
        <v>974</v>
      </c>
      <c r="K341" s="190">
        <v>6.92</v>
      </c>
      <c r="L341" s="236">
        <v>65000000</v>
      </c>
      <c r="M341" s="25"/>
      <c r="N341" s="25"/>
      <c r="O341" s="25"/>
      <c r="P341" s="25"/>
      <c r="Q341" s="25"/>
    </row>
  </sheetData>
  <mergeCells count="3">
    <mergeCell ref="D147:H147"/>
    <mergeCell ref="D42:H42"/>
    <mergeCell ref="D40:H40"/>
  </mergeCells>
  <phoneticPr fontId="139" type="noConversion"/>
  <hyperlinks>
    <hyperlink ref="B4" r:id="rId1" xr:uid="{00000000-0004-0000-1100-000000000000}"/>
    <hyperlink ref="B37" r:id="rId2" xr:uid="{00000000-0004-0000-1100-000001000000}"/>
    <hyperlink ref="B48" r:id="rId3" xr:uid="{00000000-0004-0000-1100-000002000000}"/>
    <hyperlink ref="B78" r:id="rId4" xr:uid="{00000000-0004-0000-1100-000003000000}"/>
    <hyperlink ref="B95" r:id="rId5" xr:uid="{00000000-0004-0000-1100-000004000000}"/>
    <hyperlink ref="B153" r:id="rId6" xr:uid="{00000000-0004-0000-1100-000005000000}"/>
    <hyperlink ref="B167" r:id="rId7" xr:uid="{00000000-0004-0000-1100-000006000000}"/>
    <hyperlink ref="B211" r:id="rId8" xr:uid="{00000000-0004-0000-1100-000007000000}"/>
    <hyperlink ref="B238" r:id="rId9" xr:uid="{00000000-0004-0000-1100-000008000000}"/>
    <hyperlink ref="B305" r:id="rId10" xr:uid="{00000000-0004-0000-1100-000009000000}"/>
  </hyperlinks>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281"/>
  <sheetViews>
    <sheetView topLeftCell="A262" workbookViewId="0">
      <selection activeCell="P300" sqref="P300"/>
    </sheetView>
  </sheetViews>
  <sheetFormatPr defaultColWidth="8.83203125" defaultRowHeight="14"/>
  <cols>
    <col min="1" max="2" width="8.83203125" style="24"/>
    <col min="3" max="3" width="23.5" style="24" customWidth="1"/>
    <col min="4" max="4" width="14.33203125" style="24" customWidth="1"/>
    <col min="5" max="5" width="15.5" style="24" customWidth="1"/>
    <col min="6" max="6" width="14.6640625" style="24" customWidth="1"/>
    <col min="7" max="7" width="15.33203125" style="24" customWidth="1"/>
    <col min="8" max="8" width="16" style="24" customWidth="1"/>
    <col min="9" max="9" width="11.5" style="24" customWidth="1"/>
    <col min="10" max="10" width="10.33203125" style="24" customWidth="1"/>
    <col min="11" max="11" width="8.6640625" style="24" bestFit="1" customWidth="1"/>
    <col min="12" max="12" width="13" style="24" customWidth="1"/>
    <col min="13" max="14" width="11.1640625" style="24" customWidth="1"/>
    <col min="15" max="15" width="11.83203125" style="24" customWidth="1"/>
    <col min="16" max="16" width="11.1640625" style="24" bestFit="1" customWidth="1"/>
    <col min="17" max="17" width="11.5" style="24" customWidth="1"/>
    <col min="18" max="19" width="14.33203125" style="24" bestFit="1" customWidth="1"/>
    <col min="20" max="20" width="14.1640625" style="24" bestFit="1" customWidth="1"/>
    <col min="21" max="21" width="8.6640625" style="24" bestFit="1" customWidth="1"/>
    <col min="22" max="16384" width="8.83203125" style="24"/>
  </cols>
  <sheetData>
    <row r="1" spans="1:18">
      <c r="A1" s="24" t="s">
        <v>2071</v>
      </c>
    </row>
    <row r="3" spans="1:18" s="162" customFormat="1">
      <c r="A3" s="164" t="s">
        <v>1315</v>
      </c>
      <c r="B3" s="164"/>
      <c r="C3" s="164" t="s">
        <v>107</v>
      </c>
      <c r="D3" s="164" t="s">
        <v>4</v>
      </c>
      <c r="E3" s="166" t="s">
        <v>108</v>
      </c>
      <c r="F3" s="166" t="s">
        <v>109</v>
      </c>
      <c r="G3" s="164" t="s">
        <v>1314</v>
      </c>
      <c r="H3" s="164" t="s">
        <v>1313</v>
      </c>
      <c r="I3" s="165" t="s">
        <v>1312</v>
      </c>
      <c r="J3" s="163" t="s">
        <v>1311</v>
      </c>
      <c r="K3" s="163" t="s">
        <v>110</v>
      </c>
      <c r="L3" s="163" t="s">
        <v>1310</v>
      </c>
      <c r="M3" s="164" t="s">
        <v>111</v>
      </c>
      <c r="N3" s="163" t="s">
        <v>949</v>
      </c>
      <c r="O3" s="163" t="s">
        <v>948</v>
      </c>
      <c r="P3" s="163" t="s">
        <v>129</v>
      </c>
    </row>
    <row r="4" spans="1:18">
      <c r="A4" s="24">
        <v>297</v>
      </c>
      <c r="B4" s="329" t="s">
        <v>1789</v>
      </c>
      <c r="C4" s="1" t="s">
        <v>1788</v>
      </c>
      <c r="D4" s="1" t="s">
        <v>1787</v>
      </c>
      <c r="E4" s="3">
        <v>18.315241</v>
      </c>
      <c r="F4" s="3">
        <v>18.3152409552</v>
      </c>
      <c r="G4" s="2">
        <v>42716</v>
      </c>
      <c r="H4" s="24" t="s">
        <v>151</v>
      </c>
      <c r="I4" s="130">
        <v>35.79</v>
      </c>
      <c r="J4" s="3">
        <v>31.86</v>
      </c>
      <c r="K4" s="160">
        <v>19.16</v>
      </c>
      <c r="L4" s="271">
        <v>0.89019279128248119</v>
      </c>
      <c r="M4" s="270">
        <v>8</v>
      </c>
      <c r="N4" s="2">
        <v>43090</v>
      </c>
      <c r="O4" s="24">
        <v>82.17</v>
      </c>
      <c r="P4" s="157">
        <v>2.5790960451977401</v>
      </c>
    </row>
    <row r="5" spans="1:18">
      <c r="C5" s="16" t="s">
        <v>112</v>
      </c>
      <c r="D5" s="16" t="s">
        <v>113</v>
      </c>
      <c r="E5" s="16" t="s">
        <v>1305</v>
      </c>
      <c r="F5" s="17" t="s">
        <v>1304</v>
      </c>
      <c r="G5" s="16" t="s">
        <v>1303</v>
      </c>
      <c r="I5" s="196" t="s">
        <v>118</v>
      </c>
      <c r="J5" s="196" t="s">
        <v>347</v>
      </c>
      <c r="K5" s="225" t="s">
        <v>488</v>
      </c>
      <c r="L5" s="225" t="s">
        <v>1619</v>
      </c>
      <c r="N5" s="225" t="s">
        <v>1413</v>
      </c>
      <c r="O5" s="196" t="s">
        <v>349</v>
      </c>
      <c r="P5" s="225" t="s">
        <v>1301</v>
      </c>
      <c r="Q5" s="225" t="s">
        <v>1542</v>
      </c>
      <c r="R5" s="85" t="s">
        <v>1786</v>
      </c>
    </row>
    <row r="6" spans="1:18">
      <c r="C6" s="11" t="str">
        <f t="shared" ref="C6:C41" si="0">IF(J6=0,"",J6)</f>
        <v>中国华融资产管理股份有限公司</v>
      </c>
      <c r="D6" s="11">
        <f t="shared" ref="D6:D41" si="1">K6</f>
        <v>36.5</v>
      </c>
      <c r="E6" s="10">
        <f t="shared" ref="E6:E41" si="2">L6/10000</f>
        <v>1.7855560000000001</v>
      </c>
      <c r="F6" s="10">
        <f t="shared" ref="F6:F41" si="3">IFERROR(VLOOKUP(C6,O$7:R$14,3,FALSE)/10000,"")</f>
        <v>627.74630000000002</v>
      </c>
      <c r="G6" s="10">
        <f t="shared" ref="G6:G41" si="4">IFERROR(F6*J$4/10000,"")</f>
        <v>1.9999997117999999</v>
      </c>
      <c r="I6" s="168">
        <v>1</v>
      </c>
      <c r="J6" s="203" t="s">
        <v>1785</v>
      </c>
      <c r="K6" s="190">
        <v>36.5</v>
      </c>
      <c r="L6" s="197">
        <v>17855.560000000001</v>
      </c>
      <c r="N6" s="225" t="s">
        <v>477</v>
      </c>
      <c r="O6" s="196"/>
      <c r="P6" s="225" t="s">
        <v>1389</v>
      </c>
      <c r="Q6" s="225" t="s">
        <v>1317</v>
      </c>
      <c r="R6" s="85" t="s">
        <v>1316</v>
      </c>
    </row>
    <row r="7" spans="1:18">
      <c r="C7" s="11" t="str">
        <f t="shared" si="0"/>
        <v/>
      </c>
      <c r="D7" s="11">
        <f t="shared" si="1"/>
        <v>35.409999999999997</v>
      </c>
      <c r="E7" s="10">
        <f t="shared" si="2"/>
        <v>1.9</v>
      </c>
      <c r="F7" s="10" t="str">
        <f t="shared" si="3"/>
        <v/>
      </c>
      <c r="G7" s="10" t="str">
        <f t="shared" si="4"/>
        <v/>
      </c>
      <c r="I7" s="25"/>
      <c r="J7" s="25"/>
      <c r="K7" s="190">
        <v>35.409999999999997</v>
      </c>
      <c r="L7" s="197">
        <v>19000</v>
      </c>
      <c r="N7" s="168">
        <v>1</v>
      </c>
      <c r="O7" s="204" t="s">
        <v>1079</v>
      </c>
      <c r="P7" s="191">
        <v>31.86</v>
      </c>
      <c r="Q7" s="193">
        <v>5649717</v>
      </c>
      <c r="R7" s="197">
        <v>179999983.62</v>
      </c>
    </row>
    <row r="8" spans="1:18">
      <c r="C8" s="11" t="str">
        <f t="shared" si="0"/>
        <v/>
      </c>
      <c r="D8" s="11">
        <f t="shared" si="1"/>
        <v>34.200000000000003</v>
      </c>
      <c r="E8" s="10">
        <f t="shared" si="2"/>
        <v>2</v>
      </c>
      <c r="F8" s="10" t="str">
        <f t="shared" si="3"/>
        <v/>
      </c>
      <c r="G8" s="10" t="str">
        <f t="shared" si="4"/>
        <v/>
      </c>
      <c r="I8" s="64"/>
      <c r="J8" s="64"/>
      <c r="K8" s="190">
        <v>34.200000000000003</v>
      </c>
      <c r="L8" s="197">
        <v>20000</v>
      </c>
      <c r="N8" s="168">
        <v>2</v>
      </c>
      <c r="O8" s="204" t="s">
        <v>1142</v>
      </c>
      <c r="P8" s="191">
        <v>31.86</v>
      </c>
      <c r="Q8" s="193">
        <v>5649717</v>
      </c>
      <c r="R8" s="197">
        <v>179999983.62</v>
      </c>
    </row>
    <row r="9" spans="1:18">
      <c r="C9" s="11" t="str">
        <f t="shared" si="0"/>
        <v>浙江浙商证券资产管理有限公司</v>
      </c>
      <c r="D9" s="11">
        <f t="shared" si="1"/>
        <v>35.409999999999997</v>
      </c>
      <c r="E9" s="10">
        <f t="shared" si="2"/>
        <v>2.16</v>
      </c>
      <c r="F9" s="10">
        <f t="shared" si="3"/>
        <v>677.96609999999998</v>
      </c>
      <c r="G9" s="10">
        <f t="shared" si="4"/>
        <v>2.1599999946000001</v>
      </c>
      <c r="I9" s="168">
        <v>2</v>
      </c>
      <c r="J9" s="203" t="s">
        <v>154</v>
      </c>
      <c r="K9" s="190">
        <v>35.409999999999997</v>
      </c>
      <c r="L9" s="197">
        <v>21600</v>
      </c>
      <c r="N9" s="168">
        <v>3</v>
      </c>
      <c r="O9" s="204" t="s">
        <v>666</v>
      </c>
      <c r="P9" s="191">
        <v>31.86</v>
      </c>
      <c r="Q9" s="193">
        <v>5615191</v>
      </c>
      <c r="R9" s="197">
        <v>178899985.25999999</v>
      </c>
    </row>
    <row r="10" spans="1:18">
      <c r="C10" s="11" t="str">
        <f t="shared" si="0"/>
        <v>创金合信基金管理有限公司</v>
      </c>
      <c r="D10" s="11">
        <f t="shared" si="1"/>
        <v>35</v>
      </c>
      <c r="E10" s="10">
        <f t="shared" si="2"/>
        <v>6</v>
      </c>
      <c r="F10" s="10">
        <f t="shared" si="3"/>
        <v>1883.2391</v>
      </c>
      <c r="G10" s="10">
        <f t="shared" si="4"/>
        <v>5.9999997725999998</v>
      </c>
      <c r="I10" s="296">
        <v>3</v>
      </c>
      <c r="J10" s="203" t="s">
        <v>134</v>
      </c>
      <c r="K10" s="190">
        <v>35</v>
      </c>
      <c r="L10" s="197">
        <v>60000</v>
      </c>
      <c r="N10" s="168">
        <v>4</v>
      </c>
      <c r="O10" s="204" t="s">
        <v>1785</v>
      </c>
      <c r="P10" s="191">
        <v>31.86</v>
      </c>
      <c r="Q10" s="193">
        <v>6277463</v>
      </c>
      <c r="R10" s="197">
        <v>199999971.18000001</v>
      </c>
    </row>
    <row r="11" spans="1:18">
      <c r="C11" s="11" t="str">
        <f t="shared" si="0"/>
        <v/>
      </c>
      <c r="D11" s="11">
        <f t="shared" si="1"/>
        <v>33</v>
      </c>
      <c r="E11" s="10">
        <f t="shared" si="2"/>
        <v>6</v>
      </c>
      <c r="F11" s="10" t="str">
        <f t="shared" si="3"/>
        <v/>
      </c>
      <c r="G11" s="10" t="str">
        <f t="shared" si="4"/>
        <v/>
      </c>
      <c r="I11" s="296"/>
      <c r="J11" s="25"/>
      <c r="K11" s="190">
        <v>33</v>
      </c>
      <c r="L11" s="197">
        <v>60000</v>
      </c>
      <c r="N11" s="168">
        <v>5</v>
      </c>
      <c r="O11" s="204" t="s">
        <v>154</v>
      </c>
      <c r="P11" s="191">
        <v>31.86</v>
      </c>
      <c r="Q11" s="193">
        <v>6779661</v>
      </c>
      <c r="R11" s="197">
        <v>215999999.46000001</v>
      </c>
    </row>
    <row r="12" spans="1:18">
      <c r="C12" s="11" t="str">
        <f t="shared" si="0"/>
        <v>广西铁路发展投资基金（有限合伙）</v>
      </c>
      <c r="D12" s="11">
        <f t="shared" si="1"/>
        <v>33.03</v>
      </c>
      <c r="E12" s="10">
        <f t="shared" si="2"/>
        <v>1.8</v>
      </c>
      <c r="F12" s="10">
        <f t="shared" si="3"/>
        <v>564.97170000000006</v>
      </c>
      <c r="G12" s="10">
        <f t="shared" si="4"/>
        <v>1.7999998362000003</v>
      </c>
      <c r="I12" s="168">
        <v>4</v>
      </c>
      <c r="J12" s="203" t="s">
        <v>1079</v>
      </c>
      <c r="K12" s="190">
        <v>33.03</v>
      </c>
      <c r="L12" s="197">
        <v>18000</v>
      </c>
      <c r="N12" s="168">
        <v>6</v>
      </c>
      <c r="O12" s="204" t="s">
        <v>134</v>
      </c>
      <c r="P12" s="191">
        <v>31.86</v>
      </c>
      <c r="Q12" s="193">
        <v>18832391</v>
      </c>
      <c r="R12" s="197">
        <v>599999977.25999999</v>
      </c>
    </row>
    <row r="13" spans="1:18">
      <c r="C13" s="11" t="str">
        <f t="shared" si="0"/>
        <v>国信证券股份有限公司</v>
      </c>
      <c r="D13" s="11">
        <f t="shared" si="1"/>
        <v>32.590000000000003</v>
      </c>
      <c r="E13" s="10">
        <f t="shared" si="2"/>
        <v>1.8</v>
      </c>
      <c r="F13" s="10">
        <f t="shared" si="3"/>
        <v>564.97170000000006</v>
      </c>
      <c r="G13" s="10">
        <f t="shared" si="4"/>
        <v>1.7999998362000003</v>
      </c>
      <c r="I13" s="168">
        <v>5</v>
      </c>
      <c r="J13" s="203" t="s">
        <v>1142</v>
      </c>
      <c r="K13" s="190">
        <v>32.590000000000003</v>
      </c>
      <c r="L13" s="197">
        <v>18000</v>
      </c>
      <c r="N13" s="168">
        <v>7</v>
      </c>
      <c r="O13" s="204" t="s">
        <v>115</v>
      </c>
      <c r="P13" s="191">
        <v>31.86</v>
      </c>
      <c r="Q13" s="193">
        <v>1635283</v>
      </c>
      <c r="R13" s="197">
        <v>52100116.380000003</v>
      </c>
    </row>
    <row r="14" spans="1:18">
      <c r="C14" s="11" t="str">
        <f t="shared" si="0"/>
        <v>九泰基金管理有限公司</v>
      </c>
      <c r="D14" s="11">
        <f t="shared" si="1"/>
        <v>32.01</v>
      </c>
      <c r="E14" s="10">
        <f t="shared" si="2"/>
        <v>1.7889999999999999</v>
      </c>
      <c r="F14" s="10">
        <f t="shared" si="3"/>
        <v>561.51909999999998</v>
      </c>
      <c r="G14" s="10">
        <f t="shared" si="4"/>
        <v>1.7889998525999999</v>
      </c>
      <c r="I14" s="168">
        <v>6</v>
      </c>
      <c r="J14" s="203" t="s">
        <v>666</v>
      </c>
      <c r="K14" s="190">
        <v>32.01</v>
      </c>
      <c r="L14" s="197">
        <v>17890</v>
      </c>
      <c r="N14" s="168">
        <v>8</v>
      </c>
      <c r="O14" s="204" t="s">
        <v>1784</v>
      </c>
      <c r="P14" s="191">
        <v>31.86</v>
      </c>
      <c r="Q14" s="193">
        <v>7047209</v>
      </c>
      <c r="R14" s="197">
        <v>224524078.74000001</v>
      </c>
    </row>
    <row r="15" spans="1:18">
      <c r="C15" s="11" t="str">
        <f t="shared" si="0"/>
        <v/>
      </c>
      <c r="D15" s="11">
        <f t="shared" si="1"/>
        <v>30.1</v>
      </c>
      <c r="E15" s="10">
        <f t="shared" si="2"/>
        <v>1.9490000000000001</v>
      </c>
      <c r="F15" s="10" t="str">
        <f t="shared" si="3"/>
        <v/>
      </c>
      <c r="G15" s="10" t="str">
        <f t="shared" si="4"/>
        <v/>
      </c>
      <c r="I15" s="25"/>
      <c r="J15" s="25"/>
      <c r="K15" s="190">
        <v>30.1</v>
      </c>
      <c r="L15" s="197">
        <v>19490</v>
      </c>
      <c r="N15" s="196" t="s">
        <v>1330</v>
      </c>
      <c r="O15" s="196"/>
      <c r="P15" s="196"/>
      <c r="Q15" s="195">
        <v>57486632</v>
      </c>
      <c r="R15" s="194">
        <v>1831524095.52</v>
      </c>
    </row>
    <row r="16" spans="1:18">
      <c r="C16" s="11" t="str">
        <f t="shared" si="0"/>
        <v/>
      </c>
      <c r="D16" s="11">
        <f t="shared" si="1"/>
        <v>28.33</v>
      </c>
      <c r="E16" s="10">
        <f t="shared" si="2"/>
        <v>1.9490000000000001</v>
      </c>
      <c r="F16" s="10" t="str">
        <f t="shared" si="3"/>
        <v/>
      </c>
      <c r="G16" s="10" t="str">
        <f t="shared" si="4"/>
        <v/>
      </c>
      <c r="I16" s="64"/>
      <c r="J16" s="64"/>
      <c r="K16" s="190">
        <v>28.33</v>
      </c>
      <c r="L16" s="197">
        <v>19490</v>
      </c>
      <c r="N16" s="25"/>
      <c r="O16" s="25"/>
      <c r="P16" s="25"/>
      <c r="Q16" s="25"/>
      <c r="R16" s="25"/>
    </row>
    <row r="17" spans="3:12">
      <c r="C17" s="11" t="str">
        <f t="shared" si="0"/>
        <v>财通基金管理有限公司</v>
      </c>
      <c r="D17" s="11">
        <f t="shared" si="1"/>
        <v>31.86</v>
      </c>
      <c r="E17" s="10">
        <f t="shared" si="2"/>
        <v>4.3940000000000001</v>
      </c>
      <c r="F17" s="10">
        <f t="shared" si="3"/>
        <v>163.5283</v>
      </c>
      <c r="G17" s="10">
        <f t="shared" si="4"/>
        <v>0.52100116379999994</v>
      </c>
      <c r="I17" s="296">
        <v>7</v>
      </c>
      <c r="J17" s="203" t="s">
        <v>115</v>
      </c>
      <c r="K17" s="190">
        <v>31.86</v>
      </c>
      <c r="L17" s="197">
        <v>43940</v>
      </c>
    </row>
    <row r="18" spans="3:12">
      <c r="C18" s="11" t="str">
        <f t="shared" si="0"/>
        <v/>
      </c>
      <c r="D18" s="11">
        <f t="shared" si="1"/>
        <v>30.5</v>
      </c>
      <c r="E18" s="10">
        <f t="shared" si="2"/>
        <v>6</v>
      </c>
      <c r="F18" s="10" t="str">
        <f t="shared" si="3"/>
        <v/>
      </c>
      <c r="G18" s="10" t="str">
        <f t="shared" si="4"/>
        <v/>
      </c>
      <c r="I18" s="296"/>
      <c r="J18" s="25"/>
      <c r="K18" s="190">
        <v>30.5</v>
      </c>
      <c r="L18" s="197">
        <v>60000</v>
      </c>
    </row>
    <row r="19" spans="3:12">
      <c r="C19" s="11" t="str">
        <f t="shared" si="0"/>
        <v>第一创业证券股份有限公司</v>
      </c>
      <c r="D19" s="11">
        <f t="shared" si="1"/>
        <v>30.55</v>
      </c>
      <c r="E19" s="10">
        <f t="shared" si="2"/>
        <v>2</v>
      </c>
      <c r="F19" s="10" t="str">
        <f t="shared" si="3"/>
        <v/>
      </c>
      <c r="G19" s="10" t="str">
        <f t="shared" si="4"/>
        <v/>
      </c>
      <c r="I19" s="168">
        <v>8</v>
      </c>
      <c r="J19" s="203" t="s">
        <v>127</v>
      </c>
      <c r="K19" s="190">
        <v>30.55</v>
      </c>
      <c r="L19" s="197">
        <v>20000</v>
      </c>
    </row>
    <row r="20" spans="3:12">
      <c r="C20" s="11" t="str">
        <f t="shared" si="0"/>
        <v/>
      </c>
      <c r="D20" s="11">
        <f t="shared" si="1"/>
        <v>28.22</v>
      </c>
      <c r="E20" s="10">
        <f t="shared" si="2"/>
        <v>4</v>
      </c>
      <c r="F20" s="10" t="str">
        <f t="shared" si="3"/>
        <v/>
      </c>
      <c r="G20" s="10" t="str">
        <f t="shared" si="4"/>
        <v/>
      </c>
      <c r="I20" s="25"/>
      <c r="J20" s="25"/>
      <c r="K20" s="190">
        <v>28.22</v>
      </c>
      <c r="L20" s="197">
        <v>40000</v>
      </c>
    </row>
    <row r="21" spans="3:12">
      <c r="C21" s="11" t="str">
        <f t="shared" si="0"/>
        <v/>
      </c>
      <c r="D21" s="11">
        <f t="shared" si="1"/>
        <v>25.55</v>
      </c>
      <c r="E21" s="10">
        <f t="shared" si="2"/>
        <v>6</v>
      </c>
      <c r="F21" s="10" t="str">
        <f t="shared" si="3"/>
        <v/>
      </c>
      <c r="G21" s="10" t="str">
        <f t="shared" si="4"/>
        <v/>
      </c>
      <c r="I21" s="64"/>
      <c r="J21" s="64"/>
      <c r="K21" s="190">
        <v>25.55</v>
      </c>
      <c r="L21" s="197">
        <v>60000</v>
      </c>
    </row>
    <row r="22" spans="3:12">
      <c r="C22" s="11" t="str">
        <f t="shared" si="0"/>
        <v>嘉实基金管理有限公司</v>
      </c>
      <c r="D22" s="11">
        <f t="shared" si="1"/>
        <v>30.5</v>
      </c>
      <c r="E22" s="10">
        <f t="shared" si="2"/>
        <v>1.8</v>
      </c>
      <c r="F22" s="10" t="str">
        <f t="shared" si="3"/>
        <v/>
      </c>
      <c r="G22" s="10" t="str">
        <f t="shared" si="4"/>
        <v/>
      </c>
      <c r="I22" s="168">
        <v>9</v>
      </c>
      <c r="J22" s="203" t="s">
        <v>228</v>
      </c>
      <c r="K22" s="190">
        <v>30.5</v>
      </c>
      <c r="L22" s="197">
        <v>18000</v>
      </c>
    </row>
    <row r="23" spans="3:12">
      <c r="C23" s="11" t="str">
        <f t="shared" si="0"/>
        <v/>
      </c>
      <c r="D23" s="11">
        <f t="shared" si="1"/>
        <v>29.12</v>
      </c>
      <c r="E23" s="10">
        <f t="shared" si="2"/>
        <v>2</v>
      </c>
      <c r="F23" s="10" t="str">
        <f t="shared" si="3"/>
        <v/>
      </c>
      <c r="G23" s="10" t="str">
        <f t="shared" si="4"/>
        <v/>
      </c>
      <c r="I23" s="25"/>
      <c r="J23" s="25"/>
      <c r="K23" s="190">
        <v>29.12</v>
      </c>
      <c r="L23" s="197">
        <v>20000</v>
      </c>
    </row>
    <row r="24" spans="3:12">
      <c r="C24" s="11" t="str">
        <f t="shared" si="0"/>
        <v/>
      </c>
      <c r="D24" s="11">
        <f t="shared" si="1"/>
        <v>27.06</v>
      </c>
      <c r="E24" s="10">
        <f t="shared" si="2"/>
        <v>4.2</v>
      </c>
      <c r="F24" s="10" t="str">
        <f t="shared" si="3"/>
        <v/>
      </c>
      <c r="G24" s="10" t="str">
        <f t="shared" si="4"/>
        <v/>
      </c>
      <c r="I24" s="64"/>
      <c r="J24" s="64"/>
      <c r="K24" s="190">
        <v>27.06</v>
      </c>
      <c r="L24" s="197">
        <v>42000</v>
      </c>
    </row>
    <row r="25" spans="3:12">
      <c r="C25" s="11" t="str">
        <f t="shared" si="0"/>
        <v>李继红</v>
      </c>
      <c r="D25" s="11">
        <f t="shared" si="1"/>
        <v>29.76</v>
      </c>
      <c r="E25" s="10">
        <f t="shared" si="2"/>
        <v>3.5771519999999999</v>
      </c>
      <c r="F25" s="10" t="str">
        <f t="shared" si="3"/>
        <v/>
      </c>
      <c r="G25" s="10" t="str">
        <f t="shared" si="4"/>
        <v/>
      </c>
      <c r="I25" s="168">
        <v>10</v>
      </c>
      <c r="J25" s="203" t="s">
        <v>1783</v>
      </c>
      <c r="K25" s="190">
        <v>29.76</v>
      </c>
      <c r="L25" s="197">
        <v>35771.519999999997</v>
      </c>
    </row>
    <row r="26" spans="3:12">
      <c r="C26" s="11" t="str">
        <f t="shared" si="0"/>
        <v/>
      </c>
      <c r="D26" s="11">
        <f t="shared" si="1"/>
        <v>29.08</v>
      </c>
      <c r="E26" s="10">
        <f t="shared" si="2"/>
        <v>3.5713148000000001</v>
      </c>
      <c r="F26" s="10" t="str">
        <f t="shared" si="3"/>
        <v/>
      </c>
      <c r="G26" s="10" t="str">
        <f t="shared" si="4"/>
        <v/>
      </c>
      <c r="I26" s="227"/>
      <c r="J26" s="227"/>
      <c r="K26" s="190">
        <v>29.08</v>
      </c>
      <c r="L26" s="197">
        <v>35713.148000000001</v>
      </c>
    </row>
    <row r="27" spans="3:12">
      <c r="C27" s="11" t="str">
        <f t="shared" si="0"/>
        <v>民生通惠资产管理有限公司</v>
      </c>
      <c r="D27" s="11">
        <f t="shared" si="1"/>
        <v>29.25</v>
      </c>
      <c r="E27" s="10">
        <f t="shared" si="2"/>
        <v>1.79</v>
      </c>
      <c r="F27" s="10" t="str">
        <f t="shared" si="3"/>
        <v/>
      </c>
      <c r="G27" s="10" t="str">
        <f t="shared" si="4"/>
        <v/>
      </c>
      <c r="I27" s="191">
        <v>11</v>
      </c>
      <c r="J27" s="203" t="s">
        <v>351</v>
      </c>
      <c r="K27" s="190">
        <v>29.25</v>
      </c>
      <c r="L27" s="197">
        <v>17900</v>
      </c>
    </row>
    <row r="28" spans="3:12">
      <c r="C28" s="11" t="str">
        <f t="shared" si="0"/>
        <v>东方证券股份有限公司</v>
      </c>
      <c r="D28" s="11">
        <f t="shared" si="1"/>
        <v>28.51</v>
      </c>
      <c r="E28" s="10">
        <f t="shared" si="2"/>
        <v>1.7855560000000001</v>
      </c>
      <c r="F28" s="10" t="str">
        <f t="shared" si="3"/>
        <v/>
      </c>
      <c r="G28" s="10" t="str">
        <f t="shared" si="4"/>
        <v/>
      </c>
      <c r="I28" s="191">
        <v>12</v>
      </c>
      <c r="J28" s="203" t="s">
        <v>1055</v>
      </c>
      <c r="K28" s="190">
        <v>28.51</v>
      </c>
      <c r="L28" s="197">
        <v>17855.560000000001</v>
      </c>
    </row>
    <row r="29" spans="3:12">
      <c r="C29" s="11" t="str">
        <f t="shared" si="0"/>
        <v>广州金控资产管理有限公司</v>
      </c>
      <c r="D29" s="11">
        <f t="shared" si="1"/>
        <v>28.33</v>
      </c>
      <c r="E29" s="10">
        <f t="shared" si="2"/>
        <v>1.8</v>
      </c>
      <c r="F29" s="10" t="str">
        <f t="shared" si="3"/>
        <v/>
      </c>
      <c r="G29" s="10" t="str">
        <f t="shared" si="4"/>
        <v/>
      </c>
      <c r="I29" s="168">
        <v>13</v>
      </c>
      <c r="J29" s="203" t="s">
        <v>1059</v>
      </c>
      <c r="K29" s="190">
        <v>28.33</v>
      </c>
      <c r="L29" s="197">
        <v>18000</v>
      </c>
    </row>
    <row r="30" spans="3:12">
      <c r="C30" s="11" t="str">
        <f t="shared" si="0"/>
        <v/>
      </c>
      <c r="D30" s="11">
        <f t="shared" si="1"/>
        <v>25.3</v>
      </c>
      <c r="E30" s="10">
        <f t="shared" si="2"/>
        <v>1.8</v>
      </c>
      <c r="F30" s="10" t="str">
        <f t="shared" si="3"/>
        <v/>
      </c>
      <c r="G30" s="10" t="str">
        <f t="shared" si="4"/>
        <v/>
      </c>
      <c r="I30" s="25"/>
      <c r="J30" s="25"/>
      <c r="K30" s="190">
        <v>25.3</v>
      </c>
      <c r="L30" s="197">
        <v>18000</v>
      </c>
    </row>
    <row r="31" spans="3:12">
      <c r="C31" s="11" t="str">
        <f t="shared" si="0"/>
        <v/>
      </c>
      <c r="D31" s="11">
        <f t="shared" si="1"/>
        <v>23.02</v>
      </c>
      <c r="E31" s="10">
        <f t="shared" si="2"/>
        <v>1.8</v>
      </c>
      <c r="F31" s="10" t="str">
        <f t="shared" si="3"/>
        <v/>
      </c>
      <c r="G31" s="10" t="str">
        <f t="shared" si="4"/>
        <v/>
      </c>
      <c r="I31" s="64"/>
      <c r="J31" s="64"/>
      <c r="K31" s="190">
        <v>23.02</v>
      </c>
      <c r="L31" s="197">
        <v>18000</v>
      </c>
    </row>
    <row r="32" spans="3:12">
      <c r="C32" s="11" t="str">
        <f t="shared" si="0"/>
        <v>申万菱信基金管理有限公司</v>
      </c>
      <c r="D32" s="11">
        <f t="shared" si="1"/>
        <v>28.31</v>
      </c>
      <c r="E32" s="10">
        <f t="shared" si="2"/>
        <v>1.7855560000000001</v>
      </c>
      <c r="F32" s="10" t="str">
        <f t="shared" si="3"/>
        <v/>
      </c>
      <c r="G32" s="10" t="str">
        <f t="shared" si="4"/>
        <v/>
      </c>
      <c r="I32" s="296">
        <v>14</v>
      </c>
      <c r="J32" s="203" t="s">
        <v>121</v>
      </c>
      <c r="K32" s="190">
        <v>28.31</v>
      </c>
      <c r="L32" s="197">
        <v>17855.560000000001</v>
      </c>
    </row>
    <row r="33" spans="1:16">
      <c r="C33" s="11" t="str">
        <f t="shared" si="0"/>
        <v/>
      </c>
      <c r="D33" s="11">
        <f t="shared" si="1"/>
        <v>23.81</v>
      </c>
      <c r="E33" s="10">
        <f t="shared" si="2"/>
        <v>5</v>
      </c>
      <c r="F33" s="10" t="str">
        <f t="shared" si="3"/>
        <v/>
      </c>
      <c r="G33" s="10" t="str">
        <f t="shared" si="4"/>
        <v/>
      </c>
      <c r="I33" s="296"/>
      <c r="J33" s="25"/>
      <c r="K33" s="190">
        <v>23.81</v>
      </c>
      <c r="L33" s="197">
        <v>50000</v>
      </c>
    </row>
    <row r="34" spans="1:16">
      <c r="C34" s="11" t="str">
        <f t="shared" si="0"/>
        <v>红土创新基金管理有限公司</v>
      </c>
      <c r="D34" s="11">
        <f t="shared" si="1"/>
        <v>26</v>
      </c>
      <c r="E34" s="10">
        <f t="shared" si="2"/>
        <v>1.8</v>
      </c>
      <c r="F34" s="10" t="str">
        <f t="shared" si="3"/>
        <v/>
      </c>
      <c r="G34" s="10" t="str">
        <f t="shared" si="4"/>
        <v/>
      </c>
      <c r="I34" s="191">
        <v>15</v>
      </c>
      <c r="J34" s="203" t="s">
        <v>1065</v>
      </c>
      <c r="K34" s="190">
        <v>26</v>
      </c>
      <c r="L34" s="197">
        <v>18000</v>
      </c>
    </row>
    <row r="35" spans="1:16">
      <c r="C35" s="11" t="str">
        <f t="shared" si="0"/>
        <v>诺安基金管理有限公司</v>
      </c>
      <c r="D35" s="11">
        <f t="shared" si="1"/>
        <v>25.76</v>
      </c>
      <c r="E35" s="10">
        <f t="shared" si="2"/>
        <v>1.7855560000000001</v>
      </c>
      <c r="F35" s="10" t="str">
        <f t="shared" si="3"/>
        <v/>
      </c>
      <c r="G35" s="10" t="str">
        <f t="shared" si="4"/>
        <v/>
      </c>
      <c r="I35" s="296">
        <v>16</v>
      </c>
      <c r="J35" s="203" t="s">
        <v>147</v>
      </c>
      <c r="K35" s="190">
        <v>25.76</v>
      </c>
      <c r="L35" s="197">
        <v>17855.560000000001</v>
      </c>
    </row>
    <row r="36" spans="1:16">
      <c r="C36" s="11" t="str">
        <f t="shared" si="0"/>
        <v/>
      </c>
      <c r="D36" s="11">
        <f t="shared" si="1"/>
        <v>24.8</v>
      </c>
      <c r="E36" s="10">
        <f t="shared" si="2"/>
        <v>2.1305560000000003</v>
      </c>
      <c r="F36" s="10" t="str">
        <f t="shared" si="3"/>
        <v/>
      </c>
      <c r="G36" s="10" t="str">
        <f t="shared" si="4"/>
        <v/>
      </c>
      <c r="I36" s="296"/>
      <c r="J36" s="25"/>
      <c r="K36" s="190">
        <v>24.8</v>
      </c>
      <c r="L36" s="197">
        <v>21305.56</v>
      </c>
    </row>
    <row r="37" spans="1:16">
      <c r="C37" s="11" t="str">
        <f t="shared" si="0"/>
        <v>华泰柏瑞基金管理有限公司</v>
      </c>
      <c r="D37" s="11">
        <f t="shared" si="1"/>
        <v>25.28</v>
      </c>
      <c r="E37" s="10">
        <f t="shared" si="2"/>
        <v>2.8</v>
      </c>
      <c r="F37" s="10" t="str">
        <f t="shared" si="3"/>
        <v/>
      </c>
      <c r="G37" s="10" t="str">
        <f t="shared" si="4"/>
        <v/>
      </c>
      <c r="I37" s="296">
        <v>17</v>
      </c>
      <c r="J37" s="203" t="s">
        <v>122</v>
      </c>
      <c r="K37" s="190">
        <v>25.28</v>
      </c>
      <c r="L37" s="197">
        <v>28000</v>
      </c>
    </row>
    <row r="38" spans="1:16">
      <c r="C38" s="11" t="str">
        <f t="shared" si="0"/>
        <v/>
      </c>
      <c r="D38" s="11">
        <f t="shared" si="1"/>
        <v>21.28</v>
      </c>
      <c r="E38" s="10">
        <f t="shared" si="2"/>
        <v>5.0999999999999996</v>
      </c>
      <c r="F38" s="10" t="str">
        <f t="shared" si="3"/>
        <v/>
      </c>
      <c r="G38" s="10" t="str">
        <f t="shared" si="4"/>
        <v/>
      </c>
      <c r="I38" s="296"/>
      <c r="J38" s="25"/>
      <c r="K38" s="190">
        <v>21.28</v>
      </c>
      <c r="L38" s="197">
        <v>51000</v>
      </c>
    </row>
    <row r="39" spans="1:16">
      <c r="C39" s="11" t="str">
        <f t="shared" si="0"/>
        <v>北信瑞丰基金管理有限公司</v>
      </c>
      <c r="D39" s="11">
        <f t="shared" si="1"/>
        <v>24.8</v>
      </c>
      <c r="E39" s="10">
        <f t="shared" si="2"/>
        <v>1.97</v>
      </c>
      <c r="F39" s="10" t="str">
        <f t="shared" si="3"/>
        <v/>
      </c>
      <c r="G39" s="10" t="str">
        <f t="shared" si="4"/>
        <v/>
      </c>
      <c r="I39" s="191">
        <v>18</v>
      </c>
      <c r="J39" s="203" t="s">
        <v>336</v>
      </c>
      <c r="K39" s="190">
        <v>24.8</v>
      </c>
      <c r="L39" s="197">
        <v>19700</v>
      </c>
    </row>
    <row r="40" spans="1:16">
      <c r="C40" s="11" t="str">
        <f t="shared" si="0"/>
        <v>中国人寿资产管理有限公司</v>
      </c>
      <c r="D40" s="11">
        <f t="shared" si="1"/>
        <v>22.88</v>
      </c>
      <c r="E40" s="10">
        <f t="shared" si="2"/>
        <v>1.8</v>
      </c>
      <c r="F40" s="10" t="str">
        <f t="shared" si="3"/>
        <v/>
      </c>
      <c r="G40" s="10" t="str">
        <f t="shared" si="4"/>
        <v/>
      </c>
      <c r="I40" s="191">
        <v>19</v>
      </c>
      <c r="J40" s="203" t="s">
        <v>132</v>
      </c>
      <c r="K40" s="190">
        <v>22.88</v>
      </c>
      <c r="L40" s="197">
        <v>18000</v>
      </c>
    </row>
    <row r="41" spans="1:16">
      <c r="C41" s="11" t="str">
        <f t="shared" si="0"/>
        <v>兴证证券资产管理有限公司</v>
      </c>
      <c r="D41" s="11">
        <f t="shared" si="1"/>
        <v>20.5</v>
      </c>
      <c r="E41" s="10">
        <f t="shared" si="2"/>
        <v>1.7949999999999999</v>
      </c>
      <c r="F41" s="10" t="str">
        <f t="shared" si="3"/>
        <v/>
      </c>
      <c r="G41" s="10" t="str">
        <f t="shared" si="4"/>
        <v/>
      </c>
      <c r="I41" s="191">
        <v>20</v>
      </c>
      <c r="J41" s="203" t="s">
        <v>150</v>
      </c>
      <c r="K41" s="190">
        <v>20.5</v>
      </c>
      <c r="L41" s="197">
        <v>17950</v>
      </c>
    </row>
    <row r="42" spans="1:16">
      <c r="C42" s="16" t="s">
        <v>1643</v>
      </c>
      <c r="D42" s="11"/>
      <c r="E42" s="11"/>
      <c r="F42" s="11"/>
      <c r="G42" s="10"/>
    </row>
    <row r="43" spans="1:16">
      <c r="C43" s="11" t="str">
        <f>O14</f>
        <v>华友投资</v>
      </c>
      <c r="D43" s="11"/>
      <c r="E43" s="11"/>
      <c r="F43" s="10">
        <f>Q14/10000</f>
        <v>704.72090000000003</v>
      </c>
      <c r="G43" s="10">
        <f>IFERROR(F43*J$4/10000,"")</f>
        <v>2.2452407874000002</v>
      </c>
    </row>
    <row r="47" spans="1:16" s="162" customFormat="1">
      <c r="A47" s="164" t="s">
        <v>1315</v>
      </c>
      <c r="B47" s="164"/>
      <c r="C47" s="164" t="s">
        <v>107</v>
      </c>
      <c r="D47" s="164" t="s">
        <v>4</v>
      </c>
      <c r="E47" s="166" t="s">
        <v>108</v>
      </c>
      <c r="F47" s="166" t="s">
        <v>109</v>
      </c>
      <c r="G47" s="164" t="s">
        <v>1314</v>
      </c>
      <c r="H47" s="164" t="s">
        <v>1313</v>
      </c>
      <c r="I47" s="165" t="s">
        <v>1312</v>
      </c>
      <c r="J47" s="163" t="s">
        <v>1311</v>
      </c>
      <c r="K47" s="163" t="s">
        <v>110</v>
      </c>
      <c r="L47" s="163" t="s">
        <v>1310</v>
      </c>
      <c r="M47" s="164" t="s">
        <v>111</v>
      </c>
      <c r="N47" s="163" t="s">
        <v>949</v>
      </c>
      <c r="O47" s="163" t="s">
        <v>948</v>
      </c>
      <c r="P47" s="163" t="s">
        <v>129</v>
      </c>
    </row>
    <row r="48" spans="1:16">
      <c r="A48" s="24">
        <v>298</v>
      </c>
      <c r="B48" s="329" t="s">
        <v>1782</v>
      </c>
      <c r="C48" s="1" t="s">
        <v>1781</v>
      </c>
      <c r="D48" s="1" t="s">
        <v>1780</v>
      </c>
      <c r="E48" s="3">
        <v>5.7119999999999997</v>
      </c>
      <c r="F48" s="3">
        <v>5.7119999999999997</v>
      </c>
      <c r="G48" s="2">
        <v>42711</v>
      </c>
      <c r="H48" s="24" t="s">
        <v>151</v>
      </c>
      <c r="I48" s="130">
        <v>4.33</v>
      </c>
      <c r="J48" s="3">
        <v>4.08</v>
      </c>
      <c r="K48" s="160">
        <v>4.08</v>
      </c>
      <c r="L48" s="271">
        <v>0.94226327944572752</v>
      </c>
      <c r="M48" s="270">
        <v>4</v>
      </c>
      <c r="N48" s="2">
        <v>43091</v>
      </c>
      <c r="O48" s="24">
        <v>3.41</v>
      </c>
      <c r="P48" s="157">
        <v>0.83578431372549022</v>
      </c>
    </row>
    <row r="49" spans="1:18">
      <c r="C49" s="16" t="s">
        <v>112</v>
      </c>
      <c r="D49" s="16" t="s">
        <v>113</v>
      </c>
      <c r="E49" s="16" t="s">
        <v>1305</v>
      </c>
      <c r="F49" s="17" t="s">
        <v>1304</v>
      </c>
      <c r="G49" s="16" t="s">
        <v>1303</v>
      </c>
      <c r="I49" s="196" t="s">
        <v>118</v>
      </c>
      <c r="J49" s="196" t="s">
        <v>322</v>
      </c>
      <c r="K49" s="225" t="s">
        <v>488</v>
      </c>
      <c r="L49" s="225" t="s">
        <v>401</v>
      </c>
      <c r="N49" s="196" t="s">
        <v>118</v>
      </c>
      <c r="O49" s="196" t="s">
        <v>322</v>
      </c>
      <c r="P49" s="196" t="s">
        <v>323</v>
      </c>
      <c r="Q49" s="196" t="s">
        <v>1346</v>
      </c>
      <c r="R49" s="225" t="s">
        <v>1520</v>
      </c>
    </row>
    <row r="50" spans="1:18">
      <c r="C50" s="11" t="str">
        <f t="array" ref="C50">IF(J51=0,“”,J51)</f>
        <v>财通基金管理有限公司</v>
      </c>
      <c r="D50" s="11">
        <f t="shared" ref="D50:D55" si="5">K51</f>
        <v>4.0999999999999996</v>
      </c>
      <c r="E50" s="11">
        <f t="shared" ref="E50:E55" si="6">L51/10000</f>
        <v>0.65</v>
      </c>
      <c r="F50" s="10">
        <f t="shared" ref="F50:F55" si="7">IFERROR(VLOOKUP(C50,O$51:Q$54,2,FALSE)/10000,"")</f>
        <v>1593.1371999999999</v>
      </c>
      <c r="G50" s="10">
        <f t="array" ref="G50">IFERROR(F50*J$48,“”)/10000</f>
        <v>0.64999997759999995</v>
      </c>
      <c r="I50" s="196"/>
      <c r="J50" s="196"/>
      <c r="K50" s="225" t="s">
        <v>1316</v>
      </c>
      <c r="L50" s="225" t="s">
        <v>1333</v>
      </c>
      <c r="N50" s="196"/>
      <c r="O50" s="196"/>
      <c r="P50" s="196"/>
      <c r="Q50" s="196"/>
      <c r="R50" s="225" t="s">
        <v>1657</v>
      </c>
    </row>
    <row r="51" spans="1:18">
      <c r="C51" s="11"/>
      <c r="D51" s="11">
        <f t="shared" si="5"/>
        <v>4.08</v>
      </c>
      <c r="E51" s="11">
        <f t="shared" si="6"/>
        <v>2.2999999999999998</v>
      </c>
      <c r="F51" s="10" t="str">
        <f t="shared" si="7"/>
        <v/>
      </c>
      <c r="G51" s="10"/>
      <c r="I51" s="371">
        <v>1</v>
      </c>
      <c r="J51" s="192" t="s">
        <v>115</v>
      </c>
      <c r="K51" s="370">
        <v>4.0999999999999996</v>
      </c>
      <c r="L51" s="369">
        <v>6500</v>
      </c>
      <c r="N51" s="371">
        <v>1</v>
      </c>
      <c r="O51" s="192" t="s">
        <v>352</v>
      </c>
      <c r="P51" s="374">
        <v>82401963</v>
      </c>
      <c r="Q51" s="369">
        <v>336200009.04000002</v>
      </c>
      <c r="R51" s="371">
        <v>12</v>
      </c>
    </row>
    <row r="52" spans="1:18">
      <c r="C52" s="11" t="str">
        <f t="array" ref="C52">IF(J53=0,“”,J53)</f>
        <v>东吴基金管理有限公司</v>
      </c>
      <c r="D52" s="11">
        <f t="shared" si="5"/>
        <v>4.0999999999999996</v>
      </c>
      <c r="E52" s="11">
        <f t="shared" si="6"/>
        <v>1</v>
      </c>
      <c r="F52" s="10">
        <f t="shared" si="7"/>
        <v>2450.9803000000002</v>
      </c>
      <c r="G52" s="10">
        <f t="array" ref="G52">IFERROR(F52*J$48,“”)/10000</f>
        <v>0.9999999624</v>
      </c>
      <c r="I52" s="25"/>
      <c r="J52" s="25"/>
      <c r="K52" s="370">
        <v>4.08</v>
      </c>
      <c r="L52" s="369">
        <v>23000</v>
      </c>
      <c r="N52" s="371">
        <v>2</v>
      </c>
      <c r="O52" s="192" t="s">
        <v>974</v>
      </c>
      <c r="P52" s="374">
        <v>24509803</v>
      </c>
      <c r="Q52" s="369">
        <v>99999996.239999995</v>
      </c>
      <c r="R52" s="371">
        <v>12</v>
      </c>
    </row>
    <row r="53" spans="1:18">
      <c r="C53" s="11" t="str">
        <f t="array" ref="C53">IF(J54=0,“”,J54)</f>
        <v>上海六禾投资有限公司</v>
      </c>
      <c r="D53" s="11">
        <f t="shared" si="5"/>
        <v>4.0999999999999996</v>
      </c>
      <c r="E53" s="11">
        <f t="shared" si="6"/>
        <v>0.7</v>
      </c>
      <c r="F53" s="10">
        <f t="shared" si="7"/>
        <v>1715.6862000000001</v>
      </c>
      <c r="G53" s="10">
        <f t="array" ref="G53">IFERROR(F53*J$48,“”)/10000</f>
        <v>0.6999999696000001</v>
      </c>
      <c r="I53" s="371">
        <v>2</v>
      </c>
      <c r="J53" s="192" t="s">
        <v>974</v>
      </c>
      <c r="K53" s="370">
        <v>4.0999999999999996</v>
      </c>
      <c r="L53" s="369">
        <v>10000</v>
      </c>
      <c r="N53" s="371">
        <v>3</v>
      </c>
      <c r="O53" s="192" t="s">
        <v>1779</v>
      </c>
      <c r="P53" s="374">
        <v>17156862</v>
      </c>
      <c r="Q53" s="369">
        <v>69999996.959999993</v>
      </c>
      <c r="R53" s="371">
        <v>12</v>
      </c>
    </row>
    <row r="54" spans="1:18">
      <c r="C54" s="11"/>
      <c r="D54" s="11">
        <f t="shared" si="5"/>
        <v>4.08</v>
      </c>
      <c r="E54" s="11">
        <f t="shared" si="6"/>
        <v>0.7</v>
      </c>
      <c r="F54" s="10" t="str">
        <f t="shared" si="7"/>
        <v/>
      </c>
      <c r="G54" s="10"/>
      <c r="I54" s="371">
        <v>3</v>
      </c>
      <c r="J54" s="192" t="s">
        <v>1779</v>
      </c>
      <c r="K54" s="370">
        <v>4.0999999999999996</v>
      </c>
      <c r="L54" s="369">
        <v>7000</v>
      </c>
      <c r="N54" s="371">
        <v>4</v>
      </c>
      <c r="O54" s="192" t="s">
        <v>115</v>
      </c>
      <c r="P54" s="374">
        <v>15931372</v>
      </c>
      <c r="Q54" s="369">
        <v>64999997.759999998</v>
      </c>
      <c r="R54" s="371">
        <v>12</v>
      </c>
    </row>
    <row r="55" spans="1:18">
      <c r="C55" s="11" t="str">
        <f t="array" ref="C55">IF(J56=0,“”,J56)</f>
        <v>兴业财富资产管理有限公司</v>
      </c>
      <c r="D55" s="11">
        <f t="shared" si="5"/>
        <v>4.08</v>
      </c>
      <c r="E55" s="11">
        <f t="shared" si="6"/>
        <v>5</v>
      </c>
      <c r="F55" s="10">
        <f t="shared" si="7"/>
        <v>8240.1962999999996</v>
      </c>
      <c r="G55" s="10">
        <f t="array" ref="G55">IFERROR(F55*J$48,“”)/10000</f>
        <v>3.3620000904</v>
      </c>
      <c r="I55" s="25"/>
      <c r="J55" s="25"/>
      <c r="K55" s="370">
        <v>4.08</v>
      </c>
      <c r="L55" s="369">
        <v>7000</v>
      </c>
      <c r="N55" s="196" t="s">
        <v>1330</v>
      </c>
      <c r="O55" s="196"/>
      <c r="P55" s="373">
        <v>140000000</v>
      </c>
      <c r="Q55" s="372">
        <v>571200000</v>
      </c>
      <c r="R55" s="278"/>
    </row>
    <row r="56" spans="1:18">
      <c r="I56" s="371">
        <v>4</v>
      </c>
      <c r="J56" s="192" t="s">
        <v>352</v>
      </c>
      <c r="K56" s="370">
        <v>4.08</v>
      </c>
      <c r="L56" s="369">
        <v>50000</v>
      </c>
    </row>
    <row r="59" spans="1:18" s="162" customFormat="1">
      <c r="A59" s="164" t="s">
        <v>1315</v>
      </c>
      <c r="B59" s="164"/>
      <c r="C59" s="164" t="s">
        <v>107</v>
      </c>
      <c r="D59" s="164" t="s">
        <v>4</v>
      </c>
      <c r="E59" s="166" t="s">
        <v>108</v>
      </c>
      <c r="F59" s="166" t="s">
        <v>109</v>
      </c>
      <c r="G59" s="164" t="s">
        <v>1314</v>
      </c>
      <c r="H59" s="164" t="s">
        <v>1313</v>
      </c>
      <c r="I59" s="165" t="s">
        <v>1312</v>
      </c>
      <c r="J59" s="163" t="s">
        <v>1311</v>
      </c>
      <c r="K59" s="163" t="s">
        <v>110</v>
      </c>
      <c r="L59" s="163" t="s">
        <v>1310</v>
      </c>
      <c r="M59" s="164" t="s">
        <v>111</v>
      </c>
      <c r="N59" s="163" t="s">
        <v>949</v>
      </c>
      <c r="O59" s="163" t="s">
        <v>948</v>
      </c>
      <c r="P59" s="163" t="s">
        <v>129</v>
      </c>
    </row>
    <row r="60" spans="1:18">
      <c r="A60" s="24">
        <v>299</v>
      </c>
      <c r="B60" s="329" t="s">
        <v>1778</v>
      </c>
      <c r="C60" s="1" t="s">
        <v>1777</v>
      </c>
      <c r="D60" s="1" t="s">
        <v>1776</v>
      </c>
      <c r="E60" s="3">
        <v>9.9062830000000002</v>
      </c>
      <c r="F60" s="3">
        <v>9.9062829029999993</v>
      </c>
      <c r="G60" s="332">
        <v>42702</v>
      </c>
      <c r="H60" s="24" t="s">
        <v>151</v>
      </c>
      <c r="I60" s="130">
        <v>35.47</v>
      </c>
      <c r="J60" s="3">
        <v>34.1</v>
      </c>
      <c r="K60" s="160">
        <v>27.28</v>
      </c>
      <c r="L60" s="271">
        <v>0.96137581054412191</v>
      </c>
      <c r="M60" s="270">
        <v>5</v>
      </c>
      <c r="N60" s="2">
        <v>43094</v>
      </c>
      <c r="O60" s="24">
        <v>37.79</v>
      </c>
      <c r="P60" s="157">
        <v>1.1111436950146627</v>
      </c>
    </row>
    <row r="61" spans="1:18" ht="16">
      <c r="C61" s="16" t="s">
        <v>112</v>
      </c>
      <c r="D61" s="16" t="s">
        <v>113</v>
      </c>
      <c r="E61" s="16" t="s">
        <v>1305</v>
      </c>
      <c r="F61" s="17" t="s">
        <v>1304</v>
      </c>
      <c r="G61" s="16" t="s">
        <v>1303</v>
      </c>
      <c r="I61" s="331" t="s">
        <v>118</v>
      </c>
      <c r="J61" s="331" t="s">
        <v>296</v>
      </c>
      <c r="K61" s="331" t="s">
        <v>1775</v>
      </c>
      <c r="L61" s="331" t="s">
        <v>1774</v>
      </c>
      <c r="M61" s="25"/>
      <c r="N61" s="366" t="s">
        <v>118</v>
      </c>
      <c r="O61" s="366" t="s">
        <v>7</v>
      </c>
      <c r="P61" s="316" t="s">
        <v>1773</v>
      </c>
      <c r="Q61" s="316" t="s">
        <v>1772</v>
      </c>
      <c r="R61" s="368" t="s">
        <v>1520</v>
      </c>
    </row>
    <row r="62" spans="1:18" ht="16">
      <c r="C62" s="11" t="str">
        <f t="shared" ref="C62:C80" si="8">IF(J62=0,"",J62)</f>
        <v>嘉实基金管理有限公司</v>
      </c>
      <c r="D62" s="11">
        <f t="shared" ref="D62:D81" si="9">K62</f>
        <v>32</v>
      </c>
      <c r="E62" s="11">
        <f t="shared" ref="E62:E81" si="10">L62/10000</f>
        <v>2</v>
      </c>
      <c r="F62" s="11" t="str">
        <f t="shared" ref="F62:F81" si="11">IFERROR(VLOOKUP(C62,O$63:Q$67,2,FALSE)/10000,"")</f>
        <v/>
      </c>
      <c r="G62" s="11"/>
      <c r="I62" s="168">
        <v>1</v>
      </c>
      <c r="J62" s="204" t="s">
        <v>228</v>
      </c>
      <c r="K62" s="168">
        <v>32</v>
      </c>
      <c r="L62" s="167">
        <v>20000</v>
      </c>
      <c r="M62" s="25"/>
      <c r="N62" s="366"/>
      <c r="O62" s="366"/>
      <c r="P62" s="316" t="s">
        <v>1317</v>
      </c>
      <c r="Q62" s="316" t="s">
        <v>1316</v>
      </c>
      <c r="R62" s="368" t="s">
        <v>1657</v>
      </c>
    </row>
    <row r="63" spans="1:18" ht="14.5">
      <c r="C63" s="11" t="str">
        <f t="shared" si="8"/>
        <v>第一创业证券股份有限公司</v>
      </c>
      <c r="D63" s="11">
        <f t="shared" si="9"/>
        <v>31.45</v>
      </c>
      <c r="E63" s="11">
        <f t="shared" si="10"/>
        <v>2</v>
      </c>
      <c r="F63" s="11" t="str">
        <f t="shared" si="11"/>
        <v/>
      </c>
      <c r="G63" s="11"/>
      <c r="I63" s="168">
        <v>2</v>
      </c>
      <c r="J63" s="204" t="s">
        <v>127</v>
      </c>
      <c r="K63" s="168">
        <v>31.45</v>
      </c>
      <c r="L63" s="167">
        <v>20000</v>
      </c>
      <c r="M63" s="25"/>
      <c r="N63" s="367">
        <v>1</v>
      </c>
      <c r="O63" s="155" t="s">
        <v>358</v>
      </c>
      <c r="P63" s="236">
        <v>5865102</v>
      </c>
      <c r="Q63" s="234">
        <v>199999978.19999999</v>
      </c>
      <c r="R63" s="168">
        <v>12</v>
      </c>
    </row>
    <row r="64" spans="1:18" ht="14.5">
      <c r="C64" s="11" t="str">
        <f t="shared" si="8"/>
        <v>兴业全球基金管理有限公司</v>
      </c>
      <c r="D64" s="11">
        <f t="shared" si="9"/>
        <v>31.41</v>
      </c>
      <c r="E64" s="11">
        <f t="shared" si="10"/>
        <v>2</v>
      </c>
      <c r="F64" s="11" t="str">
        <f t="shared" si="11"/>
        <v/>
      </c>
      <c r="G64" s="11"/>
      <c r="I64" s="168">
        <v>3</v>
      </c>
      <c r="J64" s="204" t="s">
        <v>131</v>
      </c>
      <c r="K64" s="168">
        <v>31.41</v>
      </c>
      <c r="L64" s="167">
        <v>20000</v>
      </c>
      <c r="M64" s="25"/>
      <c r="N64" s="367">
        <v>2</v>
      </c>
      <c r="O64" s="155" t="s">
        <v>960</v>
      </c>
      <c r="P64" s="236">
        <v>5865102</v>
      </c>
      <c r="Q64" s="234">
        <v>199999978.19999999</v>
      </c>
      <c r="R64" s="168">
        <v>12</v>
      </c>
    </row>
    <row r="65" spans="3:18" ht="14.5">
      <c r="C65" s="11" t="str">
        <f t="shared" si="8"/>
        <v>华安未来资产管理（上海）有限公司</v>
      </c>
      <c r="D65" s="11">
        <f t="shared" si="9"/>
        <v>39.020000000000003</v>
      </c>
      <c r="E65" s="11">
        <f t="shared" si="10"/>
        <v>2</v>
      </c>
      <c r="F65" s="10">
        <f t="shared" si="11"/>
        <v>586.51020000000005</v>
      </c>
      <c r="G65" s="10">
        <f t="shared" ref="G65:G80" si="12">IFERROR(F65*J$60/10000,"")</f>
        <v>1.9999997820000004</v>
      </c>
      <c r="I65" s="168">
        <v>4</v>
      </c>
      <c r="J65" s="204" t="s">
        <v>358</v>
      </c>
      <c r="K65" s="168">
        <v>39.020000000000003</v>
      </c>
      <c r="L65" s="167">
        <v>20000</v>
      </c>
      <c r="M65" s="25"/>
      <c r="N65" s="367">
        <v>3</v>
      </c>
      <c r="O65" s="155" t="s">
        <v>352</v>
      </c>
      <c r="P65" s="236">
        <v>5865102</v>
      </c>
      <c r="Q65" s="234">
        <v>199999978.19999999</v>
      </c>
      <c r="R65" s="168">
        <v>12</v>
      </c>
    </row>
    <row r="66" spans="3:18" ht="14.5">
      <c r="C66" s="11" t="str">
        <f t="shared" si="8"/>
        <v>信诚基金管理有限公司</v>
      </c>
      <c r="D66" s="11">
        <f t="shared" si="9"/>
        <v>32.770000000000003</v>
      </c>
      <c r="E66" s="11">
        <f t="shared" si="10"/>
        <v>2</v>
      </c>
      <c r="F66" s="11" t="str">
        <f t="shared" si="11"/>
        <v/>
      </c>
      <c r="G66" s="10" t="str">
        <f t="shared" si="12"/>
        <v/>
      </c>
      <c r="I66" s="168">
        <v>5</v>
      </c>
      <c r="J66" s="204" t="s">
        <v>300</v>
      </c>
      <c r="K66" s="168">
        <v>32.770000000000003</v>
      </c>
      <c r="L66" s="167">
        <v>20000</v>
      </c>
      <c r="M66" s="25"/>
      <c r="N66" s="367">
        <v>4</v>
      </c>
      <c r="O66" s="155" t="s">
        <v>1214</v>
      </c>
      <c r="P66" s="236">
        <v>5865102</v>
      </c>
      <c r="Q66" s="234">
        <v>199999978.19999999</v>
      </c>
      <c r="R66" s="168">
        <v>12</v>
      </c>
    </row>
    <row r="67" spans="3:18" ht="14.5">
      <c r="C67" s="11" t="str">
        <f t="shared" si="8"/>
        <v/>
      </c>
      <c r="D67" s="11">
        <f t="shared" si="9"/>
        <v>32.06</v>
      </c>
      <c r="E67" s="11">
        <f t="shared" si="10"/>
        <v>2.5</v>
      </c>
      <c r="F67" s="11" t="str">
        <f t="shared" si="11"/>
        <v/>
      </c>
      <c r="G67" s="10" t="str">
        <f t="shared" si="12"/>
        <v/>
      </c>
      <c r="I67" s="227"/>
      <c r="J67" s="227"/>
      <c r="K67" s="168">
        <v>32.06</v>
      </c>
      <c r="L67" s="167">
        <v>25000</v>
      </c>
      <c r="M67" s="25"/>
      <c r="N67" s="367">
        <v>5</v>
      </c>
      <c r="O67" s="155" t="s">
        <v>1360</v>
      </c>
      <c r="P67" s="236">
        <v>5590275</v>
      </c>
      <c r="Q67" s="234">
        <v>190628377.5</v>
      </c>
      <c r="R67" s="168">
        <v>12</v>
      </c>
    </row>
    <row r="68" spans="3:18" ht="14.5">
      <c r="C68" s="11" t="str">
        <f t="shared" si="8"/>
        <v>国信证券股份有限公司</v>
      </c>
      <c r="D68" s="11">
        <f t="shared" si="9"/>
        <v>33.11</v>
      </c>
      <c r="E68" s="11">
        <f t="shared" si="10"/>
        <v>2</v>
      </c>
      <c r="F68" s="11" t="str">
        <f t="shared" si="11"/>
        <v/>
      </c>
      <c r="G68" s="10" t="str">
        <f t="shared" si="12"/>
        <v/>
      </c>
      <c r="I68" s="168">
        <v>6</v>
      </c>
      <c r="J68" s="204" t="s">
        <v>1142</v>
      </c>
      <c r="K68" s="168">
        <v>33.11</v>
      </c>
      <c r="L68" s="167">
        <v>20000</v>
      </c>
      <c r="M68" s="25"/>
      <c r="N68" s="227"/>
      <c r="O68" s="177" t="s">
        <v>1293</v>
      </c>
      <c r="P68" s="284">
        <v>29050683</v>
      </c>
      <c r="Q68" s="323">
        <v>990628290.29999995</v>
      </c>
      <c r="R68" s="272" t="s">
        <v>294</v>
      </c>
    </row>
    <row r="69" spans="3:18">
      <c r="C69" s="11" t="str">
        <f t="shared" si="8"/>
        <v>平安大华基金管理有限公司</v>
      </c>
      <c r="D69" s="11">
        <f t="shared" si="9"/>
        <v>31.92</v>
      </c>
      <c r="E69" s="11">
        <f t="shared" si="10"/>
        <v>2</v>
      </c>
      <c r="F69" s="11" t="str">
        <f t="shared" si="11"/>
        <v/>
      </c>
      <c r="G69" s="10" t="str">
        <f t="shared" si="12"/>
        <v/>
      </c>
      <c r="I69" s="168">
        <v>7</v>
      </c>
      <c r="J69" s="204" t="s">
        <v>146</v>
      </c>
      <c r="K69" s="168">
        <v>31.92</v>
      </c>
      <c r="L69" s="167">
        <v>20000</v>
      </c>
      <c r="M69" s="25"/>
      <c r="N69" s="25"/>
      <c r="O69" s="25"/>
      <c r="P69" s="25"/>
      <c r="Q69" s="25"/>
      <c r="R69" s="25"/>
    </row>
    <row r="70" spans="3:18">
      <c r="C70" s="11" t="str">
        <f t="shared" si="8"/>
        <v>东吴基金管理有限公司</v>
      </c>
      <c r="D70" s="11">
        <f t="shared" si="9"/>
        <v>32.01</v>
      </c>
      <c r="E70" s="11">
        <f t="shared" si="10"/>
        <v>2</v>
      </c>
      <c r="F70" s="11" t="str">
        <f t="shared" si="11"/>
        <v/>
      </c>
      <c r="G70" s="10" t="str">
        <f t="shared" si="12"/>
        <v/>
      </c>
      <c r="I70" s="168">
        <v>8</v>
      </c>
      <c r="J70" s="204" t="s">
        <v>974</v>
      </c>
      <c r="K70" s="168">
        <v>32.01</v>
      </c>
      <c r="L70" s="167">
        <v>20000</v>
      </c>
      <c r="M70" s="25"/>
      <c r="N70" s="25"/>
      <c r="O70" s="25"/>
      <c r="P70" s="25"/>
      <c r="Q70" s="25"/>
      <c r="R70" s="25"/>
    </row>
    <row r="71" spans="3:18">
      <c r="C71" s="11" t="str">
        <f t="shared" si="8"/>
        <v>兴业财富资产管理有限公司</v>
      </c>
      <c r="D71" s="11">
        <f t="shared" si="9"/>
        <v>36.28</v>
      </c>
      <c r="E71" s="11">
        <f t="shared" si="10"/>
        <v>2</v>
      </c>
      <c r="F71" s="10">
        <f t="shared" si="11"/>
        <v>586.51020000000005</v>
      </c>
      <c r="G71" s="10">
        <f t="shared" si="12"/>
        <v>1.9999997820000004</v>
      </c>
      <c r="I71" s="168">
        <v>9</v>
      </c>
      <c r="J71" s="203" t="s">
        <v>352</v>
      </c>
      <c r="K71" s="168">
        <v>36.28</v>
      </c>
      <c r="L71" s="167">
        <v>20000</v>
      </c>
    </row>
    <row r="72" spans="3:18">
      <c r="C72" s="11" t="str">
        <f t="shared" si="8"/>
        <v/>
      </c>
      <c r="D72" s="11">
        <f t="shared" si="9"/>
        <v>34.020000000000003</v>
      </c>
      <c r="E72" s="11">
        <f t="shared" si="10"/>
        <v>2</v>
      </c>
      <c r="F72" s="10" t="str">
        <f t="shared" si="11"/>
        <v/>
      </c>
      <c r="G72" s="10" t="str">
        <f t="shared" si="12"/>
        <v/>
      </c>
      <c r="I72" s="25"/>
      <c r="J72" s="25"/>
      <c r="K72" s="168">
        <v>34.020000000000003</v>
      </c>
      <c r="L72" s="167">
        <v>20000</v>
      </c>
    </row>
    <row r="73" spans="3:18">
      <c r="C73" s="11" t="str">
        <f t="shared" si="8"/>
        <v/>
      </c>
      <c r="D73" s="11">
        <f t="shared" si="9"/>
        <v>31.38</v>
      </c>
      <c r="E73" s="11">
        <f t="shared" si="10"/>
        <v>2</v>
      </c>
      <c r="F73" s="10" t="str">
        <f t="shared" si="11"/>
        <v/>
      </c>
      <c r="G73" s="10" t="str">
        <f t="shared" si="12"/>
        <v/>
      </c>
      <c r="I73" s="64"/>
      <c r="J73" s="64"/>
      <c r="K73" s="168">
        <v>31.38</v>
      </c>
      <c r="L73" s="167">
        <v>20000</v>
      </c>
    </row>
    <row r="74" spans="3:18">
      <c r="C74" s="11" t="str">
        <f t="shared" si="8"/>
        <v>财通基金管理有限公司</v>
      </c>
      <c r="D74" s="11">
        <f t="shared" si="9"/>
        <v>33.69</v>
      </c>
      <c r="E74" s="11">
        <f t="shared" si="10"/>
        <v>2.9</v>
      </c>
      <c r="F74" s="10" t="str">
        <f t="shared" si="11"/>
        <v/>
      </c>
      <c r="G74" s="10" t="str">
        <f t="shared" si="12"/>
        <v/>
      </c>
      <c r="I74" s="168">
        <v>10</v>
      </c>
      <c r="J74" s="203" t="s">
        <v>115</v>
      </c>
      <c r="K74" s="168">
        <v>33.69</v>
      </c>
      <c r="L74" s="167">
        <v>29000</v>
      </c>
    </row>
    <row r="75" spans="3:18">
      <c r="C75" s="11" t="str">
        <f t="shared" si="8"/>
        <v/>
      </c>
      <c r="D75" s="11">
        <f t="shared" si="9"/>
        <v>32.6</v>
      </c>
      <c r="E75" s="11">
        <f t="shared" si="10"/>
        <v>3.6</v>
      </c>
      <c r="F75" s="10" t="str">
        <f t="shared" si="11"/>
        <v/>
      </c>
      <c r="G75" s="10" t="str">
        <f t="shared" si="12"/>
        <v/>
      </c>
      <c r="I75" s="25"/>
      <c r="J75" s="25"/>
      <c r="K75" s="168">
        <v>32.6</v>
      </c>
      <c r="L75" s="167">
        <v>36000</v>
      </c>
    </row>
    <row r="76" spans="3:18">
      <c r="C76" s="11" t="str">
        <f t="shared" si="8"/>
        <v/>
      </c>
      <c r="D76" s="11">
        <f t="shared" si="9"/>
        <v>31.9</v>
      </c>
      <c r="E76" s="11">
        <f t="shared" si="10"/>
        <v>5.0999999999999996</v>
      </c>
      <c r="F76" s="10" t="str">
        <f t="shared" si="11"/>
        <v/>
      </c>
      <c r="G76" s="10" t="str">
        <f t="shared" si="12"/>
        <v/>
      </c>
      <c r="I76" s="64"/>
      <c r="J76" s="64"/>
      <c r="K76" s="168">
        <v>31.9</v>
      </c>
      <c r="L76" s="167">
        <v>51000</v>
      </c>
    </row>
    <row r="77" spans="3:18">
      <c r="C77" s="11" t="str">
        <f t="shared" si="8"/>
        <v>金元顺安基金管理有限公司</v>
      </c>
      <c r="D77" s="11">
        <f t="shared" si="9"/>
        <v>36.36</v>
      </c>
      <c r="E77" s="11">
        <f t="shared" si="10"/>
        <v>2</v>
      </c>
      <c r="F77" s="10">
        <f t="shared" si="11"/>
        <v>586.51020000000005</v>
      </c>
      <c r="G77" s="10">
        <f t="shared" si="12"/>
        <v>1.9999997820000004</v>
      </c>
      <c r="I77" s="168">
        <v>11</v>
      </c>
      <c r="J77" s="204" t="s">
        <v>960</v>
      </c>
      <c r="K77" s="168">
        <v>36.36</v>
      </c>
      <c r="L77" s="167">
        <v>20000</v>
      </c>
    </row>
    <row r="78" spans="3:18">
      <c r="C78" s="11" t="str">
        <f t="shared" si="8"/>
        <v>山东高速投资控股有限公司</v>
      </c>
      <c r="D78" s="11">
        <f t="shared" si="9"/>
        <v>34.1</v>
      </c>
      <c r="E78" s="11">
        <f t="shared" si="10"/>
        <v>2</v>
      </c>
      <c r="F78" s="10">
        <f t="shared" si="11"/>
        <v>586.51020000000005</v>
      </c>
      <c r="G78" s="10">
        <f t="shared" si="12"/>
        <v>1.9999997820000004</v>
      </c>
      <c r="I78" s="168">
        <v>12</v>
      </c>
      <c r="J78" s="203" t="s">
        <v>1214</v>
      </c>
      <c r="K78" s="168">
        <v>34.1</v>
      </c>
      <c r="L78" s="167">
        <v>20000</v>
      </c>
    </row>
    <row r="79" spans="3:18">
      <c r="C79" s="11" t="str">
        <f t="shared" si="8"/>
        <v/>
      </c>
      <c r="D79" s="11">
        <f t="shared" si="9"/>
        <v>34</v>
      </c>
      <c r="E79" s="11">
        <f t="shared" si="10"/>
        <v>2</v>
      </c>
      <c r="F79" s="10" t="str">
        <f t="shared" si="11"/>
        <v/>
      </c>
      <c r="G79" s="10" t="str">
        <f t="shared" si="12"/>
        <v/>
      </c>
      <c r="I79" s="25"/>
      <c r="J79" s="25"/>
      <c r="K79" s="168">
        <v>34</v>
      </c>
      <c r="L79" s="167">
        <v>20000</v>
      </c>
    </row>
    <row r="80" spans="3:18">
      <c r="C80" s="11" t="str">
        <f t="shared" si="8"/>
        <v>山东高速投资基金管理有限公司</v>
      </c>
      <c r="D80" s="11">
        <f t="shared" si="9"/>
        <v>34.1</v>
      </c>
      <c r="E80" s="11">
        <f t="shared" si="10"/>
        <v>2</v>
      </c>
      <c r="F80" s="10">
        <f t="shared" si="11"/>
        <v>559.02750000000003</v>
      </c>
      <c r="G80" s="10">
        <f t="shared" si="12"/>
        <v>1.9062837750000003</v>
      </c>
      <c r="I80" s="168">
        <v>13</v>
      </c>
      <c r="J80" s="203" t="s">
        <v>1360</v>
      </c>
      <c r="K80" s="168">
        <v>34.1</v>
      </c>
      <c r="L80" s="167">
        <v>20000</v>
      </c>
    </row>
    <row r="81" spans="1:19">
      <c r="C81" s="11"/>
      <c r="D81" s="11">
        <f t="shared" si="9"/>
        <v>34</v>
      </c>
      <c r="E81" s="11">
        <f t="shared" si="10"/>
        <v>2</v>
      </c>
      <c r="F81" s="11" t="str">
        <f t="shared" si="11"/>
        <v/>
      </c>
      <c r="G81" s="11"/>
      <c r="I81" s="25"/>
      <c r="J81" s="25"/>
      <c r="K81" s="168">
        <v>34</v>
      </c>
      <c r="L81" s="167">
        <v>20000</v>
      </c>
    </row>
    <row r="85" spans="1:19" s="162" customFormat="1">
      <c r="A85" s="164" t="s">
        <v>1315</v>
      </c>
      <c r="B85" s="164"/>
      <c r="C85" s="164" t="s">
        <v>107</v>
      </c>
      <c r="D85" s="164" t="s">
        <v>4</v>
      </c>
      <c r="E85" s="166" t="s">
        <v>108</v>
      </c>
      <c r="F85" s="166" t="s">
        <v>109</v>
      </c>
      <c r="G85" s="164" t="s">
        <v>1314</v>
      </c>
      <c r="H85" s="164" t="s">
        <v>1313</v>
      </c>
      <c r="I85" s="165" t="s">
        <v>1312</v>
      </c>
      <c r="J85" s="163" t="s">
        <v>1311</v>
      </c>
      <c r="K85" s="163" t="s">
        <v>110</v>
      </c>
      <c r="L85" s="163" t="s">
        <v>1310</v>
      </c>
      <c r="M85" s="164" t="s">
        <v>111</v>
      </c>
      <c r="N85" s="163" t="s">
        <v>949</v>
      </c>
      <c r="O85" s="163" t="s">
        <v>948</v>
      </c>
      <c r="P85" s="163" t="s">
        <v>129</v>
      </c>
    </row>
    <row r="86" spans="1:19">
      <c r="A86" s="24">
        <v>300</v>
      </c>
      <c r="B86" s="329" t="s">
        <v>1771</v>
      </c>
      <c r="C86" s="1" t="s">
        <v>1770</v>
      </c>
      <c r="D86" s="1" t="s">
        <v>1769</v>
      </c>
      <c r="E86" s="3">
        <v>17.413720000000001</v>
      </c>
      <c r="F86" s="3">
        <v>17.413719921999999</v>
      </c>
      <c r="G86" s="2">
        <v>42690</v>
      </c>
      <c r="H86" s="24" t="s">
        <v>151</v>
      </c>
      <c r="I86" s="130">
        <v>12.45</v>
      </c>
      <c r="J86" s="3">
        <v>10.7</v>
      </c>
      <c r="K86" s="160">
        <v>9.3800000000000008</v>
      </c>
      <c r="L86" s="271">
        <v>0.85943775100401609</v>
      </c>
      <c r="M86" s="270">
        <v>8</v>
      </c>
      <c r="N86" s="2">
        <v>43123</v>
      </c>
      <c r="O86" s="24">
        <v>7.14</v>
      </c>
      <c r="P86" s="157">
        <v>0.67196261682242986</v>
      </c>
    </row>
    <row r="87" spans="1:19">
      <c r="C87" s="16" t="s">
        <v>112</v>
      </c>
      <c r="D87" s="16" t="s">
        <v>113</v>
      </c>
      <c r="E87" s="16" t="s">
        <v>1305</v>
      </c>
      <c r="F87" s="17" t="s">
        <v>1304</v>
      </c>
      <c r="G87" s="16" t="s">
        <v>1303</v>
      </c>
      <c r="I87" s="196" t="s">
        <v>118</v>
      </c>
      <c r="J87" s="218"/>
      <c r="K87" s="196" t="s">
        <v>488</v>
      </c>
      <c r="L87" s="225" t="s">
        <v>401</v>
      </c>
      <c r="N87" s="196" t="s">
        <v>118</v>
      </c>
      <c r="O87" s="196" t="s">
        <v>349</v>
      </c>
      <c r="P87" s="196" t="s">
        <v>1301</v>
      </c>
      <c r="Q87" s="85" t="s">
        <v>160</v>
      </c>
      <c r="R87" s="85" t="s">
        <v>1318</v>
      </c>
      <c r="S87" s="196" t="s">
        <v>1520</v>
      </c>
    </row>
    <row r="88" spans="1:19">
      <c r="C88" s="11" t="str">
        <f t="shared" ref="C88:C134" si="13">IF(J89=0,"",J89)</f>
        <v>第一创业证券股份有限公司</v>
      </c>
      <c r="D88" s="10">
        <f t="shared" ref="D88:D134" si="14">K89</f>
        <v>10.53</v>
      </c>
      <c r="E88" s="10">
        <f t="shared" ref="E88:E134" si="15">L89/10000</f>
        <v>2</v>
      </c>
      <c r="F88" s="11" t="str">
        <f t="shared" ref="F88:F135" si="16">IFERROR(VLOOKUP(C88,O$89:Q$96,3,FALSE)/10000,"")</f>
        <v/>
      </c>
      <c r="G88" s="11"/>
      <c r="I88" s="196"/>
      <c r="J88" s="85" t="s">
        <v>347</v>
      </c>
      <c r="K88" s="196" t="s">
        <v>1389</v>
      </c>
      <c r="L88" s="225" t="s">
        <v>1333</v>
      </c>
      <c r="N88" s="196"/>
      <c r="O88" s="196"/>
      <c r="P88" s="196" t="s">
        <v>1389</v>
      </c>
      <c r="Q88" s="85" t="s">
        <v>1317</v>
      </c>
      <c r="R88" s="85" t="s">
        <v>1316</v>
      </c>
      <c r="S88" s="196" t="s">
        <v>1657</v>
      </c>
    </row>
    <row r="89" spans="1:19">
      <c r="C89" s="11" t="str">
        <f t="shared" si="13"/>
        <v/>
      </c>
      <c r="D89" s="10">
        <f t="shared" si="14"/>
        <v>9.5299999999999994</v>
      </c>
      <c r="E89" s="10">
        <f t="shared" si="15"/>
        <v>4</v>
      </c>
      <c r="F89" s="11" t="str">
        <f t="shared" si="16"/>
        <v/>
      </c>
      <c r="G89" s="11"/>
      <c r="I89" s="168">
        <v>1</v>
      </c>
      <c r="J89" s="192" t="s">
        <v>127</v>
      </c>
      <c r="K89" s="190">
        <v>10.53</v>
      </c>
      <c r="L89" s="168">
        <v>20000</v>
      </c>
      <c r="N89" s="192">
        <v>1</v>
      </c>
      <c r="O89" s="192" t="s">
        <v>352</v>
      </c>
      <c r="P89" s="168">
        <v>10.7</v>
      </c>
      <c r="Q89" s="193">
        <v>20943923</v>
      </c>
      <c r="R89" s="197">
        <v>224099976.09999999</v>
      </c>
      <c r="S89" s="168">
        <v>12</v>
      </c>
    </row>
    <row r="90" spans="1:19">
      <c r="C90" s="11" t="str">
        <f t="shared" si="13"/>
        <v>嘉实基金管理有限公司</v>
      </c>
      <c r="D90" s="10">
        <f t="shared" si="14"/>
        <v>11.5</v>
      </c>
      <c r="E90" s="10">
        <f t="shared" si="15"/>
        <v>1.8</v>
      </c>
      <c r="F90" s="10">
        <f t="shared" si="16"/>
        <v>2242.9906000000001</v>
      </c>
      <c r="G90" s="10">
        <f t="shared" ref="G90:G133" si="17">IFERROR(F90*J$86/10000,"")</f>
        <v>2.399999942</v>
      </c>
      <c r="I90" s="25"/>
      <c r="J90" s="25"/>
      <c r="K90" s="190">
        <v>9.5299999999999994</v>
      </c>
      <c r="L90" s="168">
        <v>40000</v>
      </c>
      <c r="N90" s="192">
        <v>2</v>
      </c>
      <c r="O90" s="192" t="s">
        <v>966</v>
      </c>
      <c r="P90" s="168">
        <v>10.7</v>
      </c>
      <c r="Q90" s="193">
        <v>27476635</v>
      </c>
      <c r="R90" s="197">
        <v>293999994.5</v>
      </c>
      <c r="S90" s="168">
        <v>12</v>
      </c>
    </row>
    <row r="91" spans="1:19">
      <c r="C91" s="11" t="str">
        <f t="shared" si="13"/>
        <v/>
      </c>
      <c r="D91" s="10">
        <f t="shared" si="14"/>
        <v>11.06</v>
      </c>
      <c r="E91" s="10">
        <f t="shared" si="15"/>
        <v>2.4</v>
      </c>
      <c r="F91" s="11" t="str">
        <f t="shared" si="16"/>
        <v/>
      </c>
      <c r="G91" s="10" t="str">
        <f t="shared" si="17"/>
        <v/>
      </c>
      <c r="I91" s="168">
        <v>2</v>
      </c>
      <c r="J91" s="192" t="s">
        <v>228</v>
      </c>
      <c r="K91" s="190">
        <v>11.5</v>
      </c>
      <c r="L91" s="168">
        <v>18000</v>
      </c>
      <c r="N91" s="204">
        <v>3</v>
      </c>
      <c r="O91" s="192" t="s">
        <v>139</v>
      </c>
      <c r="P91" s="168">
        <v>10.7</v>
      </c>
      <c r="Q91" s="193">
        <v>16355140</v>
      </c>
      <c r="R91" s="197">
        <v>174999998</v>
      </c>
      <c r="S91" s="168">
        <v>12</v>
      </c>
    </row>
    <row r="92" spans="1:19">
      <c r="C92" s="11" t="str">
        <f t="shared" si="13"/>
        <v/>
      </c>
      <c r="D92" s="10">
        <f t="shared" si="14"/>
        <v>10.58</v>
      </c>
      <c r="E92" s="10">
        <f t="shared" si="15"/>
        <v>3.2</v>
      </c>
      <c r="F92" s="11" t="str">
        <f t="shared" si="16"/>
        <v/>
      </c>
      <c r="G92" s="10" t="str">
        <f t="shared" si="17"/>
        <v/>
      </c>
      <c r="I92" s="196"/>
      <c r="J92" s="64"/>
      <c r="K92" s="190">
        <v>11.06</v>
      </c>
      <c r="L92" s="168">
        <v>24000</v>
      </c>
      <c r="N92" s="192">
        <v>4</v>
      </c>
      <c r="O92" s="192" t="s">
        <v>228</v>
      </c>
      <c r="P92" s="168">
        <v>10.7</v>
      </c>
      <c r="Q92" s="193">
        <v>22429906</v>
      </c>
      <c r="R92" s="197">
        <v>239999994.19999999</v>
      </c>
      <c r="S92" s="168">
        <v>12</v>
      </c>
    </row>
    <row r="93" spans="1:19">
      <c r="C93" s="11" t="str">
        <f t="shared" si="13"/>
        <v>民生通惠资产管理有限公司</v>
      </c>
      <c r="D93" s="10">
        <f t="shared" si="14"/>
        <v>10.5</v>
      </c>
      <c r="E93" s="10">
        <f t="shared" si="15"/>
        <v>1.75</v>
      </c>
      <c r="F93" s="11" t="str">
        <f t="shared" si="16"/>
        <v/>
      </c>
      <c r="G93" s="10" t="str">
        <f t="shared" si="17"/>
        <v/>
      </c>
      <c r="I93" s="25"/>
      <c r="J93" s="25"/>
      <c r="K93" s="190">
        <v>10.58</v>
      </c>
      <c r="L93" s="168">
        <v>32000</v>
      </c>
      <c r="N93" s="192">
        <v>5</v>
      </c>
      <c r="O93" s="192" t="s">
        <v>385</v>
      </c>
      <c r="P93" s="168">
        <v>10.7</v>
      </c>
      <c r="Q93" s="193">
        <v>18691588</v>
      </c>
      <c r="R93" s="197">
        <v>199999991.59999999</v>
      </c>
      <c r="S93" s="168">
        <v>12</v>
      </c>
    </row>
    <row r="94" spans="1:19">
      <c r="C94" s="11" t="str">
        <f t="shared" si="13"/>
        <v/>
      </c>
      <c r="D94" s="10">
        <f t="shared" si="14"/>
        <v>10.02</v>
      </c>
      <c r="E94" s="10">
        <f t="shared" si="15"/>
        <v>2.6</v>
      </c>
      <c r="F94" s="11" t="str">
        <f t="shared" si="16"/>
        <v/>
      </c>
      <c r="G94" s="10" t="str">
        <f t="shared" si="17"/>
        <v/>
      </c>
      <c r="I94" s="168">
        <v>3</v>
      </c>
      <c r="J94" s="192" t="s">
        <v>351</v>
      </c>
      <c r="K94" s="190">
        <v>10.5</v>
      </c>
      <c r="L94" s="168">
        <v>17500</v>
      </c>
      <c r="N94" s="192">
        <v>6</v>
      </c>
      <c r="O94" s="192" t="s">
        <v>150</v>
      </c>
      <c r="P94" s="168">
        <v>10.7</v>
      </c>
      <c r="Q94" s="193">
        <v>18971962</v>
      </c>
      <c r="R94" s="197">
        <v>202999993.40000001</v>
      </c>
      <c r="S94" s="168">
        <v>12</v>
      </c>
    </row>
    <row r="95" spans="1:19">
      <c r="C95" s="11" t="str">
        <f t="shared" si="13"/>
        <v/>
      </c>
      <c r="D95" s="10">
        <f t="shared" si="14"/>
        <v>9.6</v>
      </c>
      <c r="E95" s="10">
        <f t="shared" si="15"/>
        <v>3.5</v>
      </c>
      <c r="F95" s="11" t="str">
        <f t="shared" si="16"/>
        <v/>
      </c>
      <c r="G95" s="10" t="str">
        <f t="shared" si="17"/>
        <v/>
      </c>
      <c r="I95" s="25"/>
      <c r="J95" s="25"/>
      <c r="K95" s="190">
        <v>10.02</v>
      </c>
      <c r="L95" s="168">
        <v>26000</v>
      </c>
      <c r="N95" s="192">
        <v>7</v>
      </c>
      <c r="O95" s="192" t="s">
        <v>1105</v>
      </c>
      <c r="P95" s="168">
        <v>10.7</v>
      </c>
      <c r="Q95" s="193">
        <v>16355140</v>
      </c>
      <c r="R95" s="197">
        <v>174999998</v>
      </c>
      <c r="S95" s="168">
        <v>12</v>
      </c>
    </row>
    <row r="96" spans="1:19">
      <c r="C96" s="11" t="str">
        <f t="shared" si="13"/>
        <v>融通基金管理有限公司</v>
      </c>
      <c r="D96" s="10">
        <f t="shared" si="14"/>
        <v>11.22</v>
      </c>
      <c r="E96" s="10">
        <f t="shared" si="15"/>
        <v>2.94</v>
      </c>
      <c r="F96" s="10">
        <f t="shared" si="16"/>
        <v>2747.6635000000001</v>
      </c>
      <c r="G96" s="10">
        <f t="shared" si="17"/>
        <v>2.9399999449999998</v>
      </c>
      <c r="I96" s="64"/>
      <c r="J96" s="64"/>
      <c r="K96" s="190">
        <v>9.6</v>
      </c>
      <c r="L96" s="168">
        <v>35000</v>
      </c>
      <c r="N96" s="204">
        <v>8</v>
      </c>
      <c r="O96" s="192" t="s">
        <v>146</v>
      </c>
      <c r="P96" s="168">
        <v>10.7</v>
      </c>
      <c r="Q96" s="193">
        <v>21520752</v>
      </c>
      <c r="R96" s="197">
        <v>230272046.40000001</v>
      </c>
      <c r="S96" s="168">
        <v>12</v>
      </c>
    </row>
    <row r="97" spans="3:19" ht="16">
      <c r="C97" s="11" t="str">
        <f t="shared" si="13"/>
        <v>兴业全球基金管理有限公司</v>
      </c>
      <c r="D97" s="10">
        <f t="shared" si="14"/>
        <v>9.42</v>
      </c>
      <c r="E97" s="10">
        <f t="shared" si="15"/>
        <v>3.37</v>
      </c>
      <c r="F97" s="10" t="str">
        <f t="shared" si="16"/>
        <v/>
      </c>
      <c r="G97" s="10" t="str">
        <f t="shared" si="17"/>
        <v/>
      </c>
      <c r="I97" s="168">
        <v>4</v>
      </c>
      <c r="J97" s="192" t="s">
        <v>966</v>
      </c>
      <c r="K97" s="190">
        <v>11.22</v>
      </c>
      <c r="L97" s="168">
        <v>29400</v>
      </c>
      <c r="N97" s="366" t="s">
        <v>1330</v>
      </c>
      <c r="O97" s="366"/>
      <c r="P97" s="366"/>
      <c r="Q97" s="195">
        <v>162745046</v>
      </c>
      <c r="R97" s="194">
        <v>1741371992.2</v>
      </c>
      <c r="S97" s="278"/>
    </row>
    <row r="98" spans="3:19">
      <c r="C98" s="11" t="str">
        <f t="shared" si="13"/>
        <v>北京东海中矿投资管理有限公司</v>
      </c>
      <c r="D98" s="10">
        <f t="shared" si="14"/>
        <v>10.3</v>
      </c>
      <c r="E98" s="10">
        <f t="shared" si="15"/>
        <v>1.9569996500000002</v>
      </c>
      <c r="F98" s="10" t="str">
        <f t="shared" si="16"/>
        <v/>
      </c>
      <c r="G98" s="10" t="str">
        <f t="shared" si="17"/>
        <v/>
      </c>
      <c r="I98" s="168">
        <v>5</v>
      </c>
      <c r="J98" s="192" t="s">
        <v>131</v>
      </c>
      <c r="K98" s="190">
        <v>9.42</v>
      </c>
      <c r="L98" s="168">
        <v>33700</v>
      </c>
    </row>
    <row r="99" spans="3:19">
      <c r="C99" s="11" t="str">
        <f t="shared" si="13"/>
        <v/>
      </c>
      <c r="D99" s="10">
        <f t="shared" si="14"/>
        <v>10</v>
      </c>
      <c r="E99" s="10">
        <f t="shared" si="15"/>
        <v>1.9569996500000002</v>
      </c>
      <c r="F99" s="10" t="str">
        <f t="shared" si="16"/>
        <v/>
      </c>
      <c r="G99" s="10" t="str">
        <f t="shared" si="17"/>
        <v/>
      </c>
      <c r="I99" s="168">
        <v>6</v>
      </c>
      <c r="J99" s="192" t="s">
        <v>1768</v>
      </c>
      <c r="K99" s="190">
        <v>10.3</v>
      </c>
      <c r="L99" s="168">
        <v>19569.996500000001</v>
      </c>
    </row>
    <row r="100" spans="3:19">
      <c r="C100" s="11" t="str">
        <f t="shared" si="13"/>
        <v/>
      </c>
      <c r="D100" s="10">
        <f t="shared" si="14"/>
        <v>9.6999999999999993</v>
      </c>
      <c r="E100" s="10">
        <f t="shared" si="15"/>
        <v>1.9570000000000001</v>
      </c>
      <c r="F100" s="10" t="str">
        <f t="shared" si="16"/>
        <v/>
      </c>
      <c r="G100" s="10" t="str">
        <f t="shared" si="17"/>
        <v/>
      </c>
      <c r="I100" s="25"/>
      <c r="J100" s="25"/>
      <c r="K100" s="168">
        <v>10</v>
      </c>
      <c r="L100" s="168">
        <v>19569.996500000001</v>
      </c>
    </row>
    <row r="101" spans="3:19">
      <c r="C101" s="11" t="str">
        <f t="shared" si="13"/>
        <v>东吴基金管理有限公司</v>
      </c>
      <c r="D101" s="10">
        <f t="shared" si="14"/>
        <v>10.01</v>
      </c>
      <c r="E101" s="10">
        <f t="shared" si="15"/>
        <v>1.85</v>
      </c>
      <c r="F101" s="10" t="str">
        <f t="shared" si="16"/>
        <v/>
      </c>
      <c r="G101" s="10" t="str">
        <f t="shared" si="17"/>
        <v/>
      </c>
      <c r="I101" s="64"/>
      <c r="J101" s="64"/>
      <c r="K101" s="190">
        <v>9.6999999999999993</v>
      </c>
      <c r="L101" s="168">
        <v>19570</v>
      </c>
    </row>
    <row r="102" spans="3:19">
      <c r="C102" s="11" t="str">
        <f t="shared" si="13"/>
        <v>博时基金管理有限公司</v>
      </c>
      <c r="D102" s="10">
        <f t="shared" si="14"/>
        <v>10.42</v>
      </c>
      <c r="E102" s="10">
        <f t="shared" si="15"/>
        <v>3.39</v>
      </c>
      <c r="F102" s="10" t="str">
        <f t="shared" si="16"/>
        <v/>
      </c>
      <c r="G102" s="10" t="str">
        <f t="shared" si="17"/>
        <v/>
      </c>
      <c r="I102" s="168">
        <v>7</v>
      </c>
      <c r="J102" s="192" t="s">
        <v>974</v>
      </c>
      <c r="K102" s="190">
        <v>10.01</v>
      </c>
      <c r="L102" s="168">
        <v>18500</v>
      </c>
    </row>
    <row r="103" spans="3:19">
      <c r="C103" s="11" t="str">
        <f t="shared" si="13"/>
        <v>国信证券股份有限公司</v>
      </c>
      <c r="D103" s="10">
        <f t="shared" si="14"/>
        <v>10.69</v>
      </c>
      <c r="E103" s="10">
        <f t="shared" si="15"/>
        <v>1.75</v>
      </c>
      <c r="F103" s="10" t="str">
        <f t="shared" si="16"/>
        <v/>
      </c>
      <c r="G103" s="10" t="str">
        <f t="shared" si="17"/>
        <v/>
      </c>
      <c r="I103" s="168">
        <v>8</v>
      </c>
      <c r="J103" s="192" t="s">
        <v>173</v>
      </c>
      <c r="K103" s="190">
        <v>10.42</v>
      </c>
      <c r="L103" s="168">
        <v>33900</v>
      </c>
    </row>
    <row r="104" spans="3:19">
      <c r="C104" s="11" t="str">
        <f t="shared" si="13"/>
        <v>汇添富基金管理股份有限公司</v>
      </c>
      <c r="D104" s="10">
        <f t="shared" si="14"/>
        <v>11.15</v>
      </c>
      <c r="E104" s="10">
        <f t="shared" si="15"/>
        <v>1.75</v>
      </c>
      <c r="F104" s="10">
        <f t="shared" si="16"/>
        <v>1635.5139999999999</v>
      </c>
      <c r="G104" s="10">
        <f t="shared" si="17"/>
        <v>1.7499999799999997</v>
      </c>
      <c r="I104" s="168">
        <v>9</v>
      </c>
      <c r="J104" s="192" t="s">
        <v>1142</v>
      </c>
      <c r="K104" s="190">
        <v>10.69</v>
      </c>
      <c r="L104" s="168">
        <v>17500</v>
      </c>
    </row>
    <row r="105" spans="3:19">
      <c r="C105" s="11" t="str">
        <f t="shared" si="13"/>
        <v/>
      </c>
      <c r="D105" s="10">
        <f t="shared" si="14"/>
        <v>0</v>
      </c>
      <c r="E105" s="10">
        <f t="shared" si="15"/>
        <v>0</v>
      </c>
      <c r="F105" s="10" t="str">
        <f t="shared" si="16"/>
        <v/>
      </c>
      <c r="G105" s="10" t="str">
        <f t="shared" si="17"/>
        <v/>
      </c>
      <c r="I105" s="296">
        <v>10</v>
      </c>
      <c r="J105" s="192" t="s">
        <v>1507</v>
      </c>
      <c r="K105" s="296">
        <v>11.15</v>
      </c>
      <c r="L105" s="296">
        <v>17500</v>
      </c>
    </row>
    <row r="106" spans="3:19">
      <c r="C106" s="11" t="str">
        <f t="shared" si="13"/>
        <v>东莞证券股份有限公司</v>
      </c>
      <c r="D106" s="10">
        <f t="shared" si="14"/>
        <v>10.199999999999999</v>
      </c>
      <c r="E106" s="10">
        <f t="shared" si="15"/>
        <v>1.75</v>
      </c>
      <c r="F106" s="10" t="str">
        <f t="shared" si="16"/>
        <v/>
      </c>
      <c r="G106" s="10" t="str">
        <f t="shared" si="17"/>
        <v/>
      </c>
      <c r="I106" s="296"/>
      <c r="J106" s="192"/>
      <c r="K106" s="296"/>
      <c r="L106" s="296"/>
    </row>
    <row r="107" spans="3:19">
      <c r="C107" s="11" t="str">
        <f t="shared" si="13"/>
        <v>安信基金管理有限责任公司</v>
      </c>
      <c r="D107" s="10">
        <f t="shared" si="14"/>
        <v>10.67</v>
      </c>
      <c r="E107" s="10">
        <f t="shared" si="15"/>
        <v>1.75</v>
      </c>
      <c r="F107" s="10" t="str">
        <f t="shared" si="16"/>
        <v/>
      </c>
      <c r="G107" s="10" t="str">
        <f t="shared" si="17"/>
        <v/>
      </c>
      <c r="I107" s="168">
        <v>11</v>
      </c>
      <c r="J107" s="192" t="s">
        <v>384</v>
      </c>
      <c r="K107" s="190">
        <v>10.199999999999999</v>
      </c>
      <c r="L107" s="168">
        <v>17500</v>
      </c>
    </row>
    <row r="108" spans="3:19">
      <c r="C108" s="11" t="str">
        <f t="shared" si="13"/>
        <v/>
      </c>
      <c r="D108" s="10">
        <f t="shared" si="14"/>
        <v>10.27</v>
      </c>
      <c r="E108" s="10">
        <f t="shared" si="15"/>
        <v>1.75</v>
      </c>
      <c r="F108" s="10" t="str">
        <f t="shared" si="16"/>
        <v/>
      </c>
      <c r="G108" s="10" t="str">
        <f t="shared" si="17"/>
        <v/>
      </c>
      <c r="I108" s="296">
        <v>12</v>
      </c>
      <c r="J108" s="192" t="s">
        <v>371</v>
      </c>
      <c r="K108" s="190">
        <v>10.67</v>
      </c>
      <c r="L108" s="168">
        <v>17500</v>
      </c>
    </row>
    <row r="109" spans="3:19">
      <c r="C109" s="11" t="str">
        <f t="shared" si="13"/>
        <v/>
      </c>
      <c r="D109" s="10">
        <f t="shared" si="14"/>
        <v>9.3800000000000008</v>
      </c>
      <c r="E109" s="10">
        <f t="shared" si="15"/>
        <v>1.75</v>
      </c>
      <c r="F109" s="10" t="str">
        <f t="shared" si="16"/>
        <v/>
      </c>
      <c r="G109" s="10" t="str">
        <f t="shared" si="17"/>
        <v/>
      </c>
      <c r="I109" s="25"/>
      <c r="J109" s="25"/>
      <c r="K109" s="190">
        <v>10.27</v>
      </c>
      <c r="L109" s="168">
        <v>17500</v>
      </c>
    </row>
    <row r="110" spans="3:19">
      <c r="C110" s="11" t="str">
        <f t="shared" si="13"/>
        <v>华安基金管理有限公司</v>
      </c>
      <c r="D110" s="10">
        <f t="shared" si="14"/>
        <v>10.050000000000001</v>
      </c>
      <c r="E110" s="10">
        <f t="shared" si="15"/>
        <v>1.7546999999999999</v>
      </c>
      <c r="F110" s="10" t="str">
        <f t="shared" si="16"/>
        <v/>
      </c>
      <c r="G110" s="10" t="str">
        <f t="shared" si="17"/>
        <v/>
      </c>
      <c r="I110" s="64"/>
      <c r="J110" s="64"/>
      <c r="K110" s="190">
        <v>9.3800000000000008</v>
      </c>
      <c r="L110" s="168">
        <v>17500</v>
      </c>
    </row>
    <row r="111" spans="3:19">
      <c r="C111" s="11" t="str">
        <f t="shared" si="13"/>
        <v>天弘基金管理有限公司</v>
      </c>
      <c r="D111" s="10">
        <f t="shared" si="14"/>
        <v>10.45</v>
      </c>
      <c r="E111" s="10">
        <f t="shared" si="15"/>
        <v>1.75</v>
      </c>
      <c r="F111" s="10" t="str">
        <f t="shared" si="16"/>
        <v/>
      </c>
      <c r="G111" s="10" t="str">
        <f t="shared" si="17"/>
        <v/>
      </c>
      <c r="I111" s="168">
        <v>13</v>
      </c>
      <c r="J111" s="192" t="s">
        <v>136</v>
      </c>
      <c r="K111" s="190">
        <v>10.050000000000001</v>
      </c>
      <c r="L111" s="168">
        <v>17547</v>
      </c>
    </row>
    <row r="112" spans="3:19">
      <c r="C112" s="11" t="str">
        <f t="shared" si="13"/>
        <v>申万菱信基金管理有限公司</v>
      </c>
      <c r="D112" s="10">
        <f t="shared" si="14"/>
        <v>10.08</v>
      </c>
      <c r="E112" s="10">
        <f t="shared" si="15"/>
        <v>1.95</v>
      </c>
      <c r="F112" s="10" t="str">
        <f t="shared" si="16"/>
        <v/>
      </c>
      <c r="G112" s="10" t="str">
        <f t="shared" si="17"/>
        <v/>
      </c>
      <c r="I112" s="168">
        <v>14</v>
      </c>
      <c r="J112" s="192" t="s">
        <v>279</v>
      </c>
      <c r="K112" s="190">
        <v>10.45</v>
      </c>
      <c r="L112" s="168">
        <v>17500</v>
      </c>
    </row>
    <row r="113" spans="3:12">
      <c r="C113" s="11" t="str">
        <f t="shared" si="13"/>
        <v/>
      </c>
      <c r="D113" s="10">
        <f t="shared" si="14"/>
        <v>9.8000000000000007</v>
      </c>
      <c r="E113" s="10">
        <f t="shared" si="15"/>
        <v>2.15</v>
      </c>
      <c r="F113" s="10" t="str">
        <f t="shared" si="16"/>
        <v/>
      </c>
      <c r="G113" s="10" t="str">
        <f t="shared" si="17"/>
        <v/>
      </c>
      <c r="I113" s="296">
        <v>15</v>
      </c>
      <c r="J113" s="192" t="s">
        <v>121</v>
      </c>
      <c r="K113" s="190">
        <v>10.08</v>
      </c>
      <c r="L113" s="168">
        <v>19500</v>
      </c>
    </row>
    <row r="114" spans="3:12">
      <c r="C114" s="11" t="str">
        <f t="shared" si="13"/>
        <v/>
      </c>
      <c r="D114" s="10">
        <f t="shared" si="14"/>
        <v>9.58</v>
      </c>
      <c r="E114" s="10">
        <f t="shared" si="15"/>
        <v>3.9</v>
      </c>
      <c r="F114" s="10" t="str">
        <f t="shared" si="16"/>
        <v/>
      </c>
      <c r="G114" s="10" t="str">
        <f t="shared" si="17"/>
        <v/>
      </c>
      <c r="I114" s="25"/>
      <c r="J114" s="25"/>
      <c r="K114" s="190">
        <v>9.8000000000000007</v>
      </c>
      <c r="L114" s="168">
        <v>21500</v>
      </c>
    </row>
    <row r="115" spans="3:12">
      <c r="C115" s="11" t="str">
        <f t="shared" si="13"/>
        <v>杭州海源国际商贸有限公司</v>
      </c>
      <c r="D115" s="10">
        <f t="shared" si="14"/>
        <v>10.3</v>
      </c>
      <c r="E115" s="10">
        <f t="shared" si="15"/>
        <v>1.9178599999999999</v>
      </c>
      <c r="F115" s="10" t="str">
        <f t="shared" si="16"/>
        <v/>
      </c>
      <c r="G115" s="10" t="str">
        <f t="shared" si="17"/>
        <v/>
      </c>
      <c r="I115" s="64"/>
      <c r="J115" s="64"/>
      <c r="K115" s="190">
        <v>9.58</v>
      </c>
      <c r="L115" s="168">
        <v>39000</v>
      </c>
    </row>
    <row r="116" spans="3:12">
      <c r="C116" s="11" t="str">
        <f t="shared" si="13"/>
        <v/>
      </c>
      <c r="D116" s="10">
        <f t="shared" si="14"/>
        <v>9.98</v>
      </c>
      <c r="E116" s="10">
        <f t="shared" si="15"/>
        <v>1.9261400000000002</v>
      </c>
      <c r="F116" s="10" t="str">
        <f t="shared" si="16"/>
        <v/>
      </c>
      <c r="G116" s="10" t="str">
        <f t="shared" si="17"/>
        <v/>
      </c>
      <c r="I116" s="296">
        <v>16</v>
      </c>
      <c r="J116" s="192" t="s">
        <v>1649</v>
      </c>
      <c r="K116" s="190">
        <v>10.3</v>
      </c>
      <c r="L116" s="168">
        <v>19178.599999999999</v>
      </c>
    </row>
    <row r="117" spans="3:12">
      <c r="C117" s="11" t="str">
        <f t="shared" si="13"/>
        <v/>
      </c>
      <c r="D117" s="10">
        <f t="shared" si="14"/>
        <v>9.68</v>
      </c>
      <c r="E117" s="10">
        <f t="shared" si="15"/>
        <v>1.9359999999999999</v>
      </c>
      <c r="F117" s="10" t="str">
        <f t="shared" si="16"/>
        <v/>
      </c>
      <c r="G117" s="10" t="str">
        <f t="shared" si="17"/>
        <v/>
      </c>
      <c r="I117" s="25"/>
      <c r="J117" s="25"/>
      <c r="K117" s="190">
        <v>9.98</v>
      </c>
      <c r="L117" s="168">
        <v>19261.400000000001</v>
      </c>
    </row>
    <row r="118" spans="3:12">
      <c r="C118" s="11" t="str">
        <f t="shared" si="13"/>
        <v>平安大华基金管理有限公司</v>
      </c>
      <c r="D118" s="10">
        <f t="shared" si="14"/>
        <v>10.7</v>
      </c>
      <c r="E118" s="10">
        <f t="shared" si="15"/>
        <v>2.39</v>
      </c>
      <c r="F118" s="10">
        <f t="shared" si="16"/>
        <v>2152.0752000000002</v>
      </c>
      <c r="G118" s="10">
        <f t="shared" si="17"/>
        <v>2.3027204640000001</v>
      </c>
      <c r="I118" s="64"/>
      <c r="J118" s="64"/>
      <c r="K118" s="190">
        <v>9.68</v>
      </c>
      <c r="L118" s="168">
        <v>19360</v>
      </c>
    </row>
    <row r="119" spans="3:12">
      <c r="C119" s="11" t="str">
        <f t="shared" si="13"/>
        <v>兴业财富资产管理有限公司</v>
      </c>
      <c r="D119" s="10">
        <f t="shared" si="14"/>
        <v>12.5</v>
      </c>
      <c r="E119" s="10">
        <f t="shared" si="15"/>
        <v>2.2409997500000003</v>
      </c>
      <c r="F119" s="10">
        <f t="shared" si="16"/>
        <v>2094.3923</v>
      </c>
      <c r="G119" s="10">
        <f t="shared" si="17"/>
        <v>2.2409997609999999</v>
      </c>
      <c r="I119" s="168">
        <v>17</v>
      </c>
      <c r="J119" s="192" t="s">
        <v>146</v>
      </c>
      <c r="K119" s="190">
        <v>10.7</v>
      </c>
      <c r="L119" s="168">
        <v>23900</v>
      </c>
    </row>
    <row r="120" spans="3:12">
      <c r="C120" s="11" t="str">
        <f t="shared" si="13"/>
        <v/>
      </c>
      <c r="D120" s="10">
        <f t="shared" si="14"/>
        <v>11.27</v>
      </c>
      <c r="E120" s="10">
        <f t="shared" si="15"/>
        <v>2.2409998296000002</v>
      </c>
      <c r="F120" s="10" t="str">
        <f t="shared" si="16"/>
        <v/>
      </c>
      <c r="G120" s="10" t="str">
        <f t="shared" si="17"/>
        <v/>
      </c>
      <c r="I120" s="296">
        <v>18</v>
      </c>
      <c r="J120" s="192" t="s">
        <v>352</v>
      </c>
      <c r="K120" s="190">
        <v>12.5</v>
      </c>
      <c r="L120" s="168">
        <v>22409.997500000001</v>
      </c>
    </row>
    <row r="121" spans="3:12">
      <c r="C121" s="11" t="str">
        <f t="shared" si="13"/>
        <v/>
      </c>
      <c r="D121" s="10">
        <f t="shared" si="14"/>
        <v>9.4</v>
      </c>
      <c r="E121" s="10">
        <f t="shared" si="15"/>
        <v>2.2409998560000002</v>
      </c>
      <c r="F121" s="10" t="str">
        <f t="shared" si="16"/>
        <v/>
      </c>
      <c r="G121" s="10" t="str">
        <f t="shared" si="17"/>
        <v/>
      </c>
      <c r="I121" s="25"/>
      <c r="J121" s="25"/>
      <c r="K121" s="190">
        <v>11.27</v>
      </c>
      <c r="L121" s="168">
        <v>22409.998296000002</v>
      </c>
    </row>
    <row r="122" spans="3:12">
      <c r="C122" s="11" t="str">
        <f t="shared" si="13"/>
        <v>西部证券股份有限公司</v>
      </c>
      <c r="D122" s="10">
        <f t="shared" si="14"/>
        <v>11.02</v>
      </c>
      <c r="E122" s="10">
        <f t="shared" si="15"/>
        <v>2</v>
      </c>
      <c r="F122" s="10">
        <f t="shared" si="16"/>
        <v>1869.1587999999999</v>
      </c>
      <c r="G122" s="10">
        <f t="shared" si="17"/>
        <v>1.9999999159999999</v>
      </c>
      <c r="I122" s="64"/>
      <c r="J122" s="64"/>
      <c r="K122" s="190">
        <v>9.4</v>
      </c>
      <c r="L122" s="168">
        <v>22409.99856</v>
      </c>
    </row>
    <row r="123" spans="3:12">
      <c r="C123" s="11" t="str">
        <f t="shared" si="13"/>
        <v>诺安基金管理有限公司</v>
      </c>
      <c r="D123" s="10">
        <f t="shared" si="14"/>
        <v>9.9600000000000009</v>
      </c>
      <c r="E123" s="10">
        <f t="shared" si="15"/>
        <v>1.75</v>
      </c>
      <c r="F123" s="10" t="str">
        <f t="shared" si="16"/>
        <v/>
      </c>
      <c r="G123" s="10" t="str">
        <f t="shared" si="17"/>
        <v/>
      </c>
      <c r="I123" s="168">
        <v>19</v>
      </c>
      <c r="J123" s="192" t="s">
        <v>385</v>
      </c>
      <c r="K123" s="190">
        <v>11.02</v>
      </c>
      <c r="L123" s="168">
        <v>20000</v>
      </c>
    </row>
    <row r="124" spans="3:12">
      <c r="C124" s="11" t="str">
        <f t="shared" si="13"/>
        <v/>
      </c>
      <c r="D124" s="10">
        <f t="shared" si="14"/>
        <v>9.9499999999999993</v>
      </c>
      <c r="E124" s="10">
        <f t="shared" si="15"/>
        <v>2.2599999999999998</v>
      </c>
      <c r="F124" s="10" t="str">
        <f t="shared" si="16"/>
        <v/>
      </c>
      <c r="G124" s="10" t="str">
        <f t="shared" si="17"/>
        <v/>
      </c>
      <c r="I124" s="296">
        <v>20</v>
      </c>
      <c r="J124" s="192" t="s">
        <v>147</v>
      </c>
      <c r="K124" s="190">
        <v>9.9600000000000009</v>
      </c>
      <c r="L124" s="168">
        <v>17500</v>
      </c>
    </row>
    <row r="125" spans="3:12">
      <c r="C125" s="11" t="str">
        <f t="shared" si="13"/>
        <v>华宝信托有限责任公司</v>
      </c>
      <c r="D125" s="10">
        <f t="shared" si="14"/>
        <v>10.130000000000001</v>
      </c>
      <c r="E125" s="10">
        <f t="shared" si="15"/>
        <v>2.7</v>
      </c>
      <c r="F125" s="10" t="str">
        <f t="shared" si="16"/>
        <v/>
      </c>
      <c r="G125" s="10" t="str">
        <f t="shared" si="17"/>
        <v/>
      </c>
      <c r="I125" s="25"/>
      <c r="J125" s="25"/>
      <c r="K125" s="190">
        <v>9.9499999999999993</v>
      </c>
      <c r="L125" s="168">
        <v>22600</v>
      </c>
    </row>
    <row r="126" spans="3:12">
      <c r="C126" s="11" t="str">
        <f t="shared" si="13"/>
        <v/>
      </c>
      <c r="D126" s="10">
        <f t="shared" si="14"/>
        <v>9.67</v>
      </c>
      <c r="E126" s="10">
        <f t="shared" si="15"/>
        <v>2.71</v>
      </c>
      <c r="F126" s="10" t="str">
        <f t="shared" si="16"/>
        <v/>
      </c>
      <c r="G126" s="10" t="str">
        <f t="shared" si="17"/>
        <v/>
      </c>
      <c r="I126" s="296">
        <v>21</v>
      </c>
      <c r="J126" s="192" t="s">
        <v>156</v>
      </c>
      <c r="K126" s="190">
        <v>10.130000000000001</v>
      </c>
      <c r="L126" s="168">
        <v>27000</v>
      </c>
    </row>
    <row r="127" spans="3:12">
      <c r="C127" s="11" t="str">
        <f t="shared" si="13"/>
        <v/>
      </c>
      <c r="D127" s="10">
        <f t="shared" si="14"/>
        <v>9.5299999999999994</v>
      </c>
      <c r="E127" s="10">
        <f t="shared" si="15"/>
        <v>2.85</v>
      </c>
      <c r="F127" s="10" t="str">
        <f t="shared" si="16"/>
        <v/>
      </c>
      <c r="G127" s="10" t="str">
        <f t="shared" si="17"/>
        <v/>
      </c>
      <c r="I127" s="25"/>
      <c r="J127" s="25"/>
      <c r="K127" s="190">
        <v>9.67</v>
      </c>
      <c r="L127" s="168">
        <v>27100</v>
      </c>
    </row>
    <row r="128" spans="3:12">
      <c r="C128" s="11" t="str">
        <f t="shared" si="13"/>
        <v>兴证证券资产管理有限公司</v>
      </c>
      <c r="D128" s="10">
        <f t="shared" si="14"/>
        <v>11</v>
      </c>
      <c r="E128" s="10">
        <f t="shared" si="15"/>
        <v>2.0299999999999998</v>
      </c>
      <c r="F128" s="10">
        <f t="shared" si="16"/>
        <v>1897.1962000000001</v>
      </c>
      <c r="G128" s="10">
        <f t="shared" si="17"/>
        <v>2.0299999339999997</v>
      </c>
      <c r="I128" s="64"/>
      <c r="J128" s="64"/>
      <c r="K128" s="190">
        <v>9.5299999999999994</v>
      </c>
      <c r="L128" s="168">
        <v>28500</v>
      </c>
    </row>
    <row r="129" spans="1:16">
      <c r="C129" s="11" t="str">
        <f t="shared" si="13"/>
        <v/>
      </c>
      <c r="D129" s="10">
        <f t="shared" si="14"/>
        <v>10.08</v>
      </c>
      <c r="E129" s="10">
        <f t="shared" si="15"/>
        <v>2.4500000000000002</v>
      </c>
      <c r="F129" s="10" t="str">
        <f t="shared" si="16"/>
        <v/>
      </c>
      <c r="G129" s="10" t="str">
        <f t="shared" si="17"/>
        <v/>
      </c>
      <c r="I129" s="296">
        <v>22</v>
      </c>
      <c r="J129" s="192" t="s">
        <v>150</v>
      </c>
      <c r="K129" s="168">
        <v>11</v>
      </c>
      <c r="L129" s="168">
        <v>20300</v>
      </c>
    </row>
    <row r="130" spans="1:16">
      <c r="C130" s="11" t="str">
        <f t="shared" si="13"/>
        <v/>
      </c>
      <c r="D130" s="10">
        <f t="shared" si="14"/>
        <v>9.8800000000000008</v>
      </c>
      <c r="E130" s="10">
        <f t="shared" si="15"/>
        <v>3.07</v>
      </c>
      <c r="F130" s="10" t="str">
        <f t="shared" si="16"/>
        <v/>
      </c>
      <c r="G130" s="10" t="str">
        <f t="shared" si="17"/>
        <v/>
      </c>
      <c r="I130" s="25"/>
      <c r="J130" s="25"/>
      <c r="K130" s="190">
        <v>10.08</v>
      </c>
      <c r="L130" s="168">
        <v>24500</v>
      </c>
    </row>
    <row r="131" spans="1:16">
      <c r="C131" s="11" t="str">
        <f t="shared" si="13"/>
        <v>北信瑞丰基金管理有限公司</v>
      </c>
      <c r="D131" s="10">
        <f t="shared" si="14"/>
        <v>10.55</v>
      </c>
      <c r="E131" s="10">
        <f t="shared" si="15"/>
        <v>2.64</v>
      </c>
      <c r="F131" s="10" t="str">
        <f t="shared" si="16"/>
        <v/>
      </c>
      <c r="G131" s="10" t="str">
        <f t="shared" si="17"/>
        <v/>
      </c>
      <c r="I131" s="196"/>
      <c r="J131" s="64"/>
      <c r="K131" s="190">
        <v>9.8800000000000008</v>
      </c>
      <c r="L131" s="168">
        <v>30700</v>
      </c>
    </row>
    <row r="132" spans="1:16">
      <c r="C132" s="11" t="str">
        <f t="shared" si="13"/>
        <v/>
      </c>
      <c r="D132" s="10">
        <f t="shared" si="14"/>
        <v>10.41</v>
      </c>
      <c r="E132" s="10">
        <f t="shared" si="15"/>
        <v>2.69</v>
      </c>
      <c r="F132" s="10" t="str">
        <f t="shared" si="16"/>
        <v/>
      </c>
      <c r="G132" s="10" t="str">
        <f t="shared" si="17"/>
        <v/>
      </c>
      <c r="I132" s="296">
        <v>23</v>
      </c>
      <c r="J132" s="192" t="s">
        <v>336</v>
      </c>
      <c r="K132" s="190">
        <v>10.55</v>
      </c>
      <c r="L132" s="168">
        <v>26400</v>
      </c>
    </row>
    <row r="133" spans="1:16">
      <c r="C133" s="11" t="str">
        <f t="shared" si="13"/>
        <v>陈炎表</v>
      </c>
      <c r="D133" s="10">
        <f t="shared" si="14"/>
        <v>10.9</v>
      </c>
      <c r="E133" s="10">
        <f t="shared" si="15"/>
        <v>1.75</v>
      </c>
      <c r="F133" s="10">
        <f t="shared" si="16"/>
        <v>1635.5139999999999</v>
      </c>
      <c r="G133" s="10">
        <f t="shared" si="17"/>
        <v>1.7499999799999997</v>
      </c>
      <c r="I133" s="25"/>
      <c r="J133" s="25"/>
      <c r="K133" s="190">
        <v>10.41</v>
      </c>
      <c r="L133" s="168">
        <v>26900</v>
      </c>
    </row>
    <row r="134" spans="1:16">
      <c r="C134" s="11" t="str">
        <f t="shared" si="13"/>
        <v>华泰柏瑞基金管理有限公司</v>
      </c>
      <c r="D134" s="10">
        <f t="shared" si="14"/>
        <v>10.130000000000001</v>
      </c>
      <c r="E134" s="10">
        <f t="shared" si="15"/>
        <v>2</v>
      </c>
      <c r="F134" s="10" t="str">
        <f t="shared" si="16"/>
        <v/>
      </c>
      <c r="G134" s="11"/>
      <c r="I134" s="296">
        <v>24</v>
      </c>
      <c r="J134" s="192" t="s">
        <v>1105</v>
      </c>
      <c r="K134" s="296">
        <v>10.9</v>
      </c>
      <c r="L134" s="296">
        <v>17500</v>
      </c>
    </row>
    <row r="135" spans="1:16">
      <c r="F135" s="24" t="str">
        <f t="shared" si="16"/>
        <v/>
      </c>
      <c r="I135" s="168">
        <v>25</v>
      </c>
      <c r="J135" s="192" t="s">
        <v>122</v>
      </c>
      <c r="K135" s="190">
        <v>10.130000000000001</v>
      </c>
      <c r="L135" s="168">
        <v>20000</v>
      </c>
    </row>
    <row r="138" spans="1:16" s="162" customFormat="1">
      <c r="A138" s="164" t="s">
        <v>1315</v>
      </c>
      <c r="B138" s="164"/>
      <c r="C138" s="164" t="s">
        <v>107</v>
      </c>
      <c r="D138" s="164" t="s">
        <v>4</v>
      </c>
      <c r="E138" s="166" t="s">
        <v>108</v>
      </c>
      <c r="F138" s="166" t="s">
        <v>109</v>
      </c>
      <c r="G138" s="164" t="s">
        <v>1314</v>
      </c>
      <c r="H138" s="164" t="s">
        <v>1313</v>
      </c>
      <c r="I138" s="165" t="s">
        <v>1312</v>
      </c>
      <c r="J138" s="163" t="s">
        <v>1311</v>
      </c>
      <c r="K138" s="163" t="s">
        <v>110</v>
      </c>
      <c r="L138" s="163" t="s">
        <v>1310</v>
      </c>
      <c r="M138" s="164" t="s">
        <v>111</v>
      </c>
      <c r="N138" s="163" t="s">
        <v>949</v>
      </c>
      <c r="O138" s="163" t="s">
        <v>948</v>
      </c>
      <c r="P138" s="163" t="s">
        <v>129</v>
      </c>
    </row>
    <row r="139" spans="1:16">
      <c r="A139" s="24">
        <v>301</v>
      </c>
      <c r="B139" s="329" t="s">
        <v>1767</v>
      </c>
      <c r="C139" s="1" t="s">
        <v>1766</v>
      </c>
      <c r="D139" s="1" t="s">
        <v>1765</v>
      </c>
      <c r="E139" s="3">
        <v>1.7</v>
      </c>
      <c r="F139" s="3">
        <v>1.6999998268000001</v>
      </c>
      <c r="G139" s="2">
        <v>42695</v>
      </c>
      <c r="H139" s="24" t="s">
        <v>151</v>
      </c>
      <c r="I139" s="130">
        <v>28.6</v>
      </c>
      <c r="J139" s="3">
        <v>34.36</v>
      </c>
      <c r="K139" s="160">
        <v>34.36</v>
      </c>
      <c r="L139" s="271">
        <v>1.2013986013986013</v>
      </c>
      <c r="M139" s="270">
        <v>1</v>
      </c>
      <c r="N139" s="2">
        <v>43104</v>
      </c>
      <c r="O139" s="24">
        <v>25.08</v>
      </c>
      <c r="P139" s="157">
        <v>0.73355646100116412</v>
      </c>
    </row>
    <row r="140" spans="1:16">
      <c r="C140" s="16" t="s">
        <v>112</v>
      </c>
      <c r="D140" s="16" t="s">
        <v>113</v>
      </c>
      <c r="E140" s="16" t="s">
        <v>1305</v>
      </c>
      <c r="F140" s="17" t="s">
        <v>1304</v>
      </c>
      <c r="G140" s="16" t="s">
        <v>1303</v>
      </c>
      <c r="I140" s="344" t="s">
        <v>1413</v>
      </c>
      <c r="J140" s="330" t="s">
        <v>1764</v>
      </c>
      <c r="K140" s="330" t="s">
        <v>1763</v>
      </c>
      <c r="L140" s="330" t="s">
        <v>1762</v>
      </c>
      <c r="M140" s="330" t="s">
        <v>1761</v>
      </c>
      <c r="N140" s="331" t="s">
        <v>1760</v>
      </c>
      <c r="O140" s="331" t="s">
        <v>1759</v>
      </c>
    </row>
    <row r="141" spans="1:16">
      <c r="C141" s="11" t="str">
        <f>J142</f>
        <v xml:space="preserve">深圳前海世嘉方盛基金管理合伙企业（有限合伙） </v>
      </c>
      <c r="D141" s="11">
        <f>K142</f>
        <v>34.36</v>
      </c>
      <c r="E141" s="11">
        <f>L142/10000</f>
        <v>1.7</v>
      </c>
      <c r="F141" s="10">
        <f>G141/J139*10000</f>
        <v>494.76130000000001</v>
      </c>
      <c r="G141" s="282">
        <f>O142/100000000</f>
        <v>1.6999998268000001</v>
      </c>
      <c r="I141" s="344" t="s">
        <v>1758</v>
      </c>
      <c r="J141" s="330"/>
      <c r="K141" s="344" t="s">
        <v>1757</v>
      </c>
      <c r="L141" s="344" t="s">
        <v>1756</v>
      </c>
      <c r="M141" s="330" t="s">
        <v>1755</v>
      </c>
      <c r="N141" s="331" t="s">
        <v>1754</v>
      </c>
      <c r="O141" s="331" t="s">
        <v>1753</v>
      </c>
    </row>
    <row r="142" spans="1:16">
      <c r="C142" s="11" t="str">
        <f>J143</f>
        <v xml:space="preserve">金元顺安基金管理有限公司 </v>
      </c>
      <c r="D142" s="11">
        <f>K143</f>
        <v>34.36</v>
      </c>
      <c r="E142" s="11">
        <f>L143/10000</f>
        <v>1.7</v>
      </c>
      <c r="F142" s="11"/>
      <c r="G142" s="11"/>
      <c r="I142" s="192">
        <v>1</v>
      </c>
      <c r="J142" s="192" t="s">
        <v>1752</v>
      </c>
      <c r="K142" s="192">
        <v>34.36</v>
      </c>
      <c r="L142" s="274">
        <v>17000</v>
      </c>
      <c r="M142" s="365">
        <v>0.39861111111111108</v>
      </c>
      <c r="N142" s="274">
        <v>17000</v>
      </c>
      <c r="O142" s="205">
        <v>169999982.68000001</v>
      </c>
    </row>
    <row r="143" spans="1:16">
      <c r="I143" s="192">
        <v>2</v>
      </c>
      <c r="J143" s="192" t="s">
        <v>1436</v>
      </c>
      <c r="K143" s="192">
        <v>34.36</v>
      </c>
      <c r="L143" s="274">
        <v>17000</v>
      </c>
      <c r="M143" s="365">
        <v>0.44930555555555557</v>
      </c>
      <c r="N143" s="274">
        <v>17000</v>
      </c>
      <c r="O143" s="192" t="s">
        <v>1751</v>
      </c>
    </row>
    <row r="144" spans="1:16">
      <c r="I144" s="330" t="s">
        <v>1484</v>
      </c>
      <c r="J144" s="330"/>
      <c r="K144" s="331" t="s">
        <v>1751</v>
      </c>
      <c r="L144" s="364">
        <v>34000</v>
      </c>
      <c r="M144" s="331" t="s">
        <v>1751</v>
      </c>
      <c r="N144" s="364">
        <v>34000</v>
      </c>
      <c r="O144" s="363">
        <v>169999982.68000001</v>
      </c>
    </row>
    <row r="146" spans="1:21" s="162" customFormat="1">
      <c r="A146" s="164" t="s">
        <v>1315</v>
      </c>
      <c r="B146" s="164"/>
      <c r="C146" s="164" t="s">
        <v>107</v>
      </c>
      <c r="D146" s="164" t="s">
        <v>4</v>
      </c>
      <c r="E146" s="166" t="s">
        <v>108</v>
      </c>
      <c r="F146" s="166" t="s">
        <v>109</v>
      </c>
      <c r="G146" s="164" t="s">
        <v>1314</v>
      </c>
      <c r="H146" s="164" t="s">
        <v>1313</v>
      </c>
      <c r="I146" s="165" t="s">
        <v>1312</v>
      </c>
      <c r="J146" s="163" t="s">
        <v>1311</v>
      </c>
      <c r="K146" s="163" t="s">
        <v>110</v>
      </c>
      <c r="L146" s="163" t="s">
        <v>1310</v>
      </c>
      <c r="M146" s="164" t="s">
        <v>111</v>
      </c>
      <c r="N146" s="163" t="s">
        <v>949</v>
      </c>
      <c r="O146" s="163" t="s">
        <v>948</v>
      </c>
      <c r="P146" s="163" t="s">
        <v>129</v>
      </c>
    </row>
    <row r="147" spans="1:21">
      <c r="A147" s="24">
        <v>302</v>
      </c>
      <c r="B147" s="329" t="s">
        <v>1750</v>
      </c>
      <c r="C147" s="1" t="s">
        <v>1749</v>
      </c>
      <c r="D147" s="1" t="s">
        <v>1748</v>
      </c>
      <c r="E147" s="3">
        <v>7.08</v>
      </c>
      <c r="F147" s="3">
        <v>7.0799999375000002</v>
      </c>
      <c r="G147" s="332">
        <v>42703</v>
      </c>
      <c r="H147" s="24" t="s">
        <v>151</v>
      </c>
      <c r="I147" s="130">
        <v>47.75</v>
      </c>
      <c r="J147" s="3">
        <v>47.75</v>
      </c>
      <c r="K147" s="160">
        <v>42.47</v>
      </c>
      <c r="L147" s="271">
        <v>1</v>
      </c>
      <c r="M147" s="270">
        <v>5</v>
      </c>
      <c r="N147" s="2">
        <v>42731</v>
      </c>
      <c r="O147" s="24">
        <v>44.3</v>
      </c>
      <c r="P147" s="157">
        <v>0.92774869109947633</v>
      </c>
    </row>
    <row r="148" spans="1:21">
      <c r="C148" s="16" t="s">
        <v>112</v>
      </c>
      <c r="D148" s="16" t="s">
        <v>113</v>
      </c>
      <c r="E148" s="16" t="s">
        <v>1305</v>
      </c>
      <c r="F148" s="17" t="s">
        <v>1304</v>
      </c>
      <c r="G148" s="16" t="s">
        <v>1303</v>
      </c>
      <c r="H148" s="16" t="s">
        <v>1747</v>
      </c>
      <c r="I148" s="362"/>
      <c r="J148" s="362"/>
      <c r="K148" s="330" t="s">
        <v>1746</v>
      </c>
      <c r="L148" s="330" t="s">
        <v>1745</v>
      </c>
      <c r="M148" s="362"/>
      <c r="N148" s="25"/>
      <c r="O148" s="330" t="s">
        <v>118</v>
      </c>
      <c r="P148" s="361"/>
      <c r="Q148" s="331" t="s">
        <v>1744</v>
      </c>
      <c r="R148" s="331" t="s">
        <v>1744</v>
      </c>
      <c r="S148" s="331" t="s">
        <v>1318</v>
      </c>
      <c r="T148" s="331" t="s">
        <v>160</v>
      </c>
      <c r="U148" s="344" t="s">
        <v>1743</v>
      </c>
    </row>
    <row r="149" spans="1:21">
      <c r="C149" s="11" t="str">
        <f t="shared" ref="C149:C160" si="18">IF(J150=0,"",J150)</f>
        <v>广西铁路发展投资基金（有限合伙）</v>
      </c>
      <c r="D149" s="11">
        <f t="shared" ref="D149:D160" si="19">K150</f>
        <v>45.38</v>
      </c>
      <c r="E149" s="282">
        <f t="shared" ref="E149:E159" si="20">L150/10000</f>
        <v>1.51</v>
      </c>
      <c r="F149" s="11" t="str">
        <f t="shared" ref="F149:F160" si="21">IFERROR(VLOOKUP(C149,P$151:T$158,5,FALSE)/10000,"")</f>
        <v/>
      </c>
      <c r="G149" s="11"/>
      <c r="H149" s="11"/>
      <c r="I149" s="331" t="s">
        <v>118</v>
      </c>
      <c r="J149" s="331" t="s">
        <v>499</v>
      </c>
      <c r="K149" s="330"/>
      <c r="L149" s="330"/>
      <c r="M149" s="331" t="s">
        <v>411</v>
      </c>
      <c r="N149" s="25"/>
      <c r="O149" s="330"/>
      <c r="P149" s="344" t="s">
        <v>499</v>
      </c>
      <c r="Q149" s="331" t="s">
        <v>1742</v>
      </c>
      <c r="R149" s="331" t="s">
        <v>536</v>
      </c>
      <c r="S149" s="331" t="s">
        <v>1316</v>
      </c>
      <c r="T149" s="331" t="s">
        <v>1317</v>
      </c>
      <c r="U149" s="344" t="s">
        <v>1741</v>
      </c>
    </row>
    <row r="150" spans="1:21">
      <c r="C150" s="11" t="str">
        <f t="shared" si="18"/>
        <v>赣州和泰投资中心（有限合伙）</v>
      </c>
      <c r="D150" s="11">
        <f t="shared" si="19"/>
        <v>47.76</v>
      </c>
      <c r="E150" s="282">
        <f t="shared" si="20"/>
        <v>1.5</v>
      </c>
      <c r="F150" s="10">
        <f t="shared" si="21"/>
        <v>314.1361</v>
      </c>
      <c r="G150" s="10">
        <f t="shared" ref="G150:G160" si="22">IFERROR(F150*J$147/10000,"")</f>
        <v>1.4999998775000001</v>
      </c>
      <c r="H150" s="11">
        <f t="shared" ref="H150:H160" si="23">IFERROR(VLOOKUP(C150,P$151:U$158,6,FALSE),"")</f>
        <v>0</v>
      </c>
      <c r="I150" s="204">
        <v>1</v>
      </c>
      <c r="J150" s="203" t="s">
        <v>1079</v>
      </c>
      <c r="K150" s="204">
        <v>45.38</v>
      </c>
      <c r="L150" s="354">
        <v>15100</v>
      </c>
      <c r="M150" s="353">
        <v>0.37777777777777777</v>
      </c>
      <c r="N150" s="25"/>
      <c r="O150" s="330"/>
      <c r="P150" s="64"/>
      <c r="Q150" s="331" t="s">
        <v>1334</v>
      </c>
      <c r="R150" s="331" t="s">
        <v>1333</v>
      </c>
      <c r="S150" s="64"/>
      <c r="T150" s="64"/>
      <c r="U150" s="344" t="s">
        <v>1657</v>
      </c>
    </row>
    <row r="151" spans="1:21">
      <c r="C151" s="11" t="str">
        <f t="shared" si="18"/>
        <v>第一创业证券股份有限公司</v>
      </c>
      <c r="D151" s="11">
        <f t="shared" si="19"/>
        <v>43.03</v>
      </c>
      <c r="E151" s="282">
        <f t="shared" si="20"/>
        <v>1.6</v>
      </c>
      <c r="F151" s="10" t="str">
        <f t="shared" si="21"/>
        <v/>
      </c>
      <c r="G151" s="10" t="str">
        <f t="shared" si="22"/>
        <v/>
      </c>
      <c r="H151" s="11" t="str">
        <f t="shared" si="23"/>
        <v/>
      </c>
      <c r="I151" s="204">
        <v>2</v>
      </c>
      <c r="J151" s="203" t="s">
        <v>1740</v>
      </c>
      <c r="K151" s="204">
        <v>47.76</v>
      </c>
      <c r="L151" s="354">
        <v>15000</v>
      </c>
      <c r="M151" s="353">
        <v>0.39930555555555558</v>
      </c>
      <c r="N151" s="25"/>
      <c r="O151" s="192">
        <v>1</v>
      </c>
      <c r="P151" s="203" t="s">
        <v>1739</v>
      </c>
      <c r="Q151" s="192">
        <v>48</v>
      </c>
      <c r="R151" s="274">
        <v>15000</v>
      </c>
      <c r="S151" s="205">
        <v>149999987.75</v>
      </c>
      <c r="T151" s="274">
        <v>3141361</v>
      </c>
      <c r="U151" s="192">
        <v>0</v>
      </c>
    </row>
    <row r="152" spans="1:21">
      <c r="C152" s="11" t="str">
        <f t="shared" si="18"/>
        <v>俞国平</v>
      </c>
      <c r="D152" s="11">
        <f t="shared" si="19"/>
        <v>47.75</v>
      </c>
      <c r="E152" s="282">
        <f t="shared" si="20"/>
        <v>1.5</v>
      </c>
      <c r="F152" s="10">
        <f t="shared" si="21"/>
        <v>314.1361</v>
      </c>
      <c r="G152" s="10">
        <f t="shared" si="22"/>
        <v>1.4999998775000001</v>
      </c>
      <c r="H152" s="11">
        <f t="shared" si="23"/>
        <v>0</v>
      </c>
      <c r="I152" s="204">
        <v>3</v>
      </c>
      <c r="J152" s="203" t="s">
        <v>127</v>
      </c>
      <c r="K152" s="204">
        <v>43.03</v>
      </c>
      <c r="L152" s="354">
        <v>16000</v>
      </c>
      <c r="M152" s="353">
        <v>0.40763888888888888</v>
      </c>
      <c r="N152" s="25"/>
      <c r="O152" s="192">
        <v>2</v>
      </c>
      <c r="P152" s="203" t="s">
        <v>1738</v>
      </c>
      <c r="Q152" s="192">
        <v>47.76</v>
      </c>
      <c r="R152" s="274">
        <v>15000</v>
      </c>
      <c r="S152" s="205">
        <v>149999987.75</v>
      </c>
      <c r="T152" s="274">
        <v>3141361</v>
      </c>
      <c r="U152" s="192">
        <v>0</v>
      </c>
    </row>
    <row r="153" spans="1:21" ht="17.5">
      <c r="C153" s="11" t="str">
        <f t="shared" si="18"/>
        <v/>
      </c>
      <c r="D153" s="11">
        <f t="shared" si="19"/>
        <v>47.18</v>
      </c>
      <c r="E153" s="282">
        <f t="shared" si="20"/>
        <v>1.5</v>
      </c>
      <c r="F153" s="10" t="str">
        <f t="shared" si="21"/>
        <v/>
      </c>
      <c r="G153" s="10" t="str">
        <f t="shared" si="22"/>
        <v/>
      </c>
      <c r="H153" s="11" t="str">
        <f t="shared" si="23"/>
        <v/>
      </c>
      <c r="I153" s="204">
        <v>4</v>
      </c>
      <c r="J153" s="203" t="s">
        <v>1737</v>
      </c>
      <c r="K153" s="204">
        <v>47.75</v>
      </c>
      <c r="L153" s="354">
        <v>15000</v>
      </c>
      <c r="M153" s="360"/>
      <c r="N153" s="25"/>
      <c r="O153" s="359"/>
      <c r="P153" s="359"/>
      <c r="Q153" s="204">
        <v>47.75</v>
      </c>
      <c r="R153" s="354">
        <v>15000</v>
      </c>
      <c r="S153" s="359"/>
      <c r="T153" s="359"/>
      <c r="U153" s="359"/>
    </row>
    <row r="154" spans="1:21">
      <c r="C154" s="11" t="str">
        <f t="shared" si="18"/>
        <v/>
      </c>
      <c r="D154" s="11">
        <f t="shared" si="19"/>
        <v>46.5</v>
      </c>
      <c r="E154" s="282">
        <f t="shared" si="20"/>
        <v>1.5</v>
      </c>
      <c r="F154" s="10" t="str">
        <f t="shared" si="21"/>
        <v/>
      </c>
      <c r="G154" s="10" t="str">
        <f t="shared" si="22"/>
        <v/>
      </c>
      <c r="H154" s="11" t="str">
        <f t="shared" si="23"/>
        <v/>
      </c>
      <c r="I154" s="25"/>
      <c r="J154" s="25"/>
      <c r="K154" s="204">
        <v>47.18</v>
      </c>
      <c r="L154" s="354">
        <v>15000</v>
      </c>
      <c r="M154" s="358">
        <v>0.44444444444444442</v>
      </c>
      <c r="N154" s="25"/>
      <c r="O154" s="204">
        <v>3</v>
      </c>
      <c r="P154" s="203" t="s">
        <v>1737</v>
      </c>
      <c r="Q154" s="204">
        <v>47.18</v>
      </c>
      <c r="R154" s="354">
        <v>15000</v>
      </c>
      <c r="S154" s="206">
        <v>149999987.75</v>
      </c>
      <c r="T154" s="357">
        <v>3141361</v>
      </c>
      <c r="U154" s="204">
        <v>0</v>
      </c>
    </row>
    <row r="155" spans="1:21">
      <c r="C155" s="11" t="str">
        <f t="shared" si="18"/>
        <v>何晓玲</v>
      </c>
      <c r="D155" s="11">
        <f t="shared" si="19"/>
        <v>47.75</v>
      </c>
      <c r="E155" s="282">
        <f t="shared" si="20"/>
        <v>1.5</v>
      </c>
      <c r="F155" s="10">
        <f t="shared" si="21"/>
        <v>243.7697</v>
      </c>
      <c r="G155" s="10">
        <f t="shared" si="22"/>
        <v>1.1640003175</v>
      </c>
      <c r="H155" s="11">
        <f t="shared" si="23"/>
        <v>0</v>
      </c>
      <c r="I155" s="64"/>
      <c r="J155" s="64"/>
      <c r="K155" s="204">
        <v>46.5</v>
      </c>
      <c r="L155" s="354">
        <v>15000</v>
      </c>
      <c r="M155" s="64"/>
      <c r="N155" s="25"/>
      <c r="O155" s="64"/>
      <c r="P155" s="64"/>
      <c r="Q155" s="204">
        <v>46.5</v>
      </c>
      <c r="R155" s="354">
        <v>15000</v>
      </c>
      <c r="S155" s="64"/>
      <c r="T155" s="64"/>
      <c r="U155" s="64"/>
    </row>
    <row r="156" spans="1:21">
      <c r="C156" s="11" t="str">
        <f t="shared" si="18"/>
        <v>银华基金管理股份有限公司</v>
      </c>
      <c r="D156" s="11">
        <f t="shared" si="19"/>
        <v>45.51</v>
      </c>
      <c r="E156" s="282">
        <f t="shared" si="20"/>
        <v>1.6</v>
      </c>
      <c r="F156" s="10" t="str">
        <f t="shared" si="21"/>
        <v/>
      </c>
      <c r="G156" s="10" t="str">
        <f t="shared" si="22"/>
        <v/>
      </c>
      <c r="H156" s="11" t="str">
        <f t="shared" si="23"/>
        <v/>
      </c>
      <c r="I156" s="204">
        <v>5</v>
      </c>
      <c r="J156" s="203" t="s">
        <v>1736</v>
      </c>
      <c r="K156" s="204">
        <v>47.75</v>
      </c>
      <c r="L156" s="354">
        <v>15000</v>
      </c>
      <c r="M156" s="353">
        <v>0.44791666666666669</v>
      </c>
      <c r="N156" s="25"/>
      <c r="O156" s="201">
        <v>4</v>
      </c>
      <c r="P156" s="203" t="s">
        <v>1736</v>
      </c>
      <c r="Q156" s="204">
        <v>47.75</v>
      </c>
      <c r="R156" s="354">
        <v>15000</v>
      </c>
      <c r="S156" s="223">
        <v>116400031.75</v>
      </c>
      <c r="T156" s="355">
        <v>2437697</v>
      </c>
      <c r="U156" s="201">
        <v>0</v>
      </c>
    </row>
    <row r="157" spans="1:21">
      <c r="C157" s="11" t="str">
        <f t="shared" si="18"/>
        <v>安信基金管理有限责任公司</v>
      </c>
      <c r="D157" s="11">
        <f t="shared" si="19"/>
        <v>48</v>
      </c>
      <c r="E157" s="282">
        <f t="shared" si="20"/>
        <v>1.5</v>
      </c>
      <c r="F157" s="10">
        <f t="shared" si="21"/>
        <v>314.1361</v>
      </c>
      <c r="G157" s="10">
        <f t="shared" si="22"/>
        <v>1.4999998775000001</v>
      </c>
      <c r="H157" s="11">
        <f t="shared" si="23"/>
        <v>0</v>
      </c>
      <c r="I157" s="204">
        <v>6</v>
      </c>
      <c r="J157" s="203" t="s">
        <v>982</v>
      </c>
      <c r="K157" s="204">
        <v>45.51</v>
      </c>
      <c r="L157" s="354">
        <v>16000</v>
      </c>
      <c r="M157" s="353">
        <v>0.45902777777777781</v>
      </c>
      <c r="N157" s="25"/>
      <c r="O157" s="356"/>
      <c r="P157" s="356"/>
      <c r="Q157" s="192" t="s">
        <v>1735</v>
      </c>
      <c r="R157" s="192"/>
      <c r="S157" s="356"/>
      <c r="T157" s="356"/>
      <c r="U157" s="356"/>
    </row>
    <row r="158" spans="1:21">
      <c r="C158" s="11" t="str">
        <f t="shared" si="18"/>
        <v>财通基金管理有限公司</v>
      </c>
      <c r="D158" s="11">
        <f t="shared" si="19"/>
        <v>45.36</v>
      </c>
      <c r="E158" s="282">
        <f t="shared" si="20"/>
        <v>1.6</v>
      </c>
      <c r="F158" s="10" t="str">
        <f t="shared" si="21"/>
        <v/>
      </c>
      <c r="G158" s="10" t="str">
        <f t="shared" si="22"/>
        <v/>
      </c>
      <c r="H158" s="11" t="str">
        <f t="shared" si="23"/>
        <v/>
      </c>
      <c r="I158" s="204">
        <v>7</v>
      </c>
      <c r="J158" s="203" t="s">
        <v>371</v>
      </c>
      <c r="K158" s="204">
        <v>48</v>
      </c>
      <c r="L158" s="354">
        <v>15000</v>
      </c>
      <c r="M158" s="353">
        <v>0.47847222222222219</v>
      </c>
      <c r="N158" s="25"/>
      <c r="O158" s="201">
        <v>5</v>
      </c>
      <c r="P158" s="203" t="s">
        <v>1732</v>
      </c>
      <c r="Q158" s="192" t="s">
        <v>1734</v>
      </c>
      <c r="R158" s="192"/>
      <c r="S158" s="223">
        <v>141599998.75</v>
      </c>
      <c r="T158" s="355">
        <v>2965445</v>
      </c>
      <c r="U158" s="201">
        <v>0</v>
      </c>
    </row>
    <row r="159" spans="1:21">
      <c r="C159" s="11" t="str">
        <f t="shared" si="18"/>
        <v>农银（苏州）投资管理有限公司</v>
      </c>
      <c r="D159" s="11">
        <f t="shared" si="19"/>
        <v>45.85</v>
      </c>
      <c r="E159" s="282">
        <f t="shared" si="20"/>
        <v>1.5</v>
      </c>
      <c r="F159" s="10" t="str">
        <f t="shared" si="21"/>
        <v/>
      </c>
      <c r="G159" s="10" t="str">
        <f t="shared" si="22"/>
        <v/>
      </c>
      <c r="H159" s="11" t="str">
        <f t="shared" si="23"/>
        <v/>
      </c>
      <c r="I159" s="204">
        <v>8</v>
      </c>
      <c r="J159" s="203" t="s">
        <v>115</v>
      </c>
      <c r="K159" s="204">
        <v>45.36</v>
      </c>
      <c r="L159" s="354">
        <v>16000</v>
      </c>
      <c r="M159" s="353">
        <v>0.48194444444444445</v>
      </c>
      <c r="N159" s="25"/>
      <c r="O159" s="330" t="s">
        <v>1293</v>
      </c>
      <c r="P159" s="330"/>
      <c r="Q159" s="204" t="s">
        <v>294</v>
      </c>
      <c r="R159" s="204" t="s">
        <v>294</v>
      </c>
      <c r="S159" s="223">
        <v>707999993.75</v>
      </c>
      <c r="T159" s="355">
        <v>14827225</v>
      </c>
      <c r="U159" s="201" t="s">
        <v>294</v>
      </c>
    </row>
    <row r="160" spans="1:21" ht="15" customHeight="1">
      <c r="C160" s="11" t="str">
        <f t="shared" si="18"/>
        <v>王迎燕</v>
      </c>
      <c r="D160" s="11" t="str">
        <f t="shared" si="19"/>
        <v>不参与竞价，接受竞价确定的价格，拟认购金额 14,160 万元</v>
      </c>
      <c r="E160" s="11"/>
      <c r="F160" s="10">
        <f t="shared" si="21"/>
        <v>296.54450000000003</v>
      </c>
      <c r="G160" s="10">
        <f t="shared" si="22"/>
        <v>1.4159999875000002</v>
      </c>
      <c r="H160" s="11">
        <f t="shared" si="23"/>
        <v>0</v>
      </c>
      <c r="I160" s="204">
        <v>9</v>
      </c>
      <c r="J160" s="203" t="s">
        <v>1733</v>
      </c>
      <c r="K160" s="204">
        <v>45.85</v>
      </c>
      <c r="L160" s="354">
        <v>15000</v>
      </c>
      <c r="M160" s="353">
        <v>0.5</v>
      </c>
      <c r="N160" s="25"/>
      <c r="O160" s="25"/>
      <c r="P160" s="25"/>
      <c r="Q160" s="25"/>
      <c r="R160" s="25"/>
      <c r="S160" s="25"/>
      <c r="T160" s="25"/>
      <c r="U160" s="25"/>
    </row>
    <row r="161" spans="1:21">
      <c r="I161" s="192">
        <v>10</v>
      </c>
      <c r="J161" s="192" t="s">
        <v>1732</v>
      </c>
      <c r="K161" s="192" t="s">
        <v>1731</v>
      </c>
      <c r="L161" s="192"/>
      <c r="M161" s="192"/>
      <c r="N161" s="25"/>
      <c r="O161" s="25"/>
      <c r="P161" s="25"/>
      <c r="Q161" s="25"/>
      <c r="R161" s="25"/>
      <c r="S161" s="25"/>
      <c r="T161" s="25"/>
      <c r="U161" s="25"/>
    </row>
    <row r="164" spans="1:21" s="162" customFormat="1">
      <c r="A164" s="164" t="s">
        <v>1315</v>
      </c>
      <c r="B164" s="164"/>
      <c r="C164" s="164" t="s">
        <v>107</v>
      </c>
      <c r="D164" s="164" t="s">
        <v>4</v>
      </c>
      <c r="E164" s="166" t="s">
        <v>108</v>
      </c>
      <c r="F164" s="166" t="s">
        <v>109</v>
      </c>
      <c r="G164" s="164" t="s">
        <v>1314</v>
      </c>
      <c r="H164" s="164" t="s">
        <v>1313</v>
      </c>
      <c r="I164" s="165" t="s">
        <v>1312</v>
      </c>
      <c r="J164" s="163" t="s">
        <v>1311</v>
      </c>
      <c r="K164" s="163" t="s">
        <v>110</v>
      </c>
      <c r="L164" s="163" t="s">
        <v>1310</v>
      </c>
      <c r="M164" s="164" t="s">
        <v>111</v>
      </c>
      <c r="N164" s="163" t="s">
        <v>949</v>
      </c>
      <c r="O164" s="163" t="s">
        <v>948</v>
      </c>
      <c r="P164" s="163" t="s">
        <v>129</v>
      </c>
    </row>
    <row r="165" spans="1:21">
      <c r="A165" s="24">
        <v>303</v>
      </c>
      <c r="B165" s="329" t="s">
        <v>1730</v>
      </c>
      <c r="C165" s="1" t="s">
        <v>1729</v>
      </c>
      <c r="D165" s="1" t="s">
        <v>1728</v>
      </c>
      <c r="E165" s="3">
        <v>8.5</v>
      </c>
      <c r="F165" s="3">
        <v>8.4999996899999992</v>
      </c>
      <c r="G165" s="332">
        <v>42712</v>
      </c>
      <c r="H165" s="24" t="s">
        <v>151</v>
      </c>
      <c r="I165" s="130">
        <v>38.1</v>
      </c>
      <c r="J165" s="3">
        <v>39</v>
      </c>
      <c r="K165" s="160">
        <v>31.99</v>
      </c>
      <c r="L165" s="271">
        <v>1.0236220472440944</v>
      </c>
      <c r="M165" s="270">
        <v>3</v>
      </c>
      <c r="N165" s="2">
        <v>42731</v>
      </c>
      <c r="O165" s="24">
        <v>41.42</v>
      </c>
      <c r="P165" s="157">
        <v>1.0620512820512822</v>
      </c>
    </row>
    <row r="166" spans="1:21">
      <c r="C166" s="16" t="s">
        <v>112</v>
      </c>
      <c r="D166" s="16" t="s">
        <v>113</v>
      </c>
      <c r="E166" s="16" t="s">
        <v>1305</v>
      </c>
      <c r="F166" s="17" t="s">
        <v>1304</v>
      </c>
      <c r="G166" s="16" t="s">
        <v>1303</v>
      </c>
      <c r="I166" s="192"/>
      <c r="J166" s="192"/>
      <c r="K166" s="209" t="s">
        <v>488</v>
      </c>
      <c r="L166" s="209" t="s">
        <v>401</v>
      </c>
      <c r="M166" s="192"/>
      <c r="O166" s="196" t="s">
        <v>1413</v>
      </c>
      <c r="P166" s="196" t="s">
        <v>347</v>
      </c>
      <c r="Q166" s="196" t="s">
        <v>1301</v>
      </c>
      <c r="R166" s="196" t="s">
        <v>410</v>
      </c>
      <c r="S166" s="196" t="s">
        <v>1300</v>
      </c>
    </row>
    <row r="167" spans="1:21">
      <c r="C167" s="11" t="str">
        <f t="shared" ref="C167:C182" si="24">IF(J168=0,"",J168)</f>
        <v>皓熙股权投资管理（上海）有限公司</v>
      </c>
      <c r="D167" s="11">
        <f t="shared" ref="D167:D180" si="25">K168</f>
        <v>39</v>
      </c>
      <c r="E167" s="282">
        <f t="shared" ref="E167:E180" si="26">L168/10000</f>
        <v>1.7</v>
      </c>
      <c r="F167" s="10">
        <f t="shared" ref="F167:F180" si="27">IFERROR(VLOOKUP(C167,P$168:S$170,3,FALSE)/10000,"")</f>
        <v>282.05130000000003</v>
      </c>
      <c r="G167" s="10">
        <f t="shared" ref="G167:G180" si="28">IFERROR(F167*J$165/10000,"")</f>
        <v>1.1000000700000001</v>
      </c>
      <c r="I167" s="212" t="s">
        <v>118</v>
      </c>
      <c r="J167" s="212" t="s">
        <v>347</v>
      </c>
      <c r="K167" s="213" t="s">
        <v>1727</v>
      </c>
      <c r="L167" s="209" t="s">
        <v>1333</v>
      </c>
      <c r="M167" s="213" t="s">
        <v>411</v>
      </c>
      <c r="O167" s="196" t="s">
        <v>477</v>
      </c>
      <c r="P167" s="196"/>
      <c r="Q167" s="196" t="s">
        <v>1389</v>
      </c>
      <c r="R167" s="196"/>
      <c r="S167" s="196"/>
    </row>
    <row r="168" spans="1:21">
      <c r="C168" s="11" t="str">
        <f t="shared" si="24"/>
        <v>第一创业证券股份有限公司</v>
      </c>
      <c r="D168" s="11">
        <f t="shared" si="25"/>
        <v>33.520000000000003</v>
      </c>
      <c r="E168" s="282">
        <f t="shared" si="26"/>
        <v>2.5</v>
      </c>
      <c r="F168" s="10" t="str">
        <f t="shared" si="27"/>
        <v/>
      </c>
      <c r="G168" s="10" t="str">
        <f t="shared" si="28"/>
        <v/>
      </c>
      <c r="I168" s="293">
        <v>1</v>
      </c>
      <c r="J168" s="183" t="s">
        <v>1726</v>
      </c>
      <c r="K168" s="293">
        <v>39</v>
      </c>
      <c r="L168" s="320">
        <v>17000</v>
      </c>
      <c r="M168" s="352">
        <v>0.46458333333333335</v>
      </c>
      <c r="O168" s="168">
        <v>1</v>
      </c>
      <c r="P168" s="204" t="s">
        <v>278</v>
      </c>
      <c r="Q168" s="168">
        <v>39</v>
      </c>
      <c r="R168" s="197">
        <v>10256410</v>
      </c>
      <c r="S168" s="197">
        <v>399999990</v>
      </c>
    </row>
    <row r="169" spans="1:21">
      <c r="C169" s="11" t="str">
        <f t="shared" si="24"/>
        <v>国信证券股份有限公司</v>
      </c>
      <c r="D169" s="11">
        <f t="shared" si="25"/>
        <v>35.17</v>
      </c>
      <c r="E169" s="282">
        <f t="shared" si="26"/>
        <v>1.7</v>
      </c>
      <c r="F169" s="10" t="str">
        <f t="shared" si="27"/>
        <v/>
      </c>
      <c r="G169" s="10" t="str">
        <f t="shared" si="28"/>
        <v/>
      </c>
      <c r="I169" s="292">
        <v>2</v>
      </c>
      <c r="J169" s="183" t="s">
        <v>127</v>
      </c>
      <c r="K169" s="291">
        <v>33.520000000000003</v>
      </c>
      <c r="L169" s="317">
        <v>25000</v>
      </c>
      <c r="M169" s="350">
        <v>0.47083333333333338</v>
      </c>
      <c r="O169" s="168">
        <v>2</v>
      </c>
      <c r="P169" s="204" t="s">
        <v>1650</v>
      </c>
      <c r="Q169" s="168">
        <v>39</v>
      </c>
      <c r="R169" s="197">
        <v>8717948</v>
      </c>
      <c r="S169" s="197">
        <v>339999972</v>
      </c>
    </row>
    <row r="170" spans="1:21">
      <c r="C170" s="11" t="str">
        <f t="shared" si="24"/>
        <v>九泰基金管理有限公司</v>
      </c>
      <c r="D170" s="11">
        <f t="shared" si="25"/>
        <v>34.31</v>
      </c>
      <c r="E170" s="282">
        <f t="shared" si="26"/>
        <v>1.7</v>
      </c>
      <c r="F170" s="10" t="str">
        <f t="shared" si="27"/>
        <v/>
      </c>
      <c r="G170" s="10" t="str">
        <f t="shared" si="28"/>
        <v/>
      </c>
      <c r="I170" s="292">
        <v>3</v>
      </c>
      <c r="J170" s="183" t="s">
        <v>1142</v>
      </c>
      <c r="K170" s="291">
        <v>35.17</v>
      </c>
      <c r="L170" s="317">
        <v>17000</v>
      </c>
      <c r="M170" s="350">
        <v>0.4770833333333333</v>
      </c>
      <c r="O170" s="296">
        <v>3</v>
      </c>
      <c r="P170" s="204" t="s">
        <v>1726</v>
      </c>
      <c r="Q170" s="296">
        <v>39</v>
      </c>
      <c r="R170" s="297">
        <v>2820513</v>
      </c>
      <c r="S170" s="297">
        <v>110000007</v>
      </c>
    </row>
    <row r="171" spans="1:21">
      <c r="C171" s="11" t="str">
        <f t="shared" si="24"/>
        <v/>
      </c>
      <c r="D171" s="11">
        <f t="shared" si="25"/>
        <v>33.17</v>
      </c>
      <c r="E171" s="282">
        <f t="shared" si="26"/>
        <v>1.72</v>
      </c>
      <c r="F171" s="10" t="str">
        <f t="shared" si="27"/>
        <v/>
      </c>
      <c r="G171" s="10" t="str">
        <f t="shared" si="28"/>
        <v/>
      </c>
      <c r="I171" s="292">
        <v>4</v>
      </c>
      <c r="J171" s="183" t="s">
        <v>666</v>
      </c>
      <c r="K171" s="291">
        <v>34.31</v>
      </c>
      <c r="L171" s="317">
        <v>17000</v>
      </c>
      <c r="M171" s="182"/>
    </row>
    <row r="172" spans="1:21">
      <c r="C172" s="11" t="str">
        <f t="shared" si="24"/>
        <v/>
      </c>
      <c r="D172" s="11">
        <f t="shared" si="25"/>
        <v>32.01</v>
      </c>
      <c r="E172" s="282">
        <f t="shared" si="26"/>
        <v>1.81</v>
      </c>
      <c r="F172" s="10" t="str">
        <f t="shared" si="27"/>
        <v/>
      </c>
      <c r="G172" s="10" t="str">
        <f t="shared" si="28"/>
        <v/>
      </c>
      <c r="I172" s="235"/>
      <c r="J172" s="238"/>
      <c r="K172" s="291">
        <v>33.17</v>
      </c>
      <c r="L172" s="317">
        <v>17200</v>
      </c>
      <c r="M172" s="235"/>
    </row>
    <row r="173" spans="1:21">
      <c r="C173" s="11" t="str">
        <f t="shared" si="24"/>
        <v>红土创新基金管理有限公司</v>
      </c>
      <c r="D173" s="11">
        <f t="shared" si="25"/>
        <v>38.6</v>
      </c>
      <c r="E173" s="282">
        <f t="shared" si="26"/>
        <v>1.75</v>
      </c>
      <c r="F173" s="10" t="str">
        <f t="shared" si="27"/>
        <v/>
      </c>
      <c r="G173" s="10" t="str">
        <f t="shared" si="28"/>
        <v/>
      </c>
      <c r="I173" s="25"/>
      <c r="J173" s="25"/>
      <c r="K173" s="291">
        <v>32.01</v>
      </c>
      <c r="L173" s="317">
        <v>18100</v>
      </c>
      <c r="M173" s="351">
        <v>0.47916666666666669</v>
      </c>
    </row>
    <row r="174" spans="1:21">
      <c r="C174" s="11" t="str">
        <f t="shared" si="24"/>
        <v/>
      </c>
      <c r="D174" s="11">
        <f t="shared" si="25"/>
        <v>35.1</v>
      </c>
      <c r="E174" s="282">
        <f t="shared" si="26"/>
        <v>1.85</v>
      </c>
      <c r="F174" s="10" t="str">
        <f t="shared" si="27"/>
        <v/>
      </c>
      <c r="G174" s="10" t="str">
        <f t="shared" si="28"/>
        <v/>
      </c>
      <c r="I174" s="292">
        <v>5</v>
      </c>
      <c r="J174" s="183" t="s">
        <v>1065</v>
      </c>
      <c r="K174" s="291">
        <v>38.6</v>
      </c>
      <c r="L174" s="317">
        <v>17500</v>
      </c>
      <c r="M174" s="182"/>
    </row>
    <row r="175" spans="1:21">
      <c r="C175" s="11" t="str">
        <f t="shared" si="24"/>
        <v>诺安基金管理有限公司</v>
      </c>
      <c r="D175" s="11">
        <f t="shared" si="25"/>
        <v>32.21</v>
      </c>
      <c r="E175" s="282">
        <f t="shared" si="26"/>
        <v>1.7</v>
      </c>
      <c r="F175" s="10" t="str">
        <f t="shared" si="27"/>
        <v/>
      </c>
      <c r="G175" s="10" t="str">
        <f t="shared" si="28"/>
        <v/>
      </c>
      <c r="I175" s="25"/>
      <c r="J175" s="25"/>
      <c r="K175" s="291">
        <v>35.1</v>
      </c>
      <c r="L175" s="317">
        <v>18500</v>
      </c>
      <c r="M175" s="351">
        <v>0.48472222222222222</v>
      </c>
    </row>
    <row r="176" spans="1:21">
      <c r="C176" s="11" t="str">
        <f t="shared" si="24"/>
        <v>财通基金管理有限公司</v>
      </c>
      <c r="D176" s="11">
        <f t="shared" si="25"/>
        <v>38.1</v>
      </c>
      <c r="E176" s="282">
        <f t="shared" si="26"/>
        <v>1.73</v>
      </c>
      <c r="F176" s="10" t="str">
        <f t="shared" si="27"/>
        <v/>
      </c>
      <c r="G176" s="10" t="str">
        <f t="shared" si="28"/>
        <v/>
      </c>
      <c r="I176" s="292">
        <v>6</v>
      </c>
      <c r="J176" s="183" t="s">
        <v>147</v>
      </c>
      <c r="K176" s="291">
        <v>32.21</v>
      </c>
      <c r="L176" s="317">
        <v>17000</v>
      </c>
      <c r="M176" s="350">
        <v>0.4861111111111111</v>
      </c>
    </row>
    <row r="177" spans="1:16">
      <c r="C177" s="11" t="str">
        <f t="shared" si="24"/>
        <v/>
      </c>
      <c r="D177" s="11">
        <f t="shared" si="25"/>
        <v>34.29</v>
      </c>
      <c r="E177" s="282">
        <f t="shared" si="26"/>
        <v>4</v>
      </c>
      <c r="F177" s="10" t="str">
        <f t="shared" si="27"/>
        <v/>
      </c>
      <c r="G177" s="10" t="str">
        <f t="shared" si="28"/>
        <v/>
      </c>
      <c r="I177" s="292">
        <v>7</v>
      </c>
      <c r="J177" s="183" t="s">
        <v>115</v>
      </c>
      <c r="K177" s="291">
        <v>38.1</v>
      </c>
      <c r="L177" s="317">
        <v>17300</v>
      </c>
      <c r="M177" s="182"/>
    </row>
    <row r="178" spans="1:16">
      <c r="C178" s="11" t="str">
        <f t="shared" si="24"/>
        <v>金鹰基金管理有限公司</v>
      </c>
      <c r="D178" s="11">
        <f t="shared" si="25"/>
        <v>41.38</v>
      </c>
      <c r="E178" s="282">
        <f t="shared" si="26"/>
        <v>3.99</v>
      </c>
      <c r="F178" s="10">
        <f t="shared" si="27"/>
        <v>1025.6410000000001</v>
      </c>
      <c r="G178" s="10">
        <f t="shared" si="28"/>
        <v>3.9999999000000002</v>
      </c>
      <c r="I178" s="25"/>
      <c r="J178" s="25"/>
      <c r="K178" s="291">
        <v>34.29</v>
      </c>
      <c r="L178" s="317">
        <v>40000</v>
      </c>
      <c r="M178" s="351">
        <v>0.4861111111111111</v>
      </c>
    </row>
    <row r="179" spans="1:16">
      <c r="C179" s="11" t="str">
        <f t="shared" si="24"/>
        <v/>
      </c>
      <c r="D179" s="11">
        <f t="shared" si="25"/>
        <v>40.119999999999997</v>
      </c>
      <c r="E179" s="282">
        <f t="shared" si="26"/>
        <v>4</v>
      </c>
      <c r="F179" s="10" t="str">
        <f t="shared" si="27"/>
        <v/>
      </c>
      <c r="G179" s="10" t="str">
        <f t="shared" si="28"/>
        <v/>
      </c>
      <c r="I179" s="292">
        <v>8</v>
      </c>
      <c r="J179" s="183" t="s">
        <v>278</v>
      </c>
      <c r="K179" s="291">
        <v>41.38</v>
      </c>
      <c r="L179" s="317">
        <v>39900</v>
      </c>
      <c r="M179" s="182"/>
    </row>
    <row r="180" spans="1:16">
      <c r="C180" s="11" t="str">
        <f t="shared" si="24"/>
        <v>鹏华资产管理有限公司</v>
      </c>
      <c r="D180" s="11">
        <f t="shared" si="25"/>
        <v>39.61</v>
      </c>
      <c r="E180" s="282">
        <f t="shared" si="26"/>
        <v>3.4</v>
      </c>
      <c r="F180" s="10">
        <f t="shared" si="27"/>
        <v>871.79480000000001</v>
      </c>
      <c r="G180" s="10">
        <f t="shared" si="28"/>
        <v>3.3999997199999998</v>
      </c>
      <c r="I180" s="25"/>
      <c r="J180" s="25"/>
      <c r="K180" s="291">
        <v>40.119999999999997</v>
      </c>
      <c r="L180" s="317">
        <v>40000</v>
      </c>
      <c r="M180" s="351">
        <v>0.49861111111111112</v>
      </c>
    </row>
    <row r="181" spans="1:16">
      <c r="C181" s="24" t="str">
        <f t="shared" si="24"/>
        <v/>
      </c>
      <c r="I181" s="292">
        <v>9</v>
      </c>
      <c r="J181" s="183" t="s">
        <v>1650</v>
      </c>
      <c r="K181" s="291">
        <v>39.61</v>
      </c>
      <c r="L181" s="317">
        <v>34000</v>
      </c>
      <c r="M181" s="350">
        <v>0.4993055555555555</v>
      </c>
    </row>
    <row r="182" spans="1:16">
      <c r="C182" s="24" t="str">
        <f t="shared" si="24"/>
        <v/>
      </c>
    </row>
    <row r="184" spans="1:16" s="162" customFormat="1">
      <c r="A184" s="164" t="s">
        <v>1315</v>
      </c>
      <c r="B184" s="164"/>
      <c r="C184" s="164" t="s">
        <v>107</v>
      </c>
      <c r="D184" s="164" t="s">
        <v>4</v>
      </c>
      <c r="E184" s="166" t="s">
        <v>108</v>
      </c>
      <c r="F184" s="166" t="s">
        <v>109</v>
      </c>
      <c r="G184" s="164" t="s">
        <v>1314</v>
      </c>
      <c r="H184" s="164" t="s">
        <v>1313</v>
      </c>
      <c r="I184" s="165" t="s">
        <v>1312</v>
      </c>
      <c r="J184" s="163" t="s">
        <v>1311</v>
      </c>
      <c r="K184" s="163" t="s">
        <v>110</v>
      </c>
      <c r="L184" s="163" t="s">
        <v>1310</v>
      </c>
      <c r="M184" s="164" t="s">
        <v>111</v>
      </c>
      <c r="N184" s="163" t="s">
        <v>949</v>
      </c>
      <c r="O184" s="163" t="s">
        <v>948</v>
      </c>
      <c r="P184" s="163" t="s">
        <v>129</v>
      </c>
    </row>
    <row r="185" spans="1:16">
      <c r="A185" s="24">
        <v>304</v>
      </c>
      <c r="B185" s="329" t="s">
        <v>1725</v>
      </c>
      <c r="C185" s="1" t="s">
        <v>1724</v>
      </c>
      <c r="D185" s="1" t="s">
        <v>1723</v>
      </c>
      <c r="E185" s="3">
        <v>1.95</v>
      </c>
      <c r="F185" s="3">
        <v>1.9499999400000001</v>
      </c>
      <c r="G185" s="2">
        <v>42711</v>
      </c>
      <c r="H185" s="24" t="s">
        <v>151</v>
      </c>
      <c r="I185" s="130">
        <v>25.34</v>
      </c>
      <c r="J185" s="3">
        <v>25.2</v>
      </c>
      <c r="K185" s="160">
        <v>16.12</v>
      </c>
      <c r="L185" s="271">
        <v>0.99447513812154698</v>
      </c>
      <c r="M185" s="270">
        <v>4</v>
      </c>
      <c r="N185" s="2">
        <v>43097</v>
      </c>
      <c r="O185" s="24">
        <v>18.39</v>
      </c>
      <c r="P185" s="157">
        <v>0.73333333333333339</v>
      </c>
    </row>
    <row r="186" spans="1:16" ht="15">
      <c r="C186" s="16" t="s">
        <v>112</v>
      </c>
      <c r="D186" s="16" t="s">
        <v>113</v>
      </c>
      <c r="E186" s="16" t="s">
        <v>1305</v>
      </c>
      <c r="F186" s="17" t="s">
        <v>1304</v>
      </c>
      <c r="G186" s="16" t="s">
        <v>1303</v>
      </c>
      <c r="I186" s="305" t="s">
        <v>118</v>
      </c>
      <c r="J186" s="305"/>
      <c r="K186" s="305" t="s">
        <v>488</v>
      </c>
      <c r="L186" s="305" t="s">
        <v>401</v>
      </c>
      <c r="M186" s="228" t="s">
        <v>160</v>
      </c>
      <c r="N186" s="312" t="s">
        <v>1318</v>
      </c>
    </row>
    <row r="187" spans="1:16" ht="15.5">
      <c r="C187" s="11" t="str">
        <f t="shared" ref="C187:C223" si="29">IF(J188=0,"",J188)</f>
        <v>广西铁投创新资本投资有限公司</v>
      </c>
      <c r="D187" s="11">
        <f t="shared" ref="D187:D221" si="30">K188</f>
        <v>25.2</v>
      </c>
      <c r="E187" s="10">
        <f t="shared" ref="E187:E221" si="31">L188/10000</f>
        <v>0.4</v>
      </c>
      <c r="F187" s="11" t="str">
        <f t="shared" ref="F187:F200" si="32">IF(M188=0,"",M188)</f>
        <v/>
      </c>
      <c r="G187" s="11"/>
      <c r="I187" s="305"/>
      <c r="J187" s="312" t="s">
        <v>7</v>
      </c>
      <c r="K187" s="305" t="s">
        <v>1722</v>
      </c>
      <c r="L187" s="305" t="s">
        <v>1333</v>
      </c>
      <c r="M187" s="228" t="s">
        <v>1317</v>
      </c>
      <c r="N187" s="312" t="s">
        <v>1316</v>
      </c>
    </row>
    <row r="188" spans="1:16">
      <c r="C188" s="11" t="str">
        <f t="shared" si="29"/>
        <v>平安养老保险股份有限公司</v>
      </c>
      <c r="D188" s="11">
        <f t="shared" si="30"/>
        <v>24.01</v>
      </c>
      <c r="E188" s="10">
        <f t="shared" si="31"/>
        <v>4</v>
      </c>
      <c r="F188" s="11" t="str">
        <f t="shared" si="32"/>
        <v/>
      </c>
      <c r="G188" s="11"/>
      <c r="I188" s="168">
        <v>1</v>
      </c>
      <c r="J188" s="204" t="s">
        <v>1721</v>
      </c>
      <c r="K188" s="168">
        <v>25.2</v>
      </c>
      <c r="L188" s="168">
        <v>4000</v>
      </c>
      <c r="M188" s="168">
        <v>0</v>
      </c>
      <c r="N188" s="168">
        <v>0</v>
      </c>
    </row>
    <row r="189" spans="1:16">
      <c r="C189" s="11" t="str">
        <f t="shared" si="29"/>
        <v>第一创业证券股份有限公司</v>
      </c>
      <c r="D189" s="11">
        <f t="shared" si="30"/>
        <v>22.22</v>
      </c>
      <c r="E189" s="10">
        <f t="shared" si="31"/>
        <v>1.5</v>
      </c>
      <c r="F189" s="11" t="str">
        <f t="shared" si="32"/>
        <v/>
      </c>
      <c r="G189" s="11"/>
      <c r="I189" s="296">
        <v>2</v>
      </c>
      <c r="J189" s="204" t="s">
        <v>1560</v>
      </c>
      <c r="K189" s="296">
        <v>24.01</v>
      </c>
      <c r="L189" s="296">
        <v>40000</v>
      </c>
      <c r="M189" s="296">
        <v>0</v>
      </c>
      <c r="N189" s="296">
        <v>0</v>
      </c>
    </row>
    <row r="190" spans="1:16">
      <c r="C190" s="11" t="str">
        <f t="shared" si="29"/>
        <v>南方基金管理有限公司</v>
      </c>
      <c r="D190" s="11">
        <f t="shared" si="30"/>
        <v>22.05</v>
      </c>
      <c r="E190" s="10">
        <f t="shared" si="31"/>
        <v>1.925</v>
      </c>
      <c r="F190" s="11" t="str">
        <f t="shared" si="32"/>
        <v/>
      </c>
      <c r="G190" s="11"/>
      <c r="I190" s="296">
        <v>3</v>
      </c>
      <c r="J190" s="204" t="s">
        <v>1370</v>
      </c>
      <c r="K190" s="296">
        <v>22.22</v>
      </c>
      <c r="L190" s="296">
        <v>15000</v>
      </c>
      <c r="M190" s="296">
        <v>0</v>
      </c>
      <c r="N190" s="296">
        <v>0</v>
      </c>
    </row>
    <row r="191" spans="1:16" ht="17.5">
      <c r="C191" s="11" t="str">
        <f t="shared" si="29"/>
        <v/>
      </c>
      <c r="D191" s="11">
        <f t="shared" si="30"/>
        <v>22.5</v>
      </c>
      <c r="E191" s="10">
        <f t="shared" si="31"/>
        <v>1.5249999999999999</v>
      </c>
      <c r="F191" s="11" t="str">
        <f t="shared" si="32"/>
        <v/>
      </c>
      <c r="G191" s="11"/>
      <c r="I191" s="168">
        <v>4</v>
      </c>
      <c r="J191" s="203" t="s">
        <v>321</v>
      </c>
      <c r="K191" s="168">
        <v>22.05</v>
      </c>
      <c r="L191" s="168">
        <v>19250</v>
      </c>
      <c r="M191" s="198"/>
      <c r="N191" s="168">
        <v>0</v>
      </c>
    </row>
    <row r="192" spans="1:16">
      <c r="C192" s="11" t="str">
        <f t="shared" si="29"/>
        <v/>
      </c>
      <c r="D192" s="11">
        <f t="shared" si="30"/>
        <v>22.7</v>
      </c>
      <c r="E192" s="10">
        <f t="shared" si="31"/>
        <v>0.4</v>
      </c>
      <c r="F192" s="11" t="str">
        <f t="shared" si="32"/>
        <v/>
      </c>
      <c r="G192" s="11"/>
      <c r="I192" s="25"/>
      <c r="J192" s="25"/>
      <c r="K192" s="168">
        <v>22.5</v>
      </c>
      <c r="L192" s="168">
        <v>15250</v>
      </c>
      <c r="M192" s="168">
        <v>0</v>
      </c>
      <c r="N192" s="278"/>
    </row>
    <row r="193" spans="3:14">
      <c r="C193" s="11" t="str">
        <f t="shared" si="29"/>
        <v>民生通惠资产管理有限公司</v>
      </c>
      <c r="D193" s="11">
        <f t="shared" si="30"/>
        <v>20.2</v>
      </c>
      <c r="E193" s="10">
        <f t="shared" si="31"/>
        <v>0.4</v>
      </c>
      <c r="F193" s="11" t="str">
        <f t="shared" si="32"/>
        <v/>
      </c>
      <c r="G193" s="11"/>
      <c r="I193" s="64"/>
      <c r="J193" s="64"/>
      <c r="K193" s="168">
        <v>22.7</v>
      </c>
      <c r="L193" s="168">
        <v>4000</v>
      </c>
      <c r="M193" s="64"/>
      <c r="N193" s="278"/>
    </row>
    <row r="194" spans="3:14">
      <c r="C194" s="11" t="str">
        <f t="shared" si="29"/>
        <v>泰康资产管理有限责任公司</v>
      </c>
      <c r="D194" s="11">
        <f t="shared" si="30"/>
        <v>22.5</v>
      </c>
      <c r="E194" s="10">
        <f t="shared" si="31"/>
        <v>0.4</v>
      </c>
      <c r="F194" s="11" t="str">
        <f t="shared" si="32"/>
        <v/>
      </c>
      <c r="G194" s="11"/>
      <c r="I194" s="168">
        <v>5</v>
      </c>
      <c r="J194" s="204" t="s">
        <v>1364</v>
      </c>
      <c r="K194" s="168">
        <v>20.2</v>
      </c>
      <c r="L194" s="168">
        <v>4000</v>
      </c>
      <c r="M194" s="168">
        <v>0</v>
      </c>
      <c r="N194" s="168">
        <v>0</v>
      </c>
    </row>
    <row r="195" spans="3:14">
      <c r="C195" s="11" t="str">
        <f t="shared" si="29"/>
        <v>东莞证券股份有限公司</v>
      </c>
      <c r="D195" s="11">
        <f t="shared" si="30"/>
        <v>22.67</v>
      </c>
      <c r="E195" s="10">
        <f t="shared" si="31"/>
        <v>0.4</v>
      </c>
      <c r="F195" s="11" t="str">
        <f t="shared" si="32"/>
        <v/>
      </c>
      <c r="G195" s="11"/>
      <c r="I195" s="296">
        <v>6</v>
      </c>
      <c r="J195" s="204" t="s">
        <v>1720</v>
      </c>
      <c r="K195" s="296">
        <v>22.5</v>
      </c>
      <c r="L195" s="296">
        <v>4000</v>
      </c>
      <c r="M195" s="296">
        <v>0</v>
      </c>
      <c r="N195" s="296">
        <v>0</v>
      </c>
    </row>
    <row r="196" spans="3:14">
      <c r="C196" s="11" t="str">
        <f t="shared" si="29"/>
        <v>国信证券股份有限公司</v>
      </c>
      <c r="D196" s="11">
        <f t="shared" si="30"/>
        <v>24.01</v>
      </c>
      <c r="E196" s="10">
        <f t="shared" si="31"/>
        <v>0.4</v>
      </c>
      <c r="F196" s="11" t="str">
        <f t="shared" si="32"/>
        <v/>
      </c>
      <c r="G196" s="11"/>
      <c r="I196" s="168">
        <v>7</v>
      </c>
      <c r="J196" s="204" t="s">
        <v>384</v>
      </c>
      <c r="K196" s="168">
        <v>22.67</v>
      </c>
      <c r="L196" s="168">
        <v>4000</v>
      </c>
      <c r="M196" s="168">
        <v>0</v>
      </c>
      <c r="N196" s="168">
        <v>0</v>
      </c>
    </row>
    <row r="197" spans="3:14">
      <c r="C197" s="11" t="str">
        <f t="shared" si="29"/>
        <v/>
      </c>
      <c r="D197" s="11">
        <f t="shared" si="30"/>
        <v>22.71</v>
      </c>
      <c r="E197" s="10">
        <f t="shared" si="31"/>
        <v>0.8</v>
      </c>
      <c r="F197" s="11" t="str">
        <f t="shared" si="32"/>
        <v/>
      </c>
      <c r="G197" s="11"/>
      <c r="I197" s="168">
        <v>8</v>
      </c>
      <c r="J197" s="203" t="s">
        <v>1142</v>
      </c>
      <c r="K197" s="168">
        <v>24.01</v>
      </c>
      <c r="L197" s="168">
        <v>4000</v>
      </c>
      <c r="M197" s="222"/>
      <c r="N197" s="168">
        <v>0</v>
      </c>
    </row>
    <row r="198" spans="3:14">
      <c r="C198" s="11" t="str">
        <f t="shared" si="29"/>
        <v>兴业全球基金管理有限公司</v>
      </c>
      <c r="D198" s="11">
        <f t="shared" si="30"/>
        <v>16.14</v>
      </c>
      <c r="E198" s="10">
        <f t="shared" si="31"/>
        <v>1.95</v>
      </c>
      <c r="F198" s="11" t="str">
        <f t="shared" si="32"/>
        <v/>
      </c>
      <c r="G198" s="11"/>
      <c r="I198" s="25"/>
      <c r="J198" s="25"/>
      <c r="K198" s="168">
        <v>22.71</v>
      </c>
      <c r="L198" s="168">
        <v>8000</v>
      </c>
      <c r="M198" s="168">
        <v>0</v>
      </c>
      <c r="N198" s="278"/>
    </row>
    <row r="199" spans="3:14">
      <c r="C199" s="11" t="str">
        <f t="shared" si="29"/>
        <v/>
      </c>
      <c r="D199" s="11">
        <f t="shared" si="30"/>
        <v>20.22</v>
      </c>
      <c r="E199" s="10">
        <f t="shared" si="31"/>
        <v>0.6</v>
      </c>
      <c r="F199" s="11" t="str">
        <f t="shared" si="32"/>
        <v/>
      </c>
      <c r="G199" s="11"/>
      <c r="I199" s="296">
        <v>9</v>
      </c>
      <c r="J199" s="204" t="s">
        <v>1361</v>
      </c>
      <c r="K199" s="296">
        <v>16.14</v>
      </c>
      <c r="L199" s="296">
        <v>19500</v>
      </c>
      <c r="M199" s="296">
        <v>0</v>
      </c>
      <c r="N199" s="296">
        <v>0</v>
      </c>
    </row>
    <row r="200" spans="3:14">
      <c r="C200" s="11" t="str">
        <f t="shared" si="29"/>
        <v>邱伟民</v>
      </c>
      <c r="D200" s="11">
        <f t="shared" si="30"/>
        <v>20.010000000000002</v>
      </c>
      <c r="E200" s="10">
        <f t="shared" si="31"/>
        <v>0.8</v>
      </c>
      <c r="F200" s="11" t="str">
        <f t="shared" si="32"/>
        <v/>
      </c>
      <c r="G200" s="11"/>
      <c r="I200" s="222"/>
      <c r="J200" s="218"/>
      <c r="K200" s="168">
        <v>20.22</v>
      </c>
      <c r="L200" s="168">
        <v>6000</v>
      </c>
      <c r="M200" s="222"/>
      <c r="N200" s="168">
        <v>0</v>
      </c>
    </row>
    <row r="201" spans="3:14">
      <c r="C201" s="11" t="str">
        <f t="shared" si="29"/>
        <v>易方达资产管理有限公司</v>
      </c>
      <c r="D201" s="11">
        <f t="shared" si="30"/>
        <v>25.2</v>
      </c>
      <c r="E201" s="10">
        <f t="shared" si="31"/>
        <v>0.499</v>
      </c>
      <c r="F201" s="10">
        <f t="shared" ref="F201:F219" si="33">IFERROR(IF(M202=0,"",M202)/10000,"")</f>
        <v>168.65090000000001</v>
      </c>
      <c r="G201" s="10">
        <f t="shared" ref="G201:G218" si="34">IFERROR(F201*J$185/10000,"")</f>
        <v>0.42500026800000007</v>
      </c>
      <c r="I201" s="296">
        <v>10</v>
      </c>
      <c r="J201" s="204" t="s">
        <v>1719</v>
      </c>
      <c r="K201" s="168">
        <v>20.010000000000002</v>
      </c>
      <c r="L201" s="168">
        <v>8000</v>
      </c>
      <c r="M201" s="168">
        <v>0</v>
      </c>
      <c r="N201" s="278"/>
    </row>
    <row r="202" spans="3:14">
      <c r="C202" s="11" t="str">
        <f t="shared" si="29"/>
        <v>信诚基金管理有限公司</v>
      </c>
      <c r="D202" s="11">
        <f t="shared" si="30"/>
        <v>22.83</v>
      </c>
      <c r="E202" s="10">
        <f t="shared" si="31"/>
        <v>0.40100000000000002</v>
      </c>
      <c r="F202" s="10" t="str">
        <f t="shared" si="33"/>
        <v/>
      </c>
      <c r="G202" s="10" t="str">
        <f t="shared" si="34"/>
        <v/>
      </c>
      <c r="I202" s="168">
        <v>11</v>
      </c>
      <c r="J202" s="331" t="s">
        <v>1148</v>
      </c>
      <c r="K202" s="168">
        <v>25.2</v>
      </c>
      <c r="L202" s="168">
        <v>4990</v>
      </c>
      <c r="M202" s="167">
        <v>1686509</v>
      </c>
      <c r="N202" s="197">
        <v>42500026.799999997</v>
      </c>
    </row>
    <row r="203" spans="3:14">
      <c r="C203" s="11" t="str">
        <f t="shared" si="29"/>
        <v>申万菱信基金管理有限公司</v>
      </c>
      <c r="D203" s="11">
        <f t="shared" si="30"/>
        <v>20.010000000000002</v>
      </c>
      <c r="E203" s="10">
        <f t="shared" si="31"/>
        <v>1.95</v>
      </c>
      <c r="F203" s="10" t="str">
        <f t="shared" si="33"/>
        <v/>
      </c>
      <c r="G203" s="10" t="str">
        <f t="shared" si="34"/>
        <v/>
      </c>
      <c r="I203" s="168">
        <v>12</v>
      </c>
      <c r="J203" s="204" t="s">
        <v>300</v>
      </c>
      <c r="K203" s="168">
        <v>22.83</v>
      </c>
      <c r="L203" s="168">
        <v>4010</v>
      </c>
      <c r="M203" s="168">
        <v>0</v>
      </c>
      <c r="N203" s="168">
        <v>0</v>
      </c>
    </row>
    <row r="204" spans="3:14">
      <c r="C204" s="11" t="str">
        <f t="shared" si="29"/>
        <v>财通基金管理有限公司</v>
      </c>
      <c r="D204" s="11">
        <f t="shared" si="30"/>
        <v>24.1</v>
      </c>
      <c r="E204" s="10">
        <f t="shared" si="31"/>
        <v>1.95</v>
      </c>
      <c r="F204" s="10" t="str">
        <f t="shared" si="33"/>
        <v/>
      </c>
      <c r="G204" s="10" t="str">
        <f t="shared" si="34"/>
        <v/>
      </c>
      <c r="I204" s="168">
        <v>13</v>
      </c>
      <c r="J204" s="192" t="s">
        <v>121</v>
      </c>
      <c r="K204" s="168">
        <v>20.010000000000002</v>
      </c>
      <c r="L204" s="168">
        <v>19500</v>
      </c>
      <c r="M204" s="168">
        <v>0</v>
      </c>
      <c r="N204" s="168">
        <v>0</v>
      </c>
    </row>
    <row r="205" spans="3:14">
      <c r="C205" s="11" t="str">
        <f t="shared" si="29"/>
        <v>平安大华基金管理有限公司</v>
      </c>
      <c r="D205" s="11">
        <f t="shared" si="30"/>
        <v>22.73</v>
      </c>
      <c r="E205" s="10">
        <f t="shared" si="31"/>
        <v>0.72</v>
      </c>
      <c r="F205" s="10" t="str">
        <f t="shared" si="33"/>
        <v/>
      </c>
      <c r="G205" s="10" t="str">
        <f t="shared" si="34"/>
        <v/>
      </c>
      <c r="I205" s="168">
        <v>14</v>
      </c>
      <c r="J205" s="204" t="s">
        <v>115</v>
      </c>
      <c r="K205" s="168">
        <v>24.1</v>
      </c>
      <c r="L205" s="168">
        <v>19500</v>
      </c>
      <c r="M205" s="168">
        <v>0</v>
      </c>
      <c r="N205" s="168">
        <v>0</v>
      </c>
    </row>
    <row r="206" spans="3:14">
      <c r="C206" s="11" t="str">
        <f t="shared" si="29"/>
        <v>诺安基金管理有限公司</v>
      </c>
      <c r="D206" s="11">
        <f t="shared" si="30"/>
        <v>18.86</v>
      </c>
      <c r="E206" s="10">
        <f t="shared" si="31"/>
        <v>0.4</v>
      </c>
      <c r="F206" s="10" t="str">
        <f t="shared" si="33"/>
        <v/>
      </c>
      <c r="G206" s="10" t="str">
        <f t="shared" si="34"/>
        <v/>
      </c>
      <c r="I206" s="296">
        <v>15</v>
      </c>
      <c r="J206" s="204" t="s">
        <v>1371</v>
      </c>
      <c r="K206" s="296">
        <v>22.73</v>
      </c>
      <c r="L206" s="296">
        <v>7200</v>
      </c>
      <c r="M206" s="296">
        <v>0</v>
      </c>
      <c r="N206" s="296">
        <v>0</v>
      </c>
    </row>
    <row r="207" spans="3:14" ht="17.5">
      <c r="C207" s="11" t="str">
        <f t="shared" si="29"/>
        <v/>
      </c>
      <c r="D207" s="11">
        <f t="shared" si="30"/>
        <v>18.850000000000001</v>
      </c>
      <c r="E207" s="10">
        <f t="shared" si="31"/>
        <v>0.77500000000000002</v>
      </c>
      <c r="F207" s="10" t="str">
        <f t="shared" si="33"/>
        <v/>
      </c>
      <c r="G207" s="10" t="str">
        <f t="shared" si="34"/>
        <v/>
      </c>
      <c r="I207" s="296">
        <v>16</v>
      </c>
      <c r="J207" s="203" t="s">
        <v>147</v>
      </c>
      <c r="K207" s="168">
        <v>18.86</v>
      </c>
      <c r="L207" s="168">
        <v>4000</v>
      </c>
      <c r="M207" s="198"/>
      <c r="N207" s="168">
        <v>0</v>
      </c>
    </row>
    <row r="208" spans="3:14">
      <c r="C208" s="11" t="str">
        <f t="shared" si="29"/>
        <v>银华基金管理有限公司</v>
      </c>
      <c r="D208" s="11">
        <f t="shared" si="30"/>
        <v>24.83</v>
      </c>
      <c r="E208" s="10">
        <f t="shared" si="31"/>
        <v>0.8</v>
      </c>
      <c r="F208" s="10" t="str">
        <f t="shared" si="33"/>
        <v/>
      </c>
      <c r="G208" s="10" t="str">
        <f t="shared" si="34"/>
        <v/>
      </c>
      <c r="I208" s="25"/>
      <c r="J208" s="25"/>
      <c r="K208" s="168">
        <v>18.850000000000001</v>
      </c>
      <c r="L208" s="168">
        <v>7750</v>
      </c>
      <c r="M208" s="168">
        <v>0</v>
      </c>
      <c r="N208" s="293"/>
    </row>
    <row r="209" spans="3:14" ht="17.5">
      <c r="C209" s="11" t="str">
        <f t="shared" si="29"/>
        <v/>
      </c>
      <c r="D209" s="11">
        <f t="shared" si="30"/>
        <v>24</v>
      </c>
      <c r="E209" s="10">
        <f t="shared" si="31"/>
        <v>1.7</v>
      </c>
      <c r="F209" s="10" t="str">
        <f t="shared" si="33"/>
        <v/>
      </c>
      <c r="G209" s="10" t="str">
        <f t="shared" si="34"/>
        <v/>
      </c>
      <c r="I209" s="296">
        <v>17</v>
      </c>
      <c r="J209" s="203" t="s">
        <v>977</v>
      </c>
      <c r="K209" s="168">
        <v>24.83</v>
      </c>
      <c r="L209" s="168">
        <v>8000</v>
      </c>
      <c r="M209" s="198"/>
      <c r="N209" s="168">
        <v>0</v>
      </c>
    </row>
    <row r="210" spans="3:14">
      <c r="C210" s="11" t="str">
        <f t="shared" si="29"/>
        <v>西藏泓涵股权投资管理有限公司</v>
      </c>
      <c r="D210" s="11">
        <f t="shared" si="30"/>
        <v>26.52</v>
      </c>
      <c r="E210" s="10">
        <f t="shared" si="31"/>
        <v>0.4</v>
      </c>
      <c r="F210" s="10">
        <f t="shared" si="33"/>
        <v>158.73009999999999</v>
      </c>
      <c r="G210" s="10">
        <f t="shared" si="34"/>
        <v>0.39999985199999999</v>
      </c>
      <c r="I210" s="25"/>
      <c r="J210" s="25"/>
      <c r="K210" s="168">
        <v>24</v>
      </c>
      <c r="L210" s="168">
        <v>17000</v>
      </c>
      <c r="M210" s="168">
        <v>0</v>
      </c>
      <c r="N210" s="293"/>
    </row>
    <row r="211" spans="3:14">
      <c r="C211" s="11" t="str">
        <f t="shared" si="29"/>
        <v>中广核财务有限公司</v>
      </c>
      <c r="D211" s="11">
        <f t="shared" si="30"/>
        <v>20.55</v>
      </c>
      <c r="E211" s="10">
        <f t="shared" si="31"/>
        <v>0.78</v>
      </c>
      <c r="F211" s="10" t="str">
        <f t="shared" si="33"/>
        <v/>
      </c>
      <c r="G211" s="10" t="str">
        <f t="shared" si="34"/>
        <v/>
      </c>
      <c r="I211" s="168">
        <v>18</v>
      </c>
      <c r="J211" s="331" t="s">
        <v>1718</v>
      </c>
      <c r="K211" s="168">
        <v>26.52</v>
      </c>
      <c r="L211" s="168">
        <v>4000</v>
      </c>
      <c r="M211" s="167">
        <v>1587301</v>
      </c>
      <c r="N211" s="197">
        <v>39999985.200000003</v>
      </c>
    </row>
    <row r="212" spans="3:14">
      <c r="C212" s="11" t="str">
        <f t="shared" si="29"/>
        <v>华安基金管理有限公司</v>
      </c>
      <c r="D212" s="11">
        <f t="shared" si="30"/>
        <v>23.99</v>
      </c>
      <c r="E212" s="10">
        <f t="shared" si="31"/>
        <v>0.752</v>
      </c>
      <c r="F212" s="10" t="str">
        <f t="shared" si="33"/>
        <v/>
      </c>
      <c r="G212" s="10" t="str">
        <f t="shared" si="34"/>
        <v/>
      </c>
      <c r="I212" s="168">
        <v>19</v>
      </c>
      <c r="J212" s="204" t="s">
        <v>1717</v>
      </c>
      <c r="K212" s="168">
        <v>20.55</v>
      </c>
      <c r="L212" s="168">
        <v>7800</v>
      </c>
      <c r="M212" s="168">
        <v>0</v>
      </c>
      <c r="N212" s="168">
        <v>0</v>
      </c>
    </row>
    <row r="213" spans="3:14" ht="14.5" customHeight="1">
      <c r="C213" s="11" t="str">
        <f t="shared" si="29"/>
        <v>红土创新基金管理有限公司</v>
      </c>
      <c r="D213" s="11">
        <f t="shared" si="30"/>
        <v>24.33</v>
      </c>
      <c r="E213" s="10">
        <f t="shared" si="31"/>
        <v>0.5</v>
      </c>
      <c r="F213" s="10" t="str">
        <f t="shared" si="33"/>
        <v/>
      </c>
      <c r="G213" s="10" t="str">
        <f t="shared" si="34"/>
        <v/>
      </c>
      <c r="I213" s="168">
        <v>20</v>
      </c>
      <c r="J213" s="204" t="s">
        <v>136</v>
      </c>
      <c r="K213" s="168">
        <v>23.99</v>
      </c>
      <c r="L213" s="168">
        <v>7520</v>
      </c>
      <c r="M213" s="168">
        <v>0</v>
      </c>
      <c r="N213" s="168">
        <v>0</v>
      </c>
    </row>
    <row r="214" spans="3:14">
      <c r="C214" s="11" t="str">
        <f t="shared" si="29"/>
        <v/>
      </c>
      <c r="D214" s="11">
        <f t="shared" si="30"/>
        <v>23.1</v>
      </c>
      <c r="E214" s="10">
        <f t="shared" si="31"/>
        <v>0.5</v>
      </c>
      <c r="F214" s="10" t="str">
        <f t="shared" si="33"/>
        <v/>
      </c>
      <c r="G214" s="10" t="str">
        <f t="shared" si="34"/>
        <v/>
      </c>
      <c r="I214" s="349"/>
      <c r="J214" s="192" t="s">
        <v>1065</v>
      </c>
      <c r="K214" s="168">
        <v>24.33</v>
      </c>
      <c r="L214" s="168">
        <v>5000</v>
      </c>
      <c r="M214" s="349"/>
      <c r="N214" s="168">
        <v>0</v>
      </c>
    </row>
    <row r="215" spans="3:14">
      <c r="C215" s="11" t="str">
        <f t="shared" si="29"/>
        <v>北信瑞丰基金管理有限公司</v>
      </c>
      <c r="D215" s="11">
        <f t="shared" si="30"/>
        <v>25.26</v>
      </c>
      <c r="E215" s="10">
        <f t="shared" si="31"/>
        <v>0.42</v>
      </c>
      <c r="F215" s="10">
        <f t="shared" si="33"/>
        <v>166.66659999999999</v>
      </c>
      <c r="G215" s="10">
        <f t="shared" si="34"/>
        <v>0.41999983199999996</v>
      </c>
      <c r="I215" s="296">
        <v>21</v>
      </c>
      <c r="J215" s="192"/>
      <c r="K215" s="168">
        <v>23.1</v>
      </c>
      <c r="L215" s="168">
        <v>5000</v>
      </c>
      <c r="M215" s="168">
        <v>0</v>
      </c>
      <c r="N215" s="293"/>
    </row>
    <row r="216" spans="3:14" ht="17.5">
      <c r="C216" s="11" t="str">
        <f t="shared" si="29"/>
        <v/>
      </c>
      <c r="D216" s="11">
        <f t="shared" si="30"/>
        <v>23.5</v>
      </c>
      <c r="E216" s="10">
        <f t="shared" si="31"/>
        <v>0.81</v>
      </c>
      <c r="F216" s="10" t="str">
        <f t="shared" si="33"/>
        <v/>
      </c>
      <c r="G216" s="10" t="str">
        <f t="shared" si="34"/>
        <v/>
      </c>
      <c r="I216" s="198"/>
      <c r="J216" s="330" t="s">
        <v>336</v>
      </c>
      <c r="K216" s="168">
        <v>25.26</v>
      </c>
      <c r="L216" s="168">
        <v>4200</v>
      </c>
      <c r="M216" s="193">
        <v>1666666</v>
      </c>
      <c r="N216" s="168">
        <v>41999983.200000003</v>
      </c>
    </row>
    <row r="217" spans="3:14">
      <c r="C217" s="11" t="str">
        <f t="shared" si="29"/>
        <v/>
      </c>
      <c r="D217" s="11">
        <f t="shared" si="30"/>
        <v>20.2</v>
      </c>
      <c r="E217" s="10">
        <f t="shared" si="31"/>
        <v>1.45</v>
      </c>
      <c r="F217" s="10" t="str">
        <f t="shared" si="33"/>
        <v/>
      </c>
      <c r="G217" s="10" t="str">
        <f t="shared" si="34"/>
        <v/>
      </c>
      <c r="I217" s="347">
        <v>22</v>
      </c>
      <c r="J217" s="348"/>
      <c r="K217" s="168">
        <v>23.5</v>
      </c>
      <c r="L217" s="168">
        <v>8100</v>
      </c>
      <c r="M217" s="25"/>
      <c r="N217" s="293"/>
    </row>
    <row r="218" spans="3:14">
      <c r="C218" s="11" t="str">
        <f t="shared" si="29"/>
        <v>九泰基金管理有限公司</v>
      </c>
      <c r="D218" s="11">
        <f t="shared" si="30"/>
        <v>25.42</v>
      </c>
      <c r="E218" s="10">
        <f t="shared" si="31"/>
        <v>0.70499999999999996</v>
      </c>
      <c r="F218" s="10">
        <f t="shared" si="33"/>
        <v>279.76190000000003</v>
      </c>
      <c r="G218" s="10">
        <f t="shared" si="34"/>
        <v>0.70499998800000008</v>
      </c>
      <c r="I218" s="64"/>
      <c r="J218" s="348"/>
      <c r="K218" s="168">
        <v>20.2</v>
      </c>
      <c r="L218" s="168">
        <v>14500</v>
      </c>
      <c r="M218" s="64"/>
      <c r="N218" s="293"/>
    </row>
    <row r="219" spans="3:14" ht="17.5">
      <c r="C219" s="11" t="str">
        <f t="shared" si="29"/>
        <v/>
      </c>
      <c r="D219" s="11">
        <f t="shared" si="30"/>
        <v>23.95</v>
      </c>
      <c r="E219" s="10">
        <f t="shared" si="31"/>
        <v>0.875</v>
      </c>
      <c r="F219" s="10" t="str">
        <f t="shared" si="33"/>
        <v/>
      </c>
      <c r="G219" s="11"/>
      <c r="I219" s="198"/>
      <c r="J219" s="344" t="s">
        <v>666</v>
      </c>
      <c r="K219" s="168">
        <v>25.42</v>
      </c>
      <c r="L219" s="168">
        <v>7050</v>
      </c>
      <c r="M219" s="193">
        <v>2797619</v>
      </c>
      <c r="N219" s="197">
        <v>70499998.799999997</v>
      </c>
    </row>
    <row r="220" spans="3:14">
      <c r="C220" s="11" t="str">
        <f t="shared" si="29"/>
        <v/>
      </c>
      <c r="D220" s="11">
        <f t="shared" si="30"/>
        <v>21.42</v>
      </c>
      <c r="E220" s="10">
        <f t="shared" si="31"/>
        <v>1.071</v>
      </c>
      <c r="F220" s="11" t="str">
        <f>IF(M221=0,"",M221)</f>
        <v/>
      </c>
      <c r="G220" s="11"/>
      <c r="I220" s="347">
        <v>23</v>
      </c>
      <c r="J220" s="25"/>
      <c r="K220" s="168">
        <v>23.95</v>
      </c>
      <c r="L220" s="168">
        <v>8750</v>
      </c>
      <c r="M220" s="25"/>
      <c r="N220" s="293"/>
    </row>
    <row r="221" spans="3:14">
      <c r="C221" s="11" t="str">
        <f t="shared" si="29"/>
        <v>南京瑞达信沨股权投资合伙企业</v>
      </c>
      <c r="D221" s="11">
        <f t="shared" si="30"/>
        <v>18.5</v>
      </c>
      <c r="E221" s="10">
        <f t="shared" si="31"/>
        <v>0.4</v>
      </c>
      <c r="F221" s="11" t="str">
        <f>IF(M222=0,"",M222)</f>
        <v/>
      </c>
      <c r="G221" s="11"/>
      <c r="I221" s="64"/>
      <c r="J221" s="64"/>
      <c r="K221" s="168">
        <v>21.42</v>
      </c>
      <c r="L221" s="168">
        <v>10710</v>
      </c>
      <c r="M221" s="64"/>
      <c r="N221" s="293"/>
    </row>
    <row r="222" spans="3:14">
      <c r="C222" s="24" t="str">
        <f t="shared" si="29"/>
        <v/>
      </c>
      <c r="I222" s="168">
        <v>24</v>
      </c>
      <c r="J222" s="192" t="s">
        <v>1716</v>
      </c>
      <c r="K222" s="168">
        <v>18.5</v>
      </c>
      <c r="L222" s="168">
        <v>4000</v>
      </c>
      <c r="M222" s="168">
        <v>0</v>
      </c>
      <c r="N222" s="168">
        <v>0</v>
      </c>
    </row>
    <row r="223" spans="3:14" ht="14.5" customHeight="1">
      <c r="C223" s="24" t="str">
        <f t="shared" si="29"/>
        <v/>
      </c>
      <c r="I223" s="192" t="s">
        <v>1715</v>
      </c>
      <c r="J223" s="293"/>
      <c r="K223" s="293"/>
      <c r="L223" s="196" t="s">
        <v>1714</v>
      </c>
      <c r="M223" s="346">
        <v>7738095</v>
      </c>
      <c r="N223" s="345">
        <v>194999994</v>
      </c>
    </row>
    <row r="225" spans="1:18" s="162" customFormat="1">
      <c r="A225" s="164" t="s">
        <v>1315</v>
      </c>
      <c r="B225" s="164"/>
      <c r="C225" s="164" t="s">
        <v>107</v>
      </c>
      <c r="D225" s="164" t="s">
        <v>4</v>
      </c>
      <c r="E225" s="166" t="s">
        <v>108</v>
      </c>
      <c r="F225" s="166" t="s">
        <v>109</v>
      </c>
      <c r="G225" s="164" t="s">
        <v>1314</v>
      </c>
      <c r="H225" s="164" t="s">
        <v>1313</v>
      </c>
      <c r="I225" s="165" t="s">
        <v>1312</v>
      </c>
      <c r="J225" s="163" t="s">
        <v>1311</v>
      </c>
      <c r="K225" s="163" t="s">
        <v>110</v>
      </c>
      <c r="L225" s="163" t="s">
        <v>1310</v>
      </c>
      <c r="M225" s="164" t="s">
        <v>111</v>
      </c>
      <c r="N225" s="163" t="s">
        <v>949</v>
      </c>
      <c r="O225" s="163" t="s">
        <v>948</v>
      </c>
      <c r="P225" s="163" t="s">
        <v>129</v>
      </c>
    </row>
    <row r="226" spans="1:18">
      <c r="A226" s="24">
        <v>305</v>
      </c>
      <c r="B226" s="329" t="s">
        <v>1713</v>
      </c>
      <c r="C226" s="1" t="s">
        <v>1712</v>
      </c>
      <c r="D226" s="1" t="s">
        <v>1711</v>
      </c>
      <c r="E226" s="3">
        <v>3.8868999999999998</v>
      </c>
      <c r="F226" s="3">
        <v>3.8868995879999999</v>
      </c>
      <c r="G226" s="332">
        <v>42706</v>
      </c>
      <c r="H226" s="24" t="s">
        <v>151</v>
      </c>
      <c r="I226" s="130">
        <v>12.59</v>
      </c>
      <c r="J226" s="3">
        <v>13.2</v>
      </c>
      <c r="K226" s="160">
        <v>11.17</v>
      </c>
      <c r="L226" s="271">
        <v>1.0484511517077044</v>
      </c>
      <c r="M226" s="270">
        <v>5</v>
      </c>
      <c r="N226" s="2">
        <v>43097</v>
      </c>
      <c r="O226" s="24">
        <v>4.63</v>
      </c>
      <c r="P226" s="157">
        <v>0.66825757575757561</v>
      </c>
    </row>
    <row r="227" spans="1:18" ht="14.5" customHeight="1">
      <c r="C227" s="16" t="s">
        <v>112</v>
      </c>
      <c r="D227" s="16" t="s">
        <v>113</v>
      </c>
      <c r="E227" s="16" t="s">
        <v>1305</v>
      </c>
      <c r="F227" s="17" t="s">
        <v>1304</v>
      </c>
      <c r="G227" s="16" t="s">
        <v>1303</v>
      </c>
      <c r="I227" s="335" t="s">
        <v>118</v>
      </c>
      <c r="J227" s="335" t="s">
        <v>714</v>
      </c>
      <c r="K227" s="344" t="s">
        <v>488</v>
      </c>
      <c r="L227" s="335" t="s">
        <v>475</v>
      </c>
      <c r="M227" s="25"/>
      <c r="N227" s="149"/>
      <c r="O227" s="149"/>
      <c r="P227" s="85" t="s">
        <v>1710</v>
      </c>
      <c r="Q227" s="149"/>
      <c r="R227" s="85" t="s">
        <v>1319</v>
      </c>
    </row>
    <row r="228" spans="1:18" ht="14.5" customHeight="1">
      <c r="C228" s="11" t="str">
        <f t="shared" ref="C228:C259" si="35">IF(J229=0,"",J229)</f>
        <v>鹏华资产管理有限公司</v>
      </c>
      <c r="D228" s="11">
        <f t="shared" ref="D228:D258" si="36">K229</f>
        <v>13.88</v>
      </c>
      <c r="E228" s="10">
        <f t="shared" ref="E228:E258" si="37">L229/100000000</f>
        <v>1.552</v>
      </c>
      <c r="F228" s="10">
        <f t="shared" ref="F228:F258" si="38">IFERROR(VLOOKUP(C228,O$229:R$233,4,FALSE)/10000,"")</f>
        <v>1175.7574999999999</v>
      </c>
      <c r="G228" s="10">
        <f t="shared" ref="G228:G236" si="39">IFERROR(F228*J$226/10000,"")</f>
        <v>1.5519998999999998</v>
      </c>
      <c r="I228" s="335"/>
      <c r="J228" s="335"/>
      <c r="K228" s="344" t="s">
        <v>1709</v>
      </c>
      <c r="L228" s="335"/>
      <c r="M228" s="25"/>
      <c r="N228" s="85" t="s">
        <v>118</v>
      </c>
      <c r="O228" s="85" t="s">
        <v>714</v>
      </c>
      <c r="P228" s="85" t="s">
        <v>1380</v>
      </c>
      <c r="Q228" s="225" t="s">
        <v>1708</v>
      </c>
      <c r="R228" s="85" t="s">
        <v>1317</v>
      </c>
    </row>
    <row r="229" spans="1:18" ht="14.5" customHeight="1">
      <c r="C229" s="11" t="str">
        <f t="shared" si="35"/>
        <v/>
      </c>
      <c r="D229" s="11">
        <f t="shared" si="36"/>
        <v>13.01</v>
      </c>
      <c r="E229" s="10">
        <f t="shared" si="37"/>
        <v>1.5529999999999999</v>
      </c>
      <c r="F229" s="10" t="str">
        <f t="shared" si="38"/>
        <v/>
      </c>
      <c r="G229" s="10" t="str">
        <f t="shared" si="39"/>
        <v/>
      </c>
      <c r="I229" s="237">
        <v>1</v>
      </c>
      <c r="J229" s="182" t="s">
        <v>1650</v>
      </c>
      <c r="K229" s="190">
        <v>13.88</v>
      </c>
      <c r="L229" s="343">
        <v>155200000</v>
      </c>
      <c r="M229" s="25"/>
      <c r="N229" s="168">
        <v>1</v>
      </c>
      <c r="O229" s="203" t="s">
        <v>1705</v>
      </c>
      <c r="P229" s="168">
        <v>13.2</v>
      </c>
      <c r="Q229" s="234">
        <v>116699998.8</v>
      </c>
      <c r="R229" s="236">
        <v>8840909</v>
      </c>
    </row>
    <row r="230" spans="1:18">
      <c r="C230" s="11" t="str">
        <f t="shared" si="35"/>
        <v/>
      </c>
      <c r="D230" s="11">
        <f t="shared" si="36"/>
        <v>12.58</v>
      </c>
      <c r="E230" s="10">
        <f t="shared" si="37"/>
        <v>1.554</v>
      </c>
      <c r="F230" s="10" t="str">
        <f t="shared" si="38"/>
        <v/>
      </c>
      <c r="G230" s="10" t="str">
        <f t="shared" si="39"/>
        <v/>
      </c>
      <c r="I230" s="25"/>
      <c r="J230" s="25"/>
      <c r="K230" s="190">
        <v>13.01</v>
      </c>
      <c r="L230" s="343">
        <v>155300000</v>
      </c>
      <c r="M230" s="25"/>
      <c r="N230" s="168">
        <v>2</v>
      </c>
      <c r="O230" s="203" t="s">
        <v>336</v>
      </c>
      <c r="P230" s="168">
        <v>13.2</v>
      </c>
      <c r="Q230" s="234">
        <v>27889989.600000001</v>
      </c>
      <c r="R230" s="236">
        <v>2112878</v>
      </c>
    </row>
    <row r="231" spans="1:18">
      <c r="C231" s="11" t="str">
        <f t="shared" si="35"/>
        <v>上海小村资产管理有限公司</v>
      </c>
      <c r="D231" s="11">
        <f t="shared" si="36"/>
        <v>13.88</v>
      </c>
      <c r="E231" s="10">
        <f t="shared" si="37"/>
        <v>0.38900000000000001</v>
      </c>
      <c r="F231" s="10">
        <f t="shared" si="38"/>
        <v>294.69690000000003</v>
      </c>
      <c r="G231" s="10">
        <f t="shared" si="39"/>
        <v>0.38899990800000001</v>
      </c>
      <c r="I231" s="64"/>
      <c r="J231" s="64"/>
      <c r="K231" s="190">
        <v>12.58</v>
      </c>
      <c r="L231" s="343">
        <v>155400000</v>
      </c>
      <c r="M231" s="25"/>
      <c r="N231" s="168">
        <v>3</v>
      </c>
      <c r="O231" s="203" t="s">
        <v>1706</v>
      </c>
      <c r="P231" s="168">
        <v>13.2</v>
      </c>
      <c r="Q231" s="234">
        <v>49999989.600000001</v>
      </c>
      <c r="R231" s="236">
        <v>3787878</v>
      </c>
    </row>
    <row r="232" spans="1:18">
      <c r="C232" s="11" t="str">
        <f t="shared" si="35"/>
        <v/>
      </c>
      <c r="D232" s="11">
        <f t="shared" si="36"/>
        <v>13.01</v>
      </c>
      <c r="E232" s="10">
        <f t="shared" si="37"/>
        <v>0.38900000000000001</v>
      </c>
      <c r="F232" s="10" t="str">
        <f t="shared" si="38"/>
        <v/>
      </c>
      <c r="G232" s="10" t="str">
        <f t="shared" si="39"/>
        <v/>
      </c>
      <c r="I232" s="237">
        <v>2</v>
      </c>
      <c r="J232" s="182" t="s">
        <v>1707</v>
      </c>
      <c r="K232" s="190">
        <v>13.88</v>
      </c>
      <c r="L232" s="343">
        <v>38900000</v>
      </c>
      <c r="M232" s="25"/>
      <c r="N232" s="168">
        <v>4</v>
      </c>
      <c r="O232" s="203" t="s">
        <v>1650</v>
      </c>
      <c r="P232" s="168">
        <v>13.2</v>
      </c>
      <c r="Q232" s="234">
        <v>155199990</v>
      </c>
      <c r="R232" s="236">
        <v>11757575</v>
      </c>
    </row>
    <row r="233" spans="1:18">
      <c r="C233" s="11" t="str">
        <f t="shared" si="35"/>
        <v/>
      </c>
      <c r="D233" s="11">
        <f t="shared" si="36"/>
        <v>12.58</v>
      </c>
      <c r="E233" s="10">
        <f t="shared" si="37"/>
        <v>0.38900000000000001</v>
      </c>
      <c r="F233" s="10" t="str">
        <f t="shared" si="38"/>
        <v/>
      </c>
      <c r="G233" s="10" t="str">
        <f t="shared" si="39"/>
        <v/>
      </c>
      <c r="I233" s="25"/>
      <c r="J233" s="25"/>
      <c r="K233" s="190">
        <v>13.01</v>
      </c>
      <c r="L233" s="343">
        <v>38900000</v>
      </c>
      <c r="M233" s="25"/>
      <c r="N233" s="168">
        <v>5</v>
      </c>
      <c r="O233" s="203" t="s">
        <v>1707</v>
      </c>
      <c r="P233" s="168">
        <v>13.2</v>
      </c>
      <c r="Q233" s="234">
        <v>38899990.799999997</v>
      </c>
      <c r="R233" s="236">
        <v>2946969</v>
      </c>
    </row>
    <row r="234" spans="1:18">
      <c r="C234" s="11" t="str">
        <f t="shared" si="35"/>
        <v>北京财智联合理财顾问有限公司</v>
      </c>
      <c r="D234" s="11">
        <f t="shared" si="36"/>
        <v>13.85</v>
      </c>
      <c r="E234" s="10">
        <f t="shared" si="37"/>
        <v>0.5</v>
      </c>
      <c r="F234" s="10">
        <f t="shared" si="38"/>
        <v>378.7878</v>
      </c>
      <c r="G234" s="10">
        <f t="shared" si="39"/>
        <v>0.499999896</v>
      </c>
      <c r="I234" s="64"/>
      <c r="J234" s="64"/>
      <c r="K234" s="190">
        <v>12.58</v>
      </c>
      <c r="L234" s="343">
        <v>38900000</v>
      </c>
      <c r="M234" s="25"/>
      <c r="N234" s="196" t="s">
        <v>1293</v>
      </c>
      <c r="O234" s="196"/>
      <c r="P234" s="196"/>
      <c r="Q234" s="234">
        <v>388689958.80000001</v>
      </c>
      <c r="R234" s="236">
        <v>29446209</v>
      </c>
    </row>
    <row r="235" spans="1:18">
      <c r="C235" s="11" t="str">
        <f t="shared" si="35"/>
        <v>太阳雨控股集团有限公司</v>
      </c>
      <c r="D235" s="11">
        <f t="shared" si="36"/>
        <v>13.49</v>
      </c>
      <c r="E235" s="10">
        <f t="shared" si="37"/>
        <v>1.167</v>
      </c>
      <c r="F235" s="10">
        <f t="shared" si="38"/>
        <v>884.09090000000003</v>
      </c>
      <c r="G235" s="10">
        <f t="shared" si="39"/>
        <v>1.1669999879999999</v>
      </c>
      <c r="I235" s="237">
        <v>3</v>
      </c>
      <c r="J235" s="156" t="s">
        <v>1706</v>
      </c>
      <c r="K235" s="190">
        <v>13.85</v>
      </c>
      <c r="L235" s="343">
        <v>50000000</v>
      </c>
    </row>
    <row r="236" spans="1:18">
      <c r="C236" s="11" t="str">
        <f t="shared" si="35"/>
        <v>北信瑞丰基金管理有限公司</v>
      </c>
      <c r="D236" s="11">
        <f t="shared" si="36"/>
        <v>13.2</v>
      </c>
      <c r="E236" s="10">
        <f t="shared" si="37"/>
        <v>0.7</v>
      </c>
      <c r="F236" s="10">
        <f t="shared" si="38"/>
        <v>211.2878</v>
      </c>
      <c r="G236" s="10">
        <f t="shared" si="39"/>
        <v>0.27889989599999998</v>
      </c>
      <c r="I236" s="237">
        <v>4</v>
      </c>
      <c r="J236" s="156" t="s">
        <v>1705</v>
      </c>
      <c r="K236" s="190">
        <v>13.49</v>
      </c>
      <c r="L236" s="343">
        <v>116700000</v>
      </c>
    </row>
    <row r="237" spans="1:18" ht="15" customHeight="1">
      <c r="C237" s="11" t="str">
        <f t="shared" si="35"/>
        <v/>
      </c>
      <c r="D237" s="11">
        <f t="shared" si="36"/>
        <v>12.91</v>
      </c>
      <c r="E237" s="10">
        <f t="shared" si="37"/>
        <v>0.81</v>
      </c>
      <c r="F237" s="11" t="str">
        <f t="shared" si="38"/>
        <v/>
      </c>
      <c r="G237" s="11"/>
      <c r="I237" s="237">
        <v>5</v>
      </c>
      <c r="J237" s="182" t="s">
        <v>336</v>
      </c>
      <c r="K237" s="190">
        <v>13.2</v>
      </c>
      <c r="L237" s="343">
        <v>70000000</v>
      </c>
    </row>
    <row r="238" spans="1:18">
      <c r="C238" s="11" t="str">
        <f t="shared" si="35"/>
        <v/>
      </c>
      <c r="D238" s="11">
        <f t="shared" si="36"/>
        <v>12.57</v>
      </c>
      <c r="E238" s="10">
        <f t="shared" si="37"/>
        <v>0.85</v>
      </c>
      <c r="F238" s="11" t="str">
        <f t="shared" si="38"/>
        <v/>
      </c>
      <c r="G238" s="11"/>
      <c r="I238" s="25"/>
      <c r="J238" s="25"/>
      <c r="K238" s="190">
        <v>12.91</v>
      </c>
      <c r="L238" s="343">
        <v>81000000</v>
      </c>
    </row>
    <row r="239" spans="1:18">
      <c r="C239" s="11" t="str">
        <f t="shared" si="35"/>
        <v>北京黑岩财富投资管理有限公司</v>
      </c>
      <c r="D239" s="11">
        <f t="shared" si="36"/>
        <v>13.2</v>
      </c>
      <c r="E239" s="10">
        <f t="shared" si="37"/>
        <v>0.58599999999999997</v>
      </c>
      <c r="F239" s="11" t="str">
        <f t="shared" si="38"/>
        <v/>
      </c>
      <c r="G239" s="11"/>
      <c r="I239" s="64"/>
      <c r="J239" s="64"/>
      <c r="K239" s="296">
        <v>12.57</v>
      </c>
      <c r="L239" s="279">
        <v>85000000</v>
      </c>
    </row>
    <row r="240" spans="1:18">
      <c r="C240" s="11" t="str">
        <f t="shared" si="35"/>
        <v/>
      </c>
      <c r="D240" s="11">
        <f t="shared" si="36"/>
        <v>12.9</v>
      </c>
      <c r="E240" s="10">
        <f t="shared" si="37"/>
        <v>0.58599999999999997</v>
      </c>
      <c r="F240" s="11" t="str">
        <f t="shared" si="38"/>
        <v/>
      </c>
      <c r="G240" s="11"/>
      <c r="I240" s="237">
        <v>6</v>
      </c>
      <c r="J240" s="156" t="s">
        <v>1704</v>
      </c>
      <c r="K240" s="296">
        <v>13.2</v>
      </c>
      <c r="L240" s="279">
        <v>58600000</v>
      </c>
    </row>
    <row r="241" spans="3:12">
      <c r="C241" s="11" t="str">
        <f t="shared" si="35"/>
        <v/>
      </c>
      <c r="D241" s="11">
        <f t="shared" si="36"/>
        <v>12.6</v>
      </c>
      <c r="E241" s="10">
        <f t="shared" si="37"/>
        <v>0.58599999999999997</v>
      </c>
      <c r="F241" s="11" t="str">
        <f t="shared" si="38"/>
        <v/>
      </c>
      <c r="G241" s="11"/>
      <c r="I241" s="25"/>
      <c r="J241" s="25"/>
      <c r="K241" s="190">
        <v>12.9</v>
      </c>
      <c r="L241" s="343">
        <v>58600000</v>
      </c>
    </row>
    <row r="242" spans="3:12">
      <c r="C242" s="11" t="str">
        <f t="shared" si="35"/>
        <v>华宝信托有限责任公司</v>
      </c>
      <c r="D242" s="11">
        <f t="shared" si="36"/>
        <v>13.02</v>
      </c>
      <c r="E242" s="10">
        <f t="shared" si="37"/>
        <v>0.43</v>
      </c>
      <c r="F242" s="11" t="str">
        <f t="shared" si="38"/>
        <v/>
      </c>
      <c r="G242" s="11"/>
      <c r="I242" s="64"/>
      <c r="J242" s="64"/>
      <c r="K242" s="190">
        <v>12.6</v>
      </c>
      <c r="L242" s="343">
        <v>58600000</v>
      </c>
    </row>
    <row r="243" spans="3:12">
      <c r="C243" s="11" t="str">
        <f t="shared" si="35"/>
        <v>兴业财富资产管理有限公司</v>
      </c>
      <c r="D243" s="11">
        <f t="shared" si="36"/>
        <v>12.9</v>
      </c>
      <c r="E243" s="10">
        <f t="shared" si="37"/>
        <v>0.38900000000000001</v>
      </c>
      <c r="F243" s="11" t="str">
        <f t="shared" si="38"/>
        <v/>
      </c>
      <c r="G243" s="11"/>
      <c r="I243" s="237">
        <v>7</v>
      </c>
      <c r="J243" s="182" t="s">
        <v>156</v>
      </c>
      <c r="K243" s="296">
        <v>13.02</v>
      </c>
      <c r="L243" s="279">
        <v>43000000</v>
      </c>
    </row>
    <row r="244" spans="3:12">
      <c r="C244" s="11" t="str">
        <f t="shared" si="35"/>
        <v/>
      </c>
      <c r="D244" s="11">
        <f t="shared" si="36"/>
        <v>12.5</v>
      </c>
      <c r="E244" s="10">
        <f t="shared" si="37"/>
        <v>0.38900000000000001</v>
      </c>
      <c r="F244" s="11" t="str">
        <f t="shared" si="38"/>
        <v/>
      </c>
      <c r="G244" s="11"/>
      <c r="I244" s="237">
        <v>8</v>
      </c>
      <c r="J244" s="156" t="s">
        <v>352</v>
      </c>
      <c r="K244" s="296">
        <v>12.9</v>
      </c>
      <c r="L244" s="279">
        <v>38900000</v>
      </c>
    </row>
    <row r="245" spans="3:12">
      <c r="C245" s="11" t="str">
        <f t="shared" si="35"/>
        <v/>
      </c>
      <c r="D245" s="11">
        <f t="shared" si="36"/>
        <v>11.5</v>
      </c>
      <c r="E245" s="10">
        <f t="shared" si="37"/>
        <v>0.38900000000000001</v>
      </c>
      <c r="F245" s="11" t="str">
        <f t="shared" si="38"/>
        <v/>
      </c>
      <c r="G245" s="11"/>
      <c r="I245" s="25"/>
      <c r="J245" s="25"/>
      <c r="K245" s="190">
        <v>12.5</v>
      </c>
      <c r="L245" s="343">
        <v>38900000</v>
      </c>
    </row>
    <row r="246" spans="3:12">
      <c r="C246" s="11" t="str">
        <f t="shared" si="35"/>
        <v>华安基金管理有限公司</v>
      </c>
      <c r="D246" s="11">
        <f t="shared" si="36"/>
        <v>12.65</v>
      </c>
      <c r="E246" s="10">
        <f t="shared" si="37"/>
        <v>0.38900000000000001</v>
      </c>
      <c r="F246" s="11" t="str">
        <f t="shared" si="38"/>
        <v/>
      </c>
      <c r="G246" s="11"/>
      <c r="I246" s="64"/>
      <c r="J246" s="64"/>
      <c r="K246" s="190">
        <v>11.5</v>
      </c>
      <c r="L246" s="343">
        <v>38900000</v>
      </c>
    </row>
    <row r="247" spans="3:12">
      <c r="C247" s="11" t="str">
        <f t="shared" si="35"/>
        <v>财通基金管理有限公司</v>
      </c>
      <c r="D247" s="11">
        <f t="shared" si="36"/>
        <v>12.55</v>
      </c>
      <c r="E247" s="10">
        <f t="shared" si="37"/>
        <v>0.55400000000000005</v>
      </c>
      <c r="F247" s="11" t="str">
        <f t="shared" si="38"/>
        <v/>
      </c>
      <c r="G247" s="11"/>
      <c r="I247" s="237">
        <v>9</v>
      </c>
      <c r="J247" s="156" t="s">
        <v>136</v>
      </c>
      <c r="K247" s="190">
        <v>12.65</v>
      </c>
      <c r="L247" s="343">
        <v>38900000</v>
      </c>
    </row>
    <row r="248" spans="3:12">
      <c r="C248" s="11" t="str">
        <f t="shared" si="35"/>
        <v/>
      </c>
      <c r="D248" s="11">
        <f t="shared" si="36"/>
        <v>12</v>
      </c>
      <c r="E248" s="10">
        <f t="shared" si="37"/>
        <v>2.7679999999999998</v>
      </c>
      <c r="F248" s="11" t="str">
        <f t="shared" si="38"/>
        <v/>
      </c>
      <c r="G248" s="11"/>
      <c r="I248" s="237">
        <v>10</v>
      </c>
      <c r="J248" s="156" t="s">
        <v>115</v>
      </c>
      <c r="K248" s="190">
        <v>12.55</v>
      </c>
      <c r="L248" s="343">
        <v>55400000</v>
      </c>
    </row>
    <row r="249" spans="3:12">
      <c r="C249" s="11" t="str">
        <f t="shared" si="35"/>
        <v/>
      </c>
      <c r="D249" s="11">
        <f t="shared" si="36"/>
        <v>11.6</v>
      </c>
      <c r="E249" s="10">
        <f t="shared" si="37"/>
        <v>3.8860000000000001</v>
      </c>
      <c r="F249" s="11" t="str">
        <f t="shared" si="38"/>
        <v/>
      </c>
      <c r="G249" s="11"/>
      <c r="I249" s="25"/>
      <c r="J249" s="25"/>
      <c r="K249" s="190">
        <v>12</v>
      </c>
      <c r="L249" s="343">
        <v>276800000</v>
      </c>
    </row>
    <row r="250" spans="3:12">
      <c r="C250" s="11" t="str">
        <f t="shared" si="35"/>
        <v>银华基金管理股份有限公司</v>
      </c>
      <c r="D250" s="11">
        <f t="shared" si="36"/>
        <v>12.36</v>
      </c>
      <c r="E250" s="10">
        <f t="shared" si="37"/>
        <v>0.77800000000000002</v>
      </c>
      <c r="F250" s="11" t="str">
        <f t="shared" si="38"/>
        <v/>
      </c>
      <c r="G250" s="11"/>
      <c r="I250" s="64"/>
      <c r="J250" s="64"/>
      <c r="K250" s="190">
        <v>11.6</v>
      </c>
      <c r="L250" s="343">
        <v>388600000</v>
      </c>
    </row>
    <row r="251" spans="3:12" ht="14.5" customHeight="1">
      <c r="C251" s="11" t="str">
        <f t="shared" si="35"/>
        <v/>
      </c>
      <c r="D251" s="11">
        <f t="shared" si="36"/>
        <v>12.01</v>
      </c>
      <c r="E251" s="10">
        <f t="shared" si="37"/>
        <v>1.556</v>
      </c>
      <c r="F251" s="11" t="str">
        <f t="shared" si="38"/>
        <v/>
      </c>
      <c r="G251" s="11"/>
      <c r="I251" s="278">
        <v>11</v>
      </c>
      <c r="J251" s="182" t="s">
        <v>982</v>
      </c>
      <c r="K251" s="190">
        <v>12.36</v>
      </c>
      <c r="L251" s="343">
        <v>77800000</v>
      </c>
    </row>
    <row r="252" spans="3:12">
      <c r="C252" s="11" t="str">
        <f t="shared" si="35"/>
        <v>国联证券股份有限公司</v>
      </c>
      <c r="D252" s="11">
        <f t="shared" si="36"/>
        <v>12.2</v>
      </c>
      <c r="E252" s="10">
        <f t="shared" si="37"/>
        <v>0.39</v>
      </c>
      <c r="F252" s="11" t="str">
        <f t="shared" si="38"/>
        <v/>
      </c>
      <c r="G252" s="11"/>
      <c r="I252" s="278"/>
      <c r="J252" s="182"/>
      <c r="K252" s="190">
        <v>12.01</v>
      </c>
      <c r="L252" s="343">
        <v>155600000</v>
      </c>
    </row>
    <row r="253" spans="3:12">
      <c r="C253" s="11" t="str">
        <f t="shared" si="35"/>
        <v/>
      </c>
      <c r="D253" s="11">
        <f t="shared" si="36"/>
        <v>11.7</v>
      </c>
      <c r="E253" s="10">
        <f t="shared" si="37"/>
        <v>0.56999999999999995</v>
      </c>
      <c r="F253" s="11" t="str">
        <f t="shared" si="38"/>
        <v/>
      </c>
      <c r="G253" s="11"/>
      <c r="I253" s="278">
        <v>12</v>
      </c>
      <c r="J253" s="182" t="s">
        <v>391</v>
      </c>
      <c r="K253" s="190">
        <v>12.2</v>
      </c>
      <c r="L253" s="343">
        <v>39000000</v>
      </c>
    </row>
    <row r="254" spans="3:12">
      <c r="C254" s="11" t="str">
        <f t="shared" si="35"/>
        <v>国信证券股份有限公司</v>
      </c>
      <c r="D254" s="11">
        <f t="shared" si="36"/>
        <v>11.79</v>
      </c>
      <c r="E254" s="10">
        <f t="shared" si="37"/>
        <v>0.38900000000000001</v>
      </c>
      <c r="F254" s="11" t="str">
        <f t="shared" si="38"/>
        <v/>
      </c>
      <c r="G254" s="11"/>
      <c r="I254" s="278"/>
      <c r="J254" s="182"/>
      <c r="K254" s="190">
        <v>11.7</v>
      </c>
      <c r="L254" s="343">
        <v>57000000</v>
      </c>
    </row>
    <row r="255" spans="3:12">
      <c r="C255" s="11" t="str">
        <f t="shared" si="35"/>
        <v>微弘基金管理（北京）有限公司</v>
      </c>
      <c r="D255" s="11">
        <f t="shared" si="36"/>
        <v>12</v>
      </c>
      <c r="E255" s="10">
        <f t="shared" si="37"/>
        <v>0.77800000000000002</v>
      </c>
      <c r="F255" s="11" t="str">
        <f t="shared" si="38"/>
        <v/>
      </c>
      <c r="G255" s="11"/>
      <c r="I255" s="237">
        <v>13</v>
      </c>
      <c r="J255" s="156" t="s">
        <v>1142</v>
      </c>
      <c r="K255" s="190">
        <v>11.79</v>
      </c>
      <c r="L255" s="343">
        <v>38900000</v>
      </c>
    </row>
    <row r="256" spans="3:12">
      <c r="C256" s="11" t="str">
        <f t="shared" si="35"/>
        <v/>
      </c>
      <c r="D256" s="11">
        <f t="shared" si="36"/>
        <v>11.5</v>
      </c>
      <c r="E256" s="10">
        <f t="shared" si="37"/>
        <v>0.77800000000000002</v>
      </c>
      <c r="F256" s="11" t="str">
        <f t="shared" si="38"/>
        <v/>
      </c>
      <c r="G256" s="11"/>
      <c r="I256" s="237">
        <v>14</v>
      </c>
      <c r="J256" s="156" t="s">
        <v>1703</v>
      </c>
      <c r="K256" s="190">
        <v>12</v>
      </c>
      <c r="L256" s="343">
        <v>77800000</v>
      </c>
    </row>
    <row r="257" spans="1:20">
      <c r="C257" s="11" t="str">
        <f t="shared" si="35"/>
        <v/>
      </c>
      <c r="D257" s="11">
        <f t="shared" si="36"/>
        <v>11.17</v>
      </c>
      <c r="E257" s="10">
        <f t="shared" si="37"/>
        <v>0.77800000000000002</v>
      </c>
      <c r="F257" s="11" t="str">
        <f t="shared" si="38"/>
        <v/>
      </c>
      <c r="G257" s="11"/>
      <c r="I257" s="25"/>
      <c r="J257" s="25"/>
      <c r="K257" s="190">
        <v>11.5</v>
      </c>
      <c r="L257" s="343">
        <v>77800000</v>
      </c>
    </row>
    <row r="258" spans="1:20">
      <c r="C258" s="11" t="str">
        <f t="shared" si="35"/>
        <v>东吴基金管理有限公司</v>
      </c>
      <c r="D258" s="11">
        <f t="shared" si="36"/>
        <v>11.51</v>
      </c>
      <c r="E258" s="10">
        <f t="shared" si="37"/>
        <v>0.38900000000000001</v>
      </c>
      <c r="F258" s="11" t="str">
        <f t="shared" si="38"/>
        <v/>
      </c>
      <c r="G258" s="11"/>
      <c r="I258" s="64"/>
      <c r="J258" s="64"/>
      <c r="K258" s="190">
        <v>11.17</v>
      </c>
      <c r="L258" s="343">
        <v>77800000</v>
      </c>
    </row>
    <row r="259" spans="1:20">
      <c r="C259" s="24" t="str">
        <f t="shared" si="35"/>
        <v/>
      </c>
      <c r="I259" s="237">
        <v>15</v>
      </c>
      <c r="J259" s="156" t="s">
        <v>974</v>
      </c>
      <c r="K259" s="190">
        <v>11.51</v>
      </c>
      <c r="L259" s="343">
        <v>38900000</v>
      </c>
    </row>
    <row r="262" spans="1:20" s="162" customFormat="1">
      <c r="A262" s="164" t="s">
        <v>1315</v>
      </c>
      <c r="B262" s="164"/>
      <c r="C262" s="164" t="s">
        <v>107</v>
      </c>
      <c r="D262" s="164" t="s">
        <v>4</v>
      </c>
      <c r="E262" s="166" t="s">
        <v>108</v>
      </c>
      <c r="F262" s="166" t="s">
        <v>109</v>
      </c>
      <c r="G262" s="164" t="s">
        <v>1314</v>
      </c>
      <c r="H262" s="164" t="s">
        <v>1313</v>
      </c>
      <c r="I262" s="165" t="s">
        <v>1312</v>
      </c>
      <c r="J262" s="163" t="s">
        <v>1311</v>
      </c>
      <c r="K262" s="163" t="s">
        <v>110</v>
      </c>
      <c r="L262" s="163" t="s">
        <v>1310</v>
      </c>
      <c r="M262" s="164" t="s">
        <v>111</v>
      </c>
      <c r="N262" s="163" t="s">
        <v>949</v>
      </c>
      <c r="O262" s="163" t="s">
        <v>948</v>
      </c>
      <c r="P262" s="163" t="s">
        <v>129</v>
      </c>
    </row>
    <row r="263" spans="1:20">
      <c r="A263" s="24">
        <v>306</v>
      </c>
      <c r="B263" s="329" t="s">
        <v>1702</v>
      </c>
      <c r="C263" s="1" t="s">
        <v>1701</v>
      </c>
      <c r="D263" s="1" t="s">
        <v>1700</v>
      </c>
      <c r="E263" s="3">
        <v>30</v>
      </c>
      <c r="F263" s="3">
        <v>29.999999974000001</v>
      </c>
      <c r="G263" s="2">
        <v>42724</v>
      </c>
      <c r="H263" s="24" t="s">
        <v>151</v>
      </c>
      <c r="I263" s="130">
        <v>6.65</v>
      </c>
      <c r="J263" s="3">
        <v>6.02</v>
      </c>
      <c r="K263" s="160">
        <v>5.4</v>
      </c>
      <c r="L263" s="271">
        <v>0.90526315789473677</v>
      </c>
      <c r="M263" s="270">
        <v>5</v>
      </c>
      <c r="N263" s="2">
        <v>43098</v>
      </c>
      <c r="O263" s="24">
        <v>12.11</v>
      </c>
      <c r="P263" s="157">
        <v>2.0249169435215948</v>
      </c>
    </row>
    <row r="264" spans="1:20">
      <c r="C264" s="16" t="s">
        <v>112</v>
      </c>
      <c r="D264" s="16" t="s">
        <v>113</v>
      </c>
      <c r="E264" s="16" t="s">
        <v>1305</v>
      </c>
      <c r="F264" s="17" t="s">
        <v>1304</v>
      </c>
      <c r="G264" s="16" t="s">
        <v>1303</v>
      </c>
      <c r="I264" s="192" t="s">
        <v>1413</v>
      </c>
      <c r="J264" s="218"/>
      <c r="K264" s="192" t="s">
        <v>1699</v>
      </c>
      <c r="L264" s="192" t="s">
        <v>1521</v>
      </c>
      <c r="M264" s="203" t="s">
        <v>1520</v>
      </c>
      <c r="N264" s="204" t="s">
        <v>488</v>
      </c>
      <c r="O264" s="204" t="s">
        <v>401</v>
      </c>
      <c r="P264" s="182"/>
      <c r="Q264" s="340" t="s">
        <v>118</v>
      </c>
      <c r="R264" s="340" t="s">
        <v>349</v>
      </c>
      <c r="S264" s="342" t="s">
        <v>354</v>
      </c>
      <c r="T264" s="286" t="s">
        <v>1346</v>
      </c>
    </row>
    <row r="265" spans="1:20">
      <c r="C265" s="11" t="str">
        <f t="shared" ref="C265:C281" si="40">IF(J267=0,"",J267)</f>
        <v>第一创业证券股份有限公司</v>
      </c>
      <c r="D265" s="11">
        <f t="shared" ref="D265:D277" si="41">N267</f>
        <v>5.82</v>
      </c>
      <c r="E265" s="11">
        <f t="shared" ref="E265:E277" si="42">O267/10000</f>
        <v>3.1</v>
      </c>
      <c r="F265" s="11" t="str">
        <f t="shared" ref="F265:F277" si="43">IFERROR(VLOOKUP(C265,R$265:T$269,2,FALSE)/10000,"")</f>
        <v/>
      </c>
      <c r="G265" s="11"/>
      <c r="I265" s="192" t="s">
        <v>477</v>
      </c>
      <c r="J265" s="204" t="s">
        <v>7</v>
      </c>
      <c r="K265" s="192" t="s">
        <v>1698</v>
      </c>
      <c r="L265" s="192" t="s">
        <v>1697</v>
      </c>
      <c r="M265" s="203" t="s">
        <v>1657</v>
      </c>
      <c r="N265" s="168" t="s">
        <v>1696</v>
      </c>
      <c r="O265" s="168" t="s">
        <v>1695</v>
      </c>
      <c r="P265" s="182"/>
      <c r="Q265" s="272">
        <v>1</v>
      </c>
      <c r="R265" s="192" t="s">
        <v>371</v>
      </c>
      <c r="S265" s="236">
        <v>46013290</v>
      </c>
      <c r="T265" s="234">
        <v>277000005.80000001</v>
      </c>
    </row>
    <row r="266" spans="1:20" ht="15">
      <c r="C266" s="11" t="str">
        <f t="shared" si="40"/>
        <v>嘉实基金管理有限公司</v>
      </c>
      <c r="D266" s="11">
        <f t="shared" si="41"/>
        <v>5.8</v>
      </c>
      <c r="E266" s="11">
        <f t="shared" si="42"/>
        <v>3.7</v>
      </c>
      <c r="F266" s="11" t="str">
        <f t="shared" si="43"/>
        <v/>
      </c>
      <c r="G266" s="11"/>
      <c r="I266" s="341" t="s">
        <v>1566</v>
      </c>
      <c r="J266" s="341"/>
      <c r="K266" s="341"/>
      <c r="L266" s="341"/>
      <c r="M266" s="341"/>
      <c r="N266" s="341"/>
      <c r="O266" s="341"/>
      <c r="P266" s="341"/>
      <c r="Q266" s="272">
        <v>2</v>
      </c>
      <c r="R266" s="192" t="s">
        <v>148</v>
      </c>
      <c r="S266" s="236">
        <v>51993355</v>
      </c>
      <c r="T266" s="234">
        <v>312999997.10000002</v>
      </c>
    </row>
    <row r="267" spans="1:20">
      <c r="C267" s="11" t="str">
        <f t="shared" si="40"/>
        <v>诺安基金管理有限公司</v>
      </c>
      <c r="D267" s="11">
        <f t="shared" si="41"/>
        <v>5.46</v>
      </c>
      <c r="E267" s="11">
        <f t="shared" si="42"/>
        <v>3</v>
      </c>
      <c r="F267" s="11" t="str">
        <f t="shared" si="43"/>
        <v/>
      </c>
      <c r="G267" s="11"/>
      <c r="I267" s="147">
        <v>1</v>
      </c>
      <c r="J267" s="148" t="s">
        <v>127</v>
      </c>
      <c r="K267" s="148" t="s">
        <v>1326</v>
      </c>
      <c r="L267" s="148" t="s">
        <v>1160</v>
      </c>
      <c r="M267" s="147">
        <v>12</v>
      </c>
      <c r="N267" s="147">
        <v>5.82</v>
      </c>
      <c r="O267" s="150">
        <v>31000</v>
      </c>
      <c r="P267" s="182"/>
      <c r="Q267" s="272">
        <v>3</v>
      </c>
      <c r="R267" s="192" t="s">
        <v>278</v>
      </c>
      <c r="S267" s="236">
        <v>51495016</v>
      </c>
      <c r="T267" s="234">
        <v>309999996.31999999</v>
      </c>
    </row>
    <row r="268" spans="1:20">
      <c r="C268" s="11" t="str">
        <f t="shared" si="40"/>
        <v>安信基金管理有限责任公司</v>
      </c>
      <c r="D268" s="11">
        <f t="shared" si="41"/>
        <v>6.02</v>
      </c>
      <c r="E268" s="11">
        <f t="shared" si="42"/>
        <v>3</v>
      </c>
      <c r="F268" s="10">
        <f t="shared" si="43"/>
        <v>4601.3289999999997</v>
      </c>
      <c r="G268" s="10">
        <f t="shared" ref="G268:G277" si="44">IFERROR(F268*J$263/10000,"")</f>
        <v>2.7700000579999995</v>
      </c>
      <c r="I268" s="147">
        <v>2</v>
      </c>
      <c r="J268" s="148" t="s">
        <v>228</v>
      </c>
      <c r="K268" s="148" t="s">
        <v>1325</v>
      </c>
      <c r="L268" s="148" t="s">
        <v>1160</v>
      </c>
      <c r="M268" s="147">
        <v>12</v>
      </c>
      <c r="N268" s="147">
        <v>5.8</v>
      </c>
      <c r="O268" s="150">
        <v>37000</v>
      </c>
      <c r="P268" s="182"/>
      <c r="Q268" s="272">
        <v>4</v>
      </c>
      <c r="R268" s="192" t="s">
        <v>1694</v>
      </c>
      <c r="S268" s="236">
        <v>99667774</v>
      </c>
      <c r="T268" s="234">
        <v>599999999.48000002</v>
      </c>
    </row>
    <row r="269" spans="1:20">
      <c r="C269" s="11" t="str">
        <f t="shared" si="40"/>
        <v>泰达宏利基金管理有限公司</v>
      </c>
      <c r="D269" s="11">
        <f t="shared" si="41"/>
        <v>6.32</v>
      </c>
      <c r="E269" s="11">
        <f t="shared" si="42"/>
        <v>3.13</v>
      </c>
      <c r="F269" s="10">
        <f t="shared" si="43"/>
        <v>5199.3355000000001</v>
      </c>
      <c r="G269" s="10">
        <f t="shared" si="44"/>
        <v>3.1299999710000002</v>
      </c>
      <c r="I269" s="147">
        <v>3</v>
      </c>
      <c r="J269" s="148" t="s">
        <v>147</v>
      </c>
      <c r="K269" s="148" t="s">
        <v>1325</v>
      </c>
      <c r="L269" s="148" t="s">
        <v>1160</v>
      </c>
      <c r="M269" s="147">
        <v>12</v>
      </c>
      <c r="N269" s="147">
        <v>5.46</v>
      </c>
      <c r="O269" s="150">
        <v>30000</v>
      </c>
      <c r="P269" s="182"/>
      <c r="Q269" s="272">
        <v>5</v>
      </c>
      <c r="R269" s="192" t="s">
        <v>336</v>
      </c>
      <c r="S269" s="236">
        <v>249169435</v>
      </c>
      <c r="T269" s="234">
        <v>1499999998.7</v>
      </c>
    </row>
    <row r="270" spans="1:20">
      <c r="C270" s="11" t="str">
        <f t="shared" si="40"/>
        <v/>
      </c>
      <c r="D270" s="11">
        <f t="shared" si="41"/>
        <v>6.01</v>
      </c>
      <c r="E270" s="11">
        <f t="shared" si="42"/>
        <v>3.16</v>
      </c>
      <c r="F270" s="11" t="str">
        <f t="shared" si="43"/>
        <v/>
      </c>
      <c r="G270" s="10" t="str">
        <f t="shared" si="44"/>
        <v/>
      </c>
      <c r="I270" s="300">
        <v>4</v>
      </c>
      <c r="J270" s="148" t="s">
        <v>371</v>
      </c>
      <c r="K270" s="148" t="s">
        <v>1325</v>
      </c>
      <c r="L270" s="148" t="s">
        <v>1160</v>
      </c>
      <c r="M270" s="147">
        <v>12</v>
      </c>
      <c r="N270" s="147">
        <v>6.02</v>
      </c>
      <c r="O270" s="150">
        <v>30000</v>
      </c>
      <c r="P270" s="182"/>
      <c r="Q270" s="278"/>
      <c r="R270" s="340" t="s">
        <v>1293</v>
      </c>
      <c r="S270" s="284">
        <v>498338870</v>
      </c>
      <c r="T270" s="323">
        <v>2999999997.4000001</v>
      </c>
    </row>
    <row r="271" spans="1:20">
      <c r="C271" s="11" t="str">
        <f t="shared" si="40"/>
        <v>财通基金管理有限公司</v>
      </c>
      <c r="D271" s="11">
        <f t="shared" si="41"/>
        <v>5.99</v>
      </c>
      <c r="E271" s="11">
        <f t="shared" si="42"/>
        <v>3.3940000000000001</v>
      </c>
      <c r="F271" s="11" t="str">
        <f t="shared" si="43"/>
        <v/>
      </c>
      <c r="G271" s="10" t="str">
        <f t="shared" si="44"/>
        <v/>
      </c>
      <c r="I271" s="235"/>
      <c r="J271" s="151" t="s">
        <v>148</v>
      </c>
      <c r="K271" s="146" t="s">
        <v>1325</v>
      </c>
      <c r="L271" s="148" t="s">
        <v>1160</v>
      </c>
      <c r="M271" s="147">
        <v>12</v>
      </c>
      <c r="N271" s="147">
        <v>6.32</v>
      </c>
      <c r="O271" s="150">
        <v>31300</v>
      </c>
      <c r="P271" s="294"/>
    </row>
    <row r="272" spans="1:20">
      <c r="C272" s="11" t="str">
        <f t="shared" si="40"/>
        <v/>
      </c>
      <c r="D272" s="11">
        <f t="shared" si="41"/>
        <v>5.85</v>
      </c>
      <c r="E272" s="11">
        <f t="shared" si="42"/>
        <v>4.32</v>
      </c>
      <c r="F272" s="11" t="str">
        <f t="shared" si="43"/>
        <v/>
      </c>
      <c r="G272" s="10" t="str">
        <f t="shared" si="44"/>
        <v/>
      </c>
      <c r="I272" s="300">
        <v>5</v>
      </c>
      <c r="J272" s="25"/>
      <c r="K272" s="25"/>
      <c r="L272" s="25"/>
      <c r="M272" s="25"/>
      <c r="N272" s="147">
        <v>6.01</v>
      </c>
      <c r="O272" s="150">
        <v>31600</v>
      </c>
      <c r="P272" s="294"/>
    </row>
    <row r="273" spans="3:16" ht="18">
      <c r="C273" s="11" t="str">
        <f t="shared" si="40"/>
        <v/>
      </c>
      <c r="D273" s="11">
        <f t="shared" si="41"/>
        <v>5.5</v>
      </c>
      <c r="E273" s="11">
        <f t="shared" si="42"/>
        <v>5.9279999999999999</v>
      </c>
      <c r="F273" s="11" t="str">
        <f t="shared" si="43"/>
        <v/>
      </c>
      <c r="G273" s="10" t="str">
        <f t="shared" si="44"/>
        <v/>
      </c>
      <c r="I273" s="147">
        <v>6</v>
      </c>
      <c r="J273" s="146" t="s">
        <v>115</v>
      </c>
      <c r="K273" s="146" t="s">
        <v>1325</v>
      </c>
      <c r="L273" s="151"/>
      <c r="M273" s="199"/>
      <c r="N273" s="147">
        <v>5.99</v>
      </c>
      <c r="O273" s="150">
        <v>33940</v>
      </c>
      <c r="P273" s="294"/>
    </row>
    <row r="274" spans="3:16">
      <c r="C274" s="11" t="str">
        <f t="shared" si="40"/>
        <v>金鹰基金管理有限公司</v>
      </c>
      <c r="D274" s="11">
        <f t="shared" si="41"/>
        <v>6.66</v>
      </c>
      <c r="E274" s="11">
        <f t="shared" si="42"/>
        <v>3</v>
      </c>
      <c r="F274" s="10">
        <f t="shared" si="43"/>
        <v>5149.5015999999996</v>
      </c>
      <c r="G274" s="10">
        <f t="shared" si="44"/>
        <v>3.0999999631999997</v>
      </c>
      <c r="I274" s="25"/>
      <c r="J274" s="25"/>
      <c r="K274" s="25"/>
      <c r="L274" s="148" t="s">
        <v>1160</v>
      </c>
      <c r="M274" s="147">
        <v>12</v>
      </c>
      <c r="N274" s="147">
        <v>5.85</v>
      </c>
      <c r="O274" s="150">
        <v>43200</v>
      </c>
      <c r="P274" s="294"/>
    </row>
    <row r="275" spans="3:16">
      <c r="C275" s="11" t="str">
        <f t="shared" si="40"/>
        <v/>
      </c>
      <c r="D275" s="11">
        <f t="shared" si="41"/>
        <v>6.02</v>
      </c>
      <c r="E275" s="11">
        <f t="shared" si="42"/>
        <v>3.1</v>
      </c>
      <c r="F275" s="10" t="str">
        <f t="shared" si="43"/>
        <v/>
      </c>
      <c r="G275" s="10" t="str">
        <f t="shared" si="44"/>
        <v/>
      </c>
      <c r="I275" s="64"/>
      <c r="J275" s="64"/>
      <c r="K275" s="64"/>
      <c r="L275" s="64"/>
      <c r="M275" s="64"/>
      <c r="N275" s="147">
        <v>5.5</v>
      </c>
      <c r="O275" s="150">
        <v>59280</v>
      </c>
      <c r="P275" s="294"/>
    </row>
    <row r="276" spans="3:16">
      <c r="C276" s="11" t="str">
        <f t="shared" si="40"/>
        <v>华西证券股份有限公司</v>
      </c>
      <c r="D276" s="11">
        <f t="shared" si="41"/>
        <v>6.63</v>
      </c>
      <c r="E276" s="11">
        <f t="shared" si="42"/>
        <v>6</v>
      </c>
      <c r="F276" s="10">
        <f t="shared" si="43"/>
        <v>9966.7774000000009</v>
      </c>
      <c r="G276" s="10">
        <f t="shared" si="44"/>
        <v>5.9999999948000005</v>
      </c>
      <c r="I276" s="300">
        <v>7</v>
      </c>
      <c r="J276" s="146" t="s">
        <v>278</v>
      </c>
      <c r="K276" s="146" t="s">
        <v>1325</v>
      </c>
      <c r="L276" s="222"/>
      <c r="M276" s="235"/>
      <c r="N276" s="147">
        <v>6.66</v>
      </c>
      <c r="O276" s="150">
        <v>30000</v>
      </c>
      <c r="P276" s="294"/>
    </row>
    <row r="277" spans="3:16">
      <c r="C277" s="11" t="str">
        <f t="shared" si="40"/>
        <v>北信瑞丰基金管理有限公司</v>
      </c>
      <c r="D277" s="11">
        <f t="shared" si="41"/>
        <v>6.6</v>
      </c>
      <c r="E277" s="11">
        <f t="shared" si="42"/>
        <v>6</v>
      </c>
      <c r="F277" s="10">
        <f t="shared" si="43"/>
        <v>24916.943500000001</v>
      </c>
      <c r="G277" s="10">
        <f t="shared" si="44"/>
        <v>14.999999987000001</v>
      </c>
      <c r="I277" s="25"/>
      <c r="J277" s="25"/>
      <c r="K277" s="25"/>
      <c r="L277" s="148" t="s">
        <v>1160</v>
      </c>
      <c r="M277" s="147">
        <v>12</v>
      </c>
      <c r="N277" s="147">
        <v>6.02</v>
      </c>
      <c r="O277" s="150">
        <v>31000</v>
      </c>
      <c r="P277" s="294"/>
    </row>
    <row r="278" spans="3:16">
      <c r="C278" s="24" t="str">
        <f t="shared" si="40"/>
        <v/>
      </c>
      <c r="I278" s="300">
        <v>8</v>
      </c>
      <c r="J278" s="148" t="s">
        <v>1694</v>
      </c>
      <c r="K278" s="148" t="s">
        <v>1326</v>
      </c>
      <c r="L278" s="148" t="s">
        <v>1160</v>
      </c>
      <c r="M278" s="147">
        <v>12</v>
      </c>
      <c r="N278" s="147">
        <v>6.63</v>
      </c>
      <c r="O278" s="150">
        <v>60000</v>
      </c>
      <c r="P278" s="294"/>
    </row>
    <row r="279" spans="3:16">
      <c r="C279" s="24" t="str">
        <f t="shared" si="40"/>
        <v/>
      </c>
      <c r="I279" s="300">
        <v>9</v>
      </c>
      <c r="J279" s="151" t="s">
        <v>336</v>
      </c>
      <c r="K279" s="146" t="s">
        <v>1325</v>
      </c>
      <c r="L279" s="222"/>
      <c r="M279" s="238"/>
      <c r="N279" s="147">
        <v>6.6</v>
      </c>
      <c r="O279" s="150">
        <v>60000</v>
      </c>
      <c r="P279" s="294"/>
    </row>
    <row r="280" spans="3:16">
      <c r="C280" s="24" t="str">
        <f t="shared" si="40"/>
        <v/>
      </c>
      <c r="I280" s="25"/>
      <c r="J280" s="25"/>
      <c r="K280" s="25"/>
      <c r="L280" s="148" t="s">
        <v>1160</v>
      </c>
      <c r="M280" s="147">
        <v>12</v>
      </c>
      <c r="N280" s="147">
        <v>6.57</v>
      </c>
      <c r="O280" s="150">
        <v>150000</v>
      </c>
      <c r="P280" s="294"/>
    </row>
    <row r="281" spans="3:16">
      <c r="C281" s="24" t="str">
        <f t="shared" si="40"/>
        <v/>
      </c>
    </row>
  </sheetData>
  <phoneticPr fontId="139" type="noConversion"/>
  <hyperlinks>
    <hyperlink ref="B4" r:id="rId1" xr:uid="{00000000-0004-0000-1200-000000000000}"/>
    <hyperlink ref="B48" r:id="rId2" xr:uid="{00000000-0004-0000-1200-000001000000}"/>
    <hyperlink ref="B60" r:id="rId3" xr:uid="{00000000-0004-0000-1200-000002000000}"/>
    <hyperlink ref="B86" r:id="rId4" xr:uid="{00000000-0004-0000-1200-000003000000}"/>
    <hyperlink ref="B139" r:id="rId5" xr:uid="{00000000-0004-0000-1200-000004000000}"/>
    <hyperlink ref="B147" r:id="rId6" xr:uid="{00000000-0004-0000-1200-000005000000}"/>
    <hyperlink ref="B165" r:id="rId7" xr:uid="{00000000-0004-0000-1200-000006000000}"/>
    <hyperlink ref="B185" r:id="rId8" xr:uid="{00000000-0004-0000-1200-000007000000}"/>
    <hyperlink ref="B226" r:id="rId9" xr:uid="{00000000-0004-0000-1200-000008000000}"/>
    <hyperlink ref="B263" r:id="rId10" xr:uid="{00000000-0004-0000-1200-000009000000}"/>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333"/>
  <sheetViews>
    <sheetView topLeftCell="A304" workbookViewId="0">
      <selection activeCell="B292" sqref="B292"/>
    </sheetView>
  </sheetViews>
  <sheetFormatPr defaultColWidth="8.83203125" defaultRowHeight="14"/>
  <cols>
    <col min="1" max="2" width="8.83203125" style="24"/>
    <col min="3" max="3" width="16.5" style="24" customWidth="1"/>
    <col min="4" max="4" width="12" style="24" customWidth="1"/>
    <col min="5" max="5" width="15" style="24" customWidth="1"/>
    <col min="6" max="6" width="14.6640625" style="24" customWidth="1"/>
    <col min="7" max="7" width="15" style="24" customWidth="1"/>
    <col min="8" max="8" width="12.83203125" style="24" customWidth="1"/>
    <col min="9" max="9" width="12.33203125" style="24" bestFit="1" customWidth="1"/>
    <col min="10" max="10" width="10.83203125" style="24" customWidth="1"/>
    <col min="11" max="11" width="8.83203125" style="24"/>
    <col min="12" max="12" width="11.33203125" style="24" customWidth="1"/>
    <col min="13" max="13" width="12.6640625" style="24" customWidth="1"/>
    <col min="14" max="14" width="11.5" style="24" customWidth="1"/>
    <col min="15" max="15" width="14.33203125" style="24" customWidth="1"/>
    <col min="16" max="16" width="14.33203125" style="24" bestFit="1" customWidth="1"/>
    <col min="17" max="17" width="16.33203125" style="24" bestFit="1" customWidth="1"/>
    <col min="18" max="18" width="15.6640625" style="24" bestFit="1" customWidth="1"/>
    <col min="19" max="19" width="14.5" style="24" bestFit="1" customWidth="1"/>
    <col min="20" max="16384" width="8.83203125" style="24"/>
  </cols>
  <sheetData>
    <row r="1" spans="1:17">
      <c r="A1" s="24" t="s">
        <v>2071</v>
      </c>
    </row>
    <row r="3" spans="1:17" s="162" customFormat="1">
      <c r="A3" s="164" t="s">
        <v>1315</v>
      </c>
      <c r="B3" s="164"/>
      <c r="C3" s="164" t="s">
        <v>107</v>
      </c>
      <c r="D3" s="164" t="s">
        <v>4</v>
      </c>
      <c r="E3" s="166" t="s">
        <v>108</v>
      </c>
      <c r="F3" s="166" t="s">
        <v>109</v>
      </c>
      <c r="G3" s="164" t="s">
        <v>1314</v>
      </c>
      <c r="H3" s="164" t="s">
        <v>1313</v>
      </c>
      <c r="I3" s="165" t="s">
        <v>1312</v>
      </c>
      <c r="J3" s="163" t="s">
        <v>1311</v>
      </c>
      <c r="K3" s="163" t="s">
        <v>110</v>
      </c>
      <c r="L3" s="163" t="s">
        <v>1310</v>
      </c>
      <c r="M3" s="164" t="s">
        <v>111</v>
      </c>
      <c r="N3" s="163" t="s">
        <v>949</v>
      </c>
      <c r="O3" s="163" t="s">
        <v>948</v>
      </c>
      <c r="P3" s="163" t="s">
        <v>129</v>
      </c>
    </row>
    <row r="4" spans="1:17">
      <c r="A4" s="24">
        <v>307</v>
      </c>
      <c r="B4" s="329" t="s">
        <v>1896</v>
      </c>
      <c r="C4" s="1" t="s">
        <v>1895</v>
      </c>
      <c r="D4" s="1" t="s">
        <v>1894</v>
      </c>
      <c r="E4" s="3">
        <v>16.924662000000001</v>
      </c>
      <c r="F4" s="3">
        <v>16.924661913600001</v>
      </c>
      <c r="G4" s="2">
        <v>42720</v>
      </c>
      <c r="H4" s="24" t="s">
        <v>151</v>
      </c>
      <c r="I4" s="130">
        <v>9.1199999999999992</v>
      </c>
      <c r="J4" s="3">
        <v>8.9600000000000009</v>
      </c>
      <c r="K4" s="160">
        <v>8.35</v>
      </c>
      <c r="L4" s="271">
        <v>0.98245614035087736</v>
      </c>
      <c r="M4" s="270">
        <v>9</v>
      </c>
      <c r="N4" s="2">
        <v>43098</v>
      </c>
      <c r="O4" s="24">
        <v>3.99</v>
      </c>
      <c r="P4" s="157">
        <v>0.44821428571428568</v>
      </c>
    </row>
    <row r="5" spans="1:17" ht="16.5">
      <c r="C5" s="16" t="s">
        <v>112</v>
      </c>
      <c r="D5" s="16" t="s">
        <v>113</v>
      </c>
      <c r="E5" s="16" t="s">
        <v>1305</v>
      </c>
      <c r="F5" s="17" t="s">
        <v>1304</v>
      </c>
      <c r="G5" s="16" t="s">
        <v>1303</v>
      </c>
      <c r="I5" s="192" t="s">
        <v>118</v>
      </c>
      <c r="J5" s="338"/>
      <c r="K5" s="204" t="s">
        <v>1893</v>
      </c>
      <c r="L5" s="204" t="s">
        <v>401</v>
      </c>
      <c r="M5" s="182"/>
      <c r="N5" s="410" t="s">
        <v>118</v>
      </c>
      <c r="O5" s="410" t="s">
        <v>349</v>
      </c>
      <c r="P5" s="410" t="s">
        <v>354</v>
      </c>
      <c r="Q5" s="410" t="s">
        <v>1300</v>
      </c>
    </row>
    <row r="6" spans="1:17">
      <c r="C6" s="11" t="str">
        <f t="shared" ref="C6:C45" si="0">IF(J7=0,"",J7)</f>
        <v>广东粤科资本投资有限公司</v>
      </c>
      <c r="D6" s="11">
        <f t="shared" ref="D6:D45" si="1">K7</f>
        <v>8.75</v>
      </c>
      <c r="E6" s="11">
        <f t="shared" ref="E6:E45" si="2">L7/10000</f>
        <v>1.7</v>
      </c>
      <c r="F6" s="11" t="str">
        <f t="shared" ref="F6:F45" si="3">IFERROR(VLOOKUP(C6,O$6:Q$14,2,FALSE)/10000,"")</f>
        <v/>
      </c>
      <c r="G6" s="11"/>
      <c r="I6" s="192"/>
      <c r="J6" s="204" t="s">
        <v>7</v>
      </c>
      <c r="K6" s="204" t="s">
        <v>1892</v>
      </c>
      <c r="L6" s="168" t="s">
        <v>1695</v>
      </c>
      <c r="M6" s="182"/>
      <c r="N6" s="168">
        <v>1</v>
      </c>
      <c r="O6" s="408" t="s">
        <v>1891</v>
      </c>
      <c r="P6" s="407">
        <v>33482144</v>
      </c>
      <c r="Q6" s="406">
        <v>300000010.24000001</v>
      </c>
    </row>
    <row r="7" spans="1:17" ht="16.5">
      <c r="C7" s="11" t="str">
        <f t="shared" si="0"/>
        <v>陈广玉</v>
      </c>
      <c r="D7" s="11">
        <f t="shared" si="1"/>
        <v>8.83</v>
      </c>
      <c r="E7" s="11">
        <f t="shared" si="2"/>
        <v>1.7</v>
      </c>
      <c r="F7" s="11" t="str">
        <f t="shared" si="3"/>
        <v/>
      </c>
      <c r="G7" s="11"/>
      <c r="I7" s="152">
        <v>1</v>
      </c>
      <c r="J7" s="148" t="s">
        <v>1890</v>
      </c>
      <c r="K7" s="145">
        <v>8.75</v>
      </c>
      <c r="L7" s="150">
        <v>17000</v>
      </c>
      <c r="M7" s="409"/>
      <c r="N7" s="168">
        <v>2</v>
      </c>
      <c r="O7" s="408" t="s">
        <v>140</v>
      </c>
      <c r="P7" s="407">
        <v>22321428</v>
      </c>
      <c r="Q7" s="406">
        <v>199999994.88</v>
      </c>
    </row>
    <row r="8" spans="1:17">
      <c r="C8" s="11" t="str">
        <f t="shared" si="0"/>
        <v/>
      </c>
      <c r="D8" s="11">
        <f t="shared" si="1"/>
        <v>8.5299999999999994</v>
      </c>
      <c r="E8" s="11">
        <f t="shared" si="2"/>
        <v>1.7</v>
      </c>
      <c r="F8" s="11" t="str">
        <f t="shared" si="3"/>
        <v/>
      </c>
      <c r="G8" s="11"/>
      <c r="I8" s="147">
        <v>2</v>
      </c>
      <c r="J8" s="148" t="s">
        <v>1889</v>
      </c>
      <c r="K8" s="308">
        <v>8.83</v>
      </c>
      <c r="L8" s="399">
        <v>17000</v>
      </c>
      <c r="M8" s="182"/>
      <c r="N8" s="168">
        <v>3</v>
      </c>
      <c r="O8" s="408" t="s">
        <v>666</v>
      </c>
      <c r="P8" s="407">
        <v>19531250</v>
      </c>
      <c r="Q8" s="406">
        <v>175000000</v>
      </c>
    </row>
    <row r="9" spans="1:17">
      <c r="C9" s="11" t="str">
        <f t="shared" si="0"/>
        <v/>
      </c>
      <c r="D9" s="11">
        <f t="shared" si="1"/>
        <v>8.3800000000000008</v>
      </c>
      <c r="E9" s="11">
        <f t="shared" si="2"/>
        <v>1.7</v>
      </c>
      <c r="F9" s="11" t="str">
        <f t="shared" si="3"/>
        <v/>
      </c>
      <c r="G9" s="11"/>
      <c r="I9" s="151"/>
      <c r="J9" s="192"/>
      <c r="K9" s="145">
        <v>8.5299999999999994</v>
      </c>
      <c r="L9" s="150">
        <v>17000</v>
      </c>
      <c r="M9" s="182"/>
      <c r="N9" s="168">
        <v>4</v>
      </c>
      <c r="O9" s="408" t="s">
        <v>1768</v>
      </c>
      <c r="P9" s="407">
        <v>19084821</v>
      </c>
      <c r="Q9" s="406">
        <v>170999996.16</v>
      </c>
    </row>
    <row r="10" spans="1:17">
      <c r="C10" s="11" t="str">
        <f t="shared" si="0"/>
        <v>嘉实基金管理有限公司</v>
      </c>
      <c r="D10" s="11">
        <f t="shared" si="1"/>
        <v>8.7200000000000006</v>
      </c>
      <c r="E10" s="11">
        <f t="shared" si="2"/>
        <v>1.7</v>
      </c>
      <c r="F10" s="11" t="str">
        <f t="shared" si="3"/>
        <v/>
      </c>
      <c r="G10" s="11"/>
      <c r="I10" s="25"/>
      <c r="J10" s="25"/>
      <c r="K10" s="145">
        <v>8.3800000000000008</v>
      </c>
      <c r="L10" s="150">
        <v>17000</v>
      </c>
      <c r="M10" s="182"/>
      <c r="N10" s="168">
        <v>5</v>
      </c>
      <c r="O10" s="408" t="s">
        <v>701</v>
      </c>
      <c r="P10" s="407">
        <v>18973214</v>
      </c>
      <c r="Q10" s="406">
        <v>169999997.44</v>
      </c>
    </row>
    <row r="11" spans="1:17">
      <c r="C11" s="11" t="str">
        <f t="shared" si="0"/>
        <v/>
      </c>
      <c r="D11" s="11">
        <f t="shared" si="1"/>
        <v>8.4</v>
      </c>
      <c r="E11" s="11">
        <f t="shared" si="2"/>
        <v>2.1</v>
      </c>
      <c r="F11" s="11" t="str">
        <f t="shared" si="3"/>
        <v/>
      </c>
      <c r="G11" s="11"/>
      <c r="I11" s="183"/>
      <c r="J11" s="146" t="s">
        <v>228</v>
      </c>
      <c r="K11" s="308">
        <v>8.7200000000000006</v>
      </c>
      <c r="L11" s="399">
        <v>17000</v>
      </c>
      <c r="M11" s="182"/>
      <c r="N11" s="168">
        <v>6</v>
      </c>
      <c r="O11" s="408" t="s">
        <v>1877</v>
      </c>
      <c r="P11" s="407">
        <v>18973214</v>
      </c>
      <c r="Q11" s="406">
        <v>169999997.44</v>
      </c>
    </row>
    <row r="12" spans="1:17">
      <c r="C12" s="11" t="str">
        <f t="shared" si="0"/>
        <v>中国银河证券股份有限公司</v>
      </c>
      <c r="D12" s="11">
        <f t="shared" si="1"/>
        <v>8.68</v>
      </c>
      <c r="E12" s="11">
        <f t="shared" si="2"/>
        <v>1.8</v>
      </c>
      <c r="F12" s="11" t="str">
        <f t="shared" si="3"/>
        <v/>
      </c>
      <c r="G12" s="11"/>
      <c r="I12" s="147">
        <v>3</v>
      </c>
      <c r="J12" s="64"/>
      <c r="K12" s="145">
        <v>8.4</v>
      </c>
      <c r="L12" s="150">
        <v>21000</v>
      </c>
      <c r="M12" s="182"/>
      <c r="N12" s="168">
        <v>7</v>
      </c>
      <c r="O12" s="408" t="s">
        <v>1888</v>
      </c>
      <c r="P12" s="407">
        <v>18973214</v>
      </c>
      <c r="Q12" s="406">
        <v>169999997.44</v>
      </c>
    </row>
    <row r="13" spans="1:17">
      <c r="C13" s="11" t="str">
        <f t="shared" si="0"/>
        <v>广东温氏投资有限公司</v>
      </c>
      <c r="D13" s="11">
        <f t="shared" si="1"/>
        <v>9.14</v>
      </c>
      <c r="E13" s="11">
        <f t="shared" si="2"/>
        <v>2</v>
      </c>
      <c r="F13" s="10">
        <f t="shared" si="3"/>
        <v>2232.1428000000001</v>
      </c>
      <c r="G13" s="10">
        <f t="shared" ref="G13:G39" si="4">IFERROR(F13*J$4/10000,"")</f>
        <v>1.9999999488000002</v>
      </c>
      <c r="I13" s="152">
        <v>4</v>
      </c>
      <c r="J13" s="148" t="s">
        <v>1368</v>
      </c>
      <c r="K13" s="145">
        <v>8.68</v>
      </c>
      <c r="L13" s="150">
        <v>18000</v>
      </c>
      <c r="M13" s="182"/>
      <c r="N13" s="168">
        <v>8</v>
      </c>
      <c r="O13" s="408" t="s">
        <v>150</v>
      </c>
      <c r="P13" s="407">
        <v>721674</v>
      </c>
      <c r="Q13" s="406">
        <v>6466199.04</v>
      </c>
    </row>
    <row r="14" spans="1:17">
      <c r="C14" s="11" t="str">
        <f t="shared" si="0"/>
        <v/>
      </c>
      <c r="D14" s="11">
        <f t="shared" si="1"/>
        <v>8.68</v>
      </c>
      <c r="E14" s="11">
        <f t="shared" si="2"/>
        <v>2</v>
      </c>
      <c r="F14" s="10" t="str">
        <f t="shared" si="3"/>
        <v/>
      </c>
      <c r="G14" s="10" t="str">
        <f t="shared" si="4"/>
        <v/>
      </c>
      <c r="I14" s="183"/>
      <c r="J14" s="400" t="s">
        <v>140</v>
      </c>
      <c r="K14" s="308">
        <v>9.14</v>
      </c>
      <c r="L14" s="399">
        <v>20000</v>
      </c>
      <c r="M14" s="182"/>
      <c r="N14" s="168">
        <v>9</v>
      </c>
      <c r="O14" s="408" t="s">
        <v>560</v>
      </c>
      <c r="P14" s="407">
        <v>36830357</v>
      </c>
      <c r="Q14" s="406">
        <v>329999998.72000003</v>
      </c>
    </row>
    <row r="15" spans="1:17">
      <c r="C15" s="11" t="str">
        <f t="shared" si="0"/>
        <v/>
      </c>
      <c r="D15" s="11">
        <f t="shared" si="1"/>
        <v>8.35</v>
      </c>
      <c r="E15" s="11">
        <f t="shared" si="2"/>
        <v>2</v>
      </c>
      <c r="F15" s="10" t="str">
        <f t="shared" si="3"/>
        <v/>
      </c>
      <c r="G15" s="10" t="str">
        <f t="shared" si="4"/>
        <v/>
      </c>
      <c r="I15" s="151"/>
      <c r="J15" s="25"/>
      <c r="K15" s="145">
        <v>8.68</v>
      </c>
      <c r="L15" s="150">
        <v>20000</v>
      </c>
      <c r="M15" s="182"/>
      <c r="N15" s="293"/>
      <c r="O15" s="405" t="s">
        <v>1293</v>
      </c>
      <c r="P15" s="404">
        <v>188891316</v>
      </c>
      <c r="Q15" s="403">
        <v>1692466191.3599999</v>
      </c>
    </row>
    <row r="16" spans="1:17">
      <c r="C16" s="11" t="str">
        <f t="shared" si="0"/>
        <v>九泰基金管理有限公司</v>
      </c>
      <c r="D16" s="11">
        <f t="shared" si="1"/>
        <v>9.33</v>
      </c>
      <c r="E16" s="11">
        <f t="shared" si="2"/>
        <v>1.75</v>
      </c>
      <c r="F16" s="10">
        <f t="shared" si="3"/>
        <v>1953.125</v>
      </c>
      <c r="G16" s="10">
        <f t="shared" si="4"/>
        <v>1.75</v>
      </c>
      <c r="I16" s="147">
        <v>5</v>
      </c>
      <c r="J16" s="64"/>
      <c r="K16" s="145">
        <v>8.35</v>
      </c>
      <c r="L16" s="150">
        <v>20000</v>
      </c>
      <c r="M16" s="182"/>
    </row>
    <row r="17" spans="3:13">
      <c r="C17" s="11" t="str">
        <f t="shared" si="0"/>
        <v/>
      </c>
      <c r="D17" s="11">
        <f t="shared" si="1"/>
        <v>8.52</v>
      </c>
      <c r="E17" s="11">
        <f t="shared" si="2"/>
        <v>2.4300000000000002</v>
      </c>
      <c r="F17" s="10" t="str">
        <f t="shared" si="3"/>
        <v/>
      </c>
      <c r="G17" s="10" t="str">
        <f t="shared" si="4"/>
        <v/>
      </c>
      <c r="I17" s="183"/>
      <c r="J17" s="400" t="s">
        <v>666</v>
      </c>
      <c r="K17" s="308">
        <v>9.33</v>
      </c>
      <c r="L17" s="399">
        <v>17500</v>
      </c>
      <c r="M17" s="182"/>
    </row>
    <row r="18" spans="3:13">
      <c r="C18" s="11" t="str">
        <f t="shared" si="0"/>
        <v>华泰资产管理有限公司</v>
      </c>
      <c r="D18" s="11">
        <f t="shared" si="1"/>
        <v>8.68</v>
      </c>
      <c r="E18" s="11">
        <f t="shared" si="2"/>
        <v>1.74</v>
      </c>
      <c r="F18" s="10" t="str">
        <f t="shared" si="3"/>
        <v/>
      </c>
      <c r="G18" s="10" t="str">
        <f t="shared" si="4"/>
        <v/>
      </c>
      <c r="I18" s="147">
        <v>6</v>
      </c>
      <c r="J18" s="64"/>
      <c r="K18" s="145">
        <v>8.52</v>
      </c>
      <c r="L18" s="150">
        <v>24300</v>
      </c>
      <c r="M18" s="182"/>
    </row>
    <row r="19" spans="3:13">
      <c r="C19" s="11" t="str">
        <f t="shared" si="0"/>
        <v>北京东海中矿投资管理有限公司</v>
      </c>
      <c r="D19" s="11">
        <f t="shared" si="1"/>
        <v>9.17</v>
      </c>
      <c r="E19" s="11">
        <f t="shared" si="2"/>
        <v>1.7</v>
      </c>
      <c r="F19" s="10">
        <f t="shared" si="3"/>
        <v>1908.4820999999999</v>
      </c>
      <c r="G19" s="10">
        <f t="shared" si="4"/>
        <v>1.7099999616000001</v>
      </c>
      <c r="I19" s="152">
        <v>7</v>
      </c>
      <c r="J19" s="148" t="s">
        <v>1834</v>
      </c>
      <c r="K19" s="145">
        <v>8.68</v>
      </c>
      <c r="L19" s="150">
        <v>17400</v>
      </c>
      <c r="M19" s="182"/>
    </row>
    <row r="20" spans="3:13">
      <c r="C20" s="11" t="str">
        <f t="shared" si="0"/>
        <v/>
      </c>
      <c r="D20" s="11">
        <f t="shared" si="1"/>
        <v>9.02</v>
      </c>
      <c r="E20" s="11">
        <f t="shared" si="2"/>
        <v>1.71</v>
      </c>
      <c r="F20" s="10" t="str">
        <f t="shared" si="3"/>
        <v/>
      </c>
      <c r="G20" s="10" t="str">
        <f t="shared" si="4"/>
        <v/>
      </c>
      <c r="I20" s="183"/>
      <c r="J20" s="400" t="s">
        <v>1768</v>
      </c>
      <c r="K20" s="308">
        <v>9.17</v>
      </c>
      <c r="L20" s="399">
        <v>17000</v>
      </c>
      <c r="M20" s="182"/>
    </row>
    <row r="21" spans="3:13">
      <c r="C21" s="11" t="str">
        <f t="shared" si="0"/>
        <v/>
      </c>
      <c r="D21" s="11">
        <f t="shared" si="1"/>
        <v>8.74</v>
      </c>
      <c r="E21" s="11">
        <f t="shared" si="2"/>
        <v>1.72</v>
      </c>
      <c r="F21" s="10" t="str">
        <f t="shared" si="3"/>
        <v/>
      </c>
      <c r="G21" s="10" t="str">
        <f t="shared" si="4"/>
        <v/>
      </c>
      <c r="I21" s="151"/>
      <c r="J21" s="25"/>
      <c r="K21" s="145">
        <v>9.02</v>
      </c>
      <c r="L21" s="150">
        <v>17100</v>
      </c>
      <c r="M21" s="182"/>
    </row>
    <row r="22" spans="3:13">
      <c r="C22" s="11" t="str">
        <f t="shared" si="0"/>
        <v>博时基金管理有限公司</v>
      </c>
      <c r="D22" s="11">
        <f t="shared" si="1"/>
        <v>8.5</v>
      </c>
      <c r="E22" s="11">
        <f t="shared" si="2"/>
        <v>2.21</v>
      </c>
      <c r="F22" s="10" t="str">
        <f t="shared" si="3"/>
        <v/>
      </c>
      <c r="G22" s="10" t="str">
        <f t="shared" si="4"/>
        <v/>
      </c>
      <c r="I22" s="147">
        <v>8</v>
      </c>
      <c r="J22" s="64"/>
      <c r="K22" s="145">
        <v>8.74</v>
      </c>
      <c r="L22" s="150">
        <v>17200</v>
      </c>
      <c r="M22" s="182"/>
    </row>
    <row r="23" spans="3:13">
      <c r="C23" s="11" t="str">
        <f t="shared" si="0"/>
        <v>财通基金管理有限公司</v>
      </c>
      <c r="D23" s="11">
        <f t="shared" si="1"/>
        <v>8.74</v>
      </c>
      <c r="E23" s="11">
        <f t="shared" si="2"/>
        <v>2.17</v>
      </c>
      <c r="F23" s="10" t="str">
        <f t="shared" si="3"/>
        <v/>
      </c>
      <c r="G23" s="10" t="str">
        <f t="shared" si="4"/>
        <v/>
      </c>
      <c r="I23" s="152">
        <v>9</v>
      </c>
      <c r="J23" s="148" t="s">
        <v>1374</v>
      </c>
      <c r="K23" s="145">
        <v>8.5</v>
      </c>
      <c r="L23" s="150">
        <v>22100</v>
      </c>
      <c r="M23" s="182"/>
    </row>
    <row r="24" spans="3:13">
      <c r="C24" s="11" t="str">
        <f t="shared" si="0"/>
        <v/>
      </c>
      <c r="D24" s="11">
        <f t="shared" si="1"/>
        <v>8.5</v>
      </c>
      <c r="E24" s="11">
        <f t="shared" si="2"/>
        <v>3.4</v>
      </c>
      <c r="F24" s="10" t="str">
        <f t="shared" si="3"/>
        <v/>
      </c>
      <c r="G24" s="10" t="str">
        <f t="shared" si="4"/>
        <v/>
      </c>
      <c r="I24" s="152">
        <v>10</v>
      </c>
      <c r="J24" s="148" t="s">
        <v>1578</v>
      </c>
      <c r="K24" s="145">
        <v>8.74</v>
      </c>
      <c r="L24" s="150">
        <v>21700</v>
      </c>
      <c r="M24" s="182"/>
    </row>
    <row r="25" spans="3:13">
      <c r="C25" s="11" t="str">
        <f t="shared" si="0"/>
        <v>安信基金管理有限公司</v>
      </c>
      <c r="D25" s="11">
        <f t="shared" si="1"/>
        <v>9.14</v>
      </c>
      <c r="E25" s="11">
        <f t="shared" si="2"/>
        <v>1.7</v>
      </c>
      <c r="F25" s="10">
        <f t="shared" si="3"/>
        <v>1897.3214</v>
      </c>
      <c r="G25" s="10">
        <f t="shared" si="4"/>
        <v>1.6999999744000001</v>
      </c>
      <c r="I25" s="308"/>
      <c r="J25" s="148"/>
      <c r="K25" s="145">
        <v>8.5</v>
      </c>
      <c r="L25" s="150">
        <v>34000</v>
      </c>
      <c r="M25" s="402"/>
    </row>
    <row r="26" spans="3:13">
      <c r="C26" s="11" t="str">
        <f t="shared" si="0"/>
        <v>平安大华基金管理有限公司</v>
      </c>
      <c r="D26" s="11">
        <f t="shared" si="1"/>
        <v>8.68</v>
      </c>
      <c r="E26" s="11">
        <f t="shared" si="2"/>
        <v>1.7</v>
      </c>
      <c r="F26" s="10" t="str">
        <f t="shared" si="3"/>
        <v/>
      </c>
      <c r="G26" s="10" t="str">
        <f t="shared" si="4"/>
        <v/>
      </c>
      <c r="I26" s="147">
        <v>11</v>
      </c>
      <c r="J26" s="401" t="s">
        <v>1887</v>
      </c>
      <c r="K26" s="145">
        <v>9.14</v>
      </c>
      <c r="L26" s="150">
        <v>17000</v>
      </c>
      <c r="M26" s="25"/>
    </row>
    <row r="27" spans="3:13">
      <c r="C27" s="11" t="str">
        <f t="shared" si="0"/>
        <v>广西铁投创新资本投资有限公司</v>
      </c>
      <c r="D27" s="11">
        <f t="shared" si="1"/>
        <v>9.3000000000000007</v>
      </c>
      <c r="E27" s="11">
        <f t="shared" si="2"/>
        <v>1.7</v>
      </c>
      <c r="F27" s="10">
        <f t="shared" si="3"/>
        <v>1897.3214</v>
      </c>
      <c r="G27" s="10">
        <f t="shared" si="4"/>
        <v>1.6999999744000001</v>
      </c>
      <c r="I27" s="147">
        <v>12</v>
      </c>
      <c r="J27" s="148" t="s">
        <v>1371</v>
      </c>
      <c r="K27" s="308">
        <v>8.68</v>
      </c>
      <c r="L27" s="399">
        <v>17000</v>
      </c>
      <c r="M27" s="25"/>
    </row>
    <row r="28" spans="3:13">
      <c r="C28" s="11" t="str">
        <f t="shared" si="0"/>
        <v>天弘基金管理有限公司</v>
      </c>
      <c r="D28" s="11">
        <f t="shared" si="1"/>
        <v>8.68</v>
      </c>
      <c r="E28" s="11">
        <f t="shared" si="2"/>
        <v>1.8</v>
      </c>
      <c r="F28" s="10" t="str">
        <f t="shared" si="3"/>
        <v/>
      </c>
      <c r="G28" s="10" t="str">
        <f t="shared" si="4"/>
        <v/>
      </c>
      <c r="I28" s="147">
        <v>13</v>
      </c>
      <c r="J28" s="401" t="s">
        <v>1721</v>
      </c>
      <c r="K28" s="145">
        <v>9.3000000000000007</v>
      </c>
      <c r="L28" s="150">
        <v>17000</v>
      </c>
      <c r="M28" s="25"/>
    </row>
    <row r="29" spans="3:13">
      <c r="C29" s="11" t="str">
        <f t="shared" si="0"/>
        <v>北京忠诚志业资本管理有限公司</v>
      </c>
      <c r="D29" s="11">
        <f t="shared" si="1"/>
        <v>9.02</v>
      </c>
      <c r="E29" s="11">
        <f t="shared" si="2"/>
        <v>1.7</v>
      </c>
      <c r="F29" s="10">
        <f t="shared" si="3"/>
        <v>1897.3214</v>
      </c>
      <c r="G29" s="10">
        <f t="shared" si="4"/>
        <v>1.6999999744000001</v>
      </c>
      <c r="I29" s="147">
        <v>14</v>
      </c>
      <c r="J29" s="148" t="s">
        <v>1886</v>
      </c>
      <c r="K29" s="145">
        <v>8.68</v>
      </c>
      <c r="L29" s="150">
        <v>18000</v>
      </c>
      <c r="M29" s="25"/>
    </row>
    <row r="30" spans="3:13">
      <c r="C30" s="11" t="str">
        <f t="shared" si="0"/>
        <v>诺德基金管理有限公司</v>
      </c>
      <c r="D30" s="11">
        <f t="shared" si="1"/>
        <v>8.5</v>
      </c>
      <c r="E30" s="11">
        <f t="shared" si="2"/>
        <v>1.7</v>
      </c>
      <c r="F30" s="10" t="str">
        <f t="shared" si="3"/>
        <v/>
      </c>
      <c r="G30" s="10" t="str">
        <f t="shared" si="4"/>
        <v/>
      </c>
      <c r="I30" s="147">
        <v>15</v>
      </c>
      <c r="J30" s="401" t="s">
        <v>1885</v>
      </c>
      <c r="K30" s="145">
        <v>9.02</v>
      </c>
      <c r="L30" s="150">
        <v>17000</v>
      </c>
      <c r="M30" s="25"/>
    </row>
    <row r="31" spans="3:13">
      <c r="C31" s="11" t="str">
        <f t="shared" si="0"/>
        <v>上海同安投资管理有限公司</v>
      </c>
      <c r="D31" s="11">
        <f t="shared" si="1"/>
        <v>8.59</v>
      </c>
      <c r="E31" s="11">
        <f t="shared" si="2"/>
        <v>1.7</v>
      </c>
      <c r="F31" s="10" t="str">
        <f t="shared" si="3"/>
        <v/>
      </c>
      <c r="G31" s="10" t="str">
        <f t="shared" si="4"/>
        <v/>
      </c>
      <c r="I31" s="147">
        <v>16</v>
      </c>
      <c r="J31" s="148" t="s">
        <v>1884</v>
      </c>
      <c r="K31" s="145">
        <v>8.5</v>
      </c>
      <c r="L31" s="150">
        <v>17000</v>
      </c>
      <c r="M31" s="182"/>
    </row>
    <row r="32" spans="3:13">
      <c r="C32" s="11" t="str">
        <f t="shared" si="0"/>
        <v>兴证证券资产管理有限公司</v>
      </c>
      <c r="D32" s="11">
        <f t="shared" si="1"/>
        <v>8.9600000000000009</v>
      </c>
      <c r="E32" s="11">
        <f t="shared" si="2"/>
        <v>1.73</v>
      </c>
      <c r="F32" s="10">
        <f t="shared" si="3"/>
        <v>72.167400000000001</v>
      </c>
      <c r="G32" s="10">
        <f t="shared" si="4"/>
        <v>6.4661990400000008E-2</v>
      </c>
      <c r="I32" s="147">
        <v>17</v>
      </c>
      <c r="J32" s="148" t="s">
        <v>1883</v>
      </c>
      <c r="K32" s="145">
        <v>8.59</v>
      </c>
      <c r="L32" s="150">
        <v>17000</v>
      </c>
      <c r="M32" s="182"/>
    </row>
    <row r="33" spans="3:13">
      <c r="C33" s="11" t="str">
        <f t="shared" si="0"/>
        <v/>
      </c>
      <c r="D33" s="11">
        <f t="shared" si="1"/>
        <v>8.5</v>
      </c>
      <c r="E33" s="11">
        <f t="shared" si="2"/>
        <v>2.9</v>
      </c>
      <c r="F33" s="10" t="str">
        <f t="shared" si="3"/>
        <v/>
      </c>
      <c r="G33" s="10" t="str">
        <f t="shared" si="4"/>
        <v/>
      </c>
      <c r="I33" s="183"/>
      <c r="J33" s="400" t="s">
        <v>150</v>
      </c>
      <c r="K33" s="145">
        <v>8.9600000000000009</v>
      </c>
      <c r="L33" s="150">
        <v>17300</v>
      </c>
      <c r="M33" s="25"/>
    </row>
    <row r="34" spans="3:13">
      <c r="C34" s="11" t="str">
        <f t="shared" si="0"/>
        <v/>
      </c>
      <c r="D34" s="11">
        <f t="shared" si="1"/>
        <v>8.41</v>
      </c>
      <c r="E34" s="11">
        <f t="shared" si="2"/>
        <v>3.4</v>
      </c>
      <c r="F34" s="10" t="str">
        <f t="shared" si="3"/>
        <v/>
      </c>
      <c r="G34" s="10" t="str">
        <f t="shared" si="4"/>
        <v/>
      </c>
      <c r="I34" s="192"/>
      <c r="J34" s="25"/>
      <c r="K34" s="145">
        <v>8.5</v>
      </c>
      <c r="L34" s="150">
        <v>29000</v>
      </c>
      <c r="M34" s="25"/>
    </row>
    <row r="35" spans="3:13">
      <c r="C35" s="11" t="str">
        <f t="shared" si="0"/>
        <v>华安基金管理有限公司</v>
      </c>
      <c r="D35" s="11">
        <f t="shared" si="1"/>
        <v>8.86</v>
      </c>
      <c r="E35" s="11">
        <f t="shared" si="2"/>
        <v>1.82</v>
      </c>
      <c r="F35" s="10" t="str">
        <f t="shared" si="3"/>
        <v/>
      </c>
      <c r="G35" s="10" t="str">
        <f t="shared" si="4"/>
        <v/>
      </c>
      <c r="I35" s="147">
        <v>18</v>
      </c>
      <c r="J35" s="64"/>
      <c r="K35" s="145">
        <v>8.41</v>
      </c>
      <c r="L35" s="150">
        <v>34000</v>
      </c>
      <c r="M35" s="25"/>
    </row>
    <row r="36" spans="3:13" ht="18">
      <c r="C36" s="11" t="str">
        <f t="shared" si="0"/>
        <v/>
      </c>
      <c r="D36" s="11">
        <f t="shared" si="1"/>
        <v>8.68</v>
      </c>
      <c r="E36" s="11">
        <f t="shared" si="2"/>
        <v>2.11</v>
      </c>
      <c r="F36" s="10" t="str">
        <f t="shared" si="3"/>
        <v/>
      </c>
      <c r="G36" s="10" t="str">
        <f t="shared" si="4"/>
        <v/>
      </c>
      <c r="I36" s="199"/>
      <c r="J36" s="146" t="s">
        <v>136</v>
      </c>
      <c r="K36" s="145">
        <v>8.86</v>
      </c>
      <c r="L36" s="150">
        <v>18200</v>
      </c>
      <c r="M36" s="25"/>
    </row>
    <row r="37" spans="3:13">
      <c r="C37" s="11" t="str">
        <f t="shared" si="0"/>
        <v>北信瑞丰基金管理有限公司</v>
      </c>
      <c r="D37" s="11">
        <f t="shared" si="1"/>
        <v>8.69</v>
      </c>
      <c r="E37" s="11">
        <f t="shared" si="2"/>
        <v>1.77</v>
      </c>
      <c r="F37" s="10" t="str">
        <f t="shared" si="3"/>
        <v/>
      </c>
      <c r="G37" s="10" t="str">
        <f t="shared" si="4"/>
        <v/>
      </c>
      <c r="I37" s="147">
        <v>19</v>
      </c>
      <c r="J37" s="25"/>
      <c r="K37" s="145">
        <v>8.68</v>
      </c>
      <c r="L37" s="150">
        <v>21100</v>
      </c>
      <c r="M37" s="25"/>
    </row>
    <row r="38" spans="3:13" ht="18">
      <c r="C38" s="11" t="str">
        <f t="shared" si="0"/>
        <v/>
      </c>
      <c r="D38" s="11">
        <f t="shared" si="1"/>
        <v>8.41</v>
      </c>
      <c r="E38" s="11">
        <f t="shared" si="2"/>
        <v>2.15</v>
      </c>
      <c r="F38" s="10" t="str">
        <f t="shared" si="3"/>
        <v/>
      </c>
      <c r="G38" s="10" t="str">
        <f t="shared" si="4"/>
        <v/>
      </c>
      <c r="I38" s="199"/>
      <c r="J38" s="146" t="s">
        <v>336</v>
      </c>
      <c r="K38" s="145">
        <v>8.69</v>
      </c>
      <c r="L38" s="150">
        <v>17700</v>
      </c>
      <c r="M38" s="25"/>
    </row>
    <row r="39" spans="3:13">
      <c r="C39" s="11" t="str">
        <f t="shared" si="0"/>
        <v>深圳天风天成资产管理有限公司</v>
      </c>
      <c r="D39" s="11">
        <f t="shared" si="1"/>
        <v>9.36</v>
      </c>
      <c r="E39" s="11">
        <f t="shared" si="2"/>
        <v>3</v>
      </c>
      <c r="F39" s="10">
        <f t="shared" si="3"/>
        <v>3683.0356999999999</v>
      </c>
      <c r="G39" s="10">
        <f t="shared" si="4"/>
        <v>3.2999999872000001</v>
      </c>
      <c r="I39" s="147">
        <v>20</v>
      </c>
      <c r="J39" s="25"/>
      <c r="K39" s="145">
        <v>8.41</v>
      </c>
      <c r="L39" s="150">
        <v>21500</v>
      </c>
      <c r="M39" s="25"/>
    </row>
    <row r="40" spans="3:13">
      <c r="C40" s="11" t="str">
        <f t="shared" si="0"/>
        <v/>
      </c>
      <c r="D40" s="11">
        <f t="shared" si="1"/>
        <v>9.15</v>
      </c>
      <c r="E40" s="11">
        <f t="shared" si="2"/>
        <v>3.3</v>
      </c>
      <c r="F40" s="11" t="str">
        <f t="shared" si="3"/>
        <v/>
      </c>
      <c r="G40" s="11"/>
      <c r="I40" s="183"/>
      <c r="J40" s="400" t="s">
        <v>560</v>
      </c>
      <c r="K40" s="145">
        <v>9.36</v>
      </c>
      <c r="L40" s="150">
        <v>30000</v>
      </c>
      <c r="M40" s="25"/>
    </row>
    <row r="41" spans="3:13" ht="17.5">
      <c r="C41" s="11" t="str">
        <f t="shared" si="0"/>
        <v/>
      </c>
      <c r="D41" s="11">
        <f t="shared" si="1"/>
        <v>8.6</v>
      </c>
      <c r="E41" s="11">
        <f t="shared" si="2"/>
        <v>3.4</v>
      </c>
      <c r="F41" s="11" t="str">
        <f t="shared" si="3"/>
        <v/>
      </c>
      <c r="G41" s="11"/>
      <c r="I41" s="198"/>
      <c r="J41" s="218"/>
      <c r="K41" s="145">
        <v>9.15</v>
      </c>
      <c r="L41" s="150">
        <v>33000</v>
      </c>
      <c r="M41" s="25"/>
    </row>
    <row r="42" spans="3:13">
      <c r="C42" s="11" t="str">
        <f t="shared" si="0"/>
        <v>安信证券股份有限公司</v>
      </c>
      <c r="D42" s="11">
        <f t="shared" si="1"/>
        <v>8.67</v>
      </c>
      <c r="E42" s="11">
        <f t="shared" si="2"/>
        <v>1.7</v>
      </c>
      <c r="F42" s="11" t="str">
        <f t="shared" si="3"/>
        <v/>
      </c>
      <c r="G42" s="11"/>
      <c r="I42" s="147">
        <v>21</v>
      </c>
      <c r="J42" s="25"/>
      <c r="K42" s="145">
        <v>8.6</v>
      </c>
      <c r="L42" s="150">
        <v>34000</v>
      </c>
      <c r="M42" s="25"/>
    </row>
    <row r="43" spans="3:13">
      <c r="C43" s="11" t="str">
        <f t="shared" si="0"/>
        <v>滨州润滨产业投资基金合伙企业（有限合伙）</v>
      </c>
      <c r="D43" s="11">
        <f t="shared" si="1"/>
        <v>8.9</v>
      </c>
      <c r="E43" s="11">
        <f t="shared" si="2"/>
        <v>1.7</v>
      </c>
      <c r="F43" s="11" t="str">
        <f t="shared" si="3"/>
        <v/>
      </c>
      <c r="G43" s="11"/>
      <c r="I43" s="147">
        <v>22</v>
      </c>
      <c r="J43" s="148" t="s">
        <v>1882</v>
      </c>
      <c r="K43" s="145">
        <v>8.67</v>
      </c>
      <c r="L43" s="150">
        <v>17000</v>
      </c>
      <c r="M43" s="25"/>
    </row>
    <row r="44" spans="3:13">
      <c r="C44" s="11" t="str">
        <f t="shared" si="0"/>
        <v/>
      </c>
      <c r="D44" s="11">
        <f t="shared" si="1"/>
        <v>8.5</v>
      </c>
      <c r="E44" s="11">
        <f t="shared" si="2"/>
        <v>1.7</v>
      </c>
      <c r="F44" s="11" t="str">
        <f t="shared" si="3"/>
        <v/>
      </c>
      <c r="G44" s="11"/>
      <c r="I44" s="183"/>
      <c r="J44" s="64" t="s">
        <v>1881</v>
      </c>
      <c r="K44" s="308">
        <v>8.9</v>
      </c>
      <c r="L44" s="399">
        <v>17000</v>
      </c>
      <c r="M44" s="25"/>
    </row>
    <row r="45" spans="3:13">
      <c r="C45" s="11" t="str">
        <f t="shared" si="0"/>
        <v/>
      </c>
      <c r="D45" s="11">
        <f t="shared" si="1"/>
        <v>8.4</v>
      </c>
      <c r="E45" s="11">
        <f t="shared" si="2"/>
        <v>3.4</v>
      </c>
      <c r="F45" s="11" t="str">
        <f t="shared" si="3"/>
        <v/>
      </c>
      <c r="G45" s="11"/>
      <c r="I45" s="147">
        <v>23</v>
      </c>
      <c r="J45" s="25"/>
      <c r="K45" s="145">
        <v>8.5</v>
      </c>
      <c r="L45" s="150">
        <v>17000</v>
      </c>
      <c r="M45" s="25"/>
    </row>
    <row r="46" spans="3:13">
      <c r="C46" s="11" t="s">
        <v>1891</v>
      </c>
      <c r="D46" s="11"/>
      <c r="E46" s="11"/>
      <c r="F46" s="281">
        <f>33482144/10000</f>
        <v>3348.2143999999998</v>
      </c>
      <c r="G46" s="10">
        <f>IFERROR(F46*J$2/10000,"")</f>
        <v>0</v>
      </c>
      <c r="I46" s="64"/>
      <c r="J46" s="64"/>
      <c r="K46" s="145">
        <v>8.4</v>
      </c>
      <c r="L46" s="150">
        <v>34000</v>
      </c>
      <c r="M46" s="25"/>
    </row>
    <row r="49" spans="1:17" s="162" customFormat="1">
      <c r="A49" s="164" t="s">
        <v>1315</v>
      </c>
      <c r="B49" s="164"/>
      <c r="C49" s="164" t="s">
        <v>107</v>
      </c>
      <c r="D49" s="164" t="s">
        <v>4</v>
      </c>
      <c r="E49" s="166" t="s">
        <v>108</v>
      </c>
      <c r="F49" s="166" t="s">
        <v>109</v>
      </c>
      <c r="G49" s="164" t="s">
        <v>1314</v>
      </c>
      <c r="H49" s="164" t="s">
        <v>1313</v>
      </c>
      <c r="I49" s="165" t="s">
        <v>1312</v>
      </c>
      <c r="J49" s="163" t="s">
        <v>1311</v>
      </c>
      <c r="K49" s="163" t="s">
        <v>110</v>
      </c>
      <c r="L49" s="163" t="s">
        <v>1310</v>
      </c>
      <c r="M49" s="164" t="s">
        <v>111</v>
      </c>
      <c r="N49" s="163" t="s">
        <v>949</v>
      </c>
      <c r="O49" s="163" t="s">
        <v>948</v>
      </c>
      <c r="P49" s="163" t="s">
        <v>129</v>
      </c>
    </row>
    <row r="50" spans="1:17">
      <c r="A50" s="24">
        <v>308</v>
      </c>
      <c r="B50" s="329" t="s">
        <v>1880</v>
      </c>
      <c r="C50" s="1" t="s">
        <v>1879</v>
      </c>
      <c r="D50" s="1" t="s">
        <v>1878</v>
      </c>
      <c r="E50" s="3">
        <v>7.4608840000000001</v>
      </c>
      <c r="F50" s="3">
        <v>7.4608839971999998</v>
      </c>
      <c r="G50" s="2">
        <v>42719</v>
      </c>
      <c r="H50" s="24" t="s">
        <v>151</v>
      </c>
      <c r="I50" s="130">
        <v>7.79</v>
      </c>
      <c r="J50" s="3">
        <v>7.88</v>
      </c>
      <c r="K50" s="160">
        <v>5.0599999999999996</v>
      </c>
      <c r="L50" s="271">
        <v>1.011553273427471</v>
      </c>
      <c r="M50" s="270">
        <v>3</v>
      </c>
      <c r="N50" s="2">
        <v>43098</v>
      </c>
      <c r="O50" s="24">
        <v>5.0199999999999996</v>
      </c>
      <c r="P50" s="157">
        <v>0.63705583756345174</v>
      </c>
    </row>
    <row r="51" spans="1:17">
      <c r="C51" s="16" t="s">
        <v>112</v>
      </c>
      <c r="D51" s="16" t="s">
        <v>113</v>
      </c>
      <c r="E51" s="16" t="s">
        <v>1305</v>
      </c>
      <c r="F51" s="17" t="s">
        <v>1304</v>
      </c>
      <c r="G51" s="16" t="s">
        <v>1303</v>
      </c>
      <c r="I51" s="191">
        <v>1</v>
      </c>
      <c r="J51" s="204" t="s">
        <v>6</v>
      </c>
      <c r="K51" s="190">
        <v>6.93</v>
      </c>
      <c r="L51" s="234">
        <v>7000</v>
      </c>
      <c r="N51" s="85" t="s">
        <v>118</v>
      </c>
      <c r="O51" s="85" t="s">
        <v>296</v>
      </c>
      <c r="P51" s="225" t="s">
        <v>410</v>
      </c>
      <c r="Q51" s="225" t="s">
        <v>1300</v>
      </c>
    </row>
    <row r="52" spans="1:17">
      <c r="C52" s="11" t="str">
        <f t="shared" ref="C52:C80" si="5">IF(J51=0,"",J51)</f>
        <v>东海证券股份有限公司</v>
      </c>
      <c r="D52" s="11">
        <f t="shared" ref="D52:D80" si="6">K51</f>
        <v>6.93</v>
      </c>
      <c r="E52" s="11">
        <f t="shared" ref="E52:E80" si="7">L51/10000</f>
        <v>0.7</v>
      </c>
      <c r="F52" s="11" t="str">
        <f t="shared" ref="F52:F80" si="8">IFERROR(VLOOKUP(C52,O$52:Q$54,2,FALSE)/10000,"")</f>
        <v/>
      </c>
      <c r="G52" s="11"/>
      <c r="I52" s="191">
        <v>2</v>
      </c>
      <c r="J52" s="204" t="s">
        <v>1877</v>
      </c>
      <c r="K52" s="190">
        <v>7.7</v>
      </c>
      <c r="L52" s="234">
        <v>11000</v>
      </c>
      <c r="N52" s="296">
        <v>1</v>
      </c>
      <c r="O52" s="192" t="s">
        <v>1876</v>
      </c>
      <c r="P52" s="236">
        <v>44416244</v>
      </c>
      <c r="Q52" s="234">
        <v>350000002.72000003</v>
      </c>
    </row>
    <row r="53" spans="1:17">
      <c r="C53" s="11" t="str">
        <f t="shared" si="5"/>
        <v>广西铁投创新资本投资有限公司</v>
      </c>
      <c r="D53" s="11">
        <f t="shared" si="6"/>
        <v>7.7</v>
      </c>
      <c r="E53" s="11">
        <f t="shared" si="7"/>
        <v>1.1000000000000001</v>
      </c>
      <c r="F53" s="11" t="str">
        <f t="shared" si="8"/>
        <v/>
      </c>
      <c r="G53" s="11"/>
      <c r="I53" s="191">
        <v>3</v>
      </c>
      <c r="J53" s="204" t="s">
        <v>127</v>
      </c>
      <c r="K53" s="190">
        <v>6.55</v>
      </c>
      <c r="L53" s="234">
        <v>20000</v>
      </c>
      <c r="N53" s="296">
        <v>2</v>
      </c>
      <c r="O53" s="192" t="s">
        <v>125</v>
      </c>
      <c r="P53" s="236">
        <v>44554366</v>
      </c>
      <c r="Q53" s="234">
        <v>351088404.07999998</v>
      </c>
    </row>
    <row r="54" spans="1:17">
      <c r="C54" s="11" t="str">
        <f t="shared" si="5"/>
        <v>第一创业证券股份有限公司</v>
      </c>
      <c r="D54" s="11">
        <f t="shared" si="6"/>
        <v>6.55</v>
      </c>
      <c r="E54" s="11">
        <f t="shared" si="7"/>
        <v>2</v>
      </c>
      <c r="F54" s="11" t="str">
        <f t="shared" si="8"/>
        <v/>
      </c>
      <c r="G54" s="11"/>
      <c r="I54" s="168">
        <v>4</v>
      </c>
      <c r="J54" s="203" t="s">
        <v>228</v>
      </c>
      <c r="K54" s="190">
        <v>7.03</v>
      </c>
      <c r="L54" s="234">
        <v>23500</v>
      </c>
      <c r="N54" s="168">
        <v>3</v>
      </c>
      <c r="O54" s="204" t="s">
        <v>1872</v>
      </c>
      <c r="P54" s="236">
        <v>5710659</v>
      </c>
      <c r="Q54" s="234">
        <v>44999992.920000002</v>
      </c>
    </row>
    <row r="55" spans="1:17" ht="14.5">
      <c r="C55" s="11" t="str">
        <f t="shared" si="5"/>
        <v>嘉实基金管理有限公司</v>
      </c>
      <c r="D55" s="11">
        <f t="shared" si="6"/>
        <v>7.03</v>
      </c>
      <c r="E55" s="11">
        <f t="shared" si="7"/>
        <v>2.35</v>
      </c>
      <c r="F55" s="11" t="str">
        <f t="shared" si="8"/>
        <v/>
      </c>
      <c r="G55" s="11"/>
      <c r="I55" s="156"/>
      <c r="J55" s="398"/>
      <c r="K55" s="190">
        <v>6.66</v>
      </c>
      <c r="L55" s="234">
        <v>7000</v>
      </c>
      <c r="N55" s="196" t="s">
        <v>1293</v>
      </c>
      <c r="O55" s="196"/>
      <c r="P55" s="284">
        <v>94681269</v>
      </c>
      <c r="Q55" s="323">
        <v>746088399.72000003</v>
      </c>
    </row>
    <row r="56" spans="1:17">
      <c r="C56" s="11" t="str">
        <f t="shared" si="5"/>
        <v/>
      </c>
      <c r="D56" s="11">
        <f t="shared" si="6"/>
        <v>6.66</v>
      </c>
      <c r="E56" s="11">
        <f t="shared" si="7"/>
        <v>0.7</v>
      </c>
      <c r="F56" s="11" t="str">
        <f t="shared" si="8"/>
        <v/>
      </c>
      <c r="G56" s="11"/>
      <c r="I56" s="25"/>
      <c r="J56" s="25"/>
      <c r="K56" s="190">
        <v>5.6</v>
      </c>
      <c r="L56" s="234">
        <v>7800</v>
      </c>
    </row>
    <row r="57" spans="1:17">
      <c r="C57" s="11" t="str">
        <f t="shared" si="5"/>
        <v/>
      </c>
      <c r="D57" s="11">
        <f t="shared" si="6"/>
        <v>5.6</v>
      </c>
      <c r="E57" s="11">
        <f t="shared" si="7"/>
        <v>0.78</v>
      </c>
      <c r="F57" s="11" t="str">
        <f t="shared" si="8"/>
        <v/>
      </c>
      <c r="G57" s="11"/>
      <c r="I57" s="191">
        <v>5</v>
      </c>
      <c r="J57" s="204" t="s">
        <v>1142</v>
      </c>
      <c r="K57" s="190">
        <v>7.09</v>
      </c>
      <c r="L57" s="234">
        <v>4500</v>
      </c>
    </row>
    <row r="58" spans="1:17">
      <c r="C58" s="11" t="str">
        <f t="shared" si="5"/>
        <v>国信证券股份有限公司</v>
      </c>
      <c r="D58" s="11">
        <f t="shared" si="6"/>
        <v>7.09</v>
      </c>
      <c r="E58" s="11">
        <f t="shared" si="7"/>
        <v>0.45</v>
      </c>
      <c r="F58" s="11" t="str">
        <f t="shared" si="8"/>
        <v/>
      </c>
      <c r="G58" s="11"/>
      <c r="I58" s="191">
        <v>6</v>
      </c>
      <c r="J58" s="204" t="s">
        <v>351</v>
      </c>
      <c r="K58" s="190">
        <v>6.32</v>
      </c>
      <c r="L58" s="234">
        <v>9000</v>
      </c>
    </row>
    <row r="59" spans="1:17">
      <c r="C59" s="11" t="str">
        <f t="shared" si="5"/>
        <v>民生通惠资产管理有限公司</v>
      </c>
      <c r="D59" s="11">
        <f t="shared" si="6"/>
        <v>6.32</v>
      </c>
      <c r="E59" s="11">
        <f t="shared" si="7"/>
        <v>0.9</v>
      </c>
      <c r="F59" s="11" t="str">
        <f t="shared" si="8"/>
        <v/>
      </c>
      <c r="G59" s="11"/>
      <c r="I59" s="168">
        <v>7</v>
      </c>
      <c r="J59" s="203" t="s">
        <v>666</v>
      </c>
      <c r="K59" s="190">
        <v>6.58</v>
      </c>
      <c r="L59" s="234">
        <v>7210</v>
      </c>
    </row>
    <row r="60" spans="1:17" ht="14.5">
      <c r="C60" s="11" t="str">
        <f t="shared" si="5"/>
        <v>九泰基金管理有限公司</v>
      </c>
      <c r="D60" s="11">
        <f t="shared" si="6"/>
        <v>6.58</v>
      </c>
      <c r="E60" s="11">
        <f t="shared" si="7"/>
        <v>0.72099999999999997</v>
      </c>
      <c r="F60" s="11" t="str">
        <f t="shared" si="8"/>
        <v/>
      </c>
      <c r="G60" s="11"/>
      <c r="I60" s="156"/>
      <c r="J60" s="398"/>
      <c r="K60" s="190">
        <v>6.11</v>
      </c>
      <c r="L60" s="234">
        <v>8250</v>
      </c>
    </row>
    <row r="61" spans="1:17">
      <c r="C61" s="11" t="str">
        <f t="shared" si="5"/>
        <v/>
      </c>
      <c r="D61" s="11">
        <f t="shared" si="6"/>
        <v>6.11</v>
      </c>
      <c r="E61" s="11">
        <f t="shared" si="7"/>
        <v>0.82499999999999996</v>
      </c>
      <c r="F61" s="11" t="str">
        <f t="shared" si="8"/>
        <v/>
      </c>
      <c r="G61" s="11"/>
      <c r="I61" s="25"/>
      <c r="J61" s="25"/>
      <c r="K61" s="190">
        <v>5.58</v>
      </c>
      <c r="L61" s="234">
        <v>9290</v>
      </c>
    </row>
    <row r="62" spans="1:17">
      <c r="C62" s="11" t="str">
        <f t="shared" si="5"/>
        <v/>
      </c>
      <c r="D62" s="11">
        <f t="shared" si="6"/>
        <v>5.58</v>
      </c>
      <c r="E62" s="11">
        <f t="shared" si="7"/>
        <v>0.92900000000000005</v>
      </c>
      <c r="F62" s="11" t="str">
        <f t="shared" si="8"/>
        <v/>
      </c>
      <c r="G62" s="11"/>
      <c r="I62" s="168">
        <v>8</v>
      </c>
      <c r="J62" s="203" t="s">
        <v>148</v>
      </c>
      <c r="K62" s="190">
        <v>7.01</v>
      </c>
      <c r="L62" s="234">
        <v>4500</v>
      </c>
    </row>
    <row r="63" spans="1:17">
      <c r="C63" s="11" t="str">
        <f t="shared" si="5"/>
        <v>泰达宏利基金管理有限公司</v>
      </c>
      <c r="D63" s="11">
        <f t="shared" si="6"/>
        <v>7.01</v>
      </c>
      <c r="E63" s="11">
        <f t="shared" si="7"/>
        <v>0.45</v>
      </c>
      <c r="F63" s="11" t="str">
        <f t="shared" si="8"/>
        <v/>
      </c>
      <c r="G63" s="11"/>
      <c r="I63" s="25"/>
      <c r="J63" s="25"/>
      <c r="K63" s="190">
        <v>6.27</v>
      </c>
      <c r="L63" s="234">
        <v>5000</v>
      </c>
    </row>
    <row r="64" spans="1:17">
      <c r="C64" s="11" t="str">
        <f t="shared" si="5"/>
        <v/>
      </c>
      <c r="D64" s="11">
        <f t="shared" si="6"/>
        <v>6.27</v>
      </c>
      <c r="E64" s="11">
        <f t="shared" si="7"/>
        <v>0.5</v>
      </c>
      <c r="F64" s="11" t="str">
        <f t="shared" si="8"/>
        <v/>
      </c>
      <c r="G64" s="11"/>
      <c r="I64" s="191">
        <v>9</v>
      </c>
      <c r="J64" s="204" t="s">
        <v>974</v>
      </c>
      <c r="K64" s="190">
        <v>6.51</v>
      </c>
      <c r="L64" s="234">
        <v>4600</v>
      </c>
    </row>
    <row r="65" spans="3:12">
      <c r="C65" s="11" t="str">
        <f t="shared" si="5"/>
        <v>东吴基金管理有限公司</v>
      </c>
      <c r="D65" s="11">
        <f t="shared" si="6"/>
        <v>6.51</v>
      </c>
      <c r="E65" s="11">
        <f t="shared" si="7"/>
        <v>0.46</v>
      </c>
      <c r="F65" s="11" t="str">
        <f t="shared" si="8"/>
        <v/>
      </c>
      <c r="G65" s="11"/>
      <c r="I65" s="191">
        <v>10</v>
      </c>
      <c r="J65" s="204" t="s">
        <v>1148</v>
      </c>
      <c r="K65" s="190">
        <v>7.2</v>
      </c>
      <c r="L65" s="234">
        <v>5000</v>
      </c>
    </row>
    <row r="66" spans="3:12">
      <c r="C66" s="11" t="str">
        <f t="shared" si="5"/>
        <v>易方达资产管理有限公司</v>
      </c>
      <c r="D66" s="11">
        <f t="shared" si="6"/>
        <v>7.2</v>
      </c>
      <c r="E66" s="11">
        <f t="shared" si="7"/>
        <v>0.5</v>
      </c>
      <c r="F66" s="11" t="str">
        <f t="shared" si="8"/>
        <v/>
      </c>
      <c r="G66" s="11"/>
      <c r="I66" s="296">
        <v>11</v>
      </c>
      <c r="J66" s="204" t="s">
        <v>1875</v>
      </c>
      <c r="K66" s="296">
        <v>7.31</v>
      </c>
      <c r="L66" s="297">
        <v>7500</v>
      </c>
    </row>
    <row r="67" spans="3:12" ht="16.5">
      <c r="C67" s="11" t="str">
        <f t="shared" si="5"/>
        <v>前海开源中汇润生定增三期资产管理计划</v>
      </c>
      <c r="D67" s="11">
        <f t="shared" si="6"/>
        <v>7.31</v>
      </c>
      <c r="E67" s="11">
        <f t="shared" si="7"/>
        <v>0.75</v>
      </c>
      <c r="F67" s="11" t="str">
        <f t="shared" si="8"/>
        <v/>
      </c>
      <c r="G67" s="11"/>
      <c r="I67" s="229"/>
      <c r="J67" s="230"/>
      <c r="K67" s="190">
        <v>7.06</v>
      </c>
      <c r="L67" s="234">
        <v>4500</v>
      </c>
    </row>
    <row r="68" spans="3:12">
      <c r="C68" s="11" t="str">
        <f t="shared" si="5"/>
        <v/>
      </c>
      <c r="D68" s="11">
        <f t="shared" si="6"/>
        <v>7.06</v>
      </c>
      <c r="E68" s="11">
        <f t="shared" si="7"/>
        <v>0.45</v>
      </c>
      <c r="F68" s="11" t="str">
        <f t="shared" si="8"/>
        <v/>
      </c>
      <c r="G68" s="11"/>
      <c r="I68" s="168">
        <v>12</v>
      </c>
      <c r="J68" s="203" t="s">
        <v>147</v>
      </c>
      <c r="K68" s="190">
        <v>6.86</v>
      </c>
      <c r="L68" s="234">
        <v>9000</v>
      </c>
    </row>
    <row r="69" spans="3:12">
      <c r="C69" s="11" t="str">
        <f t="shared" si="5"/>
        <v>诺安基金管理有限公司</v>
      </c>
      <c r="D69" s="11">
        <f t="shared" si="6"/>
        <v>6.86</v>
      </c>
      <c r="E69" s="11">
        <f t="shared" si="7"/>
        <v>0.9</v>
      </c>
      <c r="F69" s="11" t="str">
        <f t="shared" si="8"/>
        <v/>
      </c>
      <c r="G69" s="11"/>
      <c r="I69" s="191">
        <v>13</v>
      </c>
      <c r="J69" s="204" t="s">
        <v>1874</v>
      </c>
      <c r="K69" s="190">
        <v>7.81</v>
      </c>
      <c r="L69" s="234">
        <v>7500</v>
      </c>
    </row>
    <row r="70" spans="3:12">
      <c r="C70" s="11" t="str">
        <f t="shared" si="5"/>
        <v>前海开源顺鑫 1 号定增资产管理计划</v>
      </c>
      <c r="D70" s="11">
        <f t="shared" si="6"/>
        <v>7.81</v>
      </c>
      <c r="E70" s="11">
        <f t="shared" si="7"/>
        <v>0.75</v>
      </c>
      <c r="F70" s="11" t="str">
        <f t="shared" si="8"/>
        <v/>
      </c>
      <c r="G70" s="11"/>
      <c r="I70" s="191">
        <v>14</v>
      </c>
      <c r="J70" s="204" t="s">
        <v>1873</v>
      </c>
      <c r="K70" s="190">
        <v>7.85</v>
      </c>
      <c r="L70" s="234">
        <v>7500</v>
      </c>
    </row>
    <row r="71" spans="3:12">
      <c r="C71" s="11" t="str">
        <f t="shared" si="5"/>
        <v>前海开源兴国保盈六号资产管理计划</v>
      </c>
      <c r="D71" s="11">
        <f t="shared" si="6"/>
        <v>7.85</v>
      </c>
      <c r="E71" s="11">
        <f t="shared" si="7"/>
        <v>0.75</v>
      </c>
      <c r="F71" s="11" t="str">
        <f t="shared" si="8"/>
        <v/>
      </c>
      <c r="G71" s="11"/>
      <c r="I71" s="168">
        <v>15</v>
      </c>
      <c r="J71" s="203" t="s">
        <v>115</v>
      </c>
      <c r="K71" s="190">
        <v>7.45</v>
      </c>
      <c r="L71" s="234">
        <v>11700</v>
      </c>
    </row>
    <row r="72" spans="3:12">
      <c r="C72" s="11" t="str">
        <f t="shared" si="5"/>
        <v>财通基金管理有限公司</v>
      </c>
      <c r="D72" s="11">
        <f t="shared" si="6"/>
        <v>7.45</v>
      </c>
      <c r="E72" s="11">
        <f t="shared" si="7"/>
        <v>1.17</v>
      </c>
      <c r="F72" s="11" t="str">
        <f t="shared" si="8"/>
        <v/>
      </c>
      <c r="G72" s="11"/>
      <c r="I72" s="25"/>
      <c r="J72" s="25"/>
      <c r="K72" s="190">
        <v>6.93</v>
      </c>
      <c r="L72" s="234">
        <v>39600</v>
      </c>
    </row>
    <row r="73" spans="3:12">
      <c r="C73" s="11" t="str">
        <f t="shared" si="5"/>
        <v/>
      </c>
      <c r="D73" s="11">
        <f t="shared" si="6"/>
        <v>6.93</v>
      </c>
      <c r="E73" s="11">
        <f t="shared" si="7"/>
        <v>3.96</v>
      </c>
      <c r="F73" s="11" t="str">
        <f t="shared" si="8"/>
        <v/>
      </c>
      <c r="G73" s="11"/>
      <c r="I73" s="168">
        <v>16</v>
      </c>
      <c r="J73" s="204" t="s">
        <v>1872</v>
      </c>
      <c r="K73" s="190">
        <v>8.18</v>
      </c>
      <c r="L73" s="234">
        <v>4500</v>
      </c>
    </row>
    <row r="74" spans="3:12" ht="14.5">
      <c r="C74" s="11" t="str">
        <f t="shared" si="5"/>
        <v>李科学</v>
      </c>
      <c r="D74" s="11">
        <f t="shared" si="6"/>
        <v>8.18</v>
      </c>
      <c r="E74" s="11">
        <f t="shared" si="7"/>
        <v>0.45</v>
      </c>
      <c r="F74" s="10">
        <f t="shared" si="8"/>
        <v>571.06590000000006</v>
      </c>
      <c r="G74" s="10">
        <f t="shared" ref="G74:G80" si="9">IFERROR(VLOOKUP(C74,O$52:Q$54,3,FALSE)/100000000,"")</f>
        <v>0.44999992920000004</v>
      </c>
      <c r="I74" s="156"/>
      <c r="J74" s="398"/>
      <c r="K74" s="190">
        <v>7.86</v>
      </c>
      <c r="L74" s="234">
        <v>5000</v>
      </c>
    </row>
    <row r="75" spans="3:12">
      <c r="C75" s="11" t="str">
        <f t="shared" si="5"/>
        <v/>
      </c>
      <c r="D75" s="11">
        <f t="shared" si="6"/>
        <v>7.86</v>
      </c>
      <c r="E75" s="11">
        <f t="shared" si="7"/>
        <v>0.5</v>
      </c>
      <c r="F75" s="10" t="str">
        <f t="shared" si="8"/>
        <v/>
      </c>
      <c r="G75" s="10" t="str">
        <f t="shared" si="9"/>
        <v/>
      </c>
      <c r="I75" s="25"/>
      <c r="J75" s="25"/>
      <c r="K75" s="190">
        <v>6.17</v>
      </c>
      <c r="L75" s="234">
        <v>5500</v>
      </c>
    </row>
    <row r="76" spans="3:12">
      <c r="C76" s="11" t="str">
        <f t="shared" si="5"/>
        <v/>
      </c>
      <c r="D76" s="11">
        <f t="shared" si="6"/>
        <v>6.17</v>
      </c>
      <c r="E76" s="11">
        <f t="shared" si="7"/>
        <v>0.55000000000000004</v>
      </c>
      <c r="F76" s="10" t="str">
        <f t="shared" si="8"/>
        <v/>
      </c>
      <c r="G76" s="10" t="str">
        <f t="shared" si="9"/>
        <v/>
      </c>
      <c r="I76" s="296">
        <v>17</v>
      </c>
      <c r="J76" s="204" t="s">
        <v>1871</v>
      </c>
      <c r="K76" s="296">
        <v>6.5</v>
      </c>
      <c r="L76" s="297">
        <v>9000</v>
      </c>
    </row>
    <row r="77" spans="3:12" ht="16.5">
      <c r="C77" s="11" t="str">
        <f t="shared" si="5"/>
        <v>上海绿联君和产业并购股权投资基金合伙企业（有限合伙）</v>
      </c>
      <c r="D77" s="11">
        <f t="shared" si="6"/>
        <v>6.5</v>
      </c>
      <c r="E77" s="11">
        <f t="shared" si="7"/>
        <v>0.9</v>
      </c>
      <c r="F77" s="10" t="str">
        <f t="shared" si="8"/>
        <v/>
      </c>
      <c r="G77" s="10" t="str">
        <f t="shared" si="9"/>
        <v/>
      </c>
      <c r="I77" s="229"/>
      <c r="J77" s="230"/>
      <c r="K77" s="190">
        <v>7.88</v>
      </c>
      <c r="L77" s="234">
        <v>39600</v>
      </c>
    </row>
    <row r="78" spans="3:12">
      <c r="C78" s="11" t="str">
        <f t="shared" si="5"/>
        <v/>
      </c>
      <c r="D78" s="11">
        <f t="shared" si="6"/>
        <v>7.88</v>
      </c>
      <c r="E78" s="11">
        <f t="shared" si="7"/>
        <v>3.96</v>
      </c>
      <c r="F78" s="10" t="str">
        <f t="shared" si="8"/>
        <v/>
      </c>
      <c r="G78" s="10" t="str">
        <f t="shared" si="9"/>
        <v/>
      </c>
      <c r="I78" s="168">
        <v>18</v>
      </c>
      <c r="J78" s="203" t="s">
        <v>125</v>
      </c>
      <c r="K78" s="190">
        <v>7.8</v>
      </c>
      <c r="L78" s="234">
        <v>39600</v>
      </c>
    </row>
    <row r="79" spans="3:12">
      <c r="C79" s="11" t="str">
        <f t="shared" si="5"/>
        <v>青岛城投金融控股集团有限公司</v>
      </c>
      <c r="D79" s="11">
        <f t="shared" si="6"/>
        <v>7.8</v>
      </c>
      <c r="E79" s="11">
        <f t="shared" si="7"/>
        <v>3.96</v>
      </c>
      <c r="F79" s="10">
        <f t="shared" si="8"/>
        <v>4455.4366</v>
      </c>
      <c r="G79" s="10">
        <f t="shared" si="9"/>
        <v>3.5108840407999997</v>
      </c>
      <c r="I79" s="168">
        <v>19</v>
      </c>
      <c r="J79" s="203" t="s">
        <v>122</v>
      </c>
      <c r="K79" s="190">
        <v>7.13</v>
      </c>
      <c r="L79" s="189">
        <v>7000</v>
      </c>
    </row>
    <row r="80" spans="3:12">
      <c r="C80" s="11" t="str">
        <f t="shared" si="5"/>
        <v>华泰柏瑞基金管理有限公司</v>
      </c>
      <c r="D80" s="11">
        <f t="shared" si="6"/>
        <v>7.13</v>
      </c>
      <c r="E80" s="11">
        <f t="shared" si="7"/>
        <v>0.7</v>
      </c>
      <c r="F80" s="10" t="str">
        <f t="shared" si="8"/>
        <v/>
      </c>
      <c r="G80" s="10" t="str">
        <f t="shared" si="9"/>
        <v/>
      </c>
    </row>
    <row r="81" spans="1:16">
      <c r="C81" s="16" t="s">
        <v>1643</v>
      </c>
      <c r="D81" s="1686" t="str">
        <f>IFERROR(VLOOKUP(C81,O$52:Q$54,3,FALSE)/100000000,"")</f>
        <v/>
      </c>
      <c r="E81" s="1687"/>
      <c r="F81" s="1687"/>
      <c r="G81" s="1688"/>
    </row>
    <row r="82" spans="1:16">
      <c r="C82" s="11" t="str">
        <f>O52</f>
        <v>青岛市企业发展投资有限公司</v>
      </c>
      <c r="D82" s="11"/>
      <c r="E82" s="11"/>
      <c r="F82" s="10">
        <f>P52/10000</f>
        <v>4441.6243999999997</v>
      </c>
      <c r="G82" s="10">
        <f>IFERROR(VLOOKUP(C82,O$52:Q$54,3,FALSE)/100000000,"")</f>
        <v>3.5000000272000005</v>
      </c>
    </row>
    <row r="87" spans="1:16" s="162" customFormat="1">
      <c r="A87" s="164" t="s">
        <v>1315</v>
      </c>
      <c r="B87" s="164"/>
      <c r="C87" s="164" t="s">
        <v>107</v>
      </c>
      <c r="D87" s="164" t="s">
        <v>4</v>
      </c>
      <c r="E87" s="166" t="s">
        <v>108</v>
      </c>
      <c r="F87" s="166" t="s">
        <v>109</v>
      </c>
      <c r="G87" s="164" t="s">
        <v>1314</v>
      </c>
      <c r="H87" s="164" t="s">
        <v>1313</v>
      </c>
      <c r="I87" s="165" t="s">
        <v>1312</v>
      </c>
      <c r="J87" s="163" t="s">
        <v>1311</v>
      </c>
      <c r="K87" s="163" t="s">
        <v>110</v>
      </c>
      <c r="L87" s="163" t="s">
        <v>1310</v>
      </c>
      <c r="M87" s="164" t="s">
        <v>111</v>
      </c>
      <c r="N87" s="163" t="s">
        <v>949</v>
      </c>
      <c r="O87" s="163" t="s">
        <v>948</v>
      </c>
      <c r="P87" s="163" t="s">
        <v>129</v>
      </c>
    </row>
    <row r="88" spans="1:16">
      <c r="A88" s="24">
        <v>309</v>
      </c>
      <c r="B88" s="329" t="s">
        <v>1870</v>
      </c>
      <c r="C88" s="1" t="s">
        <v>1869</v>
      </c>
      <c r="D88" s="1" t="s">
        <v>1868</v>
      </c>
      <c r="E88" s="3">
        <v>5.76</v>
      </c>
      <c r="F88" s="3">
        <v>5.7599999685999999</v>
      </c>
      <c r="G88" s="332">
        <v>42703</v>
      </c>
      <c r="H88" s="24" t="s">
        <v>151</v>
      </c>
      <c r="I88" s="130">
        <v>26.8</v>
      </c>
      <c r="J88" s="3">
        <v>25.57</v>
      </c>
      <c r="K88" s="160">
        <v>24.95</v>
      </c>
      <c r="L88" s="271">
        <v>0.95410447761194028</v>
      </c>
      <c r="M88" s="270">
        <v>6</v>
      </c>
      <c r="N88" s="2">
        <v>43119</v>
      </c>
      <c r="O88" s="24">
        <v>11.71</v>
      </c>
      <c r="P88" s="157">
        <v>0.45897536175205322</v>
      </c>
    </row>
    <row r="89" spans="1:16">
      <c r="C89" s="16" t="s">
        <v>112</v>
      </c>
      <c r="D89" s="16" t="s">
        <v>113</v>
      </c>
      <c r="E89" s="16" t="s">
        <v>1305</v>
      </c>
      <c r="F89" s="17" t="s">
        <v>1304</v>
      </c>
      <c r="G89" s="16" t="s">
        <v>1303</v>
      </c>
    </row>
    <row r="90" spans="1:16">
      <c r="C90" s="11" t="s">
        <v>130</v>
      </c>
      <c r="D90" s="11">
        <v>25.51</v>
      </c>
      <c r="E90" s="281">
        <v>6000</v>
      </c>
      <c r="F90" s="11"/>
      <c r="G90" s="11"/>
    </row>
    <row r="91" spans="1:16">
      <c r="C91" s="11"/>
      <c r="D91" s="11">
        <v>24.95</v>
      </c>
      <c r="E91" s="281">
        <v>6000</v>
      </c>
      <c r="F91" s="11"/>
      <c r="G91" s="11"/>
    </row>
    <row r="92" spans="1:16">
      <c r="C92" s="11" t="s">
        <v>228</v>
      </c>
      <c r="D92" s="11">
        <v>25.75</v>
      </c>
      <c r="E92" s="281">
        <v>9000</v>
      </c>
      <c r="F92" s="282">
        <f xml:space="preserve"> 3519749/10000</f>
        <v>351.97489999999999</v>
      </c>
      <c r="G92" s="282">
        <f>89999981.93/100000000</f>
        <v>0.89999981930000006</v>
      </c>
    </row>
    <row r="93" spans="1:16">
      <c r="C93" s="11"/>
      <c r="D93" s="11">
        <v>25.2</v>
      </c>
      <c r="E93" s="281">
        <v>10000</v>
      </c>
      <c r="F93" s="282"/>
      <c r="G93" s="11"/>
    </row>
    <row r="94" spans="1:16">
      <c r="C94" s="11"/>
      <c r="D94" s="11">
        <v>24.98</v>
      </c>
      <c r="E94" s="281">
        <v>11500</v>
      </c>
      <c r="F94" s="282"/>
      <c r="G94" s="11"/>
    </row>
    <row r="95" spans="1:16">
      <c r="C95" s="11" t="s">
        <v>233</v>
      </c>
      <c r="D95" s="11">
        <v>24.95</v>
      </c>
      <c r="E95" s="281">
        <v>6000</v>
      </c>
      <c r="F95" s="282"/>
      <c r="G95" s="11"/>
    </row>
    <row r="96" spans="1:16">
      <c r="C96" s="11" t="s">
        <v>385</v>
      </c>
      <c r="D96" s="11">
        <v>26.3</v>
      </c>
      <c r="E96" s="281">
        <v>6000</v>
      </c>
      <c r="F96" s="282">
        <f>2346499/10000</f>
        <v>234.6499</v>
      </c>
      <c r="G96" s="282">
        <f>59999979.43/100000000</f>
        <v>0.59999979429999994</v>
      </c>
    </row>
    <row r="97" spans="3:7">
      <c r="C97" s="11" t="s">
        <v>300</v>
      </c>
      <c r="D97" s="11">
        <v>25.52</v>
      </c>
      <c r="E97" s="281">
        <v>6000</v>
      </c>
      <c r="F97" s="282"/>
      <c r="G97" s="11"/>
    </row>
    <row r="98" spans="3:7">
      <c r="C98" s="11" t="s">
        <v>666</v>
      </c>
      <c r="D98" s="11">
        <v>25.85</v>
      </c>
      <c r="E98" s="281">
        <v>18055</v>
      </c>
      <c r="F98" s="282">
        <f>7061008/10000</f>
        <v>706.10080000000005</v>
      </c>
      <c r="G98" s="282">
        <f>180549974.56/100000000</f>
        <v>1.8054997455999999</v>
      </c>
    </row>
    <row r="99" spans="3:7">
      <c r="C99" s="11" t="s">
        <v>279</v>
      </c>
      <c r="D99" s="11">
        <v>25.57</v>
      </c>
      <c r="E99" s="281">
        <v>9000</v>
      </c>
      <c r="F99" s="282">
        <f>3519749/10000</f>
        <v>351.97489999999999</v>
      </c>
      <c r="G99" s="282">
        <f>89999981.93/100000000</f>
        <v>0.89999981930000006</v>
      </c>
    </row>
    <row r="100" spans="3:7">
      <c r="C100" s="11"/>
      <c r="D100" s="11">
        <v>25.05</v>
      </c>
      <c r="E100" s="281">
        <v>9000</v>
      </c>
      <c r="F100" s="282"/>
      <c r="G100" s="11"/>
    </row>
    <row r="101" spans="3:7">
      <c r="C101" s="11"/>
      <c r="D101" s="11">
        <v>24.95</v>
      </c>
      <c r="E101" s="281">
        <v>9500</v>
      </c>
      <c r="F101" s="282"/>
      <c r="G101" s="11"/>
    </row>
    <row r="102" spans="3:7">
      <c r="C102" s="11" t="s">
        <v>1142</v>
      </c>
      <c r="D102" s="11">
        <v>25.41</v>
      </c>
      <c r="E102" s="281">
        <v>6000</v>
      </c>
      <c r="F102" s="282"/>
      <c r="G102" s="11"/>
    </row>
    <row r="103" spans="3:7">
      <c r="C103" s="11" t="s">
        <v>115</v>
      </c>
      <c r="D103" s="11">
        <v>25.57</v>
      </c>
      <c r="E103" s="281">
        <v>9600</v>
      </c>
      <c r="F103" s="282">
        <f>3754399/10000</f>
        <v>375.43990000000002</v>
      </c>
      <c r="G103" s="282">
        <f>95999982.43/100000000</f>
        <v>0.95999982430000008</v>
      </c>
    </row>
    <row r="104" spans="3:7">
      <c r="C104" s="11"/>
      <c r="D104" s="11">
        <v>25</v>
      </c>
      <c r="E104" s="281">
        <v>19100</v>
      </c>
      <c r="F104" s="282"/>
      <c r="G104" s="11"/>
    </row>
    <row r="105" spans="3:7">
      <c r="C105" s="11" t="s">
        <v>146</v>
      </c>
      <c r="D105" s="11">
        <v>25.57</v>
      </c>
      <c r="E105" s="281">
        <v>7900</v>
      </c>
      <c r="F105" s="282">
        <f>2324994/10000</f>
        <v>232.49940000000001</v>
      </c>
      <c r="G105" s="282">
        <f>59450096.58/100000000</f>
        <v>0.5945009658</v>
      </c>
    </row>
    <row r="106" spans="3:7">
      <c r="C106" s="11" t="s">
        <v>974</v>
      </c>
      <c r="D106" s="11">
        <v>25.01</v>
      </c>
      <c r="E106" s="281">
        <v>10000</v>
      </c>
      <c r="F106" s="11"/>
      <c r="G106" s="11"/>
    </row>
    <row r="107" spans="3:7">
      <c r="C107" s="11" t="s">
        <v>336</v>
      </c>
      <c r="D107" s="11">
        <v>25.57</v>
      </c>
      <c r="E107" s="281">
        <v>7660</v>
      </c>
      <c r="F107" s="11"/>
      <c r="G107" s="11"/>
    </row>
    <row r="108" spans="3:7">
      <c r="C108" s="11"/>
      <c r="D108" s="11">
        <v>25.01</v>
      </c>
      <c r="E108" s="281">
        <v>8360</v>
      </c>
      <c r="F108" s="11"/>
      <c r="G108" s="11"/>
    </row>
    <row r="109" spans="3:7">
      <c r="C109" s="11"/>
      <c r="D109" s="11">
        <v>24.95</v>
      </c>
      <c r="E109" s="281">
        <v>8660</v>
      </c>
      <c r="F109" s="11"/>
      <c r="G109" s="11"/>
    </row>
    <row r="113" spans="1:17" s="162" customFormat="1">
      <c r="A113" s="164" t="s">
        <v>1315</v>
      </c>
      <c r="B113" s="164"/>
      <c r="C113" s="164" t="s">
        <v>107</v>
      </c>
      <c r="D113" s="164" t="s">
        <v>4</v>
      </c>
      <c r="E113" s="166" t="s">
        <v>108</v>
      </c>
      <c r="F113" s="166" t="s">
        <v>109</v>
      </c>
      <c r="G113" s="164" t="s">
        <v>1314</v>
      </c>
      <c r="H113" s="164" t="s">
        <v>1313</v>
      </c>
      <c r="I113" s="165" t="s">
        <v>1312</v>
      </c>
      <c r="J113" s="163" t="s">
        <v>1311</v>
      </c>
      <c r="K113" s="163" t="s">
        <v>110</v>
      </c>
      <c r="L113" s="163" t="s">
        <v>1310</v>
      </c>
      <c r="M113" s="164" t="s">
        <v>111</v>
      </c>
      <c r="N113" s="163" t="s">
        <v>949</v>
      </c>
      <c r="O113" s="163" t="s">
        <v>948</v>
      </c>
      <c r="P113" s="163" t="s">
        <v>129</v>
      </c>
    </row>
    <row r="114" spans="1:17">
      <c r="A114" s="24">
        <v>310</v>
      </c>
      <c r="B114" s="329" t="s">
        <v>1867</v>
      </c>
      <c r="C114" s="1" t="s">
        <v>1866</v>
      </c>
      <c r="D114" s="1" t="s">
        <v>1865</v>
      </c>
      <c r="E114" s="3">
        <v>38.399299999999997</v>
      </c>
      <c r="F114" s="3">
        <v>38.39929996</v>
      </c>
      <c r="G114" s="2">
        <v>42717</v>
      </c>
      <c r="H114" s="24" t="s">
        <v>151</v>
      </c>
      <c r="I114" s="130">
        <v>6.54</v>
      </c>
      <c r="J114" s="3">
        <v>5.6</v>
      </c>
      <c r="K114" s="160">
        <v>5.59</v>
      </c>
      <c r="L114" s="271">
        <v>0.85626911314984699</v>
      </c>
      <c r="M114" s="270">
        <v>10</v>
      </c>
      <c r="N114" s="2">
        <v>43108</v>
      </c>
      <c r="O114" s="24">
        <v>3.95</v>
      </c>
      <c r="P114" s="157">
        <v>0.7053571428571429</v>
      </c>
    </row>
    <row r="115" spans="1:17" ht="14.5">
      <c r="C115" s="16" t="s">
        <v>112</v>
      </c>
      <c r="D115" s="16" t="s">
        <v>113</v>
      </c>
      <c r="E115" s="16" t="s">
        <v>1305</v>
      </c>
      <c r="F115" s="17" t="s">
        <v>1304</v>
      </c>
      <c r="G115" s="16" t="s">
        <v>1303</v>
      </c>
      <c r="I115" s="386" t="s">
        <v>1499</v>
      </c>
      <c r="J115" s="386" t="s">
        <v>1864</v>
      </c>
      <c r="K115" s="335" t="s">
        <v>1863</v>
      </c>
      <c r="L115" s="335" t="s">
        <v>1862</v>
      </c>
      <c r="N115" s="196" t="s">
        <v>1413</v>
      </c>
      <c r="O115" s="196" t="s">
        <v>486</v>
      </c>
      <c r="P115" s="85" t="s">
        <v>1319</v>
      </c>
      <c r="Q115" s="85" t="s">
        <v>1318</v>
      </c>
    </row>
    <row r="116" spans="1:17" ht="15">
      <c r="C116" s="11" t="str">
        <f t="shared" ref="C116:C125" si="10">IF(J116=0,"",J116)</f>
        <v xml:space="preserve">财通基金管理有限公司 </v>
      </c>
      <c r="D116" s="11">
        <f t="shared" ref="D116:D125" si="11">K116</f>
        <v>5.7</v>
      </c>
      <c r="E116" s="11">
        <f t="shared" ref="E116:E125" si="12">L116/10000</f>
        <v>3.5</v>
      </c>
      <c r="F116" s="281">
        <f>P119/10000</f>
        <v>7482.1427999999996</v>
      </c>
      <c r="G116" s="10">
        <f t="shared" ref="G116:G128" si="13">IFERROR(F116*J$114/10000,"")</f>
        <v>4.1899999679999995</v>
      </c>
      <c r="I116" s="305"/>
      <c r="J116" s="156" t="s">
        <v>1861</v>
      </c>
      <c r="K116" s="227">
        <v>5.7</v>
      </c>
      <c r="L116" s="377">
        <v>35000</v>
      </c>
      <c r="N116" s="196" t="s">
        <v>477</v>
      </c>
      <c r="O116" s="196"/>
      <c r="P116" s="85" t="s">
        <v>1317</v>
      </c>
      <c r="Q116" s="85" t="s">
        <v>1316</v>
      </c>
    </row>
    <row r="117" spans="1:17">
      <c r="C117" s="11" t="str">
        <f t="shared" si="10"/>
        <v/>
      </c>
      <c r="D117" s="11">
        <f t="shared" si="11"/>
        <v>5.6</v>
      </c>
      <c r="E117" s="11">
        <f t="shared" si="12"/>
        <v>4.1900000000000004</v>
      </c>
      <c r="F117" s="281" t="str">
        <f>IFERROR(VLOOKUP(C117,O$117:Q$126,2,FALSE)/10000,"")</f>
        <v/>
      </c>
      <c r="G117" s="10" t="str">
        <f t="shared" si="13"/>
        <v/>
      </c>
      <c r="I117" s="191">
        <v>1</v>
      </c>
      <c r="J117" s="25"/>
      <c r="K117" s="227">
        <v>5.6</v>
      </c>
      <c r="L117" s="377">
        <v>41900</v>
      </c>
      <c r="N117" s="168">
        <v>1</v>
      </c>
      <c r="O117" s="192" t="s">
        <v>1860</v>
      </c>
      <c r="P117" s="236">
        <v>184179499</v>
      </c>
      <c r="Q117" s="234">
        <v>1031405194.4</v>
      </c>
    </row>
    <row r="118" spans="1:17">
      <c r="C118" s="11" t="str">
        <f t="shared" si="10"/>
        <v/>
      </c>
      <c r="D118" s="11">
        <f t="shared" si="11"/>
        <v>5.59</v>
      </c>
      <c r="E118" s="11">
        <f t="shared" si="12"/>
        <v>4.91</v>
      </c>
      <c r="F118" s="281" t="str">
        <f>IFERROR(VLOOKUP(C118,O$117:Q$126,2,FALSE)/10000,"")</f>
        <v/>
      </c>
      <c r="G118" s="10" t="str">
        <f t="shared" si="13"/>
        <v/>
      </c>
      <c r="I118" s="64"/>
      <c r="J118" s="64"/>
      <c r="K118" s="227">
        <v>5.59</v>
      </c>
      <c r="L118" s="377">
        <v>49100</v>
      </c>
      <c r="N118" s="168">
        <v>2</v>
      </c>
      <c r="O118" s="192" t="s">
        <v>1859</v>
      </c>
      <c r="P118" s="236">
        <v>7817000</v>
      </c>
      <c r="Q118" s="234">
        <v>43775200</v>
      </c>
    </row>
    <row r="119" spans="1:17">
      <c r="C119" s="11" t="str">
        <f t="shared" si="10"/>
        <v xml:space="preserve">华安基金管理有限公司 </v>
      </c>
      <c r="D119" s="11">
        <f t="shared" si="11"/>
        <v>5.7</v>
      </c>
      <c r="E119" s="11">
        <f t="shared" si="12"/>
        <v>4.18</v>
      </c>
      <c r="F119" s="281">
        <f t="shared" ref="F119:F125" si="14">P120/10000</f>
        <v>7464.2857000000004</v>
      </c>
      <c r="G119" s="10">
        <f t="shared" si="13"/>
        <v>4.1799999919999999</v>
      </c>
      <c r="I119" s="168">
        <v>2</v>
      </c>
      <c r="J119" s="204" t="s">
        <v>1858</v>
      </c>
      <c r="K119" s="227">
        <v>5.7</v>
      </c>
      <c r="L119" s="377">
        <v>41800</v>
      </c>
      <c r="N119" s="168">
        <v>3</v>
      </c>
      <c r="O119" s="192" t="s">
        <v>115</v>
      </c>
      <c r="P119" s="236">
        <v>74821428</v>
      </c>
      <c r="Q119" s="234">
        <v>418999996.80000001</v>
      </c>
    </row>
    <row r="120" spans="1:17">
      <c r="C120" s="11" t="str">
        <f t="shared" si="10"/>
        <v xml:space="preserve">工银瑞信基金管理有限公司 </v>
      </c>
      <c r="D120" s="11">
        <f t="shared" si="11"/>
        <v>5.85</v>
      </c>
      <c r="E120" s="11">
        <f t="shared" si="12"/>
        <v>3.5</v>
      </c>
      <c r="F120" s="281">
        <f t="shared" si="14"/>
        <v>6250</v>
      </c>
      <c r="G120" s="10">
        <f t="shared" si="13"/>
        <v>3.5</v>
      </c>
      <c r="I120" s="168">
        <v>3</v>
      </c>
      <c r="J120" s="204" t="s">
        <v>1857</v>
      </c>
      <c r="K120" s="227">
        <v>5.85</v>
      </c>
      <c r="L120" s="377">
        <v>35000</v>
      </c>
      <c r="N120" s="168">
        <v>4</v>
      </c>
      <c r="O120" s="192" t="s">
        <v>136</v>
      </c>
      <c r="P120" s="236">
        <v>74642857</v>
      </c>
      <c r="Q120" s="234">
        <v>417999999.19999999</v>
      </c>
    </row>
    <row r="121" spans="1:17">
      <c r="C121" s="11" t="str">
        <f t="shared" si="10"/>
        <v xml:space="preserve">平安大华基金管理有限公司 </v>
      </c>
      <c r="D121" s="11">
        <f t="shared" si="11"/>
        <v>5.75</v>
      </c>
      <c r="E121" s="11">
        <f t="shared" si="12"/>
        <v>3.5</v>
      </c>
      <c r="F121" s="281">
        <f t="shared" si="14"/>
        <v>6250</v>
      </c>
      <c r="G121" s="10">
        <f t="shared" si="13"/>
        <v>3.5</v>
      </c>
      <c r="I121" s="168">
        <v>4</v>
      </c>
      <c r="J121" s="204" t="s">
        <v>1856</v>
      </c>
      <c r="K121" s="227">
        <v>5.75</v>
      </c>
      <c r="L121" s="377">
        <v>35000</v>
      </c>
      <c r="N121" s="168">
        <v>5</v>
      </c>
      <c r="O121" s="192" t="s">
        <v>145</v>
      </c>
      <c r="P121" s="236">
        <v>62500000</v>
      </c>
      <c r="Q121" s="234">
        <v>350000000</v>
      </c>
    </row>
    <row r="122" spans="1:17">
      <c r="C122" s="11" t="str">
        <f t="shared" si="10"/>
        <v xml:space="preserve">第一创业证券股份有限公司 </v>
      </c>
      <c r="D122" s="11">
        <f t="shared" si="11"/>
        <v>5.62</v>
      </c>
      <c r="E122" s="11">
        <f t="shared" si="12"/>
        <v>3.5</v>
      </c>
      <c r="F122" s="281">
        <f t="shared" si="14"/>
        <v>6250</v>
      </c>
      <c r="G122" s="10">
        <f t="shared" si="13"/>
        <v>3.5</v>
      </c>
      <c r="I122" s="168">
        <v>5</v>
      </c>
      <c r="J122" s="204" t="s">
        <v>1855</v>
      </c>
      <c r="K122" s="227">
        <v>5.62</v>
      </c>
      <c r="L122" s="377">
        <v>35000</v>
      </c>
      <c r="N122" s="168">
        <v>6</v>
      </c>
      <c r="O122" s="192" t="s">
        <v>146</v>
      </c>
      <c r="P122" s="236">
        <v>62500000</v>
      </c>
      <c r="Q122" s="234">
        <v>350000000</v>
      </c>
    </row>
    <row r="123" spans="1:17">
      <c r="C123" s="11" t="str">
        <f t="shared" si="10"/>
        <v xml:space="preserve">西南证券股份有限公司 </v>
      </c>
      <c r="D123" s="11">
        <f t="shared" si="11"/>
        <v>5.6</v>
      </c>
      <c r="E123" s="11">
        <f t="shared" si="12"/>
        <v>3.5</v>
      </c>
      <c r="F123" s="281">
        <f t="shared" si="14"/>
        <v>6250</v>
      </c>
      <c r="G123" s="10">
        <f t="shared" si="13"/>
        <v>3.5</v>
      </c>
      <c r="I123" s="168">
        <v>6</v>
      </c>
      <c r="J123" s="204" t="s">
        <v>1854</v>
      </c>
      <c r="K123" s="227">
        <v>5.6</v>
      </c>
      <c r="L123" s="377">
        <v>35000</v>
      </c>
      <c r="N123" s="168">
        <v>7</v>
      </c>
      <c r="O123" s="192" t="s">
        <v>127</v>
      </c>
      <c r="P123" s="236">
        <v>62500000</v>
      </c>
      <c r="Q123" s="234">
        <v>350000000</v>
      </c>
    </row>
    <row r="124" spans="1:17">
      <c r="C124" s="11" t="str">
        <f t="shared" si="10"/>
        <v xml:space="preserve">中船投资发展有限公司 </v>
      </c>
      <c r="D124" s="11">
        <f t="shared" si="11"/>
        <v>5.9</v>
      </c>
      <c r="E124" s="11">
        <f t="shared" si="12"/>
        <v>3.5</v>
      </c>
      <c r="F124" s="281">
        <f t="shared" si="14"/>
        <v>6250</v>
      </c>
      <c r="G124" s="10">
        <f t="shared" si="13"/>
        <v>3.5</v>
      </c>
      <c r="I124" s="168">
        <v>7</v>
      </c>
      <c r="J124" s="204" t="s">
        <v>1853</v>
      </c>
      <c r="K124" s="227">
        <v>5.9</v>
      </c>
      <c r="L124" s="377">
        <v>35000</v>
      </c>
      <c r="N124" s="168">
        <v>8</v>
      </c>
      <c r="O124" s="192" t="s">
        <v>1852</v>
      </c>
      <c r="P124" s="236">
        <v>62500000</v>
      </c>
      <c r="Q124" s="234">
        <v>350000000</v>
      </c>
    </row>
    <row r="125" spans="1:17">
      <c r="C125" s="11" t="str">
        <f t="shared" si="10"/>
        <v xml:space="preserve">申万菱信基金管理有限公司 </v>
      </c>
      <c r="D125" s="11">
        <f t="shared" si="11"/>
        <v>5.6</v>
      </c>
      <c r="E125" s="11">
        <f t="shared" si="12"/>
        <v>3.5</v>
      </c>
      <c r="F125" s="281">
        <f t="shared" si="14"/>
        <v>3174.1001000000001</v>
      </c>
      <c r="G125" s="10">
        <f t="shared" si="13"/>
        <v>1.7774960559999999</v>
      </c>
      <c r="I125" s="168">
        <v>8</v>
      </c>
      <c r="J125" s="204" t="s">
        <v>1851</v>
      </c>
      <c r="K125" s="227">
        <v>5.6</v>
      </c>
      <c r="L125" s="377">
        <v>35000</v>
      </c>
      <c r="N125" s="168">
        <v>9</v>
      </c>
      <c r="O125" s="192" t="s">
        <v>1653</v>
      </c>
      <c r="P125" s="236">
        <v>62500000</v>
      </c>
      <c r="Q125" s="234">
        <v>350000000</v>
      </c>
    </row>
    <row r="126" spans="1:17">
      <c r="C126" s="16" t="s">
        <v>1643</v>
      </c>
      <c r="D126" s="11"/>
      <c r="E126" s="11"/>
      <c r="F126" s="11"/>
      <c r="G126" s="10">
        <f t="shared" si="13"/>
        <v>0</v>
      </c>
      <c r="N126" s="168">
        <v>10</v>
      </c>
      <c r="O126" s="192" t="s">
        <v>121</v>
      </c>
      <c r="P126" s="236">
        <v>31741001</v>
      </c>
      <c r="Q126" s="234">
        <v>177749605.59999999</v>
      </c>
    </row>
    <row r="127" spans="1:17">
      <c r="C127" s="11" t="str">
        <f>O117</f>
        <v>国家电投集团吉林省能源交通总公司</v>
      </c>
      <c r="D127" s="11"/>
      <c r="E127" s="11"/>
      <c r="F127" s="281">
        <f>P117/10000</f>
        <v>18417.9499</v>
      </c>
      <c r="G127" s="10">
        <f t="shared" si="13"/>
        <v>10.314051943999999</v>
      </c>
      <c r="N127" s="278"/>
      <c r="O127" s="85" t="s">
        <v>1293</v>
      </c>
      <c r="P127" s="284">
        <v>685701785</v>
      </c>
      <c r="Q127" s="323">
        <v>3839929996</v>
      </c>
    </row>
    <row r="128" spans="1:17">
      <c r="C128" s="11" t="str">
        <f>O118</f>
        <v>中国电能成套设备有限公司</v>
      </c>
      <c r="D128" s="11"/>
      <c r="E128" s="11"/>
      <c r="F128" s="281">
        <f>P118/10000</f>
        <v>781.7</v>
      </c>
      <c r="G128" s="10">
        <f t="shared" si="13"/>
        <v>0.43775199999999997</v>
      </c>
    </row>
    <row r="132" spans="1:17" s="162" customFormat="1">
      <c r="A132" s="164" t="s">
        <v>1315</v>
      </c>
      <c r="B132" s="164"/>
      <c r="C132" s="164" t="s">
        <v>107</v>
      </c>
      <c r="D132" s="164" t="s">
        <v>4</v>
      </c>
      <c r="E132" s="166" t="s">
        <v>108</v>
      </c>
      <c r="F132" s="166" t="s">
        <v>109</v>
      </c>
      <c r="G132" s="164" t="s">
        <v>1314</v>
      </c>
      <c r="H132" s="164" t="s">
        <v>1313</v>
      </c>
      <c r="I132" s="165" t="s">
        <v>1312</v>
      </c>
      <c r="J132" s="163" t="s">
        <v>1311</v>
      </c>
      <c r="K132" s="163" t="s">
        <v>110</v>
      </c>
      <c r="L132" s="163" t="s">
        <v>1310</v>
      </c>
      <c r="M132" s="164" t="s">
        <v>111</v>
      </c>
      <c r="N132" s="163" t="s">
        <v>949</v>
      </c>
      <c r="O132" s="163" t="s">
        <v>948</v>
      </c>
      <c r="P132" s="163" t="s">
        <v>129</v>
      </c>
    </row>
    <row r="133" spans="1:17">
      <c r="A133" s="24">
        <v>311</v>
      </c>
      <c r="B133" s="329" t="s">
        <v>1850</v>
      </c>
      <c r="C133" s="1" t="s">
        <v>1849</v>
      </c>
      <c r="D133" s="1" t="s">
        <v>1848</v>
      </c>
      <c r="E133" s="3">
        <v>83.200308000000007</v>
      </c>
      <c r="F133" s="3">
        <v>83.200135919999994</v>
      </c>
      <c r="G133" s="2">
        <v>42726</v>
      </c>
      <c r="H133" s="24" t="s">
        <v>153</v>
      </c>
      <c r="I133" s="130">
        <v>34.69</v>
      </c>
      <c r="J133" s="3">
        <v>32.01</v>
      </c>
      <c r="K133" s="160">
        <v>29.85</v>
      </c>
      <c r="L133" s="271">
        <v>0.92274430671663299</v>
      </c>
      <c r="M133" s="270">
        <v>9</v>
      </c>
      <c r="N133" s="2">
        <v>43104</v>
      </c>
      <c r="O133" s="24">
        <v>34.39</v>
      </c>
      <c r="P133" s="157">
        <v>1.0805998125585756</v>
      </c>
    </row>
    <row r="134" spans="1:17">
      <c r="C134" s="16" t="s">
        <v>112</v>
      </c>
      <c r="D134" s="16" t="s">
        <v>113</v>
      </c>
      <c r="E134" s="16" t="s">
        <v>1305</v>
      </c>
      <c r="F134" s="17" t="s">
        <v>1304</v>
      </c>
      <c r="G134" s="16" t="s">
        <v>1303</v>
      </c>
      <c r="I134" s="330" t="s">
        <v>118</v>
      </c>
      <c r="J134" s="330" t="s">
        <v>7</v>
      </c>
      <c r="K134" s="330" t="s">
        <v>476</v>
      </c>
      <c r="L134" s="330" t="s">
        <v>1847</v>
      </c>
      <c r="N134" s="344" t="s">
        <v>1413</v>
      </c>
      <c r="O134" s="330" t="s">
        <v>486</v>
      </c>
      <c r="P134" s="344" t="s">
        <v>1301</v>
      </c>
      <c r="Q134" s="331" t="s">
        <v>1596</v>
      </c>
    </row>
    <row r="135" spans="1:17">
      <c r="C135" s="11" t="str">
        <f t="shared" ref="C135:C158" si="15">IF(J136=0,"",J136)</f>
        <v>中信证券股份有限公司</v>
      </c>
      <c r="D135" s="11">
        <f t="shared" ref="D135:D156" si="16">K136</f>
        <v>33.1</v>
      </c>
      <c r="E135" s="11">
        <f t="shared" ref="E135:E156" si="17">L136/10000</f>
        <v>8.36</v>
      </c>
      <c r="F135" s="10">
        <f t="shared" ref="F135:F156" si="18">IFERROR(VLOOKUP(C135,O$136:Q$144,3,FALSE)/10000,"")</f>
        <v>2611.6837999999998</v>
      </c>
      <c r="G135" s="10">
        <f t="shared" ref="G135:G153" si="19">IFERROR(F135*J$133/10000,"")</f>
        <v>8.3599998437999989</v>
      </c>
      <c r="I135" s="330"/>
      <c r="J135" s="330"/>
      <c r="K135" s="330"/>
      <c r="L135" s="330"/>
      <c r="N135" s="344" t="s">
        <v>477</v>
      </c>
      <c r="O135" s="330"/>
      <c r="P135" s="344" t="s">
        <v>1709</v>
      </c>
      <c r="Q135" s="331" t="s">
        <v>1317</v>
      </c>
    </row>
    <row r="136" spans="1:17" ht="18.5">
      <c r="C136" s="11" t="str">
        <f t="shared" si="15"/>
        <v/>
      </c>
      <c r="D136" s="11">
        <f t="shared" si="16"/>
        <v>32</v>
      </c>
      <c r="E136" s="11">
        <f t="shared" si="17"/>
        <v>8.4600000000000009</v>
      </c>
      <c r="F136" s="10" t="str">
        <f t="shared" si="18"/>
        <v/>
      </c>
      <c r="G136" s="10" t="str">
        <f t="shared" si="19"/>
        <v/>
      </c>
      <c r="I136" s="397"/>
      <c r="J136" s="156" t="s">
        <v>316</v>
      </c>
      <c r="K136" s="292">
        <v>33.1</v>
      </c>
      <c r="L136" s="318">
        <v>83600</v>
      </c>
      <c r="N136" s="191">
        <v>1</v>
      </c>
      <c r="O136" s="203" t="s">
        <v>1846</v>
      </c>
      <c r="P136" s="190">
        <v>32.01</v>
      </c>
      <c r="Q136" s="234">
        <v>26023117</v>
      </c>
    </row>
    <row r="137" spans="1:17">
      <c r="C137" s="11" t="str">
        <f t="shared" si="15"/>
        <v/>
      </c>
      <c r="D137" s="11">
        <f t="shared" si="16"/>
        <v>31</v>
      </c>
      <c r="E137" s="11">
        <f t="shared" si="17"/>
        <v>9.9600000000000009</v>
      </c>
      <c r="F137" s="10" t="str">
        <f t="shared" si="18"/>
        <v/>
      </c>
      <c r="G137" s="10" t="str">
        <f t="shared" si="19"/>
        <v/>
      </c>
      <c r="I137" s="292">
        <v>1</v>
      </c>
      <c r="J137" s="25"/>
      <c r="K137" s="292">
        <v>32</v>
      </c>
      <c r="L137" s="318">
        <v>84600</v>
      </c>
      <c r="N137" s="191">
        <v>2</v>
      </c>
      <c r="O137" s="203" t="s">
        <v>314</v>
      </c>
      <c r="P137" s="190">
        <v>32.01</v>
      </c>
      <c r="Q137" s="234">
        <v>26023117</v>
      </c>
    </row>
    <row r="138" spans="1:17">
      <c r="C138" s="11" t="str">
        <f t="shared" si="15"/>
        <v>易方达基金管理有限公司</v>
      </c>
      <c r="D138" s="11">
        <f t="shared" si="16"/>
        <v>32.01</v>
      </c>
      <c r="E138" s="11">
        <f t="shared" si="17"/>
        <v>8.33</v>
      </c>
      <c r="F138" s="10">
        <f t="shared" si="18"/>
        <v>2052.5264999999999</v>
      </c>
      <c r="G138" s="10">
        <f t="shared" si="19"/>
        <v>6.5701373264999985</v>
      </c>
      <c r="I138" s="64"/>
      <c r="J138" s="64"/>
      <c r="K138" s="292">
        <v>31</v>
      </c>
      <c r="L138" s="318">
        <v>99600</v>
      </c>
      <c r="N138" s="191">
        <v>3</v>
      </c>
      <c r="O138" s="203" t="s">
        <v>1655</v>
      </c>
      <c r="P138" s="190">
        <v>32.01</v>
      </c>
      <c r="Q138" s="234">
        <v>26023117</v>
      </c>
    </row>
    <row r="139" spans="1:17">
      <c r="C139" s="11" t="str">
        <f t="shared" si="15"/>
        <v>诺安基金管理有限公司</v>
      </c>
      <c r="D139" s="11">
        <f t="shared" si="16"/>
        <v>30.05</v>
      </c>
      <c r="E139" s="11">
        <f t="shared" si="17"/>
        <v>8.33</v>
      </c>
      <c r="F139" s="10" t="str">
        <f t="shared" si="18"/>
        <v/>
      </c>
      <c r="G139" s="10" t="str">
        <f t="shared" si="19"/>
        <v/>
      </c>
      <c r="I139" s="292">
        <v>2</v>
      </c>
      <c r="J139" s="155" t="s">
        <v>225</v>
      </c>
      <c r="K139" s="292">
        <v>32.01</v>
      </c>
      <c r="L139" s="318">
        <v>83300</v>
      </c>
      <c r="N139" s="191">
        <v>4</v>
      </c>
      <c r="O139" s="203" t="s">
        <v>316</v>
      </c>
      <c r="P139" s="190">
        <v>32.01</v>
      </c>
      <c r="Q139" s="234">
        <v>26116838</v>
      </c>
    </row>
    <row r="140" spans="1:17">
      <c r="C140" s="11" t="str">
        <f t="shared" si="15"/>
        <v>华富基金管理有限公司</v>
      </c>
      <c r="D140" s="11">
        <f t="shared" si="16"/>
        <v>33.5</v>
      </c>
      <c r="E140" s="11">
        <f t="shared" si="17"/>
        <v>8.33</v>
      </c>
      <c r="F140" s="10">
        <f t="shared" si="18"/>
        <v>2602.3117000000002</v>
      </c>
      <c r="G140" s="10">
        <f t="shared" si="19"/>
        <v>8.3299997516999991</v>
      </c>
      <c r="I140" s="292">
        <v>3</v>
      </c>
      <c r="J140" s="155" t="s">
        <v>147</v>
      </c>
      <c r="K140" s="292">
        <v>30.05</v>
      </c>
      <c r="L140" s="318">
        <v>83300</v>
      </c>
      <c r="N140" s="191">
        <v>5</v>
      </c>
      <c r="O140" s="203" t="s">
        <v>1117</v>
      </c>
      <c r="P140" s="190">
        <v>32.01</v>
      </c>
      <c r="Q140" s="234">
        <v>26023117</v>
      </c>
    </row>
    <row r="141" spans="1:17">
      <c r="C141" s="11" t="str">
        <f t="shared" si="15"/>
        <v>浙江浙银资本管理有限公司</v>
      </c>
      <c r="D141" s="11">
        <f t="shared" si="16"/>
        <v>33</v>
      </c>
      <c r="E141" s="11">
        <f t="shared" si="17"/>
        <v>8.33</v>
      </c>
      <c r="F141" s="10">
        <f t="shared" si="18"/>
        <v>2602.3117000000002</v>
      </c>
      <c r="G141" s="10">
        <f t="shared" si="19"/>
        <v>8.3299997516999991</v>
      </c>
      <c r="I141" s="292">
        <v>4</v>
      </c>
      <c r="J141" s="155" t="s">
        <v>314</v>
      </c>
      <c r="K141" s="292">
        <v>33.5</v>
      </c>
      <c r="L141" s="318">
        <v>83300</v>
      </c>
      <c r="N141" s="191">
        <v>6</v>
      </c>
      <c r="O141" s="203" t="s">
        <v>115</v>
      </c>
      <c r="P141" s="190">
        <v>32.01</v>
      </c>
      <c r="Q141" s="234">
        <v>36363636</v>
      </c>
    </row>
    <row r="142" spans="1:17" ht="14.5" customHeight="1">
      <c r="C142" s="11" t="str">
        <f t="shared" si="15"/>
        <v/>
      </c>
      <c r="D142" s="11">
        <f t="shared" si="16"/>
        <v>32.5</v>
      </c>
      <c r="E142" s="11">
        <f t="shared" si="17"/>
        <v>8.33</v>
      </c>
      <c r="F142" s="10" t="str">
        <f t="shared" si="18"/>
        <v/>
      </c>
      <c r="G142" s="10" t="str">
        <f t="shared" si="19"/>
        <v/>
      </c>
      <c r="I142" s="397"/>
      <c r="J142" s="156" t="s">
        <v>1117</v>
      </c>
      <c r="K142" s="292">
        <v>33</v>
      </c>
      <c r="L142" s="318">
        <v>83300</v>
      </c>
      <c r="N142" s="191">
        <v>7</v>
      </c>
      <c r="O142" s="203" t="s">
        <v>1509</v>
      </c>
      <c r="P142" s="190">
        <v>32.01</v>
      </c>
      <c r="Q142" s="234">
        <v>26241799</v>
      </c>
    </row>
    <row r="143" spans="1:17">
      <c r="C143" s="11" t="str">
        <f t="shared" si="15"/>
        <v/>
      </c>
      <c r="D143" s="11">
        <f t="shared" si="16"/>
        <v>32</v>
      </c>
      <c r="E143" s="11">
        <f t="shared" si="17"/>
        <v>8.33</v>
      </c>
      <c r="F143" s="10" t="str">
        <f t="shared" si="18"/>
        <v/>
      </c>
      <c r="G143" s="10" t="str">
        <f t="shared" si="19"/>
        <v/>
      </c>
      <c r="I143" s="292">
        <v>5</v>
      </c>
      <c r="J143" s="25"/>
      <c r="K143" s="292">
        <v>32.5</v>
      </c>
      <c r="L143" s="318">
        <v>83300</v>
      </c>
      <c r="N143" s="191">
        <v>8</v>
      </c>
      <c r="O143" s="203" t="s">
        <v>278</v>
      </c>
      <c r="P143" s="190">
        <v>32.01</v>
      </c>
      <c r="Q143" s="234">
        <v>46579194</v>
      </c>
    </row>
    <row r="144" spans="1:17">
      <c r="C144" s="11" t="str">
        <f t="shared" si="15"/>
        <v>深圳天风天成资产管理有限公司</v>
      </c>
      <c r="D144" s="11">
        <f t="shared" si="16"/>
        <v>33.28</v>
      </c>
      <c r="E144" s="11">
        <f t="shared" si="17"/>
        <v>8.33</v>
      </c>
      <c r="F144" s="10">
        <f t="shared" si="18"/>
        <v>2602.3117000000002</v>
      </c>
      <c r="G144" s="10">
        <f t="shared" si="19"/>
        <v>8.3299997516999991</v>
      </c>
      <c r="I144" s="64"/>
      <c r="J144" s="64"/>
      <c r="K144" s="292">
        <v>32</v>
      </c>
      <c r="L144" s="318">
        <v>83300</v>
      </c>
      <c r="N144" s="191">
        <v>9</v>
      </c>
      <c r="O144" s="203" t="s">
        <v>225</v>
      </c>
      <c r="P144" s="190">
        <v>32.01</v>
      </c>
      <c r="Q144" s="234">
        <v>20525265</v>
      </c>
    </row>
    <row r="145" spans="1:17" ht="18.5">
      <c r="C145" s="11" t="str">
        <f t="shared" si="15"/>
        <v/>
      </c>
      <c r="D145" s="11">
        <f t="shared" si="16"/>
        <v>31.69</v>
      </c>
      <c r="E145" s="11">
        <f t="shared" si="17"/>
        <v>8.34</v>
      </c>
      <c r="F145" s="10" t="str">
        <f t="shared" si="18"/>
        <v/>
      </c>
      <c r="G145" s="10" t="str">
        <f t="shared" si="19"/>
        <v/>
      </c>
      <c r="I145" s="397"/>
      <c r="J145" s="156" t="s">
        <v>560</v>
      </c>
      <c r="K145" s="292">
        <v>33.28</v>
      </c>
      <c r="L145" s="318">
        <v>83300</v>
      </c>
      <c r="N145" s="330" t="s">
        <v>1293</v>
      </c>
      <c r="O145" s="330"/>
      <c r="P145" s="330"/>
      <c r="Q145" s="234">
        <v>259919200</v>
      </c>
    </row>
    <row r="146" spans="1:17">
      <c r="C146" s="11" t="str">
        <f t="shared" si="15"/>
        <v/>
      </c>
      <c r="D146" s="11">
        <f t="shared" si="16"/>
        <v>30.69</v>
      </c>
      <c r="E146" s="11">
        <f t="shared" si="17"/>
        <v>8.35</v>
      </c>
      <c r="F146" s="10" t="str">
        <f t="shared" si="18"/>
        <v/>
      </c>
      <c r="G146" s="10" t="str">
        <f t="shared" si="19"/>
        <v/>
      </c>
      <c r="I146" s="292">
        <v>6</v>
      </c>
      <c r="J146" s="25"/>
      <c r="K146" s="292">
        <v>31.69</v>
      </c>
      <c r="L146" s="318">
        <v>83400</v>
      </c>
    </row>
    <row r="147" spans="1:17">
      <c r="C147" s="11" t="str">
        <f t="shared" si="15"/>
        <v>财通基金管理有限公司</v>
      </c>
      <c r="D147" s="11">
        <f t="shared" si="16"/>
        <v>32.58</v>
      </c>
      <c r="E147" s="11">
        <f t="shared" si="17"/>
        <v>11.64</v>
      </c>
      <c r="F147" s="10">
        <f t="shared" si="18"/>
        <v>3636.3636000000001</v>
      </c>
      <c r="G147" s="10">
        <f t="shared" si="19"/>
        <v>11.6399998836</v>
      </c>
      <c r="I147" s="64"/>
      <c r="J147" s="64"/>
      <c r="K147" s="292">
        <v>30.69</v>
      </c>
      <c r="L147" s="318">
        <v>83500</v>
      </c>
    </row>
    <row r="148" spans="1:17" ht="18.5">
      <c r="C148" s="11" t="str">
        <f t="shared" si="15"/>
        <v/>
      </c>
      <c r="D148" s="11">
        <f t="shared" si="16"/>
        <v>32</v>
      </c>
      <c r="E148" s="11">
        <f t="shared" si="17"/>
        <v>15.67</v>
      </c>
      <c r="F148" s="10" t="str">
        <f t="shared" si="18"/>
        <v/>
      </c>
      <c r="G148" s="10" t="str">
        <f t="shared" si="19"/>
        <v/>
      </c>
      <c r="I148" s="397"/>
      <c r="J148" s="156" t="s">
        <v>115</v>
      </c>
      <c r="K148" s="292">
        <v>32.58</v>
      </c>
      <c r="L148" s="318">
        <v>116400</v>
      </c>
    </row>
    <row r="149" spans="1:17">
      <c r="C149" s="11" t="str">
        <f t="shared" si="15"/>
        <v/>
      </c>
      <c r="D149" s="11">
        <f t="shared" si="16"/>
        <v>29.9</v>
      </c>
      <c r="E149" s="11">
        <f t="shared" si="17"/>
        <v>19.260000000000002</v>
      </c>
      <c r="F149" s="10" t="str">
        <f t="shared" si="18"/>
        <v/>
      </c>
      <c r="G149" s="10" t="str">
        <f t="shared" si="19"/>
        <v/>
      </c>
      <c r="I149" s="292">
        <v>7</v>
      </c>
      <c r="J149" s="25"/>
      <c r="K149" s="292">
        <v>32</v>
      </c>
      <c r="L149" s="318">
        <v>156700</v>
      </c>
    </row>
    <row r="150" spans="1:17">
      <c r="C150" s="11" t="str">
        <f t="shared" si="15"/>
        <v>汇安基金管理有限责任公司</v>
      </c>
      <c r="D150" s="11">
        <f t="shared" si="16"/>
        <v>32.5</v>
      </c>
      <c r="E150" s="11">
        <f t="shared" si="17"/>
        <v>8.4</v>
      </c>
      <c r="F150" s="10">
        <f t="shared" si="18"/>
        <v>2624.1799000000001</v>
      </c>
      <c r="G150" s="10">
        <f t="shared" si="19"/>
        <v>8.3999998598999994</v>
      </c>
      <c r="I150" s="64"/>
      <c r="J150" s="64"/>
      <c r="K150" s="292">
        <v>29.9</v>
      </c>
      <c r="L150" s="318">
        <v>192600</v>
      </c>
    </row>
    <row r="151" spans="1:17" ht="14.5" customHeight="1">
      <c r="C151" s="11" t="str">
        <f t="shared" si="15"/>
        <v/>
      </c>
      <c r="D151" s="11">
        <f t="shared" si="16"/>
        <v>31.5</v>
      </c>
      <c r="E151" s="11">
        <f t="shared" si="17"/>
        <v>10.4</v>
      </c>
      <c r="F151" s="10" t="str">
        <f t="shared" si="18"/>
        <v/>
      </c>
      <c r="G151" s="10" t="str">
        <f t="shared" si="19"/>
        <v/>
      </c>
      <c r="I151" s="232"/>
      <c r="J151" s="182" t="s">
        <v>1509</v>
      </c>
      <c r="K151" s="292">
        <v>32.5</v>
      </c>
      <c r="L151" s="318">
        <v>84000</v>
      </c>
    </row>
    <row r="152" spans="1:17">
      <c r="C152" s="11" t="str">
        <f t="shared" si="15"/>
        <v>国联安基金管理有限公司</v>
      </c>
      <c r="D152" s="11">
        <f t="shared" si="16"/>
        <v>33.51</v>
      </c>
      <c r="E152" s="11">
        <f t="shared" si="17"/>
        <v>8.33</v>
      </c>
      <c r="F152" s="10">
        <f t="shared" si="18"/>
        <v>2602.3117000000002</v>
      </c>
      <c r="G152" s="10">
        <f t="shared" si="19"/>
        <v>8.3299997516999991</v>
      </c>
      <c r="I152" s="292">
        <v>8</v>
      </c>
      <c r="J152" s="182"/>
      <c r="K152" s="292">
        <v>31.5</v>
      </c>
      <c r="L152" s="318">
        <v>104000</v>
      </c>
    </row>
    <row r="153" spans="1:17">
      <c r="C153" s="11" t="str">
        <f t="shared" si="15"/>
        <v>金鹰基金管理有限公司</v>
      </c>
      <c r="D153" s="11">
        <f t="shared" si="16"/>
        <v>32</v>
      </c>
      <c r="E153" s="11">
        <f t="shared" si="17"/>
        <v>14.92</v>
      </c>
      <c r="F153" s="10">
        <f t="shared" si="18"/>
        <v>4657.9193999999998</v>
      </c>
      <c r="G153" s="10">
        <f t="shared" si="19"/>
        <v>14.909999999399998</v>
      </c>
      <c r="I153" s="292">
        <v>9</v>
      </c>
      <c r="J153" s="155" t="s">
        <v>1846</v>
      </c>
      <c r="K153" s="292">
        <v>33.51</v>
      </c>
      <c r="L153" s="318">
        <v>83300</v>
      </c>
    </row>
    <row r="154" spans="1:17" ht="14.5" customHeight="1">
      <c r="C154" s="11" t="str">
        <f t="shared" si="15"/>
        <v/>
      </c>
      <c r="D154" s="11">
        <f t="shared" si="16"/>
        <v>32.5</v>
      </c>
      <c r="E154" s="11">
        <f t="shared" si="17"/>
        <v>14.91</v>
      </c>
      <c r="F154" s="10" t="str">
        <f t="shared" si="18"/>
        <v/>
      </c>
      <c r="G154" s="10" t="str">
        <f>IFERROR(F154*J$133,"")</f>
        <v/>
      </c>
      <c r="I154" s="397"/>
      <c r="J154" s="156" t="s">
        <v>278</v>
      </c>
      <c r="K154" s="292">
        <v>32</v>
      </c>
      <c r="L154" s="318">
        <v>149200</v>
      </c>
    </row>
    <row r="155" spans="1:17">
      <c r="C155" s="11" t="str">
        <f t="shared" si="15"/>
        <v/>
      </c>
      <c r="D155" s="11">
        <f t="shared" si="16"/>
        <v>33</v>
      </c>
      <c r="E155" s="11">
        <f t="shared" si="17"/>
        <v>14.9</v>
      </c>
      <c r="F155" s="10" t="str">
        <f t="shared" si="18"/>
        <v/>
      </c>
      <c r="G155" s="10" t="str">
        <f>IFERROR(F155*J$133,"")</f>
        <v/>
      </c>
      <c r="I155" s="132">
        <v>10</v>
      </c>
      <c r="J155" s="25"/>
      <c r="K155" s="292">
        <v>32.5</v>
      </c>
      <c r="L155" s="318">
        <v>149100</v>
      </c>
    </row>
    <row r="156" spans="1:17">
      <c r="C156" s="11" t="str">
        <f t="shared" si="15"/>
        <v>五矿证券有限公司</v>
      </c>
      <c r="D156" s="11">
        <f t="shared" si="16"/>
        <v>30</v>
      </c>
      <c r="E156" s="11">
        <f t="shared" si="17"/>
        <v>8.32</v>
      </c>
      <c r="F156" s="10" t="str">
        <f t="shared" si="18"/>
        <v/>
      </c>
      <c r="G156" s="10" t="str">
        <f>IFERROR(F156*J$133,"")</f>
        <v/>
      </c>
      <c r="I156" s="64"/>
      <c r="J156" s="64"/>
      <c r="K156" s="292">
        <v>33</v>
      </c>
      <c r="L156" s="318">
        <v>149000</v>
      </c>
    </row>
    <row r="157" spans="1:17">
      <c r="C157" s="24" t="str">
        <f t="shared" si="15"/>
        <v/>
      </c>
      <c r="I157" s="292">
        <v>11</v>
      </c>
      <c r="J157" s="155" t="s">
        <v>1594</v>
      </c>
      <c r="K157" s="292">
        <v>30</v>
      </c>
      <c r="L157" s="318">
        <v>83200</v>
      </c>
    </row>
    <row r="158" spans="1:17">
      <c r="C158" s="24" t="str">
        <f t="shared" si="15"/>
        <v/>
      </c>
    </row>
    <row r="160" spans="1:17" s="162" customFormat="1">
      <c r="A160" s="164" t="s">
        <v>1315</v>
      </c>
      <c r="B160" s="164"/>
      <c r="C160" s="164" t="s">
        <v>107</v>
      </c>
      <c r="D160" s="164" t="s">
        <v>4</v>
      </c>
      <c r="E160" s="166" t="s">
        <v>108</v>
      </c>
      <c r="F160" s="166" t="s">
        <v>109</v>
      </c>
      <c r="G160" s="164" t="s">
        <v>1314</v>
      </c>
      <c r="H160" s="164" t="s">
        <v>1313</v>
      </c>
      <c r="I160" s="165" t="s">
        <v>1312</v>
      </c>
      <c r="J160" s="163" t="s">
        <v>1311</v>
      </c>
      <c r="K160" s="163" t="s">
        <v>110</v>
      </c>
      <c r="L160" s="163" t="s">
        <v>1310</v>
      </c>
      <c r="M160" s="164" t="s">
        <v>111</v>
      </c>
      <c r="N160" s="163" t="s">
        <v>949</v>
      </c>
      <c r="O160" s="163" t="s">
        <v>948</v>
      </c>
      <c r="P160" s="163" t="s">
        <v>129</v>
      </c>
    </row>
    <row r="161" spans="1:18">
      <c r="A161" s="24">
        <v>312</v>
      </c>
      <c r="B161" s="329" t="s">
        <v>1845</v>
      </c>
      <c r="C161" s="1" t="s">
        <v>1844</v>
      </c>
      <c r="D161" s="1" t="s">
        <v>1843</v>
      </c>
      <c r="E161" s="3">
        <v>62.285699999999999</v>
      </c>
      <c r="F161" s="3">
        <v>62.285699962000002</v>
      </c>
      <c r="G161" s="2">
        <v>42730</v>
      </c>
      <c r="H161" s="24" t="s">
        <v>151</v>
      </c>
      <c r="I161" s="130">
        <v>4.6900000000000004</v>
      </c>
      <c r="J161" s="3">
        <v>3.86</v>
      </c>
      <c r="K161" s="160">
        <v>3.8</v>
      </c>
      <c r="L161" s="271">
        <v>0.82302771855010648</v>
      </c>
      <c r="M161" s="270">
        <v>8</v>
      </c>
      <c r="N161" s="2">
        <v>43108</v>
      </c>
      <c r="O161" s="24">
        <v>4.72</v>
      </c>
      <c r="P161" s="157">
        <v>1.2383419689119171</v>
      </c>
    </row>
    <row r="162" spans="1:18" ht="15">
      <c r="C162" s="16" t="s">
        <v>112</v>
      </c>
      <c r="D162" s="16" t="s">
        <v>113</v>
      </c>
      <c r="E162" s="16" t="s">
        <v>1305</v>
      </c>
      <c r="F162" s="17" t="s">
        <v>1304</v>
      </c>
      <c r="G162" s="16" t="s">
        <v>1303</v>
      </c>
      <c r="I162" s="395" t="s">
        <v>1351</v>
      </c>
      <c r="J162" s="341" t="s">
        <v>714</v>
      </c>
      <c r="K162" s="395" t="s">
        <v>1396</v>
      </c>
      <c r="L162" s="341" t="s">
        <v>1842</v>
      </c>
      <c r="M162" s="395" t="s">
        <v>1841</v>
      </c>
      <c r="O162" s="341" t="s">
        <v>118</v>
      </c>
      <c r="P162" s="341" t="s">
        <v>499</v>
      </c>
      <c r="Q162" s="394" t="s">
        <v>160</v>
      </c>
      <c r="R162" s="394" t="s">
        <v>1318</v>
      </c>
    </row>
    <row r="163" spans="1:18" ht="15">
      <c r="C163" s="11" t="str">
        <f t="shared" ref="C163:C188" si="20">IF(J164=0,"",J164)</f>
        <v>芜湖信石信冶投资管理合伙企业（有限合伙）</v>
      </c>
      <c r="D163" s="11">
        <f t="shared" ref="D163:D186" si="21">K164</f>
        <v>3.8</v>
      </c>
      <c r="E163" s="10">
        <f t="shared" ref="E163:E186" si="22">M164/10000</f>
        <v>11.4</v>
      </c>
      <c r="F163" s="11" t="str">
        <f t="shared" ref="F163:F186" si="23">IFERROR(VLOOKUP(C163,P$164:Q$171,2,FALSE)/10000,"")</f>
        <v/>
      </c>
      <c r="G163" s="11"/>
      <c r="I163" s="395" t="s">
        <v>477</v>
      </c>
      <c r="J163" s="341"/>
      <c r="K163" s="395" t="s">
        <v>1840</v>
      </c>
      <c r="L163" s="396" t="s">
        <v>1839</v>
      </c>
      <c r="M163" s="395" t="s">
        <v>1333</v>
      </c>
      <c r="O163" s="341"/>
      <c r="P163" s="341"/>
      <c r="Q163" s="394" t="s">
        <v>1317</v>
      </c>
      <c r="R163" s="394" t="s">
        <v>1316</v>
      </c>
    </row>
    <row r="164" spans="1:18" ht="15.5" customHeight="1">
      <c r="C164" s="11" t="str">
        <f t="shared" si="20"/>
        <v>建信基金管理有限责任公司</v>
      </c>
      <c r="D164" s="11">
        <f t="shared" si="21"/>
        <v>4.0199999999999996</v>
      </c>
      <c r="E164" s="10">
        <f t="shared" si="22"/>
        <v>6.7125960000000005</v>
      </c>
      <c r="F164" s="11">
        <f t="shared" si="23"/>
        <v>17390.145</v>
      </c>
      <c r="G164" s="10">
        <f t="shared" ref="G164:G186" si="24">IFERROR(F164*J$161/10000,"")</f>
        <v>6.7125959700000006</v>
      </c>
      <c r="I164" s="393">
        <v>1</v>
      </c>
      <c r="J164" s="305" t="s">
        <v>1838</v>
      </c>
      <c r="K164" s="393">
        <v>3.8</v>
      </c>
      <c r="L164" s="392">
        <v>30000</v>
      </c>
      <c r="M164" s="391">
        <v>114000</v>
      </c>
      <c r="O164" s="393">
        <v>1</v>
      </c>
      <c r="P164" s="305" t="s">
        <v>1578</v>
      </c>
      <c r="Q164" s="392">
        <v>524286787</v>
      </c>
      <c r="R164" s="391">
        <v>2023746997.8199999</v>
      </c>
    </row>
    <row r="165" spans="1:18" ht="15.5" customHeight="1">
      <c r="C165" s="11" t="str">
        <f t="shared" si="20"/>
        <v/>
      </c>
      <c r="D165" s="11">
        <f t="shared" si="21"/>
        <v>3.8</v>
      </c>
      <c r="E165" s="10">
        <f t="shared" si="22"/>
        <v>6.7241</v>
      </c>
      <c r="F165" s="11" t="str">
        <f t="shared" si="23"/>
        <v/>
      </c>
      <c r="G165" s="10" t="str">
        <f t="shared" si="24"/>
        <v/>
      </c>
      <c r="I165" s="313">
        <v>2</v>
      </c>
      <c r="J165" s="305" t="s">
        <v>130</v>
      </c>
      <c r="K165" s="389">
        <v>4.0199999999999996</v>
      </c>
      <c r="L165" s="388">
        <v>16698</v>
      </c>
      <c r="M165" s="387">
        <v>67125.960000000006</v>
      </c>
      <c r="O165" s="393">
        <v>2</v>
      </c>
      <c r="P165" s="305" t="s">
        <v>1837</v>
      </c>
      <c r="Q165" s="392">
        <v>181345336</v>
      </c>
      <c r="R165" s="391">
        <v>699992996.96000004</v>
      </c>
    </row>
    <row r="166" spans="1:18" ht="15.5">
      <c r="C166" s="11" t="str">
        <f t="shared" si="20"/>
        <v>宏信证券有限责任公司</v>
      </c>
      <c r="D166" s="11">
        <f t="shared" si="21"/>
        <v>4.0199999999999996</v>
      </c>
      <c r="E166" s="10">
        <f t="shared" si="22"/>
        <v>6.2301960000000003</v>
      </c>
      <c r="F166" s="11">
        <f t="shared" si="23"/>
        <v>16140.4041</v>
      </c>
      <c r="G166" s="10">
        <f t="shared" si="24"/>
        <v>6.2301959825999997</v>
      </c>
      <c r="I166" s="25"/>
      <c r="J166" s="25"/>
      <c r="K166" s="389">
        <v>3.8</v>
      </c>
      <c r="L166" s="388">
        <v>17695</v>
      </c>
      <c r="M166" s="387">
        <v>67241</v>
      </c>
      <c r="O166" s="393">
        <v>3</v>
      </c>
      <c r="P166" s="305" t="s">
        <v>1836</v>
      </c>
      <c r="Q166" s="392">
        <v>161580310</v>
      </c>
      <c r="R166" s="391">
        <v>623699996.60000002</v>
      </c>
    </row>
    <row r="167" spans="1:18" ht="15.5">
      <c r="C167" s="11" t="str">
        <f t="shared" si="20"/>
        <v/>
      </c>
      <c r="D167" s="11">
        <f t="shared" si="21"/>
        <v>3.8</v>
      </c>
      <c r="E167" s="10">
        <f t="shared" si="22"/>
        <v>6.2301000000000002</v>
      </c>
      <c r="F167" s="11" t="str">
        <f t="shared" si="23"/>
        <v/>
      </c>
      <c r="G167" s="10" t="str">
        <f t="shared" si="24"/>
        <v/>
      </c>
      <c r="I167" s="313">
        <v>3</v>
      </c>
      <c r="J167" s="305" t="s">
        <v>603</v>
      </c>
      <c r="K167" s="389">
        <v>4.0199999999999996</v>
      </c>
      <c r="L167" s="388">
        <v>15498</v>
      </c>
      <c r="M167" s="387">
        <v>62301.96</v>
      </c>
      <c r="O167" s="393">
        <v>4</v>
      </c>
      <c r="P167" s="305" t="s">
        <v>1574</v>
      </c>
      <c r="Q167" s="392">
        <v>166581968</v>
      </c>
      <c r="R167" s="391">
        <v>643006396.48000002</v>
      </c>
    </row>
    <row r="168" spans="1:18" ht="15.5">
      <c r="C168" s="11" t="str">
        <f t="shared" si="20"/>
        <v>华泰资产管理有限公司</v>
      </c>
      <c r="D168" s="11">
        <f t="shared" si="21"/>
        <v>4.09</v>
      </c>
      <c r="E168" s="10">
        <f t="shared" si="22"/>
        <v>8.2339880000000001</v>
      </c>
      <c r="F168" s="11">
        <f t="shared" si="23"/>
        <v>21975.7124</v>
      </c>
      <c r="G168" s="10">
        <f t="shared" si="24"/>
        <v>8.4826249863999994</v>
      </c>
      <c r="I168" s="25"/>
      <c r="J168" s="25"/>
      <c r="K168" s="389">
        <v>3.8</v>
      </c>
      <c r="L168" s="388">
        <v>16395</v>
      </c>
      <c r="M168" s="387">
        <v>62301</v>
      </c>
      <c r="O168" s="393">
        <v>5</v>
      </c>
      <c r="P168" s="305" t="s">
        <v>1420</v>
      </c>
      <c r="Q168" s="392">
        <v>173901450</v>
      </c>
      <c r="R168" s="391">
        <v>671259597</v>
      </c>
    </row>
    <row r="169" spans="1:18" ht="15.5">
      <c r="C169" s="11" t="str">
        <f t="shared" si="20"/>
        <v/>
      </c>
      <c r="D169" s="11">
        <f t="shared" si="21"/>
        <v>3.95</v>
      </c>
      <c r="E169" s="10">
        <f t="shared" si="22"/>
        <v>8.4826250000000005</v>
      </c>
      <c r="F169" s="11" t="str">
        <f t="shared" si="23"/>
        <v/>
      </c>
      <c r="G169" s="10" t="str">
        <f t="shared" si="24"/>
        <v/>
      </c>
      <c r="I169" s="313">
        <v>4</v>
      </c>
      <c r="J169" s="305" t="s">
        <v>135</v>
      </c>
      <c r="K169" s="389">
        <v>4.09</v>
      </c>
      <c r="L169" s="388">
        <v>20132</v>
      </c>
      <c r="M169" s="387">
        <v>82339.88</v>
      </c>
      <c r="O169" s="393">
        <v>6</v>
      </c>
      <c r="P169" s="305" t="s">
        <v>1835</v>
      </c>
      <c r="Q169" s="392">
        <v>161404041</v>
      </c>
      <c r="R169" s="391">
        <v>623019598.25999999</v>
      </c>
    </row>
    <row r="170" spans="1:18" ht="15.5">
      <c r="C170" s="11" t="str">
        <f t="shared" si="20"/>
        <v/>
      </c>
      <c r="D170" s="11">
        <f t="shared" si="21"/>
        <v>3.85</v>
      </c>
      <c r="E170" s="10">
        <f t="shared" si="22"/>
        <v>9.0802250000000004</v>
      </c>
      <c r="F170" s="11" t="str">
        <f t="shared" si="23"/>
        <v/>
      </c>
      <c r="G170" s="10" t="str">
        <f t="shared" si="24"/>
        <v/>
      </c>
      <c r="I170" s="278"/>
      <c r="J170" s="278"/>
      <c r="K170" s="389">
        <v>3.95</v>
      </c>
      <c r="L170" s="388">
        <v>21475</v>
      </c>
      <c r="M170" s="387">
        <v>84826.25</v>
      </c>
      <c r="O170" s="393">
        <v>7</v>
      </c>
      <c r="P170" s="305" t="s">
        <v>1834</v>
      </c>
      <c r="Q170" s="392">
        <v>219757124</v>
      </c>
      <c r="R170" s="391">
        <v>848262498.63999999</v>
      </c>
    </row>
    <row r="171" spans="1:18" ht="15.5">
      <c r="C171" s="11" t="str">
        <f t="shared" si="20"/>
        <v>安徽省铁路发展基金股份有限公司</v>
      </c>
      <c r="D171" s="11">
        <f t="shared" si="21"/>
        <v>3.81</v>
      </c>
      <c r="E171" s="10">
        <f t="shared" si="22"/>
        <v>6.2301120000000001</v>
      </c>
      <c r="F171" s="11" t="str">
        <f t="shared" si="23"/>
        <v/>
      </c>
      <c r="G171" s="10" t="str">
        <f t="shared" si="24"/>
        <v/>
      </c>
      <c r="I171" s="278"/>
      <c r="J171" s="278"/>
      <c r="K171" s="389">
        <v>3.85</v>
      </c>
      <c r="L171" s="388">
        <v>23585</v>
      </c>
      <c r="M171" s="387">
        <v>90802.25</v>
      </c>
      <c r="O171" s="393">
        <v>8</v>
      </c>
      <c r="P171" s="305" t="s">
        <v>1833</v>
      </c>
      <c r="Q171" s="392">
        <v>24762154</v>
      </c>
      <c r="R171" s="391">
        <v>95581914.439999998</v>
      </c>
    </row>
    <row r="172" spans="1:18" ht="15.5">
      <c r="C172" s="11" t="str">
        <f t="shared" si="20"/>
        <v>诺安基金管理有限公司</v>
      </c>
      <c r="D172" s="11">
        <f t="shared" si="21"/>
        <v>4.05</v>
      </c>
      <c r="E172" s="10">
        <f t="shared" si="22"/>
        <v>6.2301150000000005</v>
      </c>
      <c r="F172" s="11">
        <f t="shared" si="23"/>
        <v>16658.196800000002</v>
      </c>
      <c r="G172" s="10">
        <f t="shared" si="24"/>
        <v>6.4300639648000004</v>
      </c>
      <c r="I172" s="389">
        <v>5</v>
      </c>
      <c r="J172" s="305" t="s">
        <v>971</v>
      </c>
      <c r="K172" s="389">
        <v>3.81</v>
      </c>
      <c r="L172" s="388">
        <v>16352</v>
      </c>
      <c r="M172" s="387">
        <v>62301.120000000003</v>
      </c>
      <c r="O172" s="341" t="s">
        <v>1293</v>
      </c>
      <c r="P172" s="341"/>
      <c r="Q172" s="388">
        <v>1613619170</v>
      </c>
      <c r="R172" s="387">
        <v>6228569996.1999998</v>
      </c>
    </row>
    <row r="173" spans="1:18" ht="15.5">
      <c r="C173" s="11" t="str">
        <f t="shared" si="20"/>
        <v/>
      </c>
      <c r="D173" s="11">
        <f t="shared" si="21"/>
        <v>4.04</v>
      </c>
      <c r="E173" s="10">
        <f t="shared" si="22"/>
        <v>6.4300639999999998</v>
      </c>
      <c r="F173" s="11" t="str">
        <f t="shared" si="23"/>
        <v/>
      </c>
      <c r="G173" s="10" t="str">
        <f t="shared" si="24"/>
        <v/>
      </c>
      <c r="I173" s="313">
        <v>6</v>
      </c>
      <c r="J173" s="305" t="s">
        <v>147</v>
      </c>
      <c r="K173" s="389">
        <v>4.05</v>
      </c>
      <c r="L173" s="388">
        <v>15383</v>
      </c>
      <c r="M173" s="387">
        <v>62301.15</v>
      </c>
    </row>
    <row r="174" spans="1:18" ht="15.5">
      <c r="C174" s="11" t="str">
        <f t="shared" si="20"/>
        <v>鹏华资产管理有限公司</v>
      </c>
      <c r="D174" s="11">
        <f t="shared" si="21"/>
        <v>4.05</v>
      </c>
      <c r="E174" s="10">
        <f t="shared" si="22"/>
        <v>6.2370000000000001</v>
      </c>
      <c r="F174" s="11">
        <f t="shared" si="23"/>
        <v>16158.031000000001</v>
      </c>
      <c r="G174" s="10">
        <f t="shared" si="24"/>
        <v>6.236999966</v>
      </c>
      <c r="I174" s="25"/>
      <c r="J174" s="25"/>
      <c r="K174" s="389">
        <v>4.04</v>
      </c>
      <c r="L174" s="388">
        <v>15916</v>
      </c>
      <c r="M174" s="387">
        <v>64300.639999999999</v>
      </c>
    </row>
    <row r="175" spans="1:18" ht="15.5">
      <c r="C175" s="11" t="str">
        <f t="shared" si="20"/>
        <v/>
      </c>
      <c r="D175" s="11">
        <f t="shared" si="21"/>
        <v>3.8</v>
      </c>
      <c r="E175" s="10">
        <f t="shared" si="22"/>
        <v>6.9999799999999999</v>
      </c>
      <c r="F175" s="11" t="str">
        <f t="shared" si="23"/>
        <v/>
      </c>
      <c r="G175" s="10" t="str">
        <f t="shared" si="24"/>
        <v/>
      </c>
      <c r="I175" s="313">
        <v>7</v>
      </c>
      <c r="J175" s="305" t="s">
        <v>1650</v>
      </c>
      <c r="K175" s="389">
        <v>4.05</v>
      </c>
      <c r="L175" s="388">
        <v>15400</v>
      </c>
      <c r="M175" s="387">
        <v>62370</v>
      </c>
    </row>
    <row r="176" spans="1:18" ht="15.5">
      <c r="C176" s="11" t="str">
        <f t="shared" si="20"/>
        <v>财通基金管理有限公司</v>
      </c>
      <c r="D176" s="11">
        <f t="shared" si="21"/>
        <v>4.29</v>
      </c>
      <c r="E176" s="10">
        <f t="shared" si="22"/>
        <v>10.090508999999999</v>
      </c>
      <c r="F176" s="11">
        <f t="shared" si="23"/>
        <v>52428.678699999997</v>
      </c>
      <c r="G176" s="10">
        <f t="shared" si="24"/>
        <v>20.237469978199996</v>
      </c>
      <c r="I176" s="25"/>
      <c r="J176" s="25"/>
      <c r="K176" s="389">
        <v>3.8</v>
      </c>
      <c r="L176" s="388">
        <v>18421</v>
      </c>
      <c r="M176" s="387">
        <v>69999.8</v>
      </c>
    </row>
    <row r="177" spans="1:17" ht="15.5">
      <c r="C177" s="11" t="str">
        <f t="shared" si="20"/>
        <v/>
      </c>
      <c r="D177" s="11">
        <f t="shared" si="21"/>
        <v>4.18</v>
      </c>
      <c r="E177" s="10">
        <f t="shared" si="22"/>
        <v>20.237470000000002</v>
      </c>
      <c r="F177" s="11" t="str">
        <f t="shared" si="23"/>
        <v/>
      </c>
      <c r="G177" s="10" t="str">
        <f t="shared" si="24"/>
        <v/>
      </c>
      <c r="I177" s="313">
        <v>8</v>
      </c>
      <c r="J177" s="305" t="s">
        <v>115</v>
      </c>
      <c r="K177" s="389">
        <v>4.29</v>
      </c>
      <c r="L177" s="388">
        <v>23521</v>
      </c>
      <c r="M177" s="387">
        <v>100905.09</v>
      </c>
    </row>
    <row r="178" spans="1:17" ht="15.5">
      <c r="C178" s="11" t="str">
        <f t="shared" si="20"/>
        <v/>
      </c>
      <c r="D178" s="11">
        <f t="shared" si="21"/>
        <v>3.84</v>
      </c>
      <c r="E178" s="10">
        <f t="shared" si="22"/>
        <v>26.704128000000004</v>
      </c>
      <c r="F178" s="11" t="str">
        <f t="shared" si="23"/>
        <v/>
      </c>
      <c r="G178" s="10" t="str">
        <f t="shared" si="24"/>
        <v/>
      </c>
      <c r="I178" s="25"/>
      <c r="J178" s="25"/>
      <c r="K178" s="389">
        <v>4.18</v>
      </c>
      <c r="L178" s="388">
        <v>48415</v>
      </c>
      <c r="M178" s="387">
        <v>202374.7</v>
      </c>
    </row>
    <row r="179" spans="1:17" ht="15.5">
      <c r="C179" s="11" t="str">
        <f t="shared" si="20"/>
        <v>中国诚通控股集团有限公司</v>
      </c>
      <c r="D179" s="11">
        <f t="shared" si="21"/>
        <v>3.86</v>
      </c>
      <c r="E179" s="10">
        <f t="shared" si="22"/>
        <v>6.4076000000000004</v>
      </c>
      <c r="F179" s="11" t="str">
        <f t="shared" si="23"/>
        <v/>
      </c>
      <c r="G179" s="10" t="str">
        <f t="shared" si="24"/>
        <v/>
      </c>
      <c r="I179" s="64"/>
      <c r="J179" s="64"/>
      <c r="K179" s="389">
        <v>3.84</v>
      </c>
      <c r="L179" s="388">
        <v>69542</v>
      </c>
      <c r="M179" s="387">
        <v>267041.28000000003</v>
      </c>
    </row>
    <row r="180" spans="1:17" ht="15.5">
      <c r="C180" s="11" t="str">
        <f t="shared" si="20"/>
        <v/>
      </c>
      <c r="D180" s="11">
        <f t="shared" si="21"/>
        <v>3.83</v>
      </c>
      <c r="E180" s="10">
        <f t="shared" si="22"/>
        <v>6.4344000000000001</v>
      </c>
      <c r="F180" s="11" t="str">
        <f t="shared" si="23"/>
        <v/>
      </c>
      <c r="G180" s="10" t="str">
        <f t="shared" si="24"/>
        <v/>
      </c>
      <c r="I180" s="313">
        <v>9</v>
      </c>
      <c r="J180" s="305" t="s">
        <v>1832</v>
      </c>
      <c r="K180" s="389">
        <v>3.86</v>
      </c>
      <c r="L180" s="388">
        <v>16600</v>
      </c>
      <c r="M180" s="387">
        <v>64076</v>
      </c>
    </row>
    <row r="181" spans="1:17" ht="15.5">
      <c r="C181" s="11" t="str">
        <f t="shared" si="20"/>
        <v/>
      </c>
      <c r="D181" s="11">
        <f t="shared" si="21"/>
        <v>3.8</v>
      </c>
      <c r="E181" s="10">
        <f t="shared" si="22"/>
        <v>6.46</v>
      </c>
      <c r="F181" s="11" t="str">
        <f t="shared" si="23"/>
        <v/>
      </c>
      <c r="G181" s="10" t="str">
        <f t="shared" si="24"/>
        <v/>
      </c>
      <c r="I181" s="25"/>
      <c r="J181" s="25"/>
      <c r="K181" s="389">
        <v>3.83</v>
      </c>
      <c r="L181" s="388">
        <v>16800</v>
      </c>
      <c r="M181" s="387">
        <v>64344</v>
      </c>
    </row>
    <row r="182" spans="1:17" ht="15.5">
      <c r="C182" s="11" t="str">
        <f t="shared" si="20"/>
        <v>深圳市平安置业投资有限公司</v>
      </c>
      <c r="D182" s="11">
        <f t="shared" si="21"/>
        <v>4.0999999999999996</v>
      </c>
      <c r="E182" s="10">
        <f t="shared" si="22"/>
        <v>6.99993</v>
      </c>
      <c r="F182" s="11">
        <f t="shared" si="23"/>
        <v>18134.533599999999</v>
      </c>
      <c r="G182" s="10">
        <f t="shared" si="24"/>
        <v>6.9999299695999984</v>
      </c>
      <c r="I182" s="64"/>
      <c r="J182" s="64"/>
      <c r="K182" s="389">
        <v>3.8</v>
      </c>
      <c r="L182" s="388">
        <v>17000</v>
      </c>
      <c r="M182" s="387">
        <v>64600</v>
      </c>
    </row>
    <row r="183" spans="1:17" ht="15.5">
      <c r="C183" s="11" t="str">
        <f t="shared" si="20"/>
        <v>中国国有企业结构调整基金股份有限公司</v>
      </c>
      <c r="D183" s="11">
        <f t="shared" si="21"/>
        <v>3.86</v>
      </c>
      <c r="E183" s="10">
        <f t="shared" si="22"/>
        <v>9.843</v>
      </c>
      <c r="F183" s="11">
        <f t="shared" si="23"/>
        <v>2476.2154</v>
      </c>
      <c r="G183" s="10">
        <f t="shared" si="24"/>
        <v>0.95581914440000004</v>
      </c>
      <c r="I183" s="389">
        <v>10</v>
      </c>
      <c r="J183" s="305" t="s">
        <v>1831</v>
      </c>
      <c r="K183" s="389">
        <v>4.0999999999999996</v>
      </c>
      <c r="L183" s="388">
        <v>17073</v>
      </c>
      <c r="M183" s="387">
        <v>69999.3</v>
      </c>
    </row>
    <row r="184" spans="1:17" ht="15.5">
      <c r="C184" s="11" t="str">
        <f t="shared" si="20"/>
        <v/>
      </c>
      <c r="D184" s="11">
        <f t="shared" si="21"/>
        <v>3.83</v>
      </c>
      <c r="E184" s="10">
        <f t="shared" si="22"/>
        <v>9.8430999999999997</v>
      </c>
      <c r="F184" s="11" t="str">
        <f t="shared" si="23"/>
        <v/>
      </c>
      <c r="G184" s="10" t="str">
        <f t="shared" si="24"/>
        <v/>
      </c>
      <c r="I184" s="390">
        <v>11</v>
      </c>
      <c r="J184" s="305" t="s">
        <v>1830</v>
      </c>
      <c r="K184" s="389">
        <v>3.86</v>
      </c>
      <c r="L184" s="388">
        <v>25500</v>
      </c>
      <c r="M184" s="387">
        <v>98430</v>
      </c>
    </row>
    <row r="185" spans="1:17" ht="15.5">
      <c r="C185" s="11" t="str">
        <f t="shared" si="20"/>
        <v/>
      </c>
      <c r="D185" s="11">
        <f t="shared" si="21"/>
        <v>3.8</v>
      </c>
      <c r="E185" s="10">
        <f t="shared" si="22"/>
        <v>9.8800000000000008</v>
      </c>
      <c r="F185" s="11" t="str">
        <f t="shared" si="23"/>
        <v/>
      </c>
      <c r="G185" s="10" t="str">
        <f t="shared" si="24"/>
        <v/>
      </c>
      <c r="I185" s="25"/>
      <c r="J185" s="25"/>
      <c r="K185" s="389">
        <v>3.83</v>
      </c>
      <c r="L185" s="388">
        <v>25700</v>
      </c>
      <c r="M185" s="387">
        <v>98431</v>
      </c>
    </row>
    <row r="186" spans="1:17" ht="15.5">
      <c r="C186" s="11" t="str">
        <f t="shared" si="20"/>
        <v>华泰柏瑞基金管理有限公司</v>
      </c>
      <c r="D186" s="11">
        <f t="shared" si="21"/>
        <v>3.81</v>
      </c>
      <c r="E186" s="10">
        <f t="shared" si="22"/>
        <v>6.2865000000000002</v>
      </c>
      <c r="F186" s="11" t="str">
        <f t="shared" si="23"/>
        <v/>
      </c>
      <c r="G186" s="10" t="str">
        <f t="shared" si="24"/>
        <v/>
      </c>
      <c r="I186" s="64"/>
      <c r="J186" s="64"/>
      <c r="K186" s="389">
        <v>3.8</v>
      </c>
      <c r="L186" s="388">
        <v>26000</v>
      </c>
      <c r="M186" s="387">
        <v>98800</v>
      </c>
    </row>
    <row r="187" spans="1:17" ht="15.5">
      <c r="C187" s="24" t="str">
        <f t="shared" si="20"/>
        <v/>
      </c>
      <c r="I187" s="389">
        <v>12</v>
      </c>
      <c r="J187" s="305" t="s">
        <v>122</v>
      </c>
      <c r="K187" s="389">
        <v>3.81</v>
      </c>
      <c r="L187" s="388">
        <v>16500</v>
      </c>
      <c r="M187" s="387">
        <v>62865</v>
      </c>
    </row>
    <row r="188" spans="1:17">
      <c r="C188" s="24" t="str">
        <f t="shared" si="20"/>
        <v/>
      </c>
    </row>
    <row r="190" spans="1:17" s="162" customFormat="1">
      <c r="A190" s="164" t="s">
        <v>1315</v>
      </c>
      <c r="B190" s="164"/>
      <c r="C190" s="164" t="s">
        <v>107</v>
      </c>
      <c r="D190" s="164" t="s">
        <v>4</v>
      </c>
      <c r="E190" s="166" t="s">
        <v>108</v>
      </c>
      <c r="F190" s="166" t="s">
        <v>109</v>
      </c>
      <c r="G190" s="164" t="s">
        <v>1314</v>
      </c>
      <c r="H190" s="164" t="s">
        <v>1313</v>
      </c>
      <c r="I190" s="165" t="s">
        <v>1312</v>
      </c>
      <c r="J190" s="163" t="s">
        <v>1311</v>
      </c>
      <c r="K190" s="163" t="s">
        <v>110</v>
      </c>
      <c r="L190" s="163" t="s">
        <v>1310</v>
      </c>
      <c r="M190" s="164" t="s">
        <v>111</v>
      </c>
      <c r="N190" s="163" t="s">
        <v>949</v>
      </c>
      <c r="O190" s="163" t="s">
        <v>948</v>
      </c>
      <c r="P190" s="163" t="s">
        <v>129</v>
      </c>
    </row>
    <row r="191" spans="1:17">
      <c r="A191" s="24">
        <v>313</v>
      </c>
      <c r="B191" s="329" t="s">
        <v>1829</v>
      </c>
      <c r="C191" s="1" t="s">
        <v>1828</v>
      </c>
      <c r="D191" s="1" t="s">
        <v>1827</v>
      </c>
      <c r="E191" s="3">
        <v>11.963255</v>
      </c>
      <c r="F191" s="3">
        <v>11.963254921200001</v>
      </c>
      <c r="G191" s="2">
        <v>42717</v>
      </c>
      <c r="H191" s="24" t="s">
        <v>151</v>
      </c>
      <c r="I191" s="130">
        <v>9.08</v>
      </c>
      <c r="J191" s="3">
        <v>8.76</v>
      </c>
      <c r="K191" s="160">
        <v>6.06</v>
      </c>
      <c r="L191" s="271">
        <v>0.96475770925110127</v>
      </c>
      <c r="M191" s="270">
        <v>8</v>
      </c>
      <c r="N191" s="2">
        <v>43108</v>
      </c>
      <c r="O191" s="24">
        <v>10.7</v>
      </c>
      <c r="P191" s="157">
        <v>1.2237442922374429</v>
      </c>
    </row>
    <row r="192" spans="1:17" ht="14.5">
      <c r="C192" s="16" t="s">
        <v>112</v>
      </c>
      <c r="D192" s="16" t="s">
        <v>113</v>
      </c>
      <c r="E192" s="16" t="s">
        <v>1305</v>
      </c>
      <c r="F192" s="17" t="s">
        <v>1304</v>
      </c>
      <c r="G192" s="16" t="s">
        <v>1303</v>
      </c>
      <c r="I192" s="186" t="s">
        <v>118</v>
      </c>
      <c r="J192" s="186" t="s">
        <v>1826</v>
      </c>
      <c r="K192" s="188" t="s">
        <v>1301</v>
      </c>
      <c r="L192" s="188" t="s">
        <v>1825</v>
      </c>
      <c r="N192" s="386" t="s">
        <v>118</v>
      </c>
      <c r="O192" s="386" t="s">
        <v>1320</v>
      </c>
      <c r="P192" s="386" t="s">
        <v>323</v>
      </c>
      <c r="Q192" s="386" t="s">
        <v>1346</v>
      </c>
    </row>
    <row r="193" spans="3:17" ht="14.5">
      <c r="C193" s="11" t="str">
        <f t="shared" ref="C193:C224" si="25">IF(J194=0,"",J194)</f>
        <v>华泰柏瑞基金管理有限公司</v>
      </c>
      <c r="D193" s="11">
        <f t="shared" ref="D193:D224" si="26">K194</f>
        <v>8.6</v>
      </c>
      <c r="E193" s="11">
        <f t="shared" ref="E193:E224" si="27">L194/10000</f>
        <v>1.2</v>
      </c>
      <c r="F193" s="11" t="str">
        <f t="shared" ref="F193:F225" si="28">IFERROR(VLOOKUP(C193,O$194:Q$201,2,FALSE)/10000,"")</f>
        <v/>
      </c>
      <c r="G193" s="11"/>
      <c r="I193" s="186"/>
      <c r="J193" s="186"/>
      <c r="K193" s="188" t="s">
        <v>1334</v>
      </c>
      <c r="L193" s="188" t="s">
        <v>1333</v>
      </c>
      <c r="N193" s="149"/>
      <c r="O193" s="149"/>
      <c r="P193" s="149"/>
      <c r="Q193" s="149"/>
    </row>
    <row r="194" spans="3:17">
      <c r="C194" s="11" t="str">
        <f t="shared" si="25"/>
        <v>兴业全球基金管理有限公司</v>
      </c>
      <c r="D194" s="11">
        <f t="shared" si="26"/>
        <v>6.71</v>
      </c>
      <c r="E194" s="11">
        <f t="shared" si="27"/>
        <v>1.2</v>
      </c>
      <c r="F194" s="11" t="str">
        <f t="shared" si="28"/>
        <v/>
      </c>
      <c r="G194" s="11"/>
      <c r="I194" s="156">
        <v>1</v>
      </c>
      <c r="J194" s="155" t="s">
        <v>122</v>
      </c>
      <c r="K194" s="155">
        <v>8.6</v>
      </c>
      <c r="L194" s="385">
        <v>12000</v>
      </c>
      <c r="N194" s="155">
        <v>1</v>
      </c>
      <c r="O194" s="155" t="s">
        <v>1823</v>
      </c>
      <c r="P194" s="385">
        <v>13698630</v>
      </c>
      <c r="Q194" s="385">
        <v>119999998.8</v>
      </c>
    </row>
    <row r="195" spans="3:17">
      <c r="C195" s="11" t="str">
        <f t="shared" si="25"/>
        <v>第一创业证券股份有限公司</v>
      </c>
      <c r="D195" s="11">
        <f t="shared" si="26"/>
        <v>8.0299999999999994</v>
      </c>
      <c r="E195" s="11">
        <f t="shared" si="27"/>
        <v>1.8</v>
      </c>
      <c r="F195" s="11" t="str">
        <f t="shared" si="28"/>
        <v/>
      </c>
      <c r="G195" s="11"/>
      <c r="I195" s="156">
        <v>2</v>
      </c>
      <c r="J195" s="155" t="s">
        <v>131</v>
      </c>
      <c r="K195" s="155">
        <v>6.71</v>
      </c>
      <c r="L195" s="385">
        <v>12000</v>
      </c>
      <c r="N195" s="155">
        <v>2</v>
      </c>
      <c r="O195" s="155" t="s">
        <v>1824</v>
      </c>
      <c r="P195" s="385">
        <v>13698630</v>
      </c>
      <c r="Q195" s="385">
        <v>119999998.8</v>
      </c>
    </row>
    <row r="196" spans="3:17">
      <c r="C196" s="11" t="str">
        <f t="shared" si="25"/>
        <v/>
      </c>
      <c r="D196" s="11">
        <f t="shared" si="26"/>
        <v>7.42</v>
      </c>
      <c r="E196" s="11">
        <f t="shared" si="27"/>
        <v>3</v>
      </c>
      <c r="F196" s="11" t="str">
        <f t="shared" si="28"/>
        <v/>
      </c>
      <c r="G196" s="11"/>
      <c r="I196" s="156">
        <v>3</v>
      </c>
      <c r="J196" s="155" t="s">
        <v>127</v>
      </c>
      <c r="K196" s="155">
        <v>8.0299999999999994</v>
      </c>
      <c r="L196" s="385">
        <v>18000</v>
      </c>
      <c r="N196" s="182">
        <v>3</v>
      </c>
      <c r="O196" s="155" t="s">
        <v>1818</v>
      </c>
      <c r="P196" s="384">
        <v>20547945</v>
      </c>
      <c r="Q196" s="384">
        <v>179999998.19999999</v>
      </c>
    </row>
    <row r="197" spans="3:17">
      <c r="C197" s="11" t="str">
        <f t="shared" si="25"/>
        <v>上海中汇金锐投资管理有限公司</v>
      </c>
      <c r="D197" s="11">
        <f t="shared" si="26"/>
        <v>10.01</v>
      </c>
      <c r="E197" s="11">
        <f t="shared" si="27"/>
        <v>1.2</v>
      </c>
      <c r="F197" s="11">
        <f t="shared" si="28"/>
        <v>1369.8630000000001</v>
      </c>
      <c r="G197" s="337">
        <f t="shared" ref="G197:G224" si="29">IFERROR(F197*J$191/10000,"")</f>
        <v>1.1999999879999999</v>
      </c>
      <c r="I197" s="227"/>
      <c r="J197" s="227"/>
      <c r="K197" s="169">
        <v>7.42</v>
      </c>
      <c r="L197" s="385">
        <v>30000</v>
      </c>
      <c r="N197" s="155">
        <v>4</v>
      </c>
      <c r="O197" s="155" t="s">
        <v>1819</v>
      </c>
      <c r="P197" s="385">
        <v>27397260</v>
      </c>
      <c r="Q197" s="385">
        <v>239999997.59999999</v>
      </c>
    </row>
    <row r="198" spans="3:17">
      <c r="C198" s="11" t="str">
        <f t="shared" si="25"/>
        <v/>
      </c>
      <c r="D198" s="11">
        <f t="shared" si="26"/>
        <v>8.8000000000000007</v>
      </c>
      <c r="E198" s="11">
        <f t="shared" si="27"/>
        <v>1.2</v>
      </c>
      <c r="F198" s="11" t="str">
        <f t="shared" si="28"/>
        <v/>
      </c>
      <c r="G198" s="337" t="str">
        <f t="shared" si="29"/>
        <v/>
      </c>
      <c r="I198" s="156">
        <v>4</v>
      </c>
      <c r="J198" s="156" t="s">
        <v>1824</v>
      </c>
      <c r="K198" s="169">
        <v>10.01</v>
      </c>
      <c r="L198" s="385">
        <v>12000</v>
      </c>
      <c r="N198" s="155">
        <v>5</v>
      </c>
      <c r="O198" s="155" t="s">
        <v>1822</v>
      </c>
      <c r="P198" s="385">
        <v>13698630</v>
      </c>
      <c r="Q198" s="385">
        <v>119999998.8</v>
      </c>
    </row>
    <row r="199" spans="3:17">
      <c r="C199" s="11" t="str">
        <f t="shared" si="25"/>
        <v/>
      </c>
      <c r="D199" s="11">
        <f t="shared" si="26"/>
        <v>8.3000000000000007</v>
      </c>
      <c r="E199" s="11">
        <f t="shared" si="27"/>
        <v>1.2</v>
      </c>
      <c r="F199" s="11" t="str">
        <f t="shared" si="28"/>
        <v/>
      </c>
      <c r="G199" s="337" t="str">
        <f t="shared" si="29"/>
        <v/>
      </c>
      <c r="I199" s="146"/>
      <c r="J199" s="146"/>
      <c r="K199" s="169">
        <v>8.8000000000000007</v>
      </c>
      <c r="L199" s="385">
        <v>12000</v>
      </c>
      <c r="N199" s="155">
        <v>6</v>
      </c>
      <c r="O199" s="155" t="s">
        <v>1820</v>
      </c>
      <c r="P199" s="385">
        <v>13698630</v>
      </c>
      <c r="Q199" s="385">
        <v>119999998.8</v>
      </c>
    </row>
    <row r="200" spans="3:17">
      <c r="C200" s="11" t="str">
        <f t="shared" si="25"/>
        <v>九泰基金管理有限公司</v>
      </c>
      <c r="D200" s="11">
        <f t="shared" si="26"/>
        <v>8</v>
      </c>
      <c r="E200" s="11">
        <f t="shared" si="27"/>
        <v>1.2</v>
      </c>
      <c r="F200" s="11" t="str">
        <f t="shared" si="28"/>
        <v/>
      </c>
      <c r="G200" s="337" t="str">
        <f t="shared" si="29"/>
        <v/>
      </c>
      <c r="I200" s="25"/>
      <c r="J200" s="25"/>
      <c r="K200" s="169">
        <v>8.3000000000000007</v>
      </c>
      <c r="L200" s="385">
        <v>12000</v>
      </c>
      <c r="N200" s="155">
        <v>7</v>
      </c>
      <c r="O200" s="155" t="s">
        <v>115</v>
      </c>
      <c r="P200" s="385">
        <v>13698630</v>
      </c>
      <c r="Q200" s="385">
        <v>119999998.8</v>
      </c>
    </row>
    <row r="201" spans="3:17">
      <c r="C201" s="11" t="str">
        <f t="shared" si="25"/>
        <v>申万菱信基金管理有限公司</v>
      </c>
      <c r="D201" s="11">
        <f t="shared" si="26"/>
        <v>7.58</v>
      </c>
      <c r="E201" s="11">
        <f t="shared" si="27"/>
        <v>1.2</v>
      </c>
      <c r="F201" s="11" t="str">
        <f t="shared" si="28"/>
        <v/>
      </c>
      <c r="G201" s="337" t="str">
        <f t="shared" si="29"/>
        <v/>
      </c>
      <c r="I201" s="156">
        <v>5</v>
      </c>
      <c r="J201" s="155" t="s">
        <v>666</v>
      </c>
      <c r="K201" s="169">
        <v>8</v>
      </c>
      <c r="L201" s="385">
        <v>12000</v>
      </c>
      <c r="N201" s="155">
        <v>8</v>
      </c>
      <c r="O201" s="155" t="s">
        <v>336</v>
      </c>
      <c r="P201" s="385">
        <v>20128482</v>
      </c>
      <c r="Q201" s="385">
        <v>176325502.31999999</v>
      </c>
    </row>
    <row r="202" spans="3:17">
      <c r="C202" s="11" t="str">
        <f t="shared" si="25"/>
        <v/>
      </c>
      <c r="D202" s="11">
        <f t="shared" si="26"/>
        <v>6.93</v>
      </c>
      <c r="E202" s="11">
        <f t="shared" si="27"/>
        <v>1.8</v>
      </c>
      <c r="F202" s="11" t="str">
        <f t="shared" si="28"/>
        <v/>
      </c>
      <c r="G202" s="337" t="str">
        <f t="shared" si="29"/>
        <v/>
      </c>
      <c r="I202" s="156">
        <v>6</v>
      </c>
      <c r="J202" s="156" t="s">
        <v>121</v>
      </c>
      <c r="K202" s="169">
        <v>7.58</v>
      </c>
      <c r="L202" s="385">
        <v>12000</v>
      </c>
      <c r="N202" s="182" t="s">
        <v>1293</v>
      </c>
      <c r="O202" s="182"/>
      <c r="P202" s="385">
        <v>136566837</v>
      </c>
      <c r="Q202" s="385">
        <v>1196325492.1199999</v>
      </c>
    </row>
    <row r="203" spans="3:17">
      <c r="C203" s="11" t="str">
        <f t="shared" si="25"/>
        <v/>
      </c>
      <c r="D203" s="11">
        <f t="shared" si="26"/>
        <v>6.06</v>
      </c>
      <c r="E203" s="11">
        <f t="shared" si="27"/>
        <v>3.6</v>
      </c>
      <c r="F203" s="11" t="str">
        <f t="shared" si="28"/>
        <v/>
      </c>
      <c r="G203" s="337" t="str">
        <f t="shared" si="29"/>
        <v/>
      </c>
      <c r="I203" s="146"/>
      <c r="J203" s="146"/>
      <c r="K203" s="169">
        <v>6.93</v>
      </c>
      <c r="L203" s="385">
        <v>18000</v>
      </c>
    </row>
    <row r="204" spans="3:17">
      <c r="C204" s="11" t="str">
        <f t="shared" si="25"/>
        <v>红土创新基金管理有限公司</v>
      </c>
      <c r="D204" s="11">
        <f t="shared" si="26"/>
        <v>6.93</v>
      </c>
      <c r="E204" s="11">
        <f t="shared" si="27"/>
        <v>1.2</v>
      </c>
      <c r="F204" s="11" t="str">
        <f t="shared" si="28"/>
        <v/>
      </c>
      <c r="G204" s="337" t="str">
        <f t="shared" si="29"/>
        <v/>
      </c>
      <c r="I204" s="25"/>
      <c r="J204" s="25"/>
      <c r="K204" s="169">
        <v>6.06</v>
      </c>
      <c r="L204" s="385">
        <v>36000</v>
      </c>
    </row>
    <row r="205" spans="3:17">
      <c r="C205" s="11" t="str">
        <f t="shared" si="25"/>
        <v>信诚基金管理有限公司</v>
      </c>
      <c r="D205" s="11">
        <f t="shared" si="26"/>
        <v>7.83</v>
      </c>
      <c r="E205" s="11">
        <f t="shared" si="27"/>
        <v>1.2</v>
      </c>
      <c r="F205" s="11" t="str">
        <f t="shared" si="28"/>
        <v/>
      </c>
      <c r="G205" s="337" t="str">
        <f t="shared" si="29"/>
        <v/>
      </c>
      <c r="I205" s="156">
        <v>7</v>
      </c>
      <c r="J205" s="155" t="s">
        <v>1065</v>
      </c>
      <c r="K205" s="169">
        <v>6.93</v>
      </c>
      <c r="L205" s="385">
        <v>12000</v>
      </c>
    </row>
    <row r="206" spans="3:17">
      <c r="C206" s="11" t="str">
        <f t="shared" si="25"/>
        <v>深圳市复利基金管理有限公司</v>
      </c>
      <c r="D206" s="11">
        <f t="shared" si="26"/>
        <v>10.87</v>
      </c>
      <c r="E206" s="11">
        <f t="shared" si="27"/>
        <v>1.2</v>
      </c>
      <c r="F206" s="11">
        <f t="shared" si="28"/>
        <v>1369.8630000000001</v>
      </c>
      <c r="G206" s="337">
        <f t="shared" si="29"/>
        <v>1.1999999879999999</v>
      </c>
      <c r="I206" s="156">
        <v>8</v>
      </c>
      <c r="J206" s="155" t="s">
        <v>300</v>
      </c>
      <c r="K206" s="169">
        <v>7.83</v>
      </c>
      <c r="L206" s="385">
        <v>12000</v>
      </c>
    </row>
    <row r="207" spans="3:17">
      <c r="C207" s="11" t="str">
        <f t="shared" si="25"/>
        <v/>
      </c>
      <c r="D207" s="11">
        <f t="shared" si="26"/>
        <v>9.0500000000000007</v>
      </c>
      <c r="E207" s="11">
        <f t="shared" si="27"/>
        <v>1.2</v>
      </c>
      <c r="F207" s="11" t="str">
        <f t="shared" si="28"/>
        <v/>
      </c>
      <c r="G207" s="337" t="str">
        <f t="shared" si="29"/>
        <v/>
      </c>
      <c r="I207" s="156">
        <v>9</v>
      </c>
      <c r="J207" s="156" t="s">
        <v>1823</v>
      </c>
      <c r="K207" s="169">
        <v>10.87</v>
      </c>
      <c r="L207" s="385">
        <v>12000</v>
      </c>
    </row>
    <row r="208" spans="3:17">
      <c r="C208" s="11" t="str">
        <f t="shared" si="25"/>
        <v/>
      </c>
      <c r="D208" s="11">
        <f t="shared" si="26"/>
        <v>8.6</v>
      </c>
      <c r="E208" s="11">
        <f t="shared" si="27"/>
        <v>1.2</v>
      </c>
      <c r="F208" s="11" t="str">
        <f t="shared" si="28"/>
        <v/>
      </c>
      <c r="G208" s="337" t="str">
        <f t="shared" si="29"/>
        <v/>
      </c>
      <c r="I208" s="146"/>
      <c r="J208" s="146"/>
      <c r="K208" s="169">
        <v>9.0500000000000007</v>
      </c>
      <c r="L208" s="385">
        <v>12000</v>
      </c>
    </row>
    <row r="209" spans="3:12">
      <c r="C209" s="11" t="str">
        <f t="shared" si="25"/>
        <v>余艳平</v>
      </c>
      <c r="D209" s="11">
        <f t="shared" si="26"/>
        <v>9.18</v>
      </c>
      <c r="E209" s="11">
        <f t="shared" si="27"/>
        <v>1.2</v>
      </c>
      <c r="F209" s="11">
        <f t="shared" si="28"/>
        <v>1369.8630000000001</v>
      </c>
      <c r="G209" s="337">
        <f t="shared" si="29"/>
        <v>1.1999999879999999</v>
      </c>
      <c r="I209" s="25"/>
      <c r="J209" s="25"/>
      <c r="K209" s="169">
        <v>8.6</v>
      </c>
      <c r="L209" s="385">
        <v>12000</v>
      </c>
    </row>
    <row r="210" spans="3:12">
      <c r="C210" s="11" t="str">
        <f t="shared" si="25"/>
        <v>国投瑞银基金管理有限公司</v>
      </c>
      <c r="D210" s="11">
        <f t="shared" si="26"/>
        <v>8.09</v>
      </c>
      <c r="E210" s="11">
        <f t="shared" si="27"/>
        <v>1.2</v>
      </c>
      <c r="F210" s="11" t="str">
        <f t="shared" si="28"/>
        <v/>
      </c>
      <c r="G210" s="337" t="str">
        <f t="shared" si="29"/>
        <v/>
      </c>
      <c r="I210" s="156">
        <v>10</v>
      </c>
      <c r="J210" s="155" t="s">
        <v>1822</v>
      </c>
      <c r="K210" s="169">
        <v>9.18</v>
      </c>
      <c r="L210" s="385">
        <v>12000</v>
      </c>
    </row>
    <row r="211" spans="3:12">
      <c r="C211" s="11" t="str">
        <f t="shared" si="25"/>
        <v/>
      </c>
      <c r="D211" s="11">
        <f t="shared" si="26"/>
        <v>7.09</v>
      </c>
      <c r="E211" s="11">
        <f t="shared" si="27"/>
        <v>1.8</v>
      </c>
      <c r="F211" s="11" t="str">
        <f t="shared" si="28"/>
        <v/>
      </c>
      <c r="G211" s="337" t="str">
        <f t="shared" si="29"/>
        <v/>
      </c>
      <c r="I211" s="156">
        <v>11</v>
      </c>
      <c r="J211" s="156" t="s">
        <v>955</v>
      </c>
      <c r="K211" s="169">
        <v>8.09</v>
      </c>
      <c r="L211" s="385">
        <v>12000</v>
      </c>
    </row>
    <row r="212" spans="3:12">
      <c r="C212" s="11" t="str">
        <f t="shared" si="25"/>
        <v>华宝信托有限公司</v>
      </c>
      <c r="D212" s="11">
        <f t="shared" si="26"/>
        <v>8.42</v>
      </c>
      <c r="E212" s="11">
        <f t="shared" si="27"/>
        <v>1.2</v>
      </c>
      <c r="F212" s="11" t="str">
        <f t="shared" si="28"/>
        <v/>
      </c>
      <c r="G212" s="337" t="str">
        <f t="shared" si="29"/>
        <v/>
      </c>
      <c r="I212" s="25"/>
      <c r="J212" s="25"/>
      <c r="K212" s="169">
        <v>7.09</v>
      </c>
      <c r="L212" s="385">
        <v>18000</v>
      </c>
    </row>
    <row r="213" spans="3:12">
      <c r="C213" s="11" t="str">
        <f t="shared" si="25"/>
        <v/>
      </c>
      <c r="D213" s="11">
        <f t="shared" si="26"/>
        <v>8.2200000000000006</v>
      </c>
      <c r="E213" s="11">
        <f t="shared" si="27"/>
        <v>2.4</v>
      </c>
      <c r="F213" s="11" t="str">
        <f t="shared" si="28"/>
        <v/>
      </c>
      <c r="G213" s="337" t="str">
        <f t="shared" si="29"/>
        <v/>
      </c>
      <c r="I213" s="156">
        <v>12</v>
      </c>
      <c r="J213" s="156" t="s">
        <v>1821</v>
      </c>
      <c r="K213" s="169">
        <v>8.42</v>
      </c>
      <c r="L213" s="385">
        <v>12000</v>
      </c>
    </row>
    <row r="214" spans="3:12">
      <c r="C214" s="11" t="str">
        <f t="shared" si="25"/>
        <v>财通基金管理有限公司</v>
      </c>
      <c r="D214" s="11">
        <f t="shared" si="26"/>
        <v>8.8000000000000007</v>
      </c>
      <c r="E214" s="11">
        <f t="shared" si="27"/>
        <v>1.2</v>
      </c>
      <c r="F214" s="11">
        <f t="shared" si="28"/>
        <v>1369.8630000000001</v>
      </c>
      <c r="G214" s="337">
        <f t="shared" si="29"/>
        <v>1.1999999879999999</v>
      </c>
      <c r="I214" s="25"/>
      <c r="J214" s="25"/>
      <c r="K214" s="169">
        <v>8.2200000000000006</v>
      </c>
      <c r="L214" s="385">
        <v>24000</v>
      </c>
    </row>
    <row r="215" spans="3:12">
      <c r="C215" s="11" t="str">
        <f t="shared" si="25"/>
        <v>诺安基金管理有限公司</v>
      </c>
      <c r="D215" s="11">
        <f t="shared" si="26"/>
        <v>7.46</v>
      </c>
      <c r="E215" s="11">
        <f t="shared" si="27"/>
        <v>1.2</v>
      </c>
      <c r="F215" s="11" t="str">
        <f t="shared" si="28"/>
        <v/>
      </c>
      <c r="G215" s="337" t="str">
        <f t="shared" si="29"/>
        <v/>
      </c>
      <c r="I215" s="156">
        <v>13</v>
      </c>
      <c r="J215" s="155" t="s">
        <v>115</v>
      </c>
      <c r="K215" s="169">
        <v>8.8000000000000007</v>
      </c>
      <c r="L215" s="385">
        <v>12000</v>
      </c>
    </row>
    <row r="216" spans="3:12">
      <c r="C216" s="11" t="str">
        <f t="shared" si="25"/>
        <v>北信瑞丰基金管理有限公司</v>
      </c>
      <c r="D216" s="11">
        <f t="shared" si="26"/>
        <v>8.76</v>
      </c>
      <c r="E216" s="11">
        <f t="shared" si="27"/>
        <v>6</v>
      </c>
      <c r="F216" s="11">
        <f t="shared" si="28"/>
        <v>2012.8481999999999</v>
      </c>
      <c r="G216" s="337">
        <f t="shared" si="29"/>
        <v>1.7632550231999997</v>
      </c>
      <c r="I216" s="156">
        <v>14</v>
      </c>
      <c r="J216" s="155" t="s">
        <v>147</v>
      </c>
      <c r="K216" s="169">
        <v>7.46</v>
      </c>
      <c r="L216" s="385">
        <v>12000</v>
      </c>
    </row>
    <row r="217" spans="3:12">
      <c r="C217" s="11" t="str">
        <f t="shared" si="25"/>
        <v/>
      </c>
      <c r="D217" s="11">
        <f t="shared" si="26"/>
        <v>8.3000000000000007</v>
      </c>
      <c r="E217" s="11">
        <f t="shared" si="27"/>
        <v>6</v>
      </c>
      <c r="F217" s="11" t="str">
        <f t="shared" si="28"/>
        <v/>
      </c>
      <c r="G217" s="337" t="str">
        <f t="shared" si="29"/>
        <v/>
      </c>
      <c r="I217" s="156">
        <v>15</v>
      </c>
      <c r="J217" s="156" t="s">
        <v>336</v>
      </c>
      <c r="K217" s="169">
        <v>8.76</v>
      </c>
      <c r="L217" s="385">
        <v>60000</v>
      </c>
    </row>
    <row r="218" spans="3:12">
      <c r="C218" s="11" t="str">
        <f t="shared" si="25"/>
        <v/>
      </c>
      <c r="D218" s="11">
        <f t="shared" si="26"/>
        <v>7.84</v>
      </c>
      <c r="E218" s="11">
        <f t="shared" si="27"/>
        <v>6</v>
      </c>
      <c r="F218" s="11" t="str">
        <f t="shared" si="28"/>
        <v/>
      </c>
      <c r="G218" s="337" t="str">
        <f t="shared" si="29"/>
        <v/>
      </c>
      <c r="I218" s="146"/>
      <c r="J218" s="146"/>
      <c r="K218" s="169">
        <v>8.3000000000000007</v>
      </c>
      <c r="L218" s="385">
        <v>60000</v>
      </c>
    </row>
    <row r="219" spans="3:12">
      <c r="C219" s="11" t="str">
        <f t="shared" si="25"/>
        <v>东吴基金管理有限公司</v>
      </c>
      <c r="D219" s="11">
        <f t="shared" si="26"/>
        <v>6.51</v>
      </c>
      <c r="E219" s="11">
        <f t="shared" si="27"/>
        <v>1.2</v>
      </c>
      <c r="F219" s="11" t="str">
        <f t="shared" si="28"/>
        <v/>
      </c>
      <c r="G219" s="337" t="str">
        <f t="shared" si="29"/>
        <v/>
      </c>
      <c r="I219" s="25"/>
      <c r="J219" s="25"/>
      <c r="K219" s="169">
        <v>7.84</v>
      </c>
      <c r="L219" s="385">
        <v>60000</v>
      </c>
    </row>
    <row r="220" spans="3:12">
      <c r="C220" s="11" t="str">
        <f t="shared" si="25"/>
        <v>联储证券有限责任公司</v>
      </c>
      <c r="D220" s="11">
        <f t="shared" si="26"/>
        <v>9.07</v>
      </c>
      <c r="E220" s="11">
        <f t="shared" si="27"/>
        <v>1.2</v>
      </c>
      <c r="F220" s="11">
        <f t="shared" si="28"/>
        <v>1369.8630000000001</v>
      </c>
      <c r="G220" s="337">
        <f t="shared" si="29"/>
        <v>1.1999999879999999</v>
      </c>
      <c r="I220" s="156">
        <v>16</v>
      </c>
      <c r="J220" s="155" t="s">
        <v>974</v>
      </c>
      <c r="K220" s="169">
        <v>6.51</v>
      </c>
      <c r="L220" s="385">
        <v>12000</v>
      </c>
    </row>
    <row r="221" spans="3:12">
      <c r="C221" s="11" t="str">
        <f t="shared" si="25"/>
        <v>兴证证券资产管理有限公司</v>
      </c>
      <c r="D221" s="11">
        <f t="shared" si="26"/>
        <v>8.1199999999999992</v>
      </c>
      <c r="E221" s="11">
        <f t="shared" si="27"/>
        <v>1.2</v>
      </c>
      <c r="F221" s="11" t="str">
        <f t="shared" si="28"/>
        <v/>
      </c>
      <c r="G221" s="337" t="str">
        <f t="shared" si="29"/>
        <v/>
      </c>
      <c r="I221" s="156">
        <v>17</v>
      </c>
      <c r="J221" s="155" t="s">
        <v>1820</v>
      </c>
      <c r="K221" s="169">
        <v>9.07</v>
      </c>
      <c r="L221" s="385">
        <v>12000</v>
      </c>
    </row>
    <row r="222" spans="3:12">
      <c r="C222" s="11" t="str">
        <f t="shared" si="25"/>
        <v>德邦基金管理有限公司</v>
      </c>
      <c r="D222" s="11">
        <f t="shared" si="26"/>
        <v>7.51</v>
      </c>
      <c r="E222" s="11">
        <f t="shared" si="27"/>
        <v>1.8</v>
      </c>
      <c r="F222" s="11" t="str">
        <f t="shared" si="28"/>
        <v/>
      </c>
      <c r="G222" s="337" t="str">
        <f t="shared" si="29"/>
        <v/>
      </c>
      <c r="I222" s="156">
        <v>18</v>
      </c>
      <c r="J222" s="155" t="s">
        <v>150</v>
      </c>
      <c r="K222" s="169">
        <v>8.1199999999999992</v>
      </c>
      <c r="L222" s="385">
        <v>12000</v>
      </c>
    </row>
    <row r="223" spans="3:12">
      <c r="C223" s="11" t="str">
        <f t="shared" si="25"/>
        <v>万家基金管理有限公司</v>
      </c>
      <c r="D223" s="11">
        <f t="shared" si="26"/>
        <v>9.98</v>
      </c>
      <c r="E223" s="11">
        <f t="shared" si="27"/>
        <v>2.4</v>
      </c>
      <c r="F223" s="11">
        <f t="shared" si="28"/>
        <v>2739.7260000000001</v>
      </c>
      <c r="G223" s="337">
        <f t="shared" si="29"/>
        <v>2.3999999759999997</v>
      </c>
      <c r="I223" s="156">
        <v>19</v>
      </c>
      <c r="J223" s="155" t="s">
        <v>953</v>
      </c>
      <c r="K223" s="169">
        <v>7.51</v>
      </c>
      <c r="L223" s="385">
        <v>18000</v>
      </c>
    </row>
    <row r="224" spans="3:12">
      <c r="C224" s="11" t="str">
        <f t="shared" si="25"/>
        <v>宁波梅山保税港区东芷投资合伙企业（有限合伙）</v>
      </c>
      <c r="D224" s="11">
        <f t="shared" si="26"/>
        <v>10</v>
      </c>
      <c r="E224" s="11">
        <f t="shared" si="27"/>
        <v>1.8</v>
      </c>
      <c r="F224" s="11">
        <f t="shared" si="28"/>
        <v>2054.7945</v>
      </c>
      <c r="G224" s="337">
        <f t="shared" si="29"/>
        <v>1.7999999820000001</v>
      </c>
      <c r="I224" s="156">
        <v>20</v>
      </c>
      <c r="J224" s="155" t="s">
        <v>1819</v>
      </c>
      <c r="K224" s="169">
        <v>9.98</v>
      </c>
      <c r="L224" s="385">
        <v>24000</v>
      </c>
    </row>
    <row r="225" spans="1:19">
      <c r="F225" s="24" t="str">
        <f t="shared" si="28"/>
        <v/>
      </c>
      <c r="I225" s="182">
        <v>21</v>
      </c>
      <c r="J225" s="155" t="s">
        <v>1818</v>
      </c>
      <c r="K225" s="182">
        <v>10</v>
      </c>
      <c r="L225" s="384">
        <v>18000</v>
      </c>
    </row>
    <row r="226" spans="1:19">
      <c r="I226" s="182"/>
      <c r="J226" s="155"/>
      <c r="K226" s="182"/>
      <c r="L226" s="384"/>
    </row>
    <row r="228" spans="1:19" s="162" customFormat="1">
      <c r="A228" s="164" t="s">
        <v>1315</v>
      </c>
      <c r="B228" s="164"/>
      <c r="C228" s="164" t="s">
        <v>107</v>
      </c>
      <c r="D228" s="164" t="s">
        <v>4</v>
      </c>
      <c r="E228" s="166" t="s">
        <v>108</v>
      </c>
      <c r="F228" s="166" t="s">
        <v>109</v>
      </c>
      <c r="G228" s="164" t="s">
        <v>1314</v>
      </c>
      <c r="H228" s="164" t="s">
        <v>1313</v>
      </c>
      <c r="I228" s="165" t="s">
        <v>1312</v>
      </c>
      <c r="J228" s="163" t="s">
        <v>1311</v>
      </c>
      <c r="K228" s="163" t="s">
        <v>110</v>
      </c>
      <c r="L228" s="163" t="s">
        <v>1310</v>
      </c>
      <c r="M228" s="164" t="s">
        <v>111</v>
      </c>
      <c r="N228" s="163" t="s">
        <v>949</v>
      </c>
      <c r="O228" s="163" t="s">
        <v>948</v>
      </c>
      <c r="P228" s="163" t="s">
        <v>129</v>
      </c>
    </row>
    <row r="229" spans="1:19">
      <c r="A229" s="24">
        <v>314</v>
      </c>
      <c r="B229" s="329" t="s">
        <v>1817</v>
      </c>
      <c r="C229" s="1" t="s">
        <v>1816</v>
      </c>
      <c r="D229" s="1" t="s">
        <v>1815</v>
      </c>
      <c r="E229" s="3">
        <v>14.4</v>
      </c>
      <c r="F229" s="3">
        <v>14.399999892</v>
      </c>
      <c r="G229" s="2">
        <v>42718</v>
      </c>
      <c r="H229" s="24" t="s">
        <v>1546</v>
      </c>
      <c r="I229" s="130">
        <v>11.23</v>
      </c>
      <c r="J229" s="3">
        <v>11.74</v>
      </c>
      <c r="K229" s="160">
        <v>11.74</v>
      </c>
      <c r="L229" s="271">
        <v>1.0454140694568121</v>
      </c>
      <c r="M229" s="270">
        <v>7</v>
      </c>
      <c r="N229" s="2">
        <v>43108</v>
      </c>
      <c r="O229" s="24">
        <v>9.56</v>
      </c>
      <c r="P229" s="157">
        <v>0.81516183986371382</v>
      </c>
    </row>
    <row r="230" spans="1:19">
      <c r="C230" s="179" t="s">
        <v>112</v>
      </c>
      <c r="D230" s="179" t="s">
        <v>113</v>
      </c>
      <c r="E230" s="179" t="s">
        <v>1305</v>
      </c>
      <c r="F230" s="180" t="s">
        <v>1304</v>
      </c>
      <c r="G230" s="179" t="s">
        <v>1303</v>
      </c>
      <c r="I230" s="183"/>
      <c r="J230" s="183"/>
      <c r="K230" s="196" t="s">
        <v>488</v>
      </c>
      <c r="L230" s="225" t="s">
        <v>1814</v>
      </c>
      <c r="M230" s="225" t="s">
        <v>401</v>
      </c>
      <c r="O230" s="196" t="s">
        <v>118</v>
      </c>
      <c r="P230" s="196" t="s">
        <v>7</v>
      </c>
      <c r="Q230" s="225" t="s">
        <v>1301</v>
      </c>
      <c r="R230" s="85" t="s">
        <v>160</v>
      </c>
      <c r="S230" s="85" t="s">
        <v>1813</v>
      </c>
    </row>
    <row r="231" spans="1:19">
      <c r="C231" s="11" t="str">
        <f t="shared" ref="C231:C241" si="30">IF(J232=0,"",J232)</f>
        <v>嘉兴陇甄投资合伙企业（有限合伙）</v>
      </c>
      <c r="D231" s="11">
        <f t="shared" ref="D231:D240" si="31">K232</f>
        <v>11.74</v>
      </c>
      <c r="E231" s="10">
        <f t="shared" ref="E231:E240" si="32">M232/10000</f>
        <v>1.4400001066000001</v>
      </c>
      <c r="F231" s="11" t="str">
        <f t="shared" ref="F231:F240" si="33">IFERROR(VLOOKUP(C231,P$232:S$238,3,FALSE)/10000,"")</f>
        <v/>
      </c>
      <c r="G231" s="11"/>
      <c r="I231" s="85" t="s">
        <v>118</v>
      </c>
      <c r="J231" s="85" t="s">
        <v>296</v>
      </c>
      <c r="K231" s="196" t="s">
        <v>1811</v>
      </c>
      <c r="L231" s="225" t="s">
        <v>1812</v>
      </c>
      <c r="M231" s="225" t="s">
        <v>1333</v>
      </c>
      <c r="O231" s="196"/>
      <c r="P231" s="196"/>
      <c r="Q231" s="196" t="s">
        <v>1811</v>
      </c>
      <c r="R231" s="85" t="s">
        <v>1317</v>
      </c>
      <c r="S231" s="85" t="s">
        <v>1316</v>
      </c>
    </row>
    <row r="232" spans="1:19">
      <c r="C232" s="11" t="str">
        <f t="shared" si="30"/>
        <v>北京中财裕富投资管理有限公司</v>
      </c>
      <c r="D232" s="11">
        <f t="shared" si="31"/>
        <v>11.74</v>
      </c>
      <c r="E232" s="10">
        <f t="shared" si="32"/>
        <v>2.8880400000000002</v>
      </c>
      <c r="F232" s="10">
        <f t="shared" si="33"/>
        <v>2523.4241000000002</v>
      </c>
      <c r="G232" s="10">
        <f>IFERROR(F232*J$229/10000,"")</f>
        <v>2.9624998934000004</v>
      </c>
      <c r="I232" s="383">
        <v>1</v>
      </c>
      <c r="J232" s="192" t="s">
        <v>1810</v>
      </c>
      <c r="K232" s="296">
        <v>11.74</v>
      </c>
      <c r="L232" s="296">
        <v>1226.5759</v>
      </c>
      <c r="M232" s="296">
        <v>14400.001066000001</v>
      </c>
      <c r="O232" s="383">
        <v>1</v>
      </c>
      <c r="P232" s="182" t="s">
        <v>336</v>
      </c>
      <c r="Q232" s="182"/>
      <c r="R232" s="378">
        <v>12265758</v>
      </c>
      <c r="S232" s="234">
        <v>143999998.91999999</v>
      </c>
    </row>
    <row r="233" spans="1:19">
      <c r="C233" s="11" t="str">
        <f t="shared" si="30"/>
        <v/>
      </c>
      <c r="D233" s="11">
        <f t="shared" si="31"/>
        <v>11.8</v>
      </c>
      <c r="E233" s="10">
        <f t="shared" si="32"/>
        <v>2.9028</v>
      </c>
      <c r="F233" s="10" t="str">
        <f t="shared" si="33"/>
        <v/>
      </c>
      <c r="G233" s="10" t="str">
        <f t="shared" ref="G233:G240" si="34">IFERROR(F233*J$229/10000,"")</f>
        <v/>
      </c>
      <c r="I233" s="383">
        <v>2</v>
      </c>
      <c r="J233" s="192" t="s">
        <v>1809</v>
      </c>
      <c r="K233" s="296">
        <v>11.74</v>
      </c>
      <c r="L233" s="296">
        <v>2460</v>
      </c>
      <c r="M233" s="296">
        <v>28880.400000000001</v>
      </c>
      <c r="O233" s="383">
        <v>2</v>
      </c>
      <c r="P233" s="182" t="s">
        <v>1809</v>
      </c>
      <c r="Q233" s="182"/>
      <c r="R233" s="378">
        <v>25234241</v>
      </c>
      <c r="S233" s="234">
        <v>296249989.33999997</v>
      </c>
    </row>
    <row r="234" spans="1:19" ht="16">
      <c r="C234" s="11" t="str">
        <f t="shared" si="30"/>
        <v/>
      </c>
      <c r="D234" s="11">
        <f t="shared" si="31"/>
        <v>12.5</v>
      </c>
      <c r="E234" s="10">
        <f t="shared" si="32"/>
        <v>2.9624999999999999</v>
      </c>
      <c r="F234" s="10" t="str">
        <f t="shared" si="33"/>
        <v/>
      </c>
      <c r="G234" s="10" t="str">
        <f t="shared" si="34"/>
        <v/>
      </c>
      <c r="I234" s="339"/>
      <c r="J234" s="339"/>
      <c r="K234" s="296">
        <v>11.8</v>
      </c>
      <c r="L234" s="296">
        <v>2460</v>
      </c>
      <c r="M234" s="296">
        <v>29028</v>
      </c>
      <c r="O234" s="383">
        <v>3</v>
      </c>
      <c r="P234" s="182" t="s">
        <v>1808</v>
      </c>
      <c r="Q234" s="182"/>
      <c r="R234" s="378">
        <v>24531515</v>
      </c>
      <c r="S234" s="234">
        <v>287999986.10000002</v>
      </c>
    </row>
    <row r="235" spans="1:19" ht="16.5">
      <c r="C235" s="11" t="str">
        <f t="shared" si="30"/>
        <v>北信瑞丰基金管理有限公司</v>
      </c>
      <c r="D235" s="11">
        <f t="shared" si="31"/>
        <v>12.4</v>
      </c>
      <c r="E235" s="10">
        <f t="shared" si="32"/>
        <v>1.4400000959999999</v>
      </c>
      <c r="F235" s="10">
        <f t="shared" si="33"/>
        <v>1226.5758000000001</v>
      </c>
      <c r="G235" s="10">
        <f t="shared" si="34"/>
        <v>1.4399999892000002</v>
      </c>
      <c r="I235" s="25"/>
      <c r="J235" s="25"/>
      <c r="K235" s="296">
        <v>12.5</v>
      </c>
      <c r="L235" s="296">
        <v>2370</v>
      </c>
      <c r="M235" s="296">
        <v>29625</v>
      </c>
      <c r="O235" s="383">
        <v>4</v>
      </c>
      <c r="P235" s="182" t="s">
        <v>1733</v>
      </c>
      <c r="Q235" s="338"/>
      <c r="R235" s="378">
        <v>12265758</v>
      </c>
      <c r="S235" s="234">
        <v>143999998.91999999</v>
      </c>
    </row>
    <row r="236" spans="1:19">
      <c r="C236" s="11" t="str">
        <f t="shared" si="30"/>
        <v/>
      </c>
      <c r="D236" s="11">
        <f t="shared" si="31"/>
        <v>11.74</v>
      </c>
      <c r="E236" s="10">
        <f t="shared" si="32"/>
        <v>1.4400001066000001</v>
      </c>
      <c r="F236" s="10" t="str">
        <f t="shared" si="33"/>
        <v/>
      </c>
      <c r="G236" s="10" t="str">
        <f t="shared" si="34"/>
        <v/>
      </c>
      <c r="I236" s="383">
        <v>3</v>
      </c>
      <c r="J236" s="192" t="s">
        <v>336</v>
      </c>
      <c r="K236" s="296">
        <v>12.4</v>
      </c>
      <c r="L236" s="296">
        <v>1161.2904000000001</v>
      </c>
      <c r="M236" s="296">
        <v>14400.000959999999</v>
      </c>
      <c r="O236" s="383">
        <v>5</v>
      </c>
      <c r="P236" s="182" t="s">
        <v>371</v>
      </c>
      <c r="Q236" s="191">
        <v>11.74</v>
      </c>
      <c r="R236" s="378">
        <v>12265758</v>
      </c>
      <c r="S236" s="234">
        <v>143999998.91999999</v>
      </c>
    </row>
    <row r="237" spans="1:19">
      <c r="C237" s="11" t="str">
        <f t="shared" si="30"/>
        <v>武汉众邦资产管理有限公司</v>
      </c>
      <c r="D237" s="11">
        <f t="shared" si="31"/>
        <v>11.8</v>
      </c>
      <c r="E237" s="10">
        <f t="shared" si="32"/>
        <v>2.8799999220000001</v>
      </c>
      <c r="F237" s="10">
        <f t="shared" si="33"/>
        <v>2453.1514999999999</v>
      </c>
      <c r="G237" s="10">
        <f t="shared" si="34"/>
        <v>2.8799998609999999</v>
      </c>
      <c r="I237" s="25"/>
      <c r="J237" s="25"/>
      <c r="K237" s="296">
        <v>11.74</v>
      </c>
      <c r="L237" s="296">
        <v>1226.5759</v>
      </c>
      <c r="M237" s="296">
        <v>14400.001066000001</v>
      </c>
      <c r="O237" s="383">
        <v>6</v>
      </c>
      <c r="P237" s="182" t="s">
        <v>522</v>
      </c>
      <c r="Q237" s="64"/>
      <c r="R237" s="378">
        <v>23317718</v>
      </c>
      <c r="S237" s="234">
        <v>273750009.31999999</v>
      </c>
    </row>
    <row r="238" spans="1:19">
      <c r="C238" s="11" t="str">
        <f t="shared" si="30"/>
        <v>农银（苏州）投资管理有限公司</v>
      </c>
      <c r="D238" s="11">
        <f t="shared" si="31"/>
        <v>11.8</v>
      </c>
      <c r="E238" s="10">
        <f t="shared" si="32"/>
        <v>1.44000002</v>
      </c>
      <c r="F238" s="10">
        <f t="shared" si="33"/>
        <v>1226.5758000000001</v>
      </c>
      <c r="G238" s="10">
        <f t="shared" si="34"/>
        <v>1.4399999892000002</v>
      </c>
      <c r="I238" s="383">
        <v>4</v>
      </c>
      <c r="J238" s="192" t="s">
        <v>1808</v>
      </c>
      <c r="K238" s="296">
        <v>11.8</v>
      </c>
      <c r="L238" s="296">
        <v>2440.6779000000001</v>
      </c>
      <c r="M238" s="296">
        <v>28799.999220000002</v>
      </c>
      <c r="O238" s="383">
        <v>7</v>
      </c>
      <c r="P238" s="182" t="s">
        <v>1807</v>
      </c>
      <c r="Q238" s="64"/>
      <c r="R238" s="378">
        <v>12776832</v>
      </c>
      <c r="S238" s="234">
        <v>150000007.68000001</v>
      </c>
    </row>
    <row r="239" spans="1:19">
      <c r="C239" s="11" t="str">
        <f t="shared" si="30"/>
        <v>安信基金管理有限责任公司</v>
      </c>
      <c r="D239" s="11">
        <f t="shared" si="31"/>
        <v>11.79</v>
      </c>
      <c r="E239" s="10">
        <f t="shared" si="32"/>
        <v>1.4400000638999999</v>
      </c>
      <c r="F239" s="10">
        <f t="shared" si="33"/>
        <v>1226.5758000000001</v>
      </c>
      <c r="G239" s="10">
        <f t="shared" si="34"/>
        <v>1.4399999892000002</v>
      </c>
      <c r="I239" s="383">
        <v>5</v>
      </c>
      <c r="J239" s="192" t="s">
        <v>1733</v>
      </c>
      <c r="K239" s="296">
        <v>11.8</v>
      </c>
      <c r="L239" s="296">
        <v>1220.3389999999999</v>
      </c>
      <c r="M239" s="296">
        <v>14400.0002</v>
      </c>
      <c r="O239" s="278"/>
      <c r="P239" s="196" t="s">
        <v>1293</v>
      </c>
      <c r="Q239" s="64"/>
      <c r="R239" s="378">
        <v>122657580</v>
      </c>
      <c r="S239" s="234">
        <v>1439999989.2</v>
      </c>
    </row>
    <row r="240" spans="1:19">
      <c r="C240" s="11" t="str">
        <f t="shared" si="30"/>
        <v>华福证券有限责任公司</v>
      </c>
      <c r="D240" s="11">
        <f t="shared" si="31"/>
        <v>11.74</v>
      </c>
      <c r="E240" s="10">
        <f t="shared" si="32"/>
        <v>2.8800000958000003</v>
      </c>
      <c r="F240" s="10">
        <f t="shared" si="33"/>
        <v>2331.7718</v>
      </c>
      <c r="G240" s="10">
        <f t="shared" si="34"/>
        <v>2.7375000932</v>
      </c>
      <c r="I240" s="383">
        <v>6</v>
      </c>
      <c r="J240" s="192" t="s">
        <v>371</v>
      </c>
      <c r="K240" s="296">
        <v>11.79</v>
      </c>
      <c r="L240" s="296">
        <v>1221.3741</v>
      </c>
      <c r="M240" s="296">
        <v>14400.000639</v>
      </c>
    </row>
    <row r="241" spans="1:17">
      <c r="C241" s="24" t="str">
        <f t="shared" si="30"/>
        <v/>
      </c>
      <c r="I241" s="383">
        <v>7</v>
      </c>
      <c r="J241" s="192" t="s">
        <v>522</v>
      </c>
      <c r="K241" s="296">
        <v>11.74</v>
      </c>
      <c r="L241" s="296">
        <v>2453.1516999999999</v>
      </c>
      <c r="M241" s="296">
        <v>28800.000958000001</v>
      </c>
    </row>
    <row r="244" spans="1:17" s="162" customFormat="1">
      <c r="A244" s="164" t="s">
        <v>1315</v>
      </c>
      <c r="B244" s="164"/>
      <c r="C244" s="164" t="s">
        <v>107</v>
      </c>
      <c r="D244" s="164" t="s">
        <v>4</v>
      </c>
      <c r="E244" s="166" t="s">
        <v>108</v>
      </c>
      <c r="F244" s="166" t="s">
        <v>109</v>
      </c>
      <c r="G244" s="164" t="s">
        <v>1314</v>
      </c>
      <c r="H244" s="164" t="s">
        <v>1313</v>
      </c>
      <c r="I244" s="165" t="s">
        <v>1312</v>
      </c>
      <c r="J244" s="163" t="s">
        <v>1311</v>
      </c>
      <c r="K244" s="163" t="s">
        <v>110</v>
      </c>
      <c r="L244" s="163" t="s">
        <v>1310</v>
      </c>
      <c r="M244" s="164" t="s">
        <v>111</v>
      </c>
      <c r="N244" s="163" t="s">
        <v>949</v>
      </c>
      <c r="O244" s="163" t="s">
        <v>948</v>
      </c>
      <c r="P244" s="163" t="s">
        <v>129</v>
      </c>
    </row>
    <row r="245" spans="1:17">
      <c r="A245" s="24">
        <v>315</v>
      </c>
      <c r="B245" s="329" t="s">
        <v>1806</v>
      </c>
      <c r="C245" s="1" t="s">
        <v>1805</v>
      </c>
      <c r="D245" s="1" t="s">
        <v>1804</v>
      </c>
      <c r="E245" s="3">
        <v>16.853691999999999</v>
      </c>
      <c r="F245" s="3">
        <v>16.853691951999998</v>
      </c>
      <c r="G245" s="2">
        <v>42723</v>
      </c>
      <c r="H245" s="24" t="s">
        <v>151</v>
      </c>
      <c r="I245" s="130">
        <v>6.99</v>
      </c>
      <c r="J245" s="3">
        <v>6.1</v>
      </c>
      <c r="K245" s="160">
        <v>4.6900000000000004</v>
      </c>
      <c r="L245" s="271">
        <v>0.8726752503576537</v>
      </c>
      <c r="M245" s="270">
        <v>7</v>
      </c>
      <c r="N245" s="2">
        <v>43110</v>
      </c>
      <c r="O245" s="24">
        <v>6</v>
      </c>
      <c r="P245" s="157">
        <v>0.99180327868852458</v>
      </c>
    </row>
    <row r="246" spans="1:17">
      <c r="C246" s="16" t="s">
        <v>112</v>
      </c>
      <c r="D246" s="16" t="s">
        <v>113</v>
      </c>
      <c r="E246" s="16" t="s">
        <v>1305</v>
      </c>
      <c r="F246" s="17" t="s">
        <v>1304</v>
      </c>
      <c r="G246" s="16" t="s">
        <v>1303</v>
      </c>
      <c r="I246" s="196" t="s">
        <v>118</v>
      </c>
      <c r="J246" s="196" t="s">
        <v>324</v>
      </c>
      <c r="K246" s="225" t="s">
        <v>488</v>
      </c>
      <c r="L246" s="225" t="s">
        <v>401</v>
      </c>
      <c r="N246" s="330" t="s">
        <v>118</v>
      </c>
      <c r="O246" s="330" t="s">
        <v>324</v>
      </c>
      <c r="P246" s="331" t="s">
        <v>1319</v>
      </c>
      <c r="Q246" s="331" t="s">
        <v>1318</v>
      </c>
    </row>
    <row r="247" spans="1:17">
      <c r="C247" s="11" t="str">
        <f t="shared" ref="C247:C285" si="35">IF(J248=0,"",J248)</f>
        <v>现代种业发展基金有限公司</v>
      </c>
      <c r="D247" s="11">
        <f t="shared" ref="D247:D284" si="36">K248</f>
        <v>7</v>
      </c>
      <c r="E247" s="11">
        <f t="shared" ref="E247:E284" si="37">L248/10000</f>
        <v>1.7</v>
      </c>
      <c r="F247" s="10">
        <f t="shared" ref="F247:F284" si="38">IFERROR(VLOOKUP(C247,O$248:Q$254,2,FALSE)/10000,"")</f>
        <v>2786.8852000000002</v>
      </c>
      <c r="G247" s="10">
        <f t="shared" ref="G247:G282" si="39">IFERROR(F247*J$245/10000,"")</f>
        <v>1.6999999720000001</v>
      </c>
      <c r="I247" s="196"/>
      <c r="J247" s="196"/>
      <c r="K247" s="225" t="s">
        <v>1389</v>
      </c>
      <c r="L247" s="225" t="s">
        <v>1333</v>
      </c>
      <c r="N247" s="330"/>
      <c r="O247" s="330"/>
      <c r="P247" s="331" t="s">
        <v>1317</v>
      </c>
      <c r="Q247" s="331" t="s">
        <v>1316</v>
      </c>
    </row>
    <row r="248" spans="1:17">
      <c r="C248" s="11" t="str">
        <f t="shared" si="35"/>
        <v>张贵斌</v>
      </c>
      <c r="D248" s="11">
        <f t="shared" si="36"/>
        <v>5.4</v>
      </c>
      <c r="E248" s="11">
        <f t="shared" si="37"/>
        <v>1.7</v>
      </c>
      <c r="F248" s="10" t="str">
        <f t="shared" si="38"/>
        <v/>
      </c>
      <c r="G248" s="10" t="str">
        <f t="shared" si="39"/>
        <v/>
      </c>
      <c r="I248" s="168">
        <v>1</v>
      </c>
      <c r="J248" s="204" t="s">
        <v>1803</v>
      </c>
      <c r="K248" s="168">
        <v>7</v>
      </c>
      <c r="L248" s="167">
        <v>17000</v>
      </c>
      <c r="N248" s="168">
        <v>1</v>
      </c>
      <c r="O248" s="204" t="s">
        <v>1803</v>
      </c>
      <c r="P248" s="167">
        <v>27868852</v>
      </c>
      <c r="Q248" s="197">
        <v>169999997.19999999</v>
      </c>
    </row>
    <row r="249" spans="1:17">
      <c r="C249" s="11" t="str">
        <f t="shared" si="35"/>
        <v/>
      </c>
      <c r="D249" s="11">
        <f t="shared" si="36"/>
        <v>5.3</v>
      </c>
      <c r="E249" s="11">
        <f t="shared" si="37"/>
        <v>1.7</v>
      </c>
      <c r="F249" s="10" t="str">
        <f t="shared" si="38"/>
        <v/>
      </c>
      <c r="G249" s="10" t="str">
        <f t="shared" si="39"/>
        <v/>
      </c>
      <c r="I249" s="156"/>
      <c r="J249" s="204" t="s">
        <v>1802</v>
      </c>
      <c r="K249" s="168">
        <v>5.4</v>
      </c>
      <c r="L249" s="167">
        <v>17000</v>
      </c>
      <c r="N249" s="168">
        <v>2</v>
      </c>
      <c r="O249" s="204" t="s">
        <v>1079</v>
      </c>
      <c r="P249" s="167">
        <v>27868852</v>
      </c>
      <c r="Q249" s="197">
        <v>169999997.19999999</v>
      </c>
    </row>
    <row r="250" spans="1:17">
      <c r="C250" s="11" t="str">
        <f t="shared" si="35"/>
        <v/>
      </c>
      <c r="D250" s="11">
        <f t="shared" si="36"/>
        <v>5.2</v>
      </c>
      <c r="E250" s="11">
        <f t="shared" si="37"/>
        <v>1.7</v>
      </c>
      <c r="F250" s="10" t="str">
        <f t="shared" si="38"/>
        <v/>
      </c>
      <c r="G250" s="10" t="str">
        <f t="shared" si="39"/>
        <v/>
      </c>
      <c r="I250" s="168">
        <v>2</v>
      </c>
      <c r="J250" s="204"/>
      <c r="K250" s="168">
        <v>5.3</v>
      </c>
      <c r="L250" s="167">
        <v>17000</v>
      </c>
      <c r="N250" s="168">
        <v>3</v>
      </c>
      <c r="O250" s="204" t="s">
        <v>336</v>
      </c>
      <c r="P250" s="167">
        <v>35901639</v>
      </c>
      <c r="Q250" s="197">
        <v>218999997.90000001</v>
      </c>
    </row>
    <row r="251" spans="1:17">
      <c r="C251" s="11" t="str">
        <f t="shared" si="35"/>
        <v>中信证券股份有限公司</v>
      </c>
      <c r="D251" s="11">
        <f t="shared" si="36"/>
        <v>6</v>
      </c>
      <c r="E251" s="11">
        <f t="shared" si="37"/>
        <v>1.75</v>
      </c>
      <c r="F251" s="10" t="str">
        <f t="shared" si="38"/>
        <v/>
      </c>
      <c r="G251" s="10" t="str">
        <f t="shared" si="39"/>
        <v/>
      </c>
      <c r="I251" s="64"/>
      <c r="J251" s="204"/>
      <c r="K251" s="168">
        <v>5.2</v>
      </c>
      <c r="L251" s="167">
        <v>17000</v>
      </c>
      <c r="N251" s="168">
        <v>4</v>
      </c>
      <c r="O251" s="204" t="s">
        <v>115</v>
      </c>
      <c r="P251" s="167">
        <v>90983606</v>
      </c>
      <c r="Q251" s="197">
        <v>554999996.60000002</v>
      </c>
    </row>
    <row r="252" spans="1:17">
      <c r="C252" s="11" t="str">
        <f t="shared" si="35"/>
        <v/>
      </c>
      <c r="D252" s="11">
        <f t="shared" si="36"/>
        <v>5.6</v>
      </c>
      <c r="E252" s="11">
        <f t="shared" si="37"/>
        <v>2.41</v>
      </c>
      <c r="F252" s="10" t="str">
        <f t="shared" si="38"/>
        <v/>
      </c>
      <c r="G252" s="10" t="str">
        <f t="shared" si="39"/>
        <v/>
      </c>
      <c r="I252" s="382"/>
      <c r="J252" s="204" t="s">
        <v>316</v>
      </c>
      <c r="K252" s="168">
        <v>6</v>
      </c>
      <c r="L252" s="167">
        <v>17500</v>
      </c>
      <c r="N252" s="168">
        <v>5</v>
      </c>
      <c r="O252" s="204" t="s">
        <v>146</v>
      </c>
      <c r="P252" s="167">
        <v>36065573</v>
      </c>
      <c r="Q252" s="197">
        <v>219999995.30000001</v>
      </c>
    </row>
    <row r="253" spans="1:17">
      <c r="C253" s="11" t="str">
        <f t="shared" si="35"/>
        <v>第一创业证券股份有限公司</v>
      </c>
      <c r="D253" s="11">
        <f t="shared" si="36"/>
        <v>6</v>
      </c>
      <c r="E253" s="11">
        <f t="shared" si="37"/>
        <v>2.5</v>
      </c>
      <c r="F253" s="10" t="str">
        <f t="shared" si="38"/>
        <v/>
      </c>
      <c r="G253" s="10" t="str">
        <f t="shared" si="39"/>
        <v/>
      </c>
      <c r="I253" s="168">
        <v>3</v>
      </c>
      <c r="J253" s="204"/>
      <c r="K253" s="168">
        <v>5.6</v>
      </c>
      <c r="L253" s="167">
        <v>24100</v>
      </c>
      <c r="N253" s="168">
        <v>6</v>
      </c>
      <c r="O253" s="204" t="s">
        <v>300</v>
      </c>
      <c r="P253" s="167">
        <v>30983606</v>
      </c>
      <c r="Q253" s="197">
        <v>188999996.59999999</v>
      </c>
    </row>
    <row r="254" spans="1:17">
      <c r="C254" s="11" t="str">
        <f t="shared" si="35"/>
        <v>广西铁路发展投资基金（有限合伙）</v>
      </c>
      <c r="D254" s="11">
        <f t="shared" si="36"/>
        <v>6.9</v>
      </c>
      <c r="E254" s="11">
        <f t="shared" si="37"/>
        <v>1.7</v>
      </c>
      <c r="F254" s="10">
        <f t="shared" si="38"/>
        <v>2786.8852000000002</v>
      </c>
      <c r="G254" s="10">
        <f t="shared" si="39"/>
        <v>1.6999999720000001</v>
      </c>
      <c r="I254" s="168">
        <v>4</v>
      </c>
      <c r="J254" s="204" t="s">
        <v>127</v>
      </c>
      <c r="K254" s="168">
        <v>6</v>
      </c>
      <c r="L254" s="167">
        <v>25000</v>
      </c>
      <c r="N254" s="168">
        <v>7</v>
      </c>
      <c r="O254" s="204" t="s">
        <v>666</v>
      </c>
      <c r="P254" s="167">
        <v>26617904</v>
      </c>
      <c r="Q254" s="197">
        <v>162369214.40000001</v>
      </c>
    </row>
    <row r="255" spans="1:17">
      <c r="C255" s="11" t="str">
        <f t="shared" si="35"/>
        <v>申万菱信基金管理有限公司</v>
      </c>
      <c r="D255" s="11">
        <f t="shared" si="36"/>
        <v>5.6</v>
      </c>
      <c r="E255" s="11">
        <f t="shared" si="37"/>
        <v>1.7</v>
      </c>
      <c r="F255" s="10" t="str">
        <f t="shared" si="38"/>
        <v/>
      </c>
      <c r="G255" s="10" t="str">
        <f t="shared" si="39"/>
        <v/>
      </c>
      <c r="I255" s="168">
        <v>5</v>
      </c>
      <c r="J255" s="204" t="s">
        <v>1079</v>
      </c>
      <c r="K255" s="168">
        <v>6.9</v>
      </c>
      <c r="L255" s="167">
        <v>17000</v>
      </c>
      <c r="N255" s="227"/>
      <c r="O255" s="331" t="s">
        <v>1293</v>
      </c>
      <c r="P255" s="167">
        <v>276290032</v>
      </c>
      <c r="Q255" s="197">
        <v>1685369195.2</v>
      </c>
    </row>
    <row r="256" spans="1:17">
      <c r="C256" s="11" t="str">
        <f t="shared" si="35"/>
        <v/>
      </c>
      <c r="D256" s="11">
        <f t="shared" si="36"/>
        <v>5.2</v>
      </c>
      <c r="E256" s="11">
        <f t="shared" si="37"/>
        <v>3.4</v>
      </c>
      <c r="F256" s="10" t="str">
        <f t="shared" si="38"/>
        <v/>
      </c>
      <c r="G256" s="10" t="str">
        <f t="shared" si="39"/>
        <v/>
      </c>
      <c r="I256" s="156"/>
      <c r="J256" s="204" t="s">
        <v>121</v>
      </c>
      <c r="K256" s="168">
        <v>5.6</v>
      </c>
      <c r="L256" s="167">
        <v>17000</v>
      </c>
      <c r="N256" s="25"/>
      <c r="O256" s="25"/>
      <c r="P256" s="25"/>
      <c r="Q256" s="25"/>
    </row>
    <row r="257" spans="3:12">
      <c r="C257" s="11" t="str">
        <f t="shared" si="35"/>
        <v/>
      </c>
      <c r="D257" s="11">
        <f t="shared" si="36"/>
        <v>4.7</v>
      </c>
      <c r="E257" s="11">
        <f t="shared" si="37"/>
        <v>5</v>
      </c>
      <c r="F257" s="10" t="str">
        <f t="shared" si="38"/>
        <v/>
      </c>
      <c r="G257" s="10" t="str">
        <f t="shared" si="39"/>
        <v/>
      </c>
      <c r="I257" s="168">
        <v>6</v>
      </c>
      <c r="J257" s="204"/>
      <c r="K257" s="168">
        <v>5.2</v>
      </c>
      <c r="L257" s="167">
        <v>34000</v>
      </c>
    </row>
    <row r="258" spans="3:12">
      <c r="C258" s="11" t="str">
        <f t="shared" si="35"/>
        <v>民生通惠资产管理有限公司</v>
      </c>
      <c r="D258" s="11">
        <f t="shared" si="36"/>
        <v>5.9</v>
      </c>
      <c r="E258" s="11">
        <f t="shared" si="37"/>
        <v>1.7</v>
      </c>
      <c r="F258" s="10" t="str">
        <f t="shared" si="38"/>
        <v/>
      </c>
      <c r="G258" s="10" t="str">
        <f t="shared" si="39"/>
        <v/>
      </c>
      <c r="I258" s="64"/>
      <c r="J258" s="204"/>
      <c r="K258" s="168">
        <v>4.7</v>
      </c>
      <c r="L258" s="167">
        <v>50000</v>
      </c>
    </row>
    <row r="259" spans="3:12">
      <c r="C259" s="11" t="str">
        <f t="shared" si="35"/>
        <v/>
      </c>
      <c r="D259" s="11">
        <f t="shared" si="36"/>
        <v>5.3</v>
      </c>
      <c r="E259" s="11">
        <f t="shared" si="37"/>
        <v>1.9</v>
      </c>
      <c r="F259" s="10" t="str">
        <f t="shared" si="38"/>
        <v/>
      </c>
      <c r="G259" s="10" t="str">
        <f t="shared" si="39"/>
        <v/>
      </c>
      <c r="I259" s="156"/>
      <c r="J259" s="204" t="s">
        <v>351</v>
      </c>
      <c r="K259" s="168">
        <v>5.9</v>
      </c>
      <c r="L259" s="167">
        <v>17000</v>
      </c>
    </row>
    <row r="260" spans="3:12">
      <c r="C260" s="11" t="str">
        <f t="shared" si="35"/>
        <v/>
      </c>
      <c r="D260" s="11">
        <f t="shared" si="36"/>
        <v>4.9000000000000004</v>
      </c>
      <c r="E260" s="11">
        <f t="shared" si="37"/>
        <v>2.2000000000000002</v>
      </c>
      <c r="F260" s="10" t="str">
        <f t="shared" si="38"/>
        <v/>
      </c>
      <c r="G260" s="10" t="str">
        <f t="shared" si="39"/>
        <v/>
      </c>
      <c r="I260" s="168">
        <v>7</v>
      </c>
      <c r="J260" s="204"/>
      <c r="K260" s="168">
        <v>5.3</v>
      </c>
      <c r="L260" s="167">
        <v>19000</v>
      </c>
    </row>
    <row r="261" spans="3:12">
      <c r="C261" s="11" t="str">
        <f t="shared" si="35"/>
        <v>兴业财富资产管理有限公司</v>
      </c>
      <c r="D261" s="11">
        <f t="shared" si="36"/>
        <v>4.8</v>
      </c>
      <c r="E261" s="11">
        <f t="shared" si="37"/>
        <v>1.7</v>
      </c>
      <c r="F261" s="10" t="str">
        <f t="shared" si="38"/>
        <v/>
      </c>
      <c r="G261" s="10" t="str">
        <f t="shared" si="39"/>
        <v/>
      </c>
      <c r="I261" s="64"/>
      <c r="J261" s="204"/>
      <c r="K261" s="168">
        <v>4.9000000000000004</v>
      </c>
      <c r="L261" s="167">
        <v>22000</v>
      </c>
    </row>
    <row r="262" spans="3:12">
      <c r="C262" s="11" t="str">
        <f t="shared" si="35"/>
        <v/>
      </c>
      <c r="D262" s="11">
        <f t="shared" si="36"/>
        <v>4.7</v>
      </c>
      <c r="E262" s="11">
        <f t="shared" si="37"/>
        <v>1.7</v>
      </c>
      <c r="F262" s="10" t="str">
        <f t="shared" si="38"/>
        <v/>
      </c>
      <c r="G262" s="10" t="str">
        <f t="shared" si="39"/>
        <v/>
      </c>
      <c r="I262" s="156"/>
      <c r="J262" s="204" t="s">
        <v>352</v>
      </c>
      <c r="K262" s="168">
        <v>4.8</v>
      </c>
      <c r="L262" s="167">
        <v>17000</v>
      </c>
    </row>
    <row r="263" spans="3:12">
      <c r="C263" s="11" t="str">
        <f t="shared" si="35"/>
        <v/>
      </c>
      <c r="D263" s="11">
        <f t="shared" si="36"/>
        <v>4.6900000000000004</v>
      </c>
      <c r="E263" s="11">
        <f t="shared" si="37"/>
        <v>1.7</v>
      </c>
      <c r="F263" s="10" t="str">
        <f t="shared" si="38"/>
        <v/>
      </c>
      <c r="G263" s="10" t="str">
        <f t="shared" si="39"/>
        <v/>
      </c>
      <c r="I263" s="168">
        <v>8</v>
      </c>
      <c r="J263" s="204"/>
      <c r="K263" s="168">
        <v>4.7</v>
      </c>
      <c r="L263" s="167">
        <v>17000</v>
      </c>
    </row>
    <row r="264" spans="3:12">
      <c r="C264" s="11" t="str">
        <f t="shared" si="35"/>
        <v>兴业全球基金管理有限公司</v>
      </c>
      <c r="D264" s="11">
        <f t="shared" si="36"/>
        <v>4.7</v>
      </c>
      <c r="E264" s="11">
        <f t="shared" si="37"/>
        <v>1.7</v>
      </c>
      <c r="F264" s="10" t="str">
        <f t="shared" si="38"/>
        <v/>
      </c>
      <c r="G264" s="10" t="str">
        <f t="shared" si="39"/>
        <v/>
      </c>
      <c r="I264" s="64"/>
      <c r="J264" s="204"/>
      <c r="K264" s="168">
        <v>4.6900000000000004</v>
      </c>
      <c r="L264" s="167">
        <v>17000</v>
      </c>
    </row>
    <row r="265" spans="3:12">
      <c r="C265" s="11" t="str">
        <f t="shared" si="35"/>
        <v>九泰基金管理有限公司</v>
      </c>
      <c r="D265" s="11">
        <f t="shared" si="36"/>
        <v>6.1</v>
      </c>
      <c r="E265" s="11">
        <f t="shared" si="37"/>
        <v>1.7</v>
      </c>
      <c r="F265" s="10">
        <f t="shared" si="38"/>
        <v>2661.7903999999999</v>
      </c>
      <c r="G265" s="10">
        <f t="shared" si="39"/>
        <v>1.6236921439999998</v>
      </c>
      <c r="I265" s="168">
        <v>9</v>
      </c>
      <c r="J265" s="204" t="s">
        <v>131</v>
      </c>
      <c r="K265" s="168">
        <v>4.7</v>
      </c>
      <c r="L265" s="167">
        <v>17000</v>
      </c>
    </row>
    <row r="266" spans="3:12">
      <c r="C266" s="11" t="str">
        <f t="shared" si="35"/>
        <v/>
      </c>
      <c r="D266" s="11">
        <f t="shared" si="36"/>
        <v>5.8</v>
      </c>
      <c r="E266" s="11">
        <f t="shared" si="37"/>
        <v>1.91</v>
      </c>
      <c r="F266" s="10" t="str">
        <f t="shared" si="38"/>
        <v/>
      </c>
      <c r="G266" s="10" t="str">
        <f t="shared" si="39"/>
        <v/>
      </c>
      <c r="I266" s="156"/>
      <c r="J266" s="204" t="s">
        <v>666</v>
      </c>
      <c r="K266" s="168">
        <v>6.1</v>
      </c>
      <c r="L266" s="167">
        <v>17000</v>
      </c>
    </row>
    <row r="267" spans="3:12">
      <c r="C267" s="11" t="str">
        <f t="shared" si="35"/>
        <v/>
      </c>
      <c r="D267" s="11">
        <f t="shared" si="36"/>
        <v>4.9000000000000004</v>
      </c>
      <c r="E267" s="11">
        <f t="shared" si="37"/>
        <v>2.12</v>
      </c>
      <c r="F267" s="10" t="str">
        <f t="shared" si="38"/>
        <v/>
      </c>
      <c r="G267" s="10" t="str">
        <f t="shared" si="39"/>
        <v/>
      </c>
      <c r="I267" s="168">
        <v>10</v>
      </c>
      <c r="J267" s="204"/>
      <c r="K267" s="168">
        <v>5.8</v>
      </c>
      <c r="L267" s="167">
        <v>19100</v>
      </c>
    </row>
    <row r="268" spans="3:12">
      <c r="C268" s="11" t="str">
        <f t="shared" si="35"/>
        <v>东方证券股份有限公司</v>
      </c>
      <c r="D268" s="11">
        <f t="shared" si="36"/>
        <v>6</v>
      </c>
      <c r="E268" s="11">
        <f t="shared" si="37"/>
        <v>1.7</v>
      </c>
      <c r="F268" s="10" t="str">
        <f t="shared" si="38"/>
        <v/>
      </c>
      <c r="G268" s="10" t="str">
        <f t="shared" si="39"/>
        <v/>
      </c>
      <c r="I268" s="64"/>
      <c r="J268" s="204"/>
      <c r="K268" s="168">
        <v>4.9000000000000004</v>
      </c>
      <c r="L268" s="167">
        <v>21200</v>
      </c>
    </row>
    <row r="269" spans="3:12">
      <c r="C269" s="11" t="str">
        <f t="shared" si="35"/>
        <v>东吴基金管理有限公司</v>
      </c>
      <c r="D269" s="11">
        <f t="shared" si="36"/>
        <v>5.0999999999999996</v>
      </c>
      <c r="E269" s="11">
        <f t="shared" si="37"/>
        <v>1.7</v>
      </c>
      <c r="F269" s="10" t="str">
        <f t="shared" si="38"/>
        <v/>
      </c>
      <c r="G269" s="10" t="str">
        <f t="shared" si="39"/>
        <v/>
      </c>
      <c r="I269" s="168">
        <v>11</v>
      </c>
      <c r="J269" s="204" t="s">
        <v>1055</v>
      </c>
      <c r="K269" s="168">
        <v>6</v>
      </c>
      <c r="L269" s="167">
        <v>17000</v>
      </c>
    </row>
    <row r="270" spans="3:12">
      <c r="C270" s="11" t="str">
        <f t="shared" si="35"/>
        <v>长城国融投资管理有限公司</v>
      </c>
      <c r="D270" s="11">
        <f t="shared" si="36"/>
        <v>5.8</v>
      </c>
      <c r="E270" s="11">
        <f t="shared" si="37"/>
        <v>2</v>
      </c>
      <c r="F270" s="10" t="str">
        <f t="shared" si="38"/>
        <v/>
      </c>
      <c r="G270" s="10" t="str">
        <f t="shared" si="39"/>
        <v/>
      </c>
      <c r="I270" s="168">
        <v>12</v>
      </c>
      <c r="J270" s="204" t="s">
        <v>974</v>
      </c>
      <c r="K270" s="168">
        <v>5.0999999999999996</v>
      </c>
      <c r="L270" s="167">
        <v>17000</v>
      </c>
    </row>
    <row r="271" spans="3:12">
      <c r="C271" s="11" t="str">
        <f t="shared" si="35"/>
        <v/>
      </c>
      <c r="D271" s="11">
        <f t="shared" si="36"/>
        <v>5.7</v>
      </c>
      <c r="E271" s="11">
        <f t="shared" si="37"/>
        <v>2</v>
      </c>
      <c r="F271" s="10" t="str">
        <f t="shared" si="38"/>
        <v/>
      </c>
      <c r="G271" s="10" t="str">
        <f t="shared" si="39"/>
        <v/>
      </c>
      <c r="I271" s="156"/>
      <c r="J271" s="204" t="s">
        <v>133</v>
      </c>
      <c r="K271" s="168">
        <v>5.8</v>
      </c>
      <c r="L271" s="167">
        <v>20000</v>
      </c>
    </row>
    <row r="272" spans="3:12">
      <c r="C272" s="11" t="str">
        <f t="shared" si="35"/>
        <v/>
      </c>
      <c r="D272" s="11">
        <f t="shared" si="36"/>
        <v>5.6</v>
      </c>
      <c r="E272" s="11">
        <f t="shared" si="37"/>
        <v>2</v>
      </c>
      <c r="F272" s="10" t="str">
        <f t="shared" si="38"/>
        <v/>
      </c>
      <c r="G272" s="10" t="str">
        <f t="shared" si="39"/>
        <v/>
      </c>
      <c r="I272" s="168">
        <v>13</v>
      </c>
      <c r="J272" s="204"/>
      <c r="K272" s="168">
        <v>5.7</v>
      </c>
      <c r="L272" s="167">
        <v>20000</v>
      </c>
    </row>
    <row r="273" spans="1:16">
      <c r="C273" s="11" t="str">
        <f t="shared" si="35"/>
        <v>诺安基金管理有限公司</v>
      </c>
      <c r="D273" s="11">
        <f t="shared" si="36"/>
        <v>5.0999999999999996</v>
      </c>
      <c r="E273" s="11">
        <f t="shared" si="37"/>
        <v>1.7</v>
      </c>
      <c r="F273" s="10" t="str">
        <f t="shared" si="38"/>
        <v/>
      </c>
      <c r="G273" s="10" t="str">
        <f t="shared" si="39"/>
        <v/>
      </c>
      <c r="I273" s="64"/>
      <c r="J273" s="204"/>
      <c r="K273" s="168">
        <v>5.6</v>
      </c>
      <c r="L273" s="167">
        <v>20000</v>
      </c>
    </row>
    <row r="274" spans="1:16">
      <c r="C274" s="11" t="str">
        <f t="shared" si="35"/>
        <v/>
      </c>
      <c r="D274" s="11">
        <f t="shared" si="36"/>
        <v>5</v>
      </c>
      <c r="E274" s="11">
        <f t="shared" si="37"/>
        <v>2.16</v>
      </c>
      <c r="F274" s="10" t="str">
        <f t="shared" si="38"/>
        <v/>
      </c>
      <c r="G274" s="10" t="str">
        <f t="shared" si="39"/>
        <v/>
      </c>
      <c r="I274" s="382"/>
      <c r="J274" s="204" t="s">
        <v>147</v>
      </c>
      <c r="K274" s="168">
        <v>5.0999999999999996</v>
      </c>
      <c r="L274" s="167">
        <v>17000</v>
      </c>
    </row>
    <row r="275" spans="1:16">
      <c r="C275" s="11" t="str">
        <f t="shared" si="35"/>
        <v>南京瑞达信沨股权投资合伙企业（有限合伙）</v>
      </c>
      <c r="D275" s="11">
        <f t="shared" si="36"/>
        <v>5</v>
      </c>
      <c r="E275" s="11">
        <f t="shared" si="37"/>
        <v>1.7</v>
      </c>
      <c r="F275" s="10" t="str">
        <f t="shared" si="38"/>
        <v/>
      </c>
      <c r="G275" s="10" t="str">
        <f t="shared" si="39"/>
        <v/>
      </c>
      <c r="I275" s="168">
        <v>14</v>
      </c>
      <c r="J275" s="204"/>
      <c r="K275" s="168">
        <v>5</v>
      </c>
      <c r="L275" s="167">
        <v>21600</v>
      </c>
    </row>
    <row r="276" spans="1:16">
      <c r="C276" s="11" t="str">
        <f t="shared" si="35"/>
        <v>北信瑞丰基金管理有限公司</v>
      </c>
      <c r="D276" s="11">
        <f t="shared" si="36"/>
        <v>7</v>
      </c>
      <c r="E276" s="11">
        <f t="shared" si="37"/>
        <v>1.7</v>
      </c>
      <c r="F276" s="10">
        <f t="shared" si="38"/>
        <v>3590.1639</v>
      </c>
      <c r="G276" s="10">
        <f t="shared" si="39"/>
        <v>2.189999979</v>
      </c>
      <c r="I276" s="168">
        <v>15</v>
      </c>
      <c r="J276" s="204" t="s">
        <v>311</v>
      </c>
      <c r="K276" s="168">
        <v>5</v>
      </c>
      <c r="L276" s="167">
        <v>17000</v>
      </c>
    </row>
    <row r="277" spans="1:16">
      <c r="C277" s="11" t="str">
        <f t="shared" si="35"/>
        <v/>
      </c>
      <c r="D277" s="11">
        <f t="shared" si="36"/>
        <v>6.9</v>
      </c>
      <c r="E277" s="11">
        <f t="shared" si="37"/>
        <v>1.9</v>
      </c>
      <c r="F277" s="10" t="str">
        <f t="shared" si="38"/>
        <v/>
      </c>
      <c r="G277" s="10" t="str">
        <f t="shared" si="39"/>
        <v/>
      </c>
      <c r="I277" s="156"/>
      <c r="J277" s="204" t="s">
        <v>336</v>
      </c>
      <c r="K277" s="168">
        <v>7</v>
      </c>
      <c r="L277" s="167">
        <v>17000</v>
      </c>
    </row>
    <row r="278" spans="1:16">
      <c r="C278" s="11" t="str">
        <f t="shared" si="35"/>
        <v/>
      </c>
      <c r="D278" s="11">
        <f t="shared" si="36"/>
        <v>6.4</v>
      </c>
      <c r="E278" s="11">
        <f t="shared" si="37"/>
        <v>2.19</v>
      </c>
      <c r="F278" s="10" t="str">
        <f t="shared" si="38"/>
        <v/>
      </c>
      <c r="G278" s="10" t="str">
        <f t="shared" si="39"/>
        <v/>
      </c>
      <c r="I278" s="168">
        <v>16</v>
      </c>
      <c r="J278" s="204"/>
      <c r="K278" s="168">
        <v>6.9</v>
      </c>
      <c r="L278" s="167">
        <v>19000</v>
      </c>
    </row>
    <row r="279" spans="1:16">
      <c r="C279" s="11" t="str">
        <f t="shared" si="35"/>
        <v>平安大华基金管理有限公司</v>
      </c>
      <c r="D279" s="11">
        <f t="shared" si="36"/>
        <v>6.3</v>
      </c>
      <c r="E279" s="11">
        <f t="shared" si="37"/>
        <v>2.2000000000000002</v>
      </c>
      <c r="F279" s="10">
        <f t="shared" si="38"/>
        <v>3606.5572999999999</v>
      </c>
      <c r="G279" s="10">
        <f t="shared" si="39"/>
        <v>2.1999999529999998</v>
      </c>
      <c r="I279" s="64"/>
      <c r="J279" s="204"/>
      <c r="K279" s="168">
        <v>6.4</v>
      </c>
      <c r="L279" s="167">
        <v>21900</v>
      </c>
    </row>
    <row r="280" spans="1:16">
      <c r="C280" s="11" t="str">
        <f t="shared" si="35"/>
        <v>财通基金管理有限公司</v>
      </c>
      <c r="D280" s="11">
        <f t="shared" si="36"/>
        <v>6.5</v>
      </c>
      <c r="E280" s="11">
        <f t="shared" si="37"/>
        <v>3.12</v>
      </c>
      <c r="F280" s="10">
        <f t="shared" si="38"/>
        <v>9098.3606</v>
      </c>
      <c r="G280" s="10">
        <f t="shared" si="39"/>
        <v>5.5499999659999997</v>
      </c>
      <c r="I280" s="168">
        <v>17</v>
      </c>
      <c r="J280" s="204" t="s">
        <v>146</v>
      </c>
      <c r="K280" s="168">
        <v>6.3</v>
      </c>
      <c r="L280" s="167">
        <v>22000</v>
      </c>
    </row>
    <row r="281" spans="1:16">
      <c r="C281" s="11" t="str">
        <f t="shared" si="35"/>
        <v/>
      </c>
      <c r="D281" s="11">
        <f t="shared" si="36"/>
        <v>6.3</v>
      </c>
      <c r="E281" s="11">
        <f t="shared" si="37"/>
        <v>5.55</v>
      </c>
      <c r="F281" s="10" t="str">
        <f t="shared" si="38"/>
        <v/>
      </c>
      <c r="G281" s="10" t="str">
        <f t="shared" si="39"/>
        <v/>
      </c>
      <c r="I281" s="382"/>
      <c r="J281" s="204" t="s">
        <v>115</v>
      </c>
      <c r="K281" s="168">
        <v>6.5</v>
      </c>
      <c r="L281" s="167">
        <v>31200</v>
      </c>
    </row>
    <row r="282" spans="1:16">
      <c r="C282" s="11" t="str">
        <f t="shared" si="35"/>
        <v>信诚基金管理有限公司</v>
      </c>
      <c r="D282" s="11">
        <f t="shared" si="36"/>
        <v>6.4</v>
      </c>
      <c r="E282" s="11">
        <f t="shared" si="37"/>
        <v>1.8</v>
      </c>
      <c r="F282" s="10">
        <f t="shared" si="38"/>
        <v>3098.3606</v>
      </c>
      <c r="G282" s="10">
        <f t="shared" si="39"/>
        <v>1.8899999659999998</v>
      </c>
      <c r="I282" s="168">
        <v>18</v>
      </c>
      <c r="J282" s="204"/>
      <c r="K282" s="168">
        <v>6.3</v>
      </c>
      <c r="L282" s="167">
        <v>55500</v>
      </c>
    </row>
    <row r="283" spans="1:16">
      <c r="C283" s="11" t="str">
        <f t="shared" si="35"/>
        <v/>
      </c>
      <c r="D283" s="11">
        <f t="shared" si="36"/>
        <v>6.1</v>
      </c>
      <c r="E283" s="11">
        <f t="shared" si="37"/>
        <v>1.89</v>
      </c>
      <c r="F283" s="10" t="str">
        <f t="shared" si="38"/>
        <v/>
      </c>
      <c r="G283" s="11"/>
      <c r="I283" s="382"/>
      <c r="J283" s="204" t="s">
        <v>300</v>
      </c>
      <c r="K283" s="168">
        <v>6.4</v>
      </c>
      <c r="L283" s="167">
        <v>18000</v>
      </c>
    </row>
    <row r="284" spans="1:16">
      <c r="C284" s="11" t="str">
        <f t="shared" si="35"/>
        <v>华泰柏瑞基金管理有限公司</v>
      </c>
      <c r="D284" s="11">
        <f t="shared" si="36"/>
        <v>5.0999999999999996</v>
      </c>
      <c r="E284" s="11">
        <f t="shared" si="37"/>
        <v>2.8</v>
      </c>
      <c r="F284" s="10" t="str">
        <f t="shared" si="38"/>
        <v/>
      </c>
      <c r="G284" s="11"/>
      <c r="I284" s="168">
        <v>19</v>
      </c>
      <c r="J284" s="204"/>
      <c r="K284" s="168">
        <v>6.1</v>
      </c>
      <c r="L284" s="167">
        <v>18900</v>
      </c>
    </row>
    <row r="285" spans="1:16">
      <c r="C285" s="24" t="str">
        <f t="shared" si="35"/>
        <v/>
      </c>
      <c r="I285" s="168">
        <v>20</v>
      </c>
      <c r="J285" s="204" t="s">
        <v>122</v>
      </c>
      <c r="K285" s="168">
        <v>5.0999999999999996</v>
      </c>
      <c r="L285" s="167">
        <v>28000</v>
      </c>
    </row>
    <row r="286" spans="1:16">
      <c r="I286" s="25"/>
      <c r="J286" s="25"/>
      <c r="K286" s="25"/>
      <c r="L286" s="25"/>
    </row>
    <row r="288" spans="1:16" s="162" customFormat="1">
      <c r="A288" s="164" t="s">
        <v>1315</v>
      </c>
      <c r="B288" s="164"/>
      <c r="C288" s="164" t="s">
        <v>107</v>
      </c>
      <c r="D288" s="164" t="s">
        <v>4</v>
      </c>
      <c r="E288" s="166" t="s">
        <v>108</v>
      </c>
      <c r="F288" s="166" t="s">
        <v>109</v>
      </c>
      <c r="G288" s="164" t="s">
        <v>1314</v>
      </c>
      <c r="H288" s="164" t="s">
        <v>1313</v>
      </c>
      <c r="I288" s="165" t="s">
        <v>1312</v>
      </c>
      <c r="J288" s="163" t="s">
        <v>1311</v>
      </c>
      <c r="K288" s="163" t="s">
        <v>110</v>
      </c>
      <c r="L288" s="163" t="s">
        <v>1310</v>
      </c>
      <c r="M288" s="164" t="s">
        <v>111</v>
      </c>
      <c r="N288" s="163" t="s">
        <v>949</v>
      </c>
      <c r="O288" s="163" t="s">
        <v>948</v>
      </c>
      <c r="P288" s="163" t="s">
        <v>129</v>
      </c>
    </row>
    <row r="289" spans="1:19">
      <c r="A289" s="24">
        <v>316</v>
      </c>
      <c r="B289" s="329" t="s">
        <v>1801</v>
      </c>
      <c r="C289" s="1" t="s">
        <v>1800</v>
      </c>
      <c r="D289" s="1" t="s">
        <v>1799</v>
      </c>
      <c r="E289" s="3">
        <v>38.74</v>
      </c>
      <c r="F289" s="3">
        <v>38.732735015000003</v>
      </c>
      <c r="G289" s="2">
        <v>42730</v>
      </c>
      <c r="H289" s="24" t="s">
        <v>151</v>
      </c>
      <c r="I289" s="130">
        <v>22.33</v>
      </c>
      <c r="J289" s="3">
        <v>19.22</v>
      </c>
      <c r="K289" s="160">
        <v>15.54</v>
      </c>
      <c r="L289" s="271">
        <v>0.86072548141513661</v>
      </c>
      <c r="M289" s="270">
        <v>8</v>
      </c>
      <c r="N289" s="2">
        <v>43108</v>
      </c>
      <c r="O289" s="24">
        <v>28.41</v>
      </c>
      <c r="P289" s="157">
        <v>1.7742976066597294</v>
      </c>
    </row>
    <row r="290" spans="1:19" ht="14.5">
      <c r="C290" s="16" t="s">
        <v>112</v>
      </c>
      <c r="D290" s="16" t="s">
        <v>113</v>
      </c>
      <c r="E290" s="16" t="s">
        <v>1305</v>
      </c>
      <c r="F290" s="17" t="s">
        <v>1304</v>
      </c>
      <c r="G290" s="16" t="s">
        <v>1303</v>
      </c>
      <c r="I290" s="382"/>
      <c r="J290" s="382"/>
      <c r="K290" s="382"/>
      <c r="L290" s="177" t="s">
        <v>1798</v>
      </c>
      <c r="M290" s="186" t="s">
        <v>1348</v>
      </c>
      <c r="O290" s="382"/>
      <c r="P290" s="382"/>
      <c r="Q290" s="177" t="s">
        <v>1797</v>
      </c>
      <c r="R290" s="382"/>
      <c r="S290" s="382"/>
    </row>
    <row r="291" spans="1:19" ht="14.5">
      <c r="C291" s="11" t="str">
        <f t="shared" ref="C291:C333" si="40">IF(J292=0,"",J292)</f>
        <v>信达证券股份有限公司</v>
      </c>
      <c r="D291" s="11">
        <f t="shared" ref="D291:D323" si="41">L292</f>
        <v>15.91</v>
      </c>
      <c r="E291" s="11">
        <f t="shared" ref="E291:E323" si="42">M292/10000</f>
        <v>3.9</v>
      </c>
      <c r="F291" s="11" t="str">
        <f t="shared" ref="F291:F323" si="43">IFERROR(VLOOKUP(C291,P$292:R$299,3,FALSE)/10000,"")</f>
        <v/>
      </c>
      <c r="G291" s="11"/>
      <c r="I291" s="177" t="s">
        <v>118</v>
      </c>
      <c r="J291" s="177" t="s">
        <v>486</v>
      </c>
      <c r="K291" s="177" t="s">
        <v>1337</v>
      </c>
      <c r="L291" s="381" t="s">
        <v>1796</v>
      </c>
      <c r="M291" s="186"/>
      <c r="O291" s="177" t="s">
        <v>118</v>
      </c>
      <c r="P291" s="177" t="s">
        <v>1565</v>
      </c>
      <c r="Q291" s="177" t="s">
        <v>1380</v>
      </c>
      <c r="R291" s="177" t="s">
        <v>323</v>
      </c>
      <c r="S291" s="177" t="s">
        <v>1346</v>
      </c>
    </row>
    <row r="292" spans="1:19">
      <c r="C292" s="11" t="str">
        <f t="shared" si="40"/>
        <v>兴业全球基金管理有限公司</v>
      </c>
      <c r="D292" s="11">
        <f t="shared" si="41"/>
        <v>20.11</v>
      </c>
      <c r="E292" s="11">
        <f t="shared" si="42"/>
        <v>3.9</v>
      </c>
      <c r="F292" s="11">
        <f t="shared" si="43"/>
        <v>2029.1362999999999</v>
      </c>
      <c r="G292" s="10">
        <f t="shared" ref="G292:G323" si="44">IFERROR(F292*J$289/10000,"")</f>
        <v>3.8999999685999995</v>
      </c>
      <c r="I292" s="237">
        <v>1</v>
      </c>
      <c r="J292" s="155" t="s">
        <v>155</v>
      </c>
      <c r="K292" s="155" t="s">
        <v>1160</v>
      </c>
      <c r="L292" s="237">
        <v>15.91</v>
      </c>
      <c r="M292" s="377">
        <v>39000</v>
      </c>
      <c r="O292" s="237">
        <v>1</v>
      </c>
      <c r="P292" s="155" t="s">
        <v>228</v>
      </c>
      <c r="Q292" s="227">
        <v>19.22</v>
      </c>
      <c r="R292" s="322">
        <v>27471383</v>
      </c>
      <c r="S292" s="276">
        <v>527999981.25999999</v>
      </c>
    </row>
    <row r="293" spans="1:19">
      <c r="C293" s="11" t="str">
        <f t="shared" si="40"/>
        <v/>
      </c>
      <c r="D293" s="11">
        <f t="shared" si="41"/>
        <v>15.65</v>
      </c>
      <c r="E293" s="11">
        <f t="shared" si="42"/>
        <v>4.68</v>
      </c>
      <c r="F293" s="11" t="str">
        <f t="shared" si="43"/>
        <v/>
      </c>
      <c r="G293" s="10" t="str">
        <f t="shared" si="44"/>
        <v/>
      </c>
      <c r="I293" s="278">
        <v>2</v>
      </c>
      <c r="J293" s="155" t="s">
        <v>1361</v>
      </c>
      <c r="K293" s="182" t="s">
        <v>1160</v>
      </c>
      <c r="L293" s="237">
        <v>20.11</v>
      </c>
      <c r="M293" s="377">
        <v>39000</v>
      </c>
      <c r="O293" s="237">
        <v>2</v>
      </c>
      <c r="P293" s="155" t="s">
        <v>141</v>
      </c>
      <c r="Q293" s="227">
        <v>19.22</v>
      </c>
      <c r="R293" s="322">
        <v>23413111</v>
      </c>
      <c r="S293" s="276">
        <v>449999993.42000002</v>
      </c>
    </row>
    <row r="294" spans="1:19">
      <c r="C294" s="11" t="str">
        <f t="shared" si="40"/>
        <v>九泰基金管理有限公司</v>
      </c>
      <c r="D294" s="11">
        <f t="shared" si="41"/>
        <v>18.03</v>
      </c>
      <c r="E294" s="11">
        <f t="shared" si="42"/>
        <v>3.9</v>
      </c>
      <c r="F294" s="11" t="str">
        <f t="shared" si="43"/>
        <v/>
      </c>
      <c r="G294" s="10" t="str">
        <f t="shared" si="44"/>
        <v/>
      </c>
      <c r="I294" s="278"/>
      <c r="J294" s="155"/>
      <c r="K294" s="182"/>
      <c r="L294" s="237">
        <v>15.65</v>
      </c>
      <c r="M294" s="377">
        <v>46800</v>
      </c>
      <c r="O294" s="237">
        <v>3</v>
      </c>
      <c r="P294" s="155" t="s">
        <v>131</v>
      </c>
      <c r="Q294" s="227">
        <v>19.22</v>
      </c>
      <c r="R294" s="322">
        <v>20291363</v>
      </c>
      <c r="S294" s="276">
        <v>389999996.86000001</v>
      </c>
    </row>
    <row r="295" spans="1:19">
      <c r="C295" s="11" t="str">
        <f t="shared" si="40"/>
        <v/>
      </c>
      <c r="D295" s="11">
        <f t="shared" si="41"/>
        <v>16.579999999999998</v>
      </c>
      <c r="E295" s="11">
        <f t="shared" si="42"/>
        <v>4.18</v>
      </c>
      <c r="F295" s="11" t="str">
        <f t="shared" si="43"/>
        <v/>
      </c>
      <c r="G295" s="10" t="str">
        <f t="shared" si="44"/>
        <v/>
      </c>
      <c r="I295" s="237">
        <v>3</v>
      </c>
      <c r="J295" s="156" t="s">
        <v>666</v>
      </c>
      <c r="K295" s="25"/>
      <c r="L295" s="237">
        <v>18.03</v>
      </c>
      <c r="M295" s="377">
        <v>39000</v>
      </c>
      <c r="O295" s="237">
        <v>4</v>
      </c>
      <c r="P295" s="155" t="s">
        <v>115</v>
      </c>
      <c r="Q295" s="227">
        <v>19.22</v>
      </c>
      <c r="R295" s="322">
        <v>54214360</v>
      </c>
      <c r="S295" s="276">
        <v>1041999999.2</v>
      </c>
    </row>
    <row r="296" spans="1:19">
      <c r="C296" s="11" t="str">
        <f t="shared" si="40"/>
        <v/>
      </c>
      <c r="D296" s="11">
        <f t="shared" si="41"/>
        <v>15.66</v>
      </c>
      <c r="E296" s="11">
        <f t="shared" si="42"/>
        <v>4.28</v>
      </c>
      <c r="F296" s="11" t="str">
        <f t="shared" si="43"/>
        <v/>
      </c>
      <c r="G296" s="10" t="str">
        <f t="shared" si="44"/>
        <v/>
      </c>
      <c r="I296" s="25"/>
      <c r="J296" s="25"/>
      <c r="K296" s="155" t="s">
        <v>1160</v>
      </c>
      <c r="L296" s="237">
        <v>16.579999999999998</v>
      </c>
      <c r="M296" s="377">
        <v>41800</v>
      </c>
      <c r="O296" s="237">
        <v>5</v>
      </c>
      <c r="P296" s="155" t="s">
        <v>336</v>
      </c>
      <c r="Q296" s="227">
        <v>19.22</v>
      </c>
      <c r="R296" s="322">
        <v>25286160</v>
      </c>
      <c r="S296" s="276">
        <v>485999995.19999999</v>
      </c>
    </row>
    <row r="297" spans="1:19">
      <c r="C297" s="11" t="str">
        <f t="shared" si="40"/>
        <v>博时基金管理有限公司</v>
      </c>
      <c r="D297" s="11">
        <f t="shared" si="41"/>
        <v>20.71</v>
      </c>
      <c r="E297" s="11">
        <f t="shared" si="42"/>
        <v>3.9</v>
      </c>
      <c r="F297" s="11">
        <f t="shared" si="43"/>
        <v>2903.2258000000002</v>
      </c>
      <c r="G297" s="10">
        <f t="shared" si="44"/>
        <v>5.5799999875999999</v>
      </c>
      <c r="I297" s="64"/>
      <c r="J297" s="64"/>
      <c r="K297" s="64"/>
      <c r="L297" s="237">
        <v>15.66</v>
      </c>
      <c r="M297" s="377">
        <v>42800</v>
      </c>
      <c r="O297" s="237">
        <v>6</v>
      </c>
      <c r="P297" s="155" t="s">
        <v>971</v>
      </c>
      <c r="Q297" s="227">
        <v>19.22</v>
      </c>
      <c r="R297" s="322">
        <v>20291363</v>
      </c>
      <c r="S297" s="276">
        <v>389999996.86000001</v>
      </c>
    </row>
    <row r="298" spans="1:19">
      <c r="C298" s="11" t="str">
        <f t="shared" si="40"/>
        <v/>
      </c>
      <c r="D298" s="11">
        <f t="shared" si="41"/>
        <v>19.62</v>
      </c>
      <c r="E298" s="11">
        <f t="shared" si="42"/>
        <v>5.58</v>
      </c>
      <c r="F298" s="11" t="str">
        <f t="shared" si="43"/>
        <v/>
      </c>
      <c r="G298" s="10" t="str">
        <f t="shared" si="44"/>
        <v/>
      </c>
      <c r="I298" s="278">
        <v>4</v>
      </c>
      <c r="J298" s="182" t="s">
        <v>173</v>
      </c>
      <c r="K298" s="182" t="s">
        <v>1160</v>
      </c>
      <c r="L298" s="237">
        <v>20.71</v>
      </c>
      <c r="M298" s="377">
        <v>39000</v>
      </c>
      <c r="O298" s="237">
        <v>7</v>
      </c>
      <c r="P298" s="155" t="s">
        <v>173</v>
      </c>
      <c r="Q298" s="227">
        <v>19.22</v>
      </c>
      <c r="R298" s="322">
        <v>29032258</v>
      </c>
      <c r="S298" s="276">
        <v>557999998.75999999</v>
      </c>
    </row>
    <row r="299" spans="1:19">
      <c r="C299" s="11" t="str">
        <f t="shared" si="40"/>
        <v>嘉实基金管理有限公司</v>
      </c>
      <c r="D299" s="11">
        <f t="shared" si="41"/>
        <v>21.9</v>
      </c>
      <c r="E299" s="11">
        <f t="shared" si="42"/>
        <v>4.46</v>
      </c>
      <c r="F299" s="11">
        <f t="shared" si="43"/>
        <v>2747.1383000000001</v>
      </c>
      <c r="G299" s="10">
        <f t="shared" si="44"/>
        <v>5.2799998125999998</v>
      </c>
      <c r="I299" s="278"/>
      <c r="J299" s="182"/>
      <c r="K299" s="182"/>
      <c r="L299" s="237">
        <v>19.62</v>
      </c>
      <c r="M299" s="377">
        <v>55800</v>
      </c>
      <c r="O299" s="237">
        <v>8</v>
      </c>
      <c r="P299" s="155" t="s">
        <v>150</v>
      </c>
      <c r="Q299" s="227">
        <v>19.22</v>
      </c>
      <c r="R299" s="322">
        <v>1523077</v>
      </c>
      <c r="S299" s="276">
        <v>29273539.940000001</v>
      </c>
    </row>
    <row r="300" spans="1:19" ht="14.5">
      <c r="C300" s="11" t="str">
        <f t="shared" si="40"/>
        <v/>
      </c>
      <c r="D300" s="11">
        <f t="shared" si="41"/>
        <v>21.2</v>
      </c>
      <c r="E300" s="11">
        <f t="shared" si="42"/>
        <v>5.28</v>
      </c>
      <c r="F300" s="11" t="str">
        <f t="shared" si="43"/>
        <v/>
      </c>
      <c r="G300" s="10" t="str">
        <f t="shared" si="44"/>
        <v/>
      </c>
      <c r="I300" s="278">
        <v>5</v>
      </c>
      <c r="J300" s="182" t="s">
        <v>228</v>
      </c>
      <c r="K300" s="182" t="s">
        <v>1160</v>
      </c>
      <c r="L300" s="237">
        <v>21.9</v>
      </c>
      <c r="M300" s="377">
        <v>44600</v>
      </c>
      <c r="O300" s="186" t="s">
        <v>1293</v>
      </c>
      <c r="P300" s="186"/>
      <c r="Q300" s="186"/>
      <c r="R300" s="380">
        <v>201523075</v>
      </c>
      <c r="S300" s="379">
        <v>3873273501.5</v>
      </c>
    </row>
    <row r="301" spans="1:19">
      <c r="C301" s="11" t="str">
        <f t="shared" si="40"/>
        <v>申万菱信基金管理有限公司</v>
      </c>
      <c r="D301" s="11">
        <f t="shared" si="41"/>
        <v>18.3</v>
      </c>
      <c r="E301" s="11">
        <f t="shared" si="42"/>
        <v>4.0999999999999996</v>
      </c>
      <c r="F301" s="11" t="str">
        <f t="shared" si="43"/>
        <v/>
      </c>
      <c r="G301" s="10" t="str">
        <f t="shared" si="44"/>
        <v/>
      </c>
      <c r="I301" s="278"/>
      <c r="J301" s="182"/>
      <c r="K301" s="182"/>
      <c r="L301" s="237">
        <v>21.2</v>
      </c>
      <c r="M301" s="377">
        <v>52800</v>
      </c>
      <c r="O301" s="25"/>
      <c r="P301" s="25"/>
      <c r="Q301" s="25"/>
      <c r="R301" s="25"/>
      <c r="S301" s="25"/>
    </row>
    <row r="302" spans="1:19">
      <c r="C302" s="11" t="str">
        <f t="shared" si="40"/>
        <v/>
      </c>
      <c r="D302" s="11">
        <f t="shared" si="41"/>
        <v>16.100000000000001</v>
      </c>
      <c r="E302" s="11">
        <f t="shared" si="42"/>
        <v>5.4</v>
      </c>
      <c r="F302" s="11" t="str">
        <f t="shared" si="43"/>
        <v/>
      </c>
      <c r="G302" s="10" t="str">
        <f t="shared" si="44"/>
        <v/>
      </c>
      <c r="I302" s="278">
        <v>6</v>
      </c>
      <c r="J302" s="155" t="s">
        <v>1366</v>
      </c>
      <c r="K302" s="182" t="s">
        <v>1160</v>
      </c>
      <c r="L302" s="237">
        <v>18.3</v>
      </c>
      <c r="M302" s="377">
        <v>41000</v>
      </c>
    </row>
    <row r="303" spans="1:19">
      <c r="C303" s="11" t="str">
        <f t="shared" si="40"/>
        <v>京报长安资产投资管理有限公司</v>
      </c>
      <c r="D303" s="11">
        <f t="shared" si="41"/>
        <v>18.59</v>
      </c>
      <c r="E303" s="11">
        <f t="shared" si="42"/>
        <v>3.91</v>
      </c>
      <c r="F303" s="11" t="str">
        <f t="shared" si="43"/>
        <v/>
      </c>
      <c r="G303" s="10" t="str">
        <f t="shared" si="44"/>
        <v/>
      </c>
      <c r="I303" s="278"/>
      <c r="J303" s="155"/>
      <c r="K303" s="182"/>
      <c r="L303" s="237">
        <v>16.100000000000001</v>
      </c>
      <c r="M303" s="377">
        <v>54000</v>
      </c>
    </row>
    <row r="304" spans="1:19">
      <c r="C304" s="11" t="str">
        <f t="shared" si="40"/>
        <v/>
      </c>
      <c r="D304" s="11">
        <f t="shared" si="41"/>
        <v>17.43</v>
      </c>
      <c r="E304" s="11">
        <f t="shared" si="42"/>
        <v>3.92</v>
      </c>
      <c r="F304" s="11" t="str">
        <f t="shared" si="43"/>
        <v/>
      </c>
      <c r="G304" s="10" t="str">
        <f t="shared" si="44"/>
        <v/>
      </c>
      <c r="I304" s="278">
        <v>7</v>
      </c>
      <c r="J304" s="155" t="s">
        <v>1795</v>
      </c>
      <c r="K304" s="182" t="s">
        <v>1160</v>
      </c>
      <c r="L304" s="237">
        <v>18.59</v>
      </c>
      <c r="M304" s="377">
        <v>39100</v>
      </c>
    </row>
    <row r="305" spans="3:13">
      <c r="C305" s="11" t="str">
        <f t="shared" si="40"/>
        <v>光大保德信基金管理有限公司</v>
      </c>
      <c r="D305" s="11">
        <f t="shared" si="41"/>
        <v>20.51</v>
      </c>
      <c r="E305" s="11">
        <f t="shared" si="42"/>
        <v>4.5</v>
      </c>
      <c r="F305" s="11">
        <f t="shared" si="43"/>
        <v>2341.3110999999999</v>
      </c>
      <c r="G305" s="10">
        <f t="shared" si="44"/>
        <v>4.4999999341999999</v>
      </c>
      <c r="I305" s="278"/>
      <c r="J305" s="155"/>
      <c r="K305" s="182"/>
      <c r="L305" s="237">
        <v>17.43</v>
      </c>
      <c r="M305" s="377">
        <v>39200</v>
      </c>
    </row>
    <row r="306" spans="3:13">
      <c r="C306" s="11" t="str">
        <f t="shared" si="40"/>
        <v/>
      </c>
      <c r="D306" s="11">
        <f t="shared" si="41"/>
        <v>0</v>
      </c>
      <c r="E306" s="11">
        <f t="shared" si="42"/>
        <v>0</v>
      </c>
      <c r="F306" s="11" t="str">
        <f t="shared" si="43"/>
        <v/>
      </c>
      <c r="G306" s="10" t="str">
        <f t="shared" si="44"/>
        <v/>
      </c>
      <c r="I306" s="278">
        <v>8</v>
      </c>
      <c r="J306" s="155" t="s">
        <v>1794</v>
      </c>
      <c r="K306" s="182" t="s">
        <v>1160</v>
      </c>
      <c r="L306" s="278">
        <v>20.51</v>
      </c>
      <c r="M306" s="321">
        <v>45000</v>
      </c>
    </row>
    <row r="307" spans="3:13">
      <c r="C307" s="11" t="str">
        <f t="shared" si="40"/>
        <v>华夏人寿保险股份有限公司</v>
      </c>
      <c r="D307" s="11">
        <f t="shared" si="41"/>
        <v>16.100000000000001</v>
      </c>
      <c r="E307" s="11">
        <f t="shared" si="42"/>
        <v>3.9</v>
      </c>
      <c r="F307" s="11" t="str">
        <f t="shared" si="43"/>
        <v/>
      </c>
      <c r="G307" s="10" t="str">
        <f t="shared" si="44"/>
        <v/>
      </c>
      <c r="I307" s="278"/>
      <c r="J307" s="155"/>
      <c r="K307" s="182"/>
      <c r="L307" s="278"/>
      <c r="M307" s="321"/>
    </row>
    <row r="308" spans="3:13">
      <c r="C308" s="11" t="str">
        <f t="shared" si="40"/>
        <v/>
      </c>
      <c r="D308" s="11">
        <f t="shared" si="41"/>
        <v>0</v>
      </c>
      <c r="E308" s="11">
        <f t="shared" si="42"/>
        <v>0</v>
      </c>
      <c r="F308" s="11" t="str">
        <f t="shared" si="43"/>
        <v/>
      </c>
      <c r="G308" s="10" t="str">
        <f t="shared" si="44"/>
        <v/>
      </c>
      <c r="I308" s="278">
        <v>9</v>
      </c>
      <c r="J308" s="155" t="s">
        <v>1793</v>
      </c>
      <c r="K308" s="182" t="s">
        <v>1160</v>
      </c>
      <c r="L308" s="278">
        <v>16.100000000000001</v>
      </c>
      <c r="M308" s="321">
        <v>39000</v>
      </c>
    </row>
    <row r="309" spans="3:13">
      <c r="C309" s="11" t="str">
        <f t="shared" si="40"/>
        <v>兴证证券资产管理有限公司</v>
      </c>
      <c r="D309" s="11">
        <f t="shared" si="41"/>
        <v>19.22</v>
      </c>
      <c r="E309" s="11">
        <f t="shared" si="42"/>
        <v>3.9</v>
      </c>
      <c r="F309" s="11">
        <f t="shared" si="43"/>
        <v>152.30770000000001</v>
      </c>
      <c r="G309" s="10">
        <f t="shared" si="44"/>
        <v>0.29273539939999998</v>
      </c>
      <c r="I309" s="278"/>
      <c r="J309" s="155"/>
      <c r="K309" s="182"/>
      <c r="L309" s="278"/>
      <c r="M309" s="321"/>
    </row>
    <row r="310" spans="3:13">
      <c r="C310" s="11" t="str">
        <f t="shared" si="40"/>
        <v/>
      </c>
      <c r="D310" s="11">
        <f t="shared" si="41"/>
        <v>18.77</v>
      </c>
      <c r="E310" s="11">
        <f t="shared" si="42"/>
        <v>6.01</v>
      </c>
      <c r="F310" s="11" t="str">
        <f t="shared" si="43"/>
        <v/>
      </c>
      <c r="G310" s="10" t="str">
        <f t="shared" si="44"/>
        <v/>
      </c>
      <c r="I310" s="278">
        <v>10</v>
      </c>
      <c r="J310" s="155" t="s">
        <v>1792</v>
      </c>
      <c r="K310" s="182" t="s">
        <v>1160</v>
      </c>
      <c r="L310" s="237">
        <v>19.22</v>
      </c>
      <c r="M310" s="377">
        <v>39000</v>
      </c>
    </row>
    <row r="311" spans="3:13">
      <c r="C311" s="11" t="str">
        <f t="shared" si="40"/>
        <v>青岛城投金融控股集团有限公司</v>
      </c>
      <c r="D311" s="11">
        <f t="shared" si="41"/>
        <v>17.899999999999999</v>
      </c>
      <c r="E311" s="11">
        <f t="shared" si="42"/>
        <v>3.9</v>
      </c>
      <c r="F311" s="11" t="str">
        <f t="shared" si="43"/>
        <v/>
      </c>
      <c r="G311" s="10" t="str">
        <f t="shared" si="44"/>
        <v/>
      </c>
      <c r="I311" s="278"/>
      <c r="J311" s="155"/>
      <c r="K311" s="182"/>
      <c r="L311" s="237">
        <v>18.77</v>
      </c>
      <c r="M311" s="377">
        <v>60100</v>
      </c>
    </row>
    <row r="312" spans="3:13">
      <c r="C312" s="11" t="str">
        <f t="shared" si="40"/>
        <v/>
      </c>
      <c r="D312" s="11">
        <f t="shared" si="41"/>
        <v>0</v>
      </c>
      <c r="E312" s="11">
        <f t="shared" si="42"/>
        <v>0</v>
      </c>
      <c r="F312" s="11" t="str">
        <f t="shared" si="43"/>
        <v/>
      </c>
      <c r="G312" s="10" t="str">
        <f t="shared" si="44"/>
        <v/>
      </c>
      <c r="I312" s="278">
        <v>11</v>
      </c>
      <c r="J312" s="155" t="s">
        <v>1791</v>
      </c>
      <c r="K312" s="182" t="s">
        <v>1160</v>
      </c>
      <c r="L312" s="278">
        <v>17.899999999999999</v>
      </c>
      <c r="M312" s="321">
        <v>39000</v>
      </c>
    </row>
    <row r="313" spans="3:13">
      <c r="C313" s="11" t="str">
        <f t="shared" si="40"/>
        <v>诺安基金管理有限公司</v>
      </c>
      <c r="D313" s="11">
        <f t="shared" si="41"/>
        <v>18.54</v>
      </c>
      <c r="E313" s="11">
        <f t="shared" si="42"/>
        <v>3.9</v>
      </c>
      <c r="F313" s="11" t="str">
        <f t="shared" si="43"/>
        <v/>
      </c>
      <c r="G313" s="10" t="str">
        <f t="shared" si="44"/>
        <v/>
      </c>
      <c r="I313" s="278"/>
      <c r="J313" s="155"/>
      <c r="K313" s="182"/>
      <c r="L313" s="278"/>
      <c r="M313" s="321"/>
    </row>
    <row r="314" spans="3:13">
      <c r="C314" s="11" t="str">
        <f t="shared" si="40"/>
        <v>安徽省铁路发展基金股份有限公司</v>
      </c>
      <c r="D314" s="11">
        <f t="shared" si="41"/>
        <v>19.649999999999999</v>
      </c>
      <c r="E314" s="11">
        <f t="shared" si="42"/>
        <v>3.9</v>
      </c>
      <c r="F314" s="11">
        <f t="shared" si="43"/>
        <v>2029.1362999999999</v>
      </c>
      <c r="G314" s="10">
        <f t="shared" si="44"/>
        <v>3.8999999685999995</v>
      </c>
      <c r="I314" s="237">
        <v>12</v>
      </c>
      <c r="J314" s="155" t="s">
        <v>147</v>
      </c>
      <c r="K314" s="155" t="s">
        <v>1160</v>
      </c>
      <c r="L314" s="237">
        <v>18.54</v>
      </c>
      <c r="M314" s="377">
        <v>39000</v>
      </c>
    </row>
    <row r="315" spans="3:13">
      <c r="C315" s="11" t="str">
        <f t="shared" si="40"/>
        <v/>
      </c>
      <c r="D315" s="11">
        <f t="shared" si="41"/>
        <v>0</v>
      </c>
      <c r="E315" s="11">
        <f t="shared" si="42"/>
        <v>0</v>
      </c>
      <c r="F315" s="11" t="str">
        <f t="shared" si="43"/>
        <v/>
      </c>
      <c r="G315" s="10" t="str">
        <f t="shared" si="44"/>
        <v/>
      </c>
      <c r="I315" s="278">
        <v>13</v>
      </c>
      <c r="J315" s="155" t="s">
        <v>1790</v>
      </c>
      <c r="K315" s="182" t="s">
        <v>1160</v>
      </c>
      <c r="L315" s="278">
        <v>19.649999999999999</v>
      </c>
      <c r="M315" s="321">
        <v>39000</v>
      </c>
    </row>
    <row r="316" spans="3:13">
      <c r="C316" s="11" t="str">
        <f t="shared" si="40"/>
        <v>汇添富基金管理股份有限公司</v>
      </c>
      <c r="D316" s="11">
        <f t="shared" si="41"/>
        <v>18.61</v>
      </c>
      <c r="E316" s="11">
        <f t="shared" si="42"/>
        <v>3.9</v>
      </c>
      <c r="F316" s="11" t="str">
        <f t="shared" si="43"/>
        <v/>
      </c>
      <c r="G316" s="10" t="str">
        <f t="shared" si="44"/>
        <v/>
      </c>
      <c r="I316" s="278"/>
      <c r="J316" s="155"/>
      <c r="K316" s="182"/>
      <c r="L316" s="278"/>
      <c r="M316" s="321"/>
    </row>
    <row r="317" spans="3:13">
      <c r="C317" s="11" t="str">
        <f t="shared" si="40"/>
        <v/>
      </c>
      <c r="D317" s="11">
        <f t="shared" si="41"/>
        <v>18.14</v>
      </c>
      <c r="E317" s="11">
        <f t="shared" si="42"/>
        <v>3.91</v>
      </c>
      <c r="F317" s="11" t="str">
        <f t="shared" si="43"/>
        <v/>
      </c>
      <c r="G317" s="10" t="str">
        <f t="shared" si="44"/>
        <v/>
      </c>
      <c r="I317" s="278">
        <v>14</v>
      </c>
      <c r="J317" s="155" t="s">
        <v>1507</v>
      </c>
      <c r="K317" s="182" t="s">
        <v>1160</v>
      </c>
      <c r="L317" s="237">
        <v>18.61</v>
      </c>
      <c r="M317" s="377">
        <v>39000</v>
      </c>
    </row>
    <row r="318" spans="3:13">
      <c r="C318" s="11" t="str">
        <f t="shared" si="40"/>
        <v>财通基金管理有限公司</v>
      </c>
      <c r="D318" s="11">
        <f t="shared" si="41"/>
        <v>20.059999999999999</v>
      </c>
      <c r="E318" s="11">
        <f t="shared" si="42"/>
        <v>10.42</v>
      </c>
      <c r="F318" s="11">
        <f t="shared" si="43"/>
        <v>5421.4359999999997</v>
      </c>
      <c r="G318" s="10">
        <f t="shared" si="44"/>
        <v>10.419999991999999</v>
      </c>
      <c r="I318" s="278"/>
      <c r="J318" s="155"/>
      <c r="K318" s="182"/>
      <c r="L318" s="237">
        <v>18.14</v>
      </c>
      <c r="M318" s="377">
        <v>39100</v>
      </c>
    </row>
    <row r="319" spans="3:13" ht="16.5">
      <c r="C319" s="11" t="str">
        <f t="shared" si="40"/>
        <v/>
      </c>
      <c r="D319" s="11">
        <f t="shared" si="41"/>
        <v>19.18</v>
      </c>
      <c r="E319" s="11">
        <f t="shared" si="42"/>
        <v>13.5</v>
      </c>
      <c r="F319" s="11" t="str">
        <f t="shared" si="43"/>
        <v/>
      </c>
      <c r="G319" s="10" t="str">
        <f t="shared" si="44"/>
        <v/>
      </c>
      <c r="I319" s="237">
        <v>15</v>
      </c>
      <c r="J319" s="156" t="s">
        <v>115</v>
      </c>
      <c r="K319" s="229"/>
      <c r="L319" s="237">
        <v>20.059999999999999</v>
      </c>
      <c r="M319" s="378">
        <v>104200</v>
      </c>
    </row>
    <row r="320" spans="3:13">
      <c r="C320" s="11" t="str">
        <f t="shared" si="40"/>
        <v/>
      </c>
      <c r="D320" s="11">
        <f t="shared" si="41"/>
        <v>18.149999999999999</v>
      </c>
      <c r="E320" s="11">
        <f t="shared" si="42"/>
        <v>15.01</v>
      </c>
      <c r="F320" s="11" t="str">
        <f t="shared" si="43"/>
        <v/>
      </c>
      <c r="G320" s="10" t="str">
        <f t="shared" si="44"/>
        <v/>
      </c>
      <c r="I320" s="25"/>
      <c r="J320" s="25"/>
      <c r="K320" s="155" t="s">
        <v>1160</v>
      </c>
      <c r="L320" s="237">
        <v>19.18</v>
      </c>
      <c r="M320" s="378">
        <v>135000</v>
      </c>
    </row>
    <row r="321" spans="3:13">
      <c r="C321" s="11" t="str">
        <f t="shared" si="40"/>
        <v>北信瑞丰基金管理有限公司</v>
      </c>
      <c r="D321" s="11">
        <f t="shared" si="41"/>
        <v>21.28</v>
      </c>
      <c r="E321" s="11">
        <f t="shared" si="42"/>
        <v>4</v>
      </c>
      <c r="F321" s="11">
        <f t="shared" si="43"/>
        <v>2528.616</v>
      </c>
      <c r="G321" s="10">
        <f t="shared" si="44"/>
        <v>4.8599999519999999</v>
      </c>
      <c r="I321" s="64"/>
      <c r="J321" s="64"/>
      <c r="K321" s="64"/>
      <c r="L321" s="237">
        <v>18.149999999999999</v>
      </c>
      <c r="M321" s="378">
        <v>150100</v>
      </c>
    </row>
    <row r="322" spans="3:13">
      <c r="C322" s="11" t="str">
        <f t="shared" si="40"/>
        <v/>
      </c>
      <c r="D322" s="11">
        <f t="shared" si="41"/>
        <v>20.5</v>
      </c>
      <c r="E322" s="11">
        <f t="shared" si="42"/>
        <v>4.5</v>
      </c>
      <c r="F322" s="11" t="str">
        <f t="shared" si="43"/>
        <v/>
      </c>
      <c r="G322" s="10" t="str">
        <f t="shared" si="44"/>
        <v/>
      </c>
      <c r="I322" s="237">
        <v>16</v>
      </c>
      <c r="J322" s="155" t="s">
        <v>1421</v>
      </c>
      <c r="K322" s="155" t="s">
        <v>1160</v>
      </c>
      <c r="L322" s="237">
        <v>21.28</v>
      </c>
      <c r="M322" s="377">
        <v>40000</v>
      </c>
    </row>
    <row r="323" spans="3:13">
      <c r="C323" s="11" t="str">
        <f t="shared" si="40"/>
        <v/>
      </c>
      <c r="D323" s="11">
        <f t="shared" si="41"/>
        <v>20.02</v>
      </c>
      <c r="E323" s="11">
        <f t="shared" si="42"/>
        <v>4.8600000000000003</v>
      </c>
      <c r="F323" s="11" t="str">
        <f t="shared" si="43"/>
        <v/>
      </c>
      <c r="G323" s="10" t="str">
        <f t="shared" si="44"/>
        <v/>
      </c>
      <c r="I323" s="25"/>
      <c r="J323" s="25"/>
      <c r="K323" s="25"/>
      <c r="L323" s="376">
        <v>20.5</v>
      </c>
      <c r="M323" s="375">
        <v>45000</v>
      </c>
    </row>
    <row r="324" spans="3:13">
      <c r="C324" s="24" t="str">
        <f t="shared" si="40"/>
        <v/>
      </c>
      <c r="I324" s="25"/>
      <c r="J324" s="25"/>
      <c r="K324" s="25"/>
      <c r="L324" s="376">
        <v>20.02</v>
      </c>
      <c r="M324" s="375">
        <v>48600</v>
      </c>
    </row>
    <row r="325" spans="3:13">
      <c r="C325" s="24" t="str">
        <f t="shared" si="40"/>
        <v/>
      </c>
    </row>
    <row r="326" spans="3:13">
      <c r="C326" s="24" t="str">
        <f t="shared" si="40"/>
        <v/>
      </c>
    </row>
    <row r="327" spans="3:13">
      <c r="C327" s="24" t="str">
        <f t="shared" si="40"/>
        <v/>
      </c>
    </row>
    <row r="328" spans="3:13">
      <c r="C328" s="24" t="str">
        <f t="shared" si="40"/>
        <v/>
      </c>
    </row>
    <row r="329" spans="3:13">
      <c r="C329" s="24" t="str">
        <f t="shared" si="40"/>
        <v/>
      </c>
    </row>
    <row r="330" spans="3:13">
      <c r="C330" s="24" t="str">
        <f t="shared" si="40"/>
        <v/>
      </c>
    </row>
    <row r="331" spans="3:13">
      <c r="C331" s="24" t="str">
        <f t="shared" si="40"/>
        <v/>
      </c>
    </row>
    <row r="332" spans="3:13">
      <c r="C332" s="24" t="str">
        <f t="shared" si="40"/>
        <v/>
      </c>
    </row>
    <row r="333" spans="3:13">
      <c r="C333" s="24" t="str">
        <f t="shared" si="40"/>
        <v/>
      </c>
    </row>
  </sheetData>
  <mergeCells count="1">
    <mergeCell ref="D81:G81"/>
  </mergeCells>
  <phoneticPr fontId="139" type="noConversion"/>
  <hyperlinks>
    <hyperlink ref="B4" r:id="rId1" xr:uid="{00000000-0004-0000-1300-000000000000}"/>
    <hyperlink ref="B50" r:id="rId2" xr:uid="{00000000-0004-0000-1300-000001000000}"/>
    <hyperlink ref="B88" r:id="rId3" xr:uid="{00000000-0004-0000-1300-000002000000}"/>
    <hyperlink ref="B114" r:id="rId4" xr:uid="{00000000-0004-0000-1300-000003000000}"/>
    <hyperlink ref="B133" r:id="rId5" xr:uid="{00000000-0004-0000-1300-000004000000}"/>
    <hyperlink ref="B161" r:id="rId6" xr:uid="{00000000-0004-0000-1300-000005000000}"/>
    <hyperlink ref="B191" r:id="rId7" xr:uid="{00000000-0004-0000-1300-000006000000}"/>
    <hyperlink ref="B229" r:id="rId8" xr:uid="{00000000-0004-0000-1300-000007000000}"/>
    <hyperlink ref="B245" r:id="rId9" xr:uid="{00000000-0004-0000-1300-000008000000}"/>
    <hyperlink ref="B289" r:id="rId10" xr:uid="{00000000-0004-0000-1300-000009000000}"/>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T421"/>
  <sheetViews>
    <sheetView topLeftCell="A383" workbookViewId="0">
      <selection activeCell="A420" sqref="A420"/>
    </sheetView>
  </sheetViews>
  <sheetFormatPr defaultColWidth="8.83203125" defaultRowHeight="14"/>
  <cols>
    <col min="1" max="2" width="8.83203125" style="24"/>
    <col min="3" max="3" width="13.1640625" style="24" customWidth="1"/>
    <col min="4" max="4" width="11.33203125" style="24" customWidth="1"/>
    <col min="5" max="5" width="14.5" style="24" customWidth="1"/>
    <col min="6" max="6" width="16.5" style="24" customWidth="1"/>
    <col min="7" max="7" width="12.83203125" style="24" customWidth="1"/>
    <col min="8" max="8" width="13.33203125" style="24" customWidth="1"/>
    <col min="9" max="9" width="12.83203125" style="24" customWidth="1"/>
    <col min="10" max="10" width="9.5" style="24" customWidth="1"/>
    <col min="11" max="11" width="8.83203125" style="24"/>
    <col min="12" max="12" width="12.1640625" style="24" customWidth="1"/>
    <col min="13" max="13" width="14.1640625" style="24" bestFit="1" customWidth="1"/>
    <col min="14" max="14" width="11" style="24" customWidth="1"/>
    <col min="15" max="15" width="11.6640625" style="24" customWidth="1"/>
    <col min="16" max="16" width="9.33203125" style="24" bestFit="1" customWidth="1"/>
    <col min="17" max="17" width="13.83203125" style="24" bestFit="1" customWidth="1"/>
    <col min="18" max="18" width="12.6640625" style="24" bestFit="1" customWidth="1"/>
    <col min="19" max="19" width="14.1640625" style="24" bestFit="1" customWidth="1"/>
    <col min="20" max="16384" width="8.83203125" style="24"/>
  </cols>
  <sheetData>
    <row r="1" spans="1:19">
      <c r="A1" s="24" t="s">
        <v>2071</v>
      </c>
    </row>
    <row r="3" spans="1:19" s="162" customFormat="1">
      <c r="A3" s="164" t="s">
        <v>1315</v>
      </c>
      <c r="B3" s="164"/>
      <c r="C3" s="164" t="s">
        <v>107</v>
      </c>
      <c r="D3" s="164" t="s">
        <v>4</v>
      </c>
      <c r="E3" s="166" t="s">
        <v>108</v>
      </c>
      <c r="F3" s="166" t="s">
        <v>109</v>
      </c>
      <c r="G3" s="164" t="s">
        <v>1314</v>
      </c>
      <c r="H3" s="164" t="s">
        <v>1313</v>
      </c>
      <c r="I3" s="165" t="s">
        <v>1312</v>
      </c>
      <c r="J3" s="163" t="s">
        <v>1311</v>
      </c>
      <c r="K3" s="163" t="s">
        <v>110</v>
      </c>
      <c r="L3" s="163" t="s">
        <v>1310</v>
      </c>
      <c r="M3" s="164" t="s">
        <v>111</v>
      </c>
      <c r="N3" s="163" t="s">
        <v>949</v>
      </c>
      <c r="O3" s="163" t="s">
        <v>948</v>
      </c>
      <c r="P3" s="163" t="s">
        <v>129</v>
      </c>
    </row>
    <row r="4" spans="1:19">
      <c r="A4" s="24">
        <v>317</v>
      </c>
      <c r="B4" s="329" t="s">
        <v>2012</v>
      </c>
      <c r="C4" s="1" t="s">
        <v>2011</v>
      </c>
      <c r="D4" s="1" t="s">
        <v>2010</v>
      </c>
      <c r="E4" s="3">
        <v>26.42353</v>
      </c>
      <c r="F4" s="3">
        <v>26.423529998999999</v>
      </c>
      <c r="G4" s="2">
        <v>42725</v>
      </c>
      <c r="H4" s="24" t="s">
        <v>151</v>
      </c>
      <c r="I4" s="130">
        <v>18.8</v>
      </c>
      <c r="J4" s="3">
        <v>18.649999999999999</v>
      </c>
      <c r="K4" s="160">
        <v>11.29</v>
      </c>
      <c r="L4" s="271">
        <v>0.99202127659574457</v>
      </c>
      <c r="M4" s="270">
        <v>7</v>
      </c>
      <c r="N4" s="2">
        <v>43111</v>
      </c>
      <c r="O4" s="24">
        <v>9.7799999999999994</v>
      </c>
      <c r="P4" s="157">
        <v>1.0532975871313672</v>
      </c>
    </row>
    <row r="5" spans="1:19">
      <c r="C5" s="16" t="s">
        <v>112</v>
      </c>
      <c r="D5" s="16" t="s">
        <v>113</v>
      </c>
      <c r="E5" s="16" t="s">
        <v>1305</v>
      </c>
      <c r="F5" s="17" t="s">
        <v>1304</v>
      </c>
      <c r="G5" s="16" t="s">
        <v>1303</v>
      </c>
      <c r="I5" s="196" t="s">
        <v>118</v>
      </c>
      <c r="J5" s="196" t="s">
        <v>1942</v>
      </c>
      <c r="K5" s="196" t="s">
        <v>1941</v>
      </c>
      <c r="L5" s="85" t="s">
        <v>488</v>
      </c>
      <c r="M5" s="196" t="s">
        <v>475</v>
      </c>
      <c r="O5" s="330" t="s">
        <v>118</v>
      </c>
      <c r="P5" s="232"/>
      <c r="Q5" s="330" t="s">
        <v>1940</v>
      </c>
      <c r="R5" s="331" t="s">
        <v>1903</v>
      </c>
      <c r="S5" s="232"/>
    </row>
    <row r="6" spans="1:19">
      <c r="C6" s="11" t="str">
        <f t="shared" ref="C6:C37" si="0">IF(J7=0,"",J7)</f>
        <v>浙江浙银资本管理有限公司</v>
      </c>
      <c r="D6" s="11">
        <f t="shared" ref="D6:D37" si="1">L7</f>
        <v>19.28</v>
      </c>
      <c r="E6" s="11">
        <f t="shared" ref="E6:E37" si="2">M7/100000000</f>
        <v>2.65</v>
      </c>
      <c r="F6" s="10">
        <f t="shared" ref="F6:F37" si="3">IFERROR(VLOOKUP(C6,P$7:R$13,3,FALSE)/10000,"")</f>
        <v>2841.8229999999999</v>
      </c>
      <c r="G6" s="10">
        <f t="shared" ref="G6:G15" si="4">IFERROR(F6*J$4/10000,"")</f>
        <v>5.2999998949999991</v>
      </c>
      <c r="I6" s="196"/>
      <c r="J6" s="196"/>
      <c r="K6" s="196"/>
      <c r="L6" s="85" t="s">
        <v>1316</v>
      </c>
      <c r="M6" s="196"/>
      <c r="O6" s="330"/>
      <c r="P6" s="331" t="s">
        <v>7</v>
      </c>
      <c r="Q6" s="330"/>
      <c r="R6" s="331" t="s">
        <v>1317</v>
      </c>
      <c r="S6" s="331" t="s">
        <v>1298</v>
      </c>
    </row>
    <row r="7" spans="1:19" ht="14.5" customHeight="1">
      <c r="C7" s="11" t="str">
        <f t="shared" si="0"/>
        <v/>
      </c>
      <c r="D7" s="11">
        <f t="shared" si="1"/>
        <v>18.88</v>
      </c>
      <c r="E7" s="11">
        <f t="shared" si="2"/>
        <v>5.3</v>
      </c>
      <c r="F7" s="10" t="str">
        <f t="shared" si="3"/>
        <v/>
      </c>
      <c r="G7" s="10" t="str">
        <f t="shared" si="4"/>
        <v/>
      </c>
      <c r="I7" s="296">
        <v>1</v>
      </c>
      <c r="J7" s="192" t="s">
        <v>1117</v>
      </c>
      <c r="K7" s="192" t="s">
        <v>1917</v>
      </c>
      <c r="L7" s="190">
        <v>19.28</v>
      </c>
      <c r="M7" s="197">
        <v>265000000</v>
      </c>
      <c r="O7" s="168">
        <v>1</v>
      </c>
      <c r="P7" s="204" t="s">
        <v>278</v>
      </c>
      <c r="Q7" s="201" t="s">
        <v>1325</v>
      </c>
      <c r="R7" s="167">
        <v>14262734</v>
      </c>
      <c r="S7" s="197">
        <v>265999989.09999999</v>
      </c>
    </row>
    <row r="8" spans="1:19">
      <c r="C8" s="11" t="str">
        <f t="shared" si="0"/>
        <v>金鹰基金管理有限公司</v>
      </c>
      <c r="D8" s="11">
        <f t="shared" si="1"/>
        <v>19.02</v>
      </c>
      <c r="E8" s="11">
        <f t="shared" si="2"/>
        <v>2.66</v>
      </c>
      <c r="F8" s="10">
        <f t="shared" si="3"/>
        <v>1426.2734</v>
      </c>
      <c r="G8" s="10">
        <f t="shared" si="4"/>
        <v>2.659999891</v>
      </c>
      <c r="I8" s="296"/>
      <c r="J8" s="192"/>
      <c r="K8" s="192"/>
      <c r="L8" s="190">
        <v>18.88</v>
      </c>
      <c r="M8" s="197">
        <v>530000000</v>
      </c>
      <c r="O8" s="296">
        <v>2</v>
      </c>
      <c r="P8" s="204" t="s">
        <v>2009</v>
      </c>
      <c r="Q8" s="204" t="s">
        <v>2004</v>
      </c>
      <c r="R8" s="275">
        <v>28418230</v>
      </c>
      <c r="S8" s="297">
        <v>529999989.5</v>
      </c>
    </row>
    <row r="9" spans="1:19">
      <c r="C9" s="11" t="str">
        <f t="shared" si="0"/>
        <v>青岛国信资本投资有限公司</v>
      </c>
      <c r="D9" s="11">
        <f t="shared" si="1"/>
        <v>18.75</v>
      </c>
      <c r="E9" s="11">
        <f t="shared" si="2"/>
        <v>2.65</v>
      </c>
      <c r="F9" s="10">
        <f t="shared" si="3"/>
        <v>1420.9114999999999</v>
      </c>
      <c r="G9" s="10">
        <f t="shared" si="4"/>
        <v>2.6499999474999996</v>
      </c>
      <c r="I9" s="168">
        <v>2</v>
      </c>
      <c r="J9" s="203" t="s">
        <v>278</v>
      </c>
      <c r="K9" s="203" t="s">
        <v>1325</v>
      </c>
      <c r="L9" s="190">
        <v>19.02</v>
      </c>
      <c r="M9" s="197">
        <v>266000000</v>
      </c>
      <c r="O9" s="296">
        <v>3</v>
      </c>
      <c r="P9" s="204" t="s">
        <v>2008</v>
      </c>
      <c r="Q9" s="204" t="s">
        <v>2004</v>
      </c>
      <c r="R9" s="275">
        <v>14209115</v>
      </c>
      <c r="S9" s="297">
        <v>264999994.75</v>
      </c>
    </row>
    <row r="10" spans="1:19">
      <c r="C10" s="11" t="str">
        <f t="shared" si="0"/>
        <v>深圳市红塔资产管理有限公司</v>
      </c>
      <c r="D10" s="11">
        <f t="shared" si="1"/>
        <v>18.649999999999999</v>
      </c>
      <c r="E10" s="11">
        <f t="shared" si="2"/>
        <v>7.95</v>
      </c>
      <c r="F10" s="10">
        <f t="shared" si="3"/>
        <v>4262.7344999999996</v>
      </c>
      <c r="G10" s="10">
        <f t="shared" si="4"/>
        <v>7.9499998424999987</v>
      </c>
      <c r="I10" s="168">
        <v>3</v>
      </c>
      <c r="J10" s="203" t="s">
        <v>2007</v>
      </c>
      <c r="K10" s="203" t="s">
        <v>1917</v>
      </c>
      <c r="L10" s="190">
        <v>18.75</v>
      </c>
      <c r="M10" s="197">
        <v>265000000</v>
      </c>
      <c r="O10" s="296">
        <v>4</v>
      </c>
      <c r="P10" s="204" t="s">
        <v>2006</v>
      </c>
      <c r="Q10" s="204" t="s">
        <v>2004</v>
      </c>
      <c r="R10" s="275">
        <v>42627345</v>
      </c>
      <c r="S10" s="297">
        <v>794999984.25</v>
      </c>
    </row>
    <row r="11" spans="1:19">
      <c r="C11" s="11" t="str">
        <f t="shared" si="0"/>
        <v/>
      </c>
      <c r="D11" s="11">
        <f t="shared" si="1"/>
        <v>0</v>
      </c>
      <c r="E11" s="11">
        <f t="shared" si="2"/>
        <v>0</v>
      </c>
      <c r="F11" s="10" t="str">
        <f t="shared" si="3"/>
        <v/>
      </c>
      <c r="G11" s="10" t="str">
        <f t="shared" si="4"/>
        <v/>
      </c>
      <c r="I11" s="296">
        <v>4</v>
      </c>
      <c r="J11" s="203" t="s">
        <v>2006</v>
      </c>
      <c r="K11" s="192" t="s">
        <v>1917</v>
      </c>
      <c r="L11" s="296">
        <v>18.649999999999999</v>
      </c>
      <c r="M11" s="297">
        <v>795000000</v>
      </c>
      <c r="O11" s="296">
        <v>5</v>
      </c>
      <c r="P11" s="204" t="s">
        <v>2005</v>
      </c>
      <c r="Q11" s="192" t="s">
        <v>1325</v>
      </c>
      <c r="R11" s="275">
        <v>14209115</v>
      </c>
      <c r="S11" s="297">
        <v>264999994.75</v>
      </c>
    </row>
    <row r="12" spans="1:19">
      <c r="C12" s="11" t="str">
        <f t="shared" si="0"/>
        <v>海富通基金管理有限公司</v>
      </c>
      <c r="D12" s="11">
        <f t="shared" si="1"/>
        <v>18.649999999999999</v>
      </c>
      <c r="E12" s="11">
        <f t="shared" si="2"/>
        <v>2.65</v>
      </c>
      <c r="F12" s="10">
        <f t="shared" si="3"/>
        <v>1420.9114999999999</v>
      </c>
      <c r="G12" s="10">
        <f t="shared" si="4"/>
        <v>2.6499999474999996</v>
      </c>
      <c r="I12" s="296"/>
      <c r="J12" s="203"/>
      <c r="K12" s="192"/>
      <c r="L12" s="296"/>
      <c r="M12" s="297"/>
      <c r="O12" s="296">
        <v>6</v>
      </c>
      <c r="P12" s="204" t="s">
        <v>2003</v>
      </c>
      <c r="Q12" s="204" t="s">
        <v>2004</v>
      </c>
      <c r="R12" s="275">
        <v>14209115</v>
      </c>
      <c r="S12" s="297">
        <v>264999994.75</v>
      </c>
    </row>
    <row r="13" spans="1:19">
      <c r="C13" s="11" t="str">
        <f t="shared" si="0"/>
        <v>山东省金融资产管理股份有限公司</v>
      </c>
      <c r="D13" s="11">
        <f t="shared" si="1"/>
        <v>18.649999999999999</v>
      </c>
      <c r="E13" s="11">
        <f t="shared" si="2"/>
        <v>2.65</v>
      </c>
      <c r="F13" s="10">
        <f t="shared" si="3"/>
        <v>1420.9114999999999</v>
      </c>
      <c r="G13" s="10">
        <f t="shared" si="4"/>
        <v>2.6499999474999996</v>
      </c>
      <c r="I13" s="190">
        <v>5</v>
      </c>
      <c r="J13" s="203" t="s">
        <v>965</v>
      </c>
      <c r="K13" s="203" t="s">
        <v>1325</v>
      </c>
      <c r="L13" s="190">
        <v>18.649999999999999</v>
      </c>
      <c r="M13" s="197">
        <v>265000000</v>
      </c>
      <c r="O13" s="296">
        <v>7</v>
      </c>
      <c r="P13" s="192" t="s">
        <v>2002</v>
      </c>
      <c r="Q13" s="204" t="s">
        <v>2004</v>
      </c>
      <c r="R13" s="275">
        <v>13745472</v>
      </c>
      <c r="S13" s="297">
        <v>256353052.80000001</v>
      </c>
    </row>
    <row r="14" spans="1:19">
      <c r="C14" s="11" t="str">
        <f t="shared" si="0"/>
        <v/>
      </c>
      <c r="D14" s="11">
        <f t="shared" si="1"/>
        <v>0</v>
      </c>
      <c r="E14" s="11">
        <f t="shared" si="2"/>
        <v>0</v>
      </c>
      <c r="F14" s="10" t="str">
        <f t="shared" si="3"/>
        <v/>
      </c>
      <c r="G14" s="10" t="str">
        <f t="shared" si="4"/>
        <v/>
      </c>
      <c r="I14" s="296">
        <v>6</v>
      </c>
      <c r="J14" s="203" t="s">
        <v>2003</v>
      </c>
      <c r="K14" s="192" t="s">
        <v>1917</v>
      </c>
      <c r="L14" s="296">
        <v>18.649999999999999</v>
      </c>
      <c r="M14" s="297">
        <v>265000000</v>
      </c>
      <c r="O14" s="296"/>
      <c r="P14" s="192"/>
      <c r="Q14" s="204" t="s">
        <v>1327</v>
      </c>
      <c r="R14" s="275"/>
      <c r="S14" s="297"/>
    </row>
    <row r="15" spans="1:19">
      <c r="C15" s="11" t="str">
        <f t="shared" si="0"/>
        <v>上海丰煜投资有限公司</v>
      </c>
      <c r="D15" s="11">
        <f t="shared" si="1"/>
        <v>18.649999999999999</v>
      </c>
      <c r="E15" s="11">
        <f t="shared" si="2"/>
        <v>2.65</v>
      </c>
      <c r="F15" s="10">
        <f t="shared" si="3"/>
        <v>1374.5472</v>
      </c>
      <c r="G15" s="10">
        <f t="shared" si="4"/>
        <v>2.5635305279999998</v>
      </c>
      <c r="I15" s="296"/>
      <c r="J15" s="203"/>
      <c r="K15" s="192"/>
      <c r="L15" s="296"/>
      <c r="M15" s="297"/>
    </row>
    <row r="16" spans="1:19">
      <c r="C16" s="11" t="str">
        <f t="shared" si="0"/>
        <v>北信瑞丰基金管理有限公司</v>
      </c>
      <c r="D16" s="11">
        <f t="shared" si="1"/>
        <v>18.649999999999999</v>
      </c>
      <c r="E16" s="11">
        <f t="shared" si="2"/>
        <v>2.65</v>
      </c>
      <c r="F16" s="10" t="str">
        <f t="shared" si="3"/>
        <v/>
      </c>
      <c r="G16" s="11"/>
      <c r="I16" s="190">
        <v>7</v>
      </c>
      <c r="J16" s="203" t="s">
        <v>2002</v>
      </c>
      <c r="K16" s="203" t="s">
        <v>1917</v>
      </c>
      <c r="L16" s="190">
        <v>18.649999999999999</v>
      </c>
      <c r="M16" s="197">
        <v>265000000</v>
      </c>
    </row>
    <row r="17" spans="3:13">
      <c r="C17" s="11" t="str">
        <f t="shared" si="0"/>
        <v/>
      </c>
      <c r="D17" s="11">
        <f t="shared" si="1"/>
        <v>16.04</v>
      </c>
      <c r="E17" s="11">
        <f t="shared" si="2"/>
        <v>2.75</v>
      </c>
      <c r="F17" s="10" t="str">
        <f t="shared" si="3"/>
        <v/>
      </c>
      <c r="G17" s="11"/>
      <c r="I17" s="168">
        <v>8</v>
      </c>
      <c r="J17" s="203" t="s">
        <v>336</v>
      </c>
      <c r="K17" s="203" t="s">
        <v>1325</v>
      </c>
      <c r="L17" s="190">
        <v>18.649999999999999</v>
      </c>
      <c r="M17" s="197">
        <v>265000000</v>
      </c>
    </row>
    <row r="18" spans="3:13" ht="26" customHeight="1">
      <c r="C18" s="11" t="str">
        <f t="shared" si="0"/>
        <v/>
      </c>
      <c r="D18" s="11">
        <f t="shared" si="1"/>
        <v>15</v>
      </c>
      <c r="E18" s="11">
        <f t="shared" si="2"/>
        <v>3.415</v>
      </c>
      <c r="F18" s="10" t="str">
        <f t="shared" si="3"/>
        <v/>
      </c>
      <c r="G18" s="11"/>
      <c r="I18" s="25"/>
      <c r="J18" s="25"/>
      <c r="K18" s="25"/>
      <c r="L18" s="190">
        <v>16.04</v>
      </c>
      <c r="M18" s="197">
        <v>275000000</v>
      </c>
    </row>
    <row r="19" spans="3:13">
      <c r="C19" s="11" t="str">
        <f t="shared" si="0"/>
        <v>财通基金管理有限公司</v>
      </c>
      <c r="D19" s="11">
        <f t="shared" si="1"/>
        <v>18.64</v>
      </c>
      <c r="E19" s="11">
        <f t="shared" si="2"/>
        <v>2.67</v>
      </c>
      <c r="F19" s="10" t="str">
        <f t="shared" si="3"/>
        <v/>
      </c>
      <c r="G19" s="11"/>
      <c r="I19" s="64"/>
      <c r="J19" s="64"/>
      <c r="K19" s="64"/>
      <c r="L19" s="190">
        <v>15</v>
      </c>
      <c r="M19" s="197">
        <v>341500000</v>
      </c>
    </row>
    <row r="20" spans="3:13">
      <c r="C20" s="11" t="str">
        <f t="shared" si="0"/>
        <v/>
      </c>
      <c r="D20" s="11">
        <f t="shared" si="1"/>
        <v>16.75</v>
      </c>
      <c r="E20" s="11">
        <f t="shared" si="2"/>
        <v>5.36</v>
      </c>
      <c r="F20" s="10" t="str">
        <f t="shared" si="3"/>
        <v/>
      </c>
      <c r="G20" s="11"/>
      <c r="I20" s="168">
        <v>9</v>
      </c>
      <c r="J20" s="203" t="s">
        <v>115</v>
      </c>
      <c r="K20" s="203" t="s">
        <v>1325</v>
      </c>
      <c r="L20" s="190">
        <v>18.64</v>
      </c>
      <c r="M20" s="197">
        <v>267000000</v>
      </c>
    </row>
    <row r="21" spans="3:13">
      <c r="C21" s="11" t="str">
        <f t="shared" si="0"/>
        <v/>
      </c>
      <c r="D21" s="11">
        <f t="shared" si="1"/>
        <v>15.83</v>
      </c>
      <c r="E21" s="11">
        <f t="shared" si="2"/>
        <v>7.5350000000000001</v>
      </c>
      <c r="F21" s="10" t="str">
        <f t="shared" si="3"/>
        <v/>
      </c>
      <c r="G21" s="11"/>
      <c r="I21" s="25"/>
      <c r="J21" s="25"/>
      <c r="K21" s="25"/>
      <c r="L21" s="190">
        <v>16.75</v>
      </c>
      <c r="M21" s="197">
        <v>536000000</v>
      </c>
    </row>
    <row r="22" spans="3:13">
      <c r="C22" s="11" t="str">
        <f t="shared" si="0"/>
        <v>汇安基金管理有限责任公司</v>
      </c>
      <c r="D22" s="11">
        <f t="shared" si="1"/>
        <v>18</v>
      </c>
      <c r="E22" s="11">
        <f t="shared" si="2"/>
        <v>9.1</v>
      </c>
      <c r="F22" s="10" t="str">
        <f t="shared" si="3"/>
        <v/>
      </c>
      <c r="G22" s="11"/>
      <c r="I22" s="64"/>
      <c r="J22" s="64"/>
      <c r="K22" s="64"/>
      <c r="L22" s="190">
        <v>15.83</v>
      </c>
      <c r="M22" s="197">
        <v>753500000</v>
      </c>
    </row>
    <row r="23" spans="3:13">
      <c r="C23" s="11" t="str">
        <f t="shared" si="0"/>
        <v/>
      </c>
      <c r="D23" s="11">
        <f t="shared" si="1"/>
        <v>17.22</v>
      </c>
      <c r="E23" s="11">
        <f t="shared" si="2"/>
        <v>9.1999999999999993</v>
      </c>
      <c r="F23" s="10" t="str">
        <f t="shared" si="3"/>
        <v/>
      </c>
      <c r="G23" s="11"/>
      <c r="I23" s="191">
        <v>10</v>
      </c>
      <c r="J23" s="203" t="s">
        <v>1509</v>
      </c>
      <c r="K23" s="203" t="s">
        <v>1325</v>
      </c>
      <c r="L23" s="190">
        <v>18</v>
      </c>
      <c r="M23" s="197">
        <v>910000000</v>
      </c>
    </row>
    <row r="24" spans="3:13">
      <c r="C24" s="11" t="str">
        <f t="shared" si="0"/>
        <v/>
      </c>
      <c r="D24" s="11">
        <f t="shared" si="1"/>
        <v>15.92</v>
      </c>
      <c r="E24" s="11">
        <f t="shared" si="2"/>
        <v>9.5</v>
      </c>
      <c r="F24" s="10" t="str">
        <f t="shared" si="3"/>
        <v/>
      </c>
      <c r="G24" s="11"/>
      <c r="I24" s="25"/>
      <c r="J24" s="25"/>
      <c r="K24" s="25"/>
      <c r="L24" s="190">
        <v>17.22</v>
      </c>
      <c r="M24" s="197">
        <v>920000000</v>
      </c>
    </row>
    <row r="25" spans="3:13">
      <c r="C25" s="11" t="str">
        <f t="shared" si="0"/>
        <v>创金合信基金管理有限公司</v>
      </c>
      <c r="D25" s="11">
        <f t="shared" si="1"/>
        <v>18</v>
      </c>
      <c r="E25" s="11">
        <f t="shared" si="2"/>
        <v>4</v>
      </c>
      <c r="F25" s="10" t="str">
        <f t="shared" si="3"/>
        <v/>
      </c>
      <c r="G25" s="11"/>
      <c r="I25" s="64"/>
      <c r="J25" s="64"/>
      <c r="K25" s="64"/>
      <c r="L25" s="190">
        <v>15.92</v>
      </c>
      <c r="M25" s="197">
        <v>950000000</v>
      </c>
    </row>
    <row r="26" spans="3:13">
      <c r="C26" s="11" t="str">
        <f t="shared" si="0"/>
        <v/>
      </c>
      <c r="D26" s="11">
        <f t="shared" si="1"/>
        <v>17.91</v>
      </c>
      <c r="E26" s="11">
        <f t="shared" si="2"/>
        <v>4.3</v>
      </c>
      <c r="F26" s="10" t="str">
        <f t="shared" si="3"/>
        <v/>
      </c>
      <c r="G26" s="11"/>
      <c r="I26" s="191">
        <v>11</v>
      </c>
      <c r="J26" s="203" t="s">
        <v>134</v>
      </c>
      <c r="K26" s="203" t="s">
        <v>1325</v>
      </c>
      <c r="L26" s="190">
        <v>18</v>
      </c>
      <c r="M26" s="197">
        <v>400000000</v>
      </c>
    </row>
    <row r="27" spans="3:13">
      <c r="C27" s="11" t="str">
        <f t="shared" si="0"/>
        <v/>
      </c>
      <c r="D27" s="11">
        <f t="shared" si="1"/>
        <v>17.52</v>
      </c>
      <c r="E27" s="11">
        <f t="shared" si="2"/>
        <v>4.5</v>
      </c>
      <c r="F27" s="10" t="str">
        <f t="shared" si="3"/>
        <v/>
      </c>
      <c r="G27" s="11"/>
      <c r="I27" s="25"/>
      <c r="J27" s="25"/>
      <c r="K27" s="25"/>
      <c r="L27" s="190">
        <v>17.91</v>
      </c>
      <c r="M27" s="197">
        <v>430000000</v>
      </c>
    </row>
    <row r="28" spans="3:13">
      <c r="C28" s="11" t="str">
        <f t="shared" si="0"/>
        <v>银华基金管理股份有限公司</v>
      </c>
      <c r="D28" s="11">
        <f t="shared" si="1"/>
        <v>17.71</v>
      </c>
      <c r="E28" s="11">
        <f t="shared" si="2"/>
        <v>2.65</v>
      </c>
      <c r="F28" s="10" t="str">
        <f t="shared" si="3"/>
        <v/>
      </c>
      <c r="G28" s="11"/>
      <c r="I28" s="64"/>
      <c r="J28" s="64"/>
      <c r="K28" s="64"/>
      <c r="L28" s="190">
        <v>17.52</v>
      </c>
      <c r="M28" s="197">
        <v>450000000</v>
      </c>
    </row>
    <row r="29" spans="3:13">
      <c r="C29" s="11" t="str">
        <f t="shared" si="0"/>
        <v>长城国泰(舟山)产业并购重组基金合伙企业(有限合伙)</v>
      </c>
      <c r="D29" s="11">
        <f t="shared" si="1"/>
        <v>17.510000000000002</v>
      </c>
      <c r="E29" s="11">
        <f t="shared" si="2"/>
        <v>2.65</v>
      </c>
      <c r="F29" s="10" t="str">
        <f t="shared" si="3"/>
        <v/>
      </c>
      <c r="G29" s="11"/>
      <c r="I29" s="190">
        <v>12</v>
      </c>
      <c r="J29" s="203" t="s">
        <v>982</v>
      </c>
      <c r="K29" s="203" t="s">
        <v>1325</v>
      </c>
      <c r="L29" s="190">
        <v>17.71</v>
      </c>
      <c r="M29" s="197">
        <v>265000000</v>
      </c>
    </row>
    <row r="30" spans="3:13">
      <c r="C30" s="11" t="str">
        <f t="shared" si="0"/>
        <v/>
      </c>
      <c r="D30" s="11">
        <f t="shared" si="1"/>
        <v>17.010000000000002</v>
      </c>
      <c r="E30" s="11">
        <f t="shared" si="2"/>
        <v>5</v>
      </c>
      <c r="F30" s="10" t="str">
        <f t="shared" si="3"/>
        <v/>
      </c>
      <c r="G30" s="11"/>
      <c r="I30" s="296">
        <v>13</v>
      </c>
      <c r="J30" s="203" t="s">
        <v>2001</v>
      </c>
      <c r="K30" s="192" t="s">
        <v>1917</v>
      </c>
      <c r="L30" s="190">
        <v>17.510000000000002</v>
      </c>
      <c r="M30" s="197">
        <v>265000000</v>
      </c>
    </row>
    <row r="31" spans="3:13">
      <c r="C31" s="11" t="str">
        <f t="shared" si="0"/>
        <v>嘉实基金管理有限公司</v>
      </c>
      <c r="D31" s="11">
        <f t="shared" si="1"/>
        <v>17.36</v>
      </c>
      <c r="E31" s="11">
        <f t="shared" si="2"/>
        <v>3.38</v>
      </c>
      <c r="F31" s="10" t="str">
        <f t="shared" si="3"/>
        <v/>
      </c>
      <c r="G31" s="11"/>
      <c r="I31" s="296"/>
      <c r="J31" s="203"/>
      <c r="K31" s="192"/>
      <c r="L31" s="190">
        <v>17.010000000000002</v>
      </c>
      <c r="M31" s="197">
        <v>500000000</v>
      </c>
    </row>
    <row r="32" spans="3:13">
      <c r="C32" s="11" t="str">
        <f t="shared" si="0"/>
        <v>杨秀静</v>
      </c>
      <c r="D32" s="11">
        <f t="shared" si="1"/>
        <v>17.309999999999999</v>
      </c>
      <c r="E32" s="11">
        <f t="shared" si="2"/>
        <v>2.65</v>
      </c>
      <c r="F32" s="10" t="str">
        <f t="shared" si="3"/>
        <v/>
      </c>
      <c r="G32" s="11"/>
      <c r="I32" s="190">
        <v>14</v>
      </c>
      <c r="J32" s="203" t="s">
        <v>228</v>
      </c>
      <c r="K32" s="203" t="s">
        <v>1325</v>
      </c>
      <c r="L32" s="190">
        <v>17.36</v>
      </c>
      <c r="M32" s="197">
        <v>338000000</v>
      </c>
    </row>
    <row r="33" spans="3:13">
      <c r="C33" s="11" t="str">
        <f t="shared" si="0"/>
        <v/>
      </c>
      <c r="D33" s="11">
        <f t="shared" si="1"/>
        <v>16.149999999999999</v>
      </c>
      <c r="E33" s="11">
        <f t="shared" si="2"/>
        <v>2.65</v>
      </c>
      <c r="F33" s="10" t="str">
        <f t="shared" si="3"/>
        <v/>
      </c>
      <c r="G33" s="11"/>
      <c r="I33" s="191">
        <v>15</v>
      </c>
      <c r="J33" s="203" t="s">
        <v>2000</v>
      </c>
      <c r="K33" s="203" t="s">
        <v>1917</v>
      </c>
      <c r="L33" s="190">
        <v>17.309999999999999</v>
      </c>
      <c r="M33" s="197">
        <v>265000000</v>
      </c>
    </row>
    <row r="34" spans="3:13">
      <c r="C34" s="11" t="str">
        <f t="shared" si="0"/>
        <v/>
      </c>
      <c r="D34" s="11">
        <f t="shared" si="1"/>
        <v>15.86</v>
      </c>
      <c r="E34" s="11">
        <f t="shared" si="2"/>
        <v>2.65</v>
      </c>
      <c r="F34" s="10" t="str">
        <f t="shared" si="3"/>
        <v/>
      </c>
      <c r="G34" s="11"/>
      <c r="I34" s="25"/>
      <c r="J34" s="25"/>
      <c r="K34" s="25"/>
      <c r="L34" s="190">
        <v>16.149999999999999</v>
      </c>
      <c r="M34" s="197">
        <v>265000000</v>
      </c>
    </row>
    <row r="35" spans="3:13">
      <c r="C35" s="11" t="str">
        <f t="shared" si="0"/>
        <v>博时基金管理有限公司</v>
      </c>
      <c r="D35" s="11">
        <f t="shared" si="1"/>
        <v>17.02</v>
      </c>
      <c r="E35" s="11">
        <f t="shared" si="2"/>
        <v>4.25</v>
      </c>
      <c r="F35" s="10" t="str">
        <f t="shared" si="3"/>
        <v/>
      </c>
      <c r="G35" s="11"/>
      <c r="I35" s="64"/>
      <c r="J35" s="64"/>
      <c r="K35" s="64"/>
      <c r="L35" s="190">
        <v>15.86</v>
      </c>
      <c r="M35" s="197">
        <v>265000000</v>
      </c>
    </row>
    <row r="36" spans="3:13">
      <c r="C36" s="11" t="str">
        <f t="shared" si="0"/>
        <v/>
      </c>
      <c r="D36" s="11">
        <f t="shared" si="1"/>
        <v>16.62</v>
      </c>
      <c r="E36" s="11">
        <f t="shared" si="2"/>
        <v>5.0999999999999996</v>
      </c>
      <c r="F36" s="10" t="str">
        <f t="shared" si="3"/>
        <v/>
      </c>
      <c r="G36" s="11"/>
      <c r="I36" s="191">
        <v>16</v>
      </c>
      <c r="J36" s="203" t="s">
        <v>173</v>
      </c>
      <c r="K36" s="203" t="s">
        <v>1325</v>
      </c>
      <c r="L36" s="190">
        <v>17.02</v>
      </c>
      <c r="M36" s="197">
        <v>425000000</v>
      </c>
    </row>
    <row r="37" spans="3:13">
      <c r="C37" s="11" t="str">
        <f t="shared" si="0"/>
        <v/>
      </c>
      <c r="D37" s="11">
        <f t="shared" si="1"/>
        <v>16.22</v>
      </c>
      <c r="E37" s="11">
        <f t="shared" si="2"/>
        <v>6.27</v>
      </c>
      <c r="F37" s="10" t="str">
        <f t="shared" si="3"/>
        <v/>
      </c>
      <c r="G37" s="11"/>
      <c r="I37" s="25"/>
      <c r="J37" s="25"/>
      <c r="K37" s="25"/>
      <c r="L37" s="190">
        <v>16.62</v>
      </c>
      <c r="M37" s="197">
        <v>510000000</v>
      </c>
    </row>
    <row r="38" spans="3:13">
      <c r="C38" s="11" t="str">
        <f t="shared" ref="C38:C65" si="5">IF(J39=0,"",J39)</f>
        <v>信诚基金管理有限公司</v>
      </c>
      <c r="D38" s="11">
        <f t="shared" ref="D38:D64" si="6">L39</f>
        <v>16.850000000000001</v>
      </c>
      <c r="E38" s="11">
        <f t="shared" ref="E38:E64" si="7">M39/100000000</f>
        <v>2.6549999999999998</v>
      </c>
      <c r="F38" s="10" t="str">
        <f t="shared" ref="F38:F64" si="8">IFERROR(VLOOKUP(C38,P$7:R$13,3,FALSE)/10000,"")</f>
        <v/>
      </c>
      <c r="G38" s="11"/>
      <c r="I38" s="64"/>
      <c r="J38" s="64"/>
      <c r="K38" s="64"/>
      <c r="L38" s="190">
        <v>16.22</v>
      </c>
      <c r="M38" s="197">
        <v>627000000</v>
      </c>
    </row>
    <row r="39" spans="3:13">
      <c r="C39" s="11" t="str">
        <f t="shared" si="5"/>
        <v>华泰柏瑞基金管理有限公司</v>
      </c>
      <c r="D39" s="11">
        <f t="shared" si="6"/>
        <v>16.8</v>
      </c>
      <c r="E39" s="11">
        <f t="shared" si="7"/>
        <v>2.8</v>
      </c>
      <c r="F39" s="10" t="str">
        <f t="shared" si="8"/>
        <v/>
      </c>
      <c r="G39" s="11"/>
      <c r="I39" s="190">
        <v>17</v>
      </c>
      <c r="J39" s="203" t="s">
        <v>300</v>
      </c>
      <c r="K39" s="203" t="s">
        <v>1325</v>
      </c>
      <c r="L39" s="190">
        <v>16.850000000000001</v>
      </c>
      <c r="M39" s="197">
        <v>265500000</v>
      </c>
    </row>
    <row r="40" spans="3:13">
      <c r="C40" s="11" t="str">
        <f t="shared" si="5"/>
        <v>九泰基金管理有限公司</v>
      </c>
      <c r="D40" s="11">
        <f t="shared" si="6"/>
        <v>16.5</v>
      </c>
      <c r="E40" s="11">
        <f t="shared" si="7"/>
        <v>3.91</v>
      </c>
      <c r="F40" s="10" t="str">
        <f t="shared" si="8"/>
        <v/>
      </c>
      <c r="G40" s="11"/>
      <c r="I40" s="190">
        <v>18</v>
      </c>
      <c r="J40" s="203" t="s">
        <v>122</v>
      </c>
      <c r="K40" s="203" t="s">
        <v>1325</v>
      </c>
      <c r="L40" s="190">
        <v>16.8</v>
      </c>
      <c r="M40" s="197">
        <v>280000000</v>
      </c>
    </row>
    <row r="41" spans="3:13">
      <c r="C41" s="11" t="str">
        <f t="shared" si="5"/>
        <v/>
      </c>
      <c r="D41" s="11">
        <f t="shared" si="6"/>
        <v>15.96</v>
      </c>
      <c r="E41" s="11">
        <f t="shared" si="7"/>
        <v>5.65</v>
      </c>
      <c r="F41" s="10" t="str">
        <f t="shared" si="8"/>
        <v/>
      </c>
      <c r="G41" s="11"/>
      <c r="I41" s="191">
        <v>19</v>
      </c>
      <c r="J41" s="203" t="s">
        <v>666</v>
      </c>
      <c r="K41" s="203" t="s">
        <v>1325</v>
      </c>
      <c r="L41" s="190">
        <v>16.5</v>
      </c>
      <c r="M41" s="197">
        <v>391000000</v>
      </c>
    </row>
    <row r="42" spans="3:13">
      <c r="C42" s="11" t="str">
        <f t="shared" si="5"/>
        <v/>
      </c>
      <c r="D42" s="11">
        <f t="shared" si="6"/>
        <v>15.2</v>
      </c>
      <c r="E42" s="11">
        <f t="shared" si="7"/>
        <v>5.72</v>
      </c>
      <c r="F42" s="10" t="str">
        <f t="shared" si="8"/>
        <v/>
      </c>
      <c r="G42" s="11"/>
      <c r="I42" s="25"/>
      <c r="J42" s="25"/>
      <c r="K42" s="25"/>
      <c r="L42" s="190">
        <v>15.96</v>
      </c>
      <c r="M42" s="197">
        <v>565000000</v>
      </c>
    </row>
    <row r="43" spans="3:13">
      <c r="C43" s="11" t="str">
        <f t="shared" si="5"/>
        <v>阳光资产管理股份有限公司</v>
      </c>
      <c r="D43" s="11">
        <f t="shared" si="6"/>
        <v>16</v>
      </c>
      <c r="E43" s="11">
        <f t="shared" si="7"/>
        <v>3</v>
      </c>
      <c r="F43" s="10" t="str">
        <f t="shared" si="8"/>
        <v/>
      </c>
      <c r="G43" s="11"/>
      <c r="I43" s="64"/>
      <c r="J43" s="64"/>
      <c r="K43" s="64"/>
      <c r="L43" s="190">
        <v>15.2</v>
      </c>
      <c r="M43" s="197">
        <v>572000000</v>
      </c>
    </row>
    <row r="44" spans="3:13">
      <c r="C44" s="11" t="str">
        <f t="shared" si="5"/>
        <v>诺安基金管理有限公司</v>
      </c>
      <c r="D44" s="11">
        <f t="shared" si="6"/>
        <v>15.28</v>
      </c>
      <c r="E44" s="11">
        <f t="shared" si="7"/>
        <v>2.65</v>
      </c>
      <c r="F44" s="10" t="str">
        <f t="shared" si="8"/>
        <v/>
      </c>
      <c r="G44" s="11"/>
      <c r="I44" s="190">
        <v>20</v>
      </c>
      <c r="J44" s="203" t="s">
        <v>457</v>
      </c>
      <c r="K44" s="203" t="s">
        <v>1331</v>
      </c>
      <c r="L44" s="190">
        <v>16</v>
      </c>
      <c r="M44" s="197">
        <v>300000000</v>
      </c>
    </row>
    <row r="45" spans="3:13">
      <c r="C45" s="11" t="str">
        <f t="shared" si="5"/>
        <v/>
      </c>
      <c r="D45" s="11">
        <f t="shared" si="6"/>
        <v>15.27</v>
      </c>
      <c r="E45" s="11">
        <f t="shared" si="7"/>
        <v>2.7349999999999999</v>
      </c>
      <c r="F45" s="10" t="str">
        <f t="shared" si="8"/>
        <v/>
      </c>
      <c r="G45" s="11"/>
      <c r="I45" s="296">
        <v>21</v>
      </c>
      <c r="J45" s="192" t="s">
        <v>147</v>
      </c>
      <c r="K45" s="192" t="s">
        <v>1325</v>
      </c>
      <c r="L45" s="190">
        <v>15.28</v>
      </c>
      <c r="M45" s="197">
        <v>265000000</v>
      </c>
    </row>
    <row r="46" spans="3:13">
      <c r="C46" s="11" t="str">
        <f t="shared" si="5"/>
        <v>申万菱信基金管理有限公司</v>
      </c>
      <c r="D46" s="11">
        <f t="shared" si="6"/>
        <v>15.18</v>
      </c>
      <c r="E46" s="11">
        <f t="shared" si="7"/>
        <v>2.85</v>
      </c>
      <c r="F46" s="10" t="str">
        <f t="shared" si="8"/>
        <v/>
      </c>
      <c r="G46" s="11"/>
      <c r="I46" s="296"/>
      <c r="J46" s="192"/>
      <c r="K46" s="192"/>
      <c r="L46" s="190">
        <v>15.27</v>
      </c>
      <c r="M46" s="197">
        <v>273500000</v>
      </c>
    </row>
    <row r="47" spans="3:13" ht="26" customHeight="1">
      <c r="C47" s="11" t="str">
        <f t="shared" si="5"/>
        <v/>
      </c>
      <c r="D47" s="11">
        <f t="shared" si="6"/>
        <v>13.5</v>
      </c>
      <c r="E47" s="11">
        <f t="shared" si="7"/>
        <v>5.4</v>
      </c>
      <c r="F47" s="10" t="str">
        <f t="shared" si="8"/>
        <v/>
      </c>
      <c r="G47" s="11"/>
      <c r="I47" s="296">
        <v>22</v>
      </c>
      <c r="J47" s="192" t="s">
        <v>121</v>
      </c>
      <c r="K47" s="192" t="s">
        <v>1325</v>
      </c>
      <c r="L47" s="190">
        <v>15.18</v>
      </c>
      <c r="M47" s="197">
        <v>285000000</v>
      </c>
    </row>
    <row r="48" spans="3:13">
      <c r="C48" s="11" t="str">
        <f t="shared" si="5"/>
        <v>兴证证券资产管理有限公司</v>
      </c>
      <c r="D48" s="11">
        <f t="shared" si="6"/>
        <v>15.05</v>
      </c>
      <c r="E48" s="11">
        <f t="shared" si="7"/>
        <v>2.6549999999999998</v>
      </c>
      <c r="F48" s="10" t="str">
        <f t="shared" si="8"/>
        <v/>
      </c>
      <c r="G48" s="11"/>
      <c r="I48" s="296"/>
      <c r="J48" s="192"/>
      <c r="K48" s="192"/>
      <c r="L48" s="190">
        <v>13.5</v>
      </c>
      <c r="M48" s="197">
        <v>540000000</v>
      </c>
    </row>
    <row r="49" spans="3:13">
      <c r="C49" s="11" t="str">
        <f t="shared" si="5"/>
        <v/>
      </c>
      <c r="D49" s="11">
        <f t="shared" si="6"/>
        <v>15</v>
      </c>
      <c r="E49" s="11">
        <f t="shared" si="7"/>
        <v>3.2549999999999999</v>
      </c>
      <c r="F49" s="10" t="str">
        <f t="shared" si="8"/>
        <v/>
      </c>
      <c r="G49" s="11"/>
      <c r="I49" s="191">
        <v>23</v>
      </c>
      <c r="J49" s="203" t="s">
        <v>150</v>
      </c>
      <c r="K49" s="203" t="s">
        <v>1326</v>
      </c>
      <c r="L49" s="190">
        <v>15.05</v>
      </c>
      <c r="M49" s="197">
        <v>265500000</v>
      </c>
    </row>
    <row r="50" spans="3:13">
      <c r="C50" s="11" t="str">
        <f t="shared" si="5"/>
        <v/>
      </c>
      <c r="D50" s="11">
        <f t="shared" si="6"/>
        <v>14.05</v>
      </c>
      <c r="E50" s="11">
        <f t="shared" si="7"/>
        <v>3.59</v>
      </c>
      <c r="F50" s="10" t="str">
        <f t="shared" si="8"/>
        <v/>
      </c>
      <c r="G50" s="11"/>
      <c r="I50" s="25"/>
      <c r="J50" s="25"/>
      <c r="K50" s="25"/>
      <c r="L50" s="190">
        <v>15</v>
      </c>
      <c r="M50" s="197">
        <v>325500000</v>
      </c>
    </row>
    <row r="51" spans="3:13">
      <c r="C51" s="11" t="str">
        <f t="shared" si="5"/>
        <v>第一创业证券股份有限公司</v>
      </c>
      <c r="D51" s="11">
        <f t="shared" si="6"/>
        <v>15.03</v>
      </c>
      <c r="E51" s="11">
        <f t="shared" si="7"/>
        <v>2.7</v>
      </c>
      <c r="F51" s="10" t="str">
        <f t="shared" si="8"/>
        <v/>
      </c>
      <c r="G51" s="11"/>
      <c r="I51" s="64"/>
      <c r="J51" s="64"/>
      <c r="K51" s="64"/>
      <c r="L51" s="190">
        <v>14.05</v>
      </c>
      <c r="M51" s="197">
        <v>359000000</v>
      </c>
    </row>
    <row r="52" spans="3:13" ht="26" customHeight="1">
      <c r="C52" s="11" t="str">
        <f t="shared" si="5"/>
        <v/>
      </c>
      <c r="D52" s="11">
        <f t="shared" si="6"/>
        <v>14.03</v>
      </c>
      <c r="E52" s="11">
        <f t="shared" si="7"/>
        <v>4</v>
      </c>
      <c r="F52" s="10" t="str">
        <f t="shared" si="8"/>
        <v/>
      </c>
      <c r="G52" s="11"/>
      <c r="I52" s="296">
        <v>24</v>
      </c>
      <c r="J52" s="192" t="s">
        <v>127</v>
      </c>
      <c r="K52" s="192" t="s">
        <v>1326</v>
      </c>
      <c r="L52" s="190">
        <v>15.03</v>
      </c>
      <c r="M52" s="197">
        <v>270000000</v>
      </c>
    </row>
    <row r="53" spans="3:13">
      <c r="C53" s="11" t="str">
        <f t="shared" si="5"/>
        <v>华夏人寿保险股份有限公司</v>
      </c>
      <c r="D53" s="11">
        <f t="shared" si="6"/>
        <v>15</v>
      </c>
      <c r="E53" s="11">
        <f t="shared" si="7"/>
        <v>2.65</v>
      </c>
      <c r="F53" s="10" t="str">
        <f t="shared" si="8"/>
        <v/>
      </c>
      <c r="G53" s="11"/>
      <c r="I53" s="296"/>
      <c r="J53" s="192"/>
      <c r="K53" s="192"/>
      <c r="L53" s="190">
        <v>14.03</v>
      </c>
      <c r="M53" s="197">
        <v>400000000</v>
      </c>
    </row>
    <row r="54" spans="3:13">
      <c r="C54" s="11" t="str">
        <f t="shared" si="5"/>
        <v>民生通惠资产管理有限公司</v>
      </c>
      <c r="D54" s="11">
        <f t="shared" si="6"/>
        <v>14.98</v>
      </c>
      <c r="E54" s="11">
        <f t="shared" si="7"/>
        <v>2.65</v>
      </c>
      <c r="F54" s="10" t="str">
        <f t="shared" si="8"/>
        <v/>
      </c>
      <c r="G54" s="11"/>
      <c r="I54" s="190">
        <v>25</v>
      </c>
      <c r="J54" s="203" t="s">
        <v>119</v>
      </c>
      <c r="K54" s="203" t="s">
        <v>1331</v>
      </c>
      <c r="L54" s="190">
        <v>15</v>
      </c>
      <c r="M54" s="197">
        <v>265000000</v>
      </c>
    </row>
    <row r="55" spans="3:13">
      <c r="C55" s="11" t="str">
        <f t="shared" si="5"/>
        <v>兴业全球基金管理有限公司</v>
      </c>
      <c r="D55" s="11">
        <f t="shared" si="6"/>
        <v>12.91</v>
      </c>
      <c r="E55" s="11">
        <f t="shared" si="7"/>
        <v>2.66</v>
      </c>
      <c r="F55" s="10" t="str">
        <f t="shared" si="8"/>
        <v/>
      </c>
      <c r="G55" s="11"/>
      <c r="I55" s="190">
        <v>26</v>
      </c>
      <c r="J55" s="203" t="s">
        <v>351</v>
      </c>
      <c r="K55" s="203" t="s">
        <v>1331</v>
      </c>
      <c r="L55" s="190">
        <v>14.98</v>
      </c>
      <c r="M55" s="197">
        <v>265000000</v>
      </c>
    </row>
    <row r="56" spans="3:13" ht="26" customHeight="1">
      <c r="C56" s="11" t="str">
        <f t="shared" si="5"/>
        <v/>
      </c>
      <c r="D56" s="11">
        <f t="shared" si="6"/>
        <v>11.31</v>
      </c>
      <c r="E56" s="11">
        <f t="shared" si="7"/>
        <v>3.42</v>
      </c>
      <c r="F56" s="10" t="str">
        <f t="shared" si="8"/>
        <v/>
      </c>
      <c r="G56" s="11"/>
      <c r="I56" s="296">
        <v>27</v>
      </c>
      <c r="J56" s="192" t="s">
        <v>131</v>
      </c>
      <c r="K56" s="192" t="s">
        <v>1325</v>
      </c>
      <c r="L56" s="190">
        <v>12.91</v>
      </c>
      <c r="M56" s="197">
        <v>266000000</v>
      </c>
    </row>
    <row r="57" spans="3:13">
      <c r="C57" s="11" t="str">
        <f t="shared" si="5"/>
        <v>信达证券股份有限公司</v>
      </c>
      <c r="D57" s="11">
        <f t="shared" si="6"/>
        <v>11.39</v>
      </c>
      <c r="E57" s="11">
        <f t="shared" si="7"/>
        <v>2.7</v>
      </c>
      <c r="F57" s="10" t="str">
        <f t="shared" si="8"/>
        <v/>
      </c>
      <c r="G57" s="11"/>
      <c r="I57" s="296"/>
      <c r="J57" s="192"/>
      <c r="K57" s="192"/>
      <c r="L57" s="190">
        <v>11.31</v>
      </c>
      <c r="M57" s="197">
        <v>342000000</v>
      </c>
    </row>
    <row r="58" spans="3:13">
      <c r="C58" s="11" t="str">
        <f t="shared" si="5"/>
        <v>前海开源基金管理有限公司</v>
      </c>
      <c r="D58" s="11">
        <f t="shared" si="6"/>
        <v>18.809999999999999</v>
      </c>
      <c r="E58" s="11">
        <f t="shared" si="7"/>
        <v>2.7</v>
      </c>
      <c r="F58" s="10" t="str">
        <f t="shared" si="8"/>
        <v/>
      </c>
      <c r="G58" s="11"/>
      <c r="I58" s="168">
        <v>28</v>
      </c>
      <c r="J58" s="203" t="s">
        <v>155</v>
      </c>
      <c r="K58" s="203" t="s">
        <v>1326</v>
      </c>
      <c r="L58" s="190">
        <v>11.39</v>
      </c>
      <c r="M58" s="197">
        <v>270000000</v>
      </c>
    </row>
    <row r="59" spans="3:13">
      <c r="C59" s="11" t="str">
        <f t="shared" si="5"/>
        <v/>
      </c>
      <c r="D59" s="11">
        <f t="shared" si="6"/>
        <v>18.649999999999999</v>
      </c>
      <c r="E59" s="11">
        <f t="shared" si="7"/>
        <v>2.7</v>
      </c>
      <c r="F59" s="10" t="str">
        <f t="shared" si="8"/>
        <v/>
      </c>
      <c r="G59" s="11"/>
      <c r="I59" s="191">
        <v>29</v>
      </c>
      <c r="J59" s="203" t="s">
        <v>1044</v>
      </c>
      <c r="K59" s="203" t="s">
        <v>1325</v>
      </c>
      <c r="L59" s="190">
        <v>18.809999999999999</v>
      </c>
      <c r="M59" s="197">
        <v>270000000</v>
      </c>
    </row>
    <row r="60" spans="3:13">
      <c r="C60" s="11" t="str">
        <f t="shared" si="5"/>
        <v/>
      </c>
      <c r="D60" s="11">
        <f t="shared" si="6"/>
        <v>17.72</v>
      </c>
      <c r="E60" s="11">
        <f t="shared" si="7"/>
        <v>2.7</v>
      </c>
      <c r="F60" s="10" t="str">
        <f t="shared" si="8"/>
        <v/>
      </c>
      <c r="G60" s="11"/>
      <c r="I60" s="25"/>
      <c r="J60" s="25"/>
      <c r="K60" s="25"/>
      <c r="L60" s="190">
        <v>18.649999999999999</v>
      </c>
      <c r="M60" s="197">
        <v>270000000</v>
      </c>
    </row>
    <row r="61" spans="3:13">
      <c r="C61" s="11" t="str">
        <f t="shared" si="5"/>
        <v>中信证券股份有限公司</v>
      </c>
      <c r="D61" s="11">
        <f t="shared" si="6"/>
        <v>16</v>
      </c>
      <c r="E61" s="11">
        <f t="shared" si="7"/>
        <v>2.65</v>
      </c>
      <c r="F61" s="10" t="str">
        <f t="shared" si="8"/>
        <v/>
      </c>
      <c r="G61" s="11"/>
      <c r="I61" s="64"/>
      <c r="J61" s="64"/>
      <c r="K61" s="64"/>
      <c r="L61" s="190">
        <v>17.72</v>
      </c>
      <c r="M61" s="197">
        <v>270000000</v>
      </c>
    </row>
    <row r="62" spans="3:13">
      <c r="C62" s="11" t="str">
        <f t="shared" si="5"/>
        <v>株洲市国有资产投资控股集团有限公司</v>
      </c>
      <c r="D62" s="11">
        <f t="shared" si="6"/>
        <v>17.5</v>
      </c>
      <c r="E62" s="11">
        <f t="shared" si="7"/>
        <v>3</v>
      </c>
      <c r="F62" s="10" t="str">
        <f t="shared" si="8"/>
        <v/>
      </c>
      <c r="G62" s="11"/>
      <c r="I62" s="168">
        <v>30</v>
      </c>
      <c r="J62" s="203" t="s">
        <v>316</v>
      </c>
      <c r="K62" s="203" t="s">
        <v>1326</v>
      </c>
      <c r="L62" s="190">
        <v>16</v>
      </c>
      <c r="M62" s="197">
        <v>265000000</v>
      </c>
    </row>
    <row r="63" spans="3:13">
      <c r="C63" s="11" t="str">
        <f t="shared" si="5"/>
        <v/>
      </c>
      <c r="D63" s="11">
        <f t="shared" si="6"/>
        <v>16.5</v>
      </c>
      <c r="E63" s="11">
        <f t="shared" si="7"/>
        <v>3</v>
      </c>
      <c r="F63" s="10" t="str">
        <f t="shared" si="8"/>
        <v/>
      </c>
      <c r="G63" s="11"/>
      <c r="I63" s="203"/>
      <c r="J63" s="192" t="s">
        <v>1124</v>
      </c>
      <c r="K63" s="174"/>
      <c r="L63" s="190">
        <v>17.5</v>
      </c>
      <c r="M63" s="197">
        <v>300000000</v>
      </c>
    </row>
    <row r="64" spans="3:13">
      <c r="C64" s="11" t="str">
        <f t="shared" si="5"/>
        <v/>
      </c>
      <c r="D64" s="11">
        <f t="shared" si="6"/>
        <v>15.5</v>
      </c>
      <c r="E64" s="11">
        <f t="shared" si="7"/>
        <v>3</v>
      </c>
      <c r="F64" s="10" t="str">
        <f t="shared" si="8"/>
        <v/>
      </c>
      <c r="G64" s="11"/>
      <c r="I64" s="191">
        <v>31</v>
      </c>
      <c r="J64" s="192"/>
      <c r="K64" s="203" t="s">
        <v>1917</v>
      </c>
      <c r="L64" s="277">
        <v>16.5</v>
      </c>
      <c r="M64" s="276">
        <v>300000000</v>
      </c>
    </row>
    <row r="65" spans="1:19">
      <c r="C65" s="24" t="str">
        <f t="shared" si="5"/>
        <v/>
      </c>
      <c r="I65" s="64"/>
      <c r="J65" s="192"/>
      <c r="K65" s="64"/>
      <c r="L65" s="277">
        <v>15.5</v>
      </c>
      <c r="M65" s="276">
        <v>300000000</v>
      </c>
    </row>
    <row r="66" spans="1:19">
      <c r="I66" s="25"/>
      <c r="J66" s="25"/>
      <c r="K66" s="25"/>
      <c r="L66" s="25"/>
      <c r="M66" s="25"/>
    </row>
    <row r="68" spans="1:19" s="162" customFormat="1">
      <c r="A68" s="164" t="s">
        <v>1315</v>
      </c>
      <c r="B68" s="164"/>
      <c r="C68" s="164" t="s">
        <v>107</v>
      </c>
      <c r="D68" s="164" t="s">
        <v>4</v>
      </c>
      <c r="E68" s="166" t="s">
        <v>108</v>
      </c>
      <c r="F68" s="166" t="s">
        <v>109</v>
      </c>
      <c r="G68" s="164" t="s">
        <v>1314</v>
      </c>
      <c r="H68" s="164" t="s">
        <v>1313</v>
      </c>
      <c r="I68" s="165" t="s">
        <v>1312</v>
      </c>
      <c r="J68" s="163" t="s">
        <v>1311</v>
      </c>
      <c r="K68" s="163" t="s">
        <v>110</v>
      </c>
      <c r="L68" s="163" t="s">
        <v>1310</v>
      </c>
      <c r="M68" s="164" t="s">
        <v>111</v>
      </c>
      <c r="N68" s="163" t="s">
        <v>949</v>
      </c>
      <c r="O68" s="163" t="s">
        <v>948</v>
      </c>
      <c r="P68" s="163" t="s">
        <v>129</v>
      </c>
    </row>
    <row r="69" spans="1:19">
      <c r="A69" s="24">
        <v>318</v>
      </c>
      <c r="B69" s="329" t="s">
        <v>1999</v>
      </c>
      <c r="C69" s="1" t="s">
        <v>1998</v>
      </c>
      <c r="D69" s="1" t="s">
        <v>1997</v>
      </c>
      <c r="E69" s="3">
        <v>1.551822</v>
      </c>
      <c r="F69" s="3">
        <v>1.5518219</v>
      </c>
      <c r="G69" s="2">
        <v>42717</v>
      </c>
      <c r="H69" s="24" t="s">
        <v>151</v>
      </c>
      <c r="I69" s="130">
        <v>11.45</v>
      </c>
      <c r="J69" s="3">
        <v>11.6</v>
      </c>
      <c r="K69" s="160">
        <v>11.6</v>
      </c>
      <c r="L69" s="271">
        <v>1.0131004366812228</v>
      </c>
      <c r="M69" s="270">
        <v>3</v>
      </c>
      <c r="N69" s="2">
        <v>43118</v>
      </c>
      <c r="O69" s="24">
        <v>8.51</v>
      </c>
      <c r="P69" s="157">
        <v>0.7353448275862069</v>
      </c>
    </row>
    <row r="70" spans="1:19">
      <c r="C70" s="16" t="s">
        <v>112</v>
      </c>
      <c r="D70" s="16" t="s">
        <v>113</v>
      </c>
      <c r="E70" s="16" t="s">
        <v>1305</v>
      </c>
      <c r="F70" s="17" t="s">
        <v>1304</v>
      </c>
      <c r="G70" s="16" t="s">
        <v>1303</v>
      </c>
      <c r="I70" s="330" t="s">
        <v>118</v>
      </c>
      <c r="J70" s="330" t="s">
        <v>324</v>
      </c>
      <c r="K70" s="330" t="s">
        <v>488</v>
      </c>
      <c r="L70" s="344" t="s">
        <v>401</v>
      </c>
      <c r="N70" s="278"/>
      <c r="O70" s="225" t="s">
        <v>1996</v>
      </c>
      <c r="P70" s="225" t="s">
        <v>323</v>
      </c>
      <c r="Q70" s="225" t="s">
        <v>1346</v>
      </c>
    </row>
    <row r="71" spans="1:19">
      <c r="C71" s="11" t="str">
        <f t="shared" ref="C71:D73" si="9">J72</f>
        <v>鹏华资产管理有限公司</v>
      </c>
      <c r="D71" s="11">
        <f t="shared" si="9"/>
        <v>11.6</v>
      </c>
      <c r="E71" s="11">
        <f>L72/10000</f>
        <v>1.1599999999999999</v>
      </c>
      <c r="F71" s="439">
        <f>P71/10000</f>
        <v>1000</v>
      </c>
      <c r="G71" s="11">
        <f>F71*J$69/10000</f>
        <v>1.1599999999999999</v>
      </c>
      <c r="I71" s="330"/>
      <c r="J71" s="330"/>
      <c r="K71" s="330" t="s">
        <v>1709</v>
      </c>
      <c r="L71" s="344" t="s">
        <v>1333</v>
      </c>
      <c r="N71" s="237">
        <v>1</v>
      </c>
      <c r="O71" s="182" t="s">
        <v>1650</v>
      </c>
      <c r="P71" s="378">
        <v>10000000</v>
      </c>
      <c r="Q71" s="343">
        <v>116000000</v>
      </c>
    </row>
    <row r="72" spans="1:19">
      <c r="C72" s="11" t="str">
        <f t="shared" si="9"/>
        <v>韦光宗</v>
      </c>
      <c r="D72" s="11">
        <f t="shared" si="9"/>
        <v>11.6</v>
      </c>
      <c r="E72" s="11">
        <f>L73/10000</f>
        <v>0.3</v>
      </c>
      <c r="F72" s="439">
        <f>P72/10000</f>
        <v>258.62060000000002</v>
      </c>
      <c r="G72" s="10">
        <f>F72*J$69/10000</f>
        <v>0.29999989600000004</v>
      </c>
      <c r="I72" s="237">
        <v>1</v>
      </c>
      <c r="J72" s="182" t="s">
        <v>1650</v>
      </c>
      <c r="K72" s="237">
        <v>11.6</v>
      </c>
      <c r="L72" s="343">
        <v>11600</v>
      </c>
      <c r="N72" s="237">
        <v>2</v>
      </c>
      <c r="O72" s="182" t="s">
        <v>1995</v>
      </c>
      <c r="P72" s="378">
        <v>2586206</v>
      </c>
      <c r="Q72" s="343">
        <v>29999989.600000001</v>
      </c>
    </row>
    <row r="73" spans="1:19">
      <c r="C73" s="11" t="str">
        <f t="shared" si="9"/>
        <v>华安基金管理有限公司</v>
      </c>
      <c r="D73" s="11">
        <f t="shared" si="9"/>
        <v>11.6</v>
      </c>
      <c r="E73" s="11">
        <f>L74/10000</f>
        <v>0.16</v>
      </c>
      <c r="F73" s="439">
        <f>P73/10000</f>
        <v>79.156899999999993</v>
      </c>
      <c r="G73" s="10">
        <f>F73*J$69/10000</f>
        <v>9.1822003999999999E-2</v>
      </c>
      <c r="I73" s="237">
        <v>2</v>
      </c>
      <c r="J73" s="182" t="s">
        <v>1995</v>
      </c>
      <c r="K73" s="237">
        <v>11.6</v>
      </c>
      <c r="L73" s="343">
        <v>3000</v>
      </c>
      <c r="N73" s="237">
        <v>3</v>
      </c>
      <c r="O73" s="182" t="s">
        <v>136</v>
      </c>
      <c r="P73" s="378">
        <v>791569</v>
      </c>
      <c r="Q73" s="343">
        <v>9182200.4000000004</v>
      </c>
    </row>
    <row r="74" spans="1:19">
      <c r="I74" s="237">
        <v>3</v>
      </c>
      <c r="J74" s="182" t="s">
        <v>136</v>
      </c>
      <c r="K74" s="237">
        <v>11.6</v>
      </c>
      <c r="L74" s="343">
        <v>1600</v>
      </c>
    </row>
    <row r="77" spans="1:19" s="162" customFormat="1">
      <c r="A77" s="164" t="s">
        <v>1315</v>
      </c>
      <c r="B77" s="164"/>
      <c r="C77" s="164" t="s">
        <v>107</v>
      </c>
      <c r="D77" s="164" t="s">
        <v>4</v>
      </c>
      <c r="E77" s="166" t="s">
        <v>108</v>
      </c>
      <c r="F77" s="166" t="s">
        <v>109</v>
      </c>
      <c r="G77" s="164" t="s">
        <v>1314</v>
      </c>
      <c r="H77" s="164" t="s">
        <v>1313</v>
      </c>
      <c r="I77" s="165" t="s">
        <v>1312</v>
      </c>
      <c r="J77" s="163" t="s">
        <v>1311</v>
      </c>
      <c r="K77" s="163" t="s">
        <v>110</v>
      </c>
      <c r="L77" s="163" t="s">
        <v>1310</v>
      </c>
      <c r="M77" s="164" t="s">
        <v>111</v>
      </c>
      <c r="N77" s="163" t="s">
        <v>949</v>
      </c>
      <c r="O77" s="163" t="s">
        <v>948</v>
      </c>
      <c r="P77" s="163" t="s">
        <v>129</v>
      </c>
    </row>
    <row r="78" spans="1:19">
      <c r="A78" s="24">
        <v>319</v>
      </c>
      <c r="B78" s="329" t="s">
        <v>1994</v>
      </c>
      <c r="C78" s="1" t="s">
        <v>1993</v>
      </c>
      <c r="D78" s="1" t="s">
        <v>1992</v>
      </c>
      <c r="E78" s="3">
        <v>25</v>
      </c>
      <c r="F78" s="3">
        <v>24.999999840000001</v>
      </c>
      <c r="G78" s="2">
        <v>42734</v>
      </c>
      <c r="H78" s="24" t="s">
        <v>151</v>
      </c>
      <c r="I78" s="130">
        <v>21.46</v>
      </c>
      <c r="J78" s="3">
        <v>21.55</v>
      </c>
      <c r="K78" s="160">
        <v>15.86</v>
      </c>
      <c r="L78" s="271">
        <v>1.0041938490214353</v>
      </c>
      <c r="M78" s="270">
        <v>9</v>
      </c>
      <c r="N78" s="2">
        <v>43116</v>
      </c>
      <c r="O78" s="24">
        <v>40.08</v>
      </c>
      <c r="P78" s="157">
        <v>1.8830626450116008</v>
      </c>
    </row>
    <row r="79" spans="1:19">
      <c r="C79" s="16" t="s">
        <v>112</v>
      </c>
      <c r="D79" s="16" t="s">
        <v>113</v>
      </c>
      <c r="E79" s="16" t="s">
        <v>1305</v>
      </c>
      <c r="F79" s="17" t="s">
        <v>1304</v>
      </c>
      <c r="G79" s="16" t="s">
        <v>1303</v>
      </c>
      <c r="I79" s="84" t="s">
        <v>118</v>
      </c>
      <c r="J79" s="85" t="s">
        <v>296</v>
      </c>
      <c r="K79" s="85" t="s">
        <v>1991</v>
      </c>
      <c r="L79" s="85" t="s">
        <v>475</v>
      </c>
      <c r="M79" s="25"/>
      <c r="N79" s="174"/>
      <c r="O79" s="174"/>
      <c r="P79" s="225" t="s">
        <v>1990</v>
      </c>
      <c r="Q79" s="85" t="s">
        <v>1989</v>
      </c>
      <c r="R79" s="85" t="s">
        <v>1988</v>
      </c>
      <c r="S79" s="225" t="s">
        <v>1596</v>
      </c>
    </row>
    <row r="80" spans="1:19">
      <c r="C80" s="11" t="str">
        <f t="shared" ref="C80:C111" si="10">IF(J80=0,"",J80)</f>
        <v>金石期货有限公司</v>
      </c>
      <c r="D80" s="11">
        <f t="shared" ref="D80:D111" si="11">K80</f>
        <v>22</v>
      </c>
      <c r="E80" s="10">
        <f t="shared" ref="E80:E111" si="12">L80/100000000</f>
        <v>2.50000014</v>
      </c>
      <c r="F80" s="10">
        <f t="shared" ref="F80:F111" si="13">IFERROR(VLOOKUP(C80,O$81:S$95,5,FALSE)/10000,"")</f>
        <v>1160.0927999999999</v>
      </c>
      <c r="G80" s="10">
        <f t="shared" ref="G80:G111" si="14">IFERROR(F80*J$78/10000,"")</f>
        <v>2.499999984</v>
      </c>
      <c r="I80" s="371">
        <v>1</v>
      </c>
      <c r="J80" s="204" t="s">
        <v>1983</v>
      </c>
      <c r="K80" s="371">
        <v>22</v>
      </c>
      <c r="L80" s="426">
        <v>250000014</v>
      </c>
      <c r="M80" s="25"/>
      <c r="N80" s="85" t="s">
        <v>118</v>
      </c>
      <c r="O80" s="225" t="s">
        <v>296</v>
      </c>
      <c r="P80" s="225" t="s">
        <v>1380</v>
      </c>
      <c r="Q80" s="85" t="s">
        <v>1316</v>
      </c>
      <c r="R80" s="85" t="s">
        <v>1380</v>
      </c>
      <c r="S80" s="225" t="s">
        <v>1317</v>
      </c>
    </row>
    <row r="81" spans="3:19" ht="15">
      <c r="C81" s="11" t="str">
        <f t="shared" si="10"/>
        <v>株洲市国有资产投资控股集团有限公司</v>
      </c>
      <c r="D81" s="11">
        <f t="shared" si="11"/>
        <v>20.239999999999998</v>
      </c>
      <c r="E81" s="10">
        <f t="shared" si="12"/>
        <v>2.99999992</v>
      </c>
      <c r="F81" s="10" t="str">
        <f t="shared" si="13"/>
        <v/>
      </c>
      <c r="G81" s="10" t="str">
        <f t="shared" si="14"/>
        <v/>
      </c>
      <c r="I81" s="371">
        <v>2</v>
      </c>
      <c r="J81" s="203" t="s">
        <v>1124</v>
      </c>
      <c r="K81" s="371">
        <v>20.239999999999998</v>
      </c>
      <c r="L81" s="426">
        <v>299999992</v>
      </c>
      <c r="M81" s="25"/>
      <c r="N81" s="427">
        <v>1</v>
      </c>
      <c r="O81" s="156" t="s">
        <v>1982</v>
      </c>
      <c r="P81" s="427">
        <v>23.55</v>
      </c>
      <c r="Q81" s="429">
        <v>250000017.59999999</v>
      </c>
      <c r="R81" s="228"/>
      <c r="S81" s="431">
        <v>11600928</v>
      </c>
    </row>
    <row r="82" spans="3:19" ht="15">
      <c r="C82" s="11" t="str">
        <f t="shared" si="10"/>
        <v/>
      </c>
      <c r="D82" s="11">
        <f t="shared" si="11"/>
        <v>19</v>
      </c>
      <c r="E82" s="10">
        <f t="shared" si="12"/>
        <v>2.9999998699999999</v>
      </c>
      <c r="F82" s="10" t="str">
        <f t="shared" si="13"/>
        <v/>
      </c>
      <c r="G82" s="10" t="str">
        <f t="shared" si="14"/>
        <v/>
      </c>
      <c r="I82" s="25"/>
      <c r="J82" s="25"/>
      <c r="K82" s="371">
        <v>19</v>
      </c>
      <c r="L82" s="426">
        <v>299999987</v>
      </c>
      <c r="M82" s="25"/>
      <c r="N82" s="427"/>
      <c r="O82" s="156"/>
      <c r="P82" s="427"/>
      <c r="Q82" s="429"/>
      <c r="R82" s="228"/>
      <c r="S82" s="431"/>
    </row>
    <row r="83" spans="3:19" ht="25" customHeight="1">
      <c r="C83" s="11" t="str">
        <f t="shared" si="10"/>
        <v/>
      </c>
      <c r="D83" s="11">
        <f t="shared" si="11"/>
        <v>18</v>
      </c>
      <c r="E83" s="10">
        <f t="shared" si="12"/>
        <v>2.9999998799999998</v>
      </c>
      <c r="F83" s="10" t="str">
        <f t="shared" si="13"/>
        <v/>
      </c>
      <c r="G83" s="10" t="str">
        <f t="shared" si="14"/>
        <v/>
      </c>
      <c r="I83" s="64"/>
      <c r="J83" s="64"/>
      <c r="K83" s="371">
        <v>18</v>
      </c>
      <c r="L83" s="426">
        <v>299999988</v>
      </c>
      <c r="M83" s="25"/>
      <c r="N83" s="229"/>
      <c r="O83" s="25"/>
      <c r="P83" s="229"/>
      <c r="Q83" s="229"/>
      <c r="R83" s="228"/>
      <c r="S83" s="229"/>
    </row>
    <row r="84" spans="3:19" ht="15">
      <c r="C84" s="11" t="str">
        <f t="shared" si="10"/>
        <v>烟台冰轮股份有限公司</v>
      </c>
      <c r="D84" s="11">
        <f t="shared" si="11"/>
        <v>20.5</v>
      </c>
      <c r="E84" s="10">
        <f t="shared" si="12"/>
        <v>2.5000000099999999</v>
      </c>
      <c r="F84" s="10" t="str">
        <f t="shared" si="13"/>
        <v/>
      </c>
      <c r="G84" s="10" t="str">
        <f t="shared" si="14"/>
        <v/>
      </c>
      <c r="I84" s="371">
        <v>3</v>
      </c>
      <c r="J84" s="204" t="s">
        <v>1987</v>
      </c>
      <c r="K84" s="371">
        <v>20.5</v>
      </c>
      <c r="L84" s="426">
        <v>250000001</v>
      </c>
      <c r="M84" s="25"/>
      <c r="N84" s="371">
        <v>2</v>
      </c>
      <c r="O84" s="192" t="s">
        <v>1785</v>
      </c>
      <c r="P84" s="371">
        <v>23.09</v>
      </c>
      <c r="Q84" s="437">
        <v>399999984.44</v>
      </c>
      <c r="R84" s="228"/>
      <c r="S84" s="438">
        <v>18561484</v>
      </c>
    </row>
    <row r="85" spans="3:19" ht="15">
      <c r="C85" s="11" t="str">
        <f t="shared" si="10"/>
        <v>华夏人寿保险股份有限公司</v>
      </c>
      <c r="D85" s="11">
        <f t="shared" si="11"/>
        <v>15.86</v>
      </c>
      <c r="E85" s="10">
        <f t="shared" si="12"/>
        <v>2.5000000635999999</v>
      </c>
      <c r="F85" s="10" t="str">
        <f t="shared" si="13"/>
        <v/>
      </c>
      <c r="G85" s="10" t="str">
        <f t="shared" si="14"/>
        <v/>
      </c>
      <c r="I85" s="371">
        <v>4</v>
      </c>
      <c r="J85" s="204" t="s">
        <v>119</v>
      </c>
      <c r="K85" s="371">
        <v>15.86</v>
      </c>
      <c r="L85" s="426">
        <v>250000006.36000001</v>
      </c>
      <c r="M85" s="25"/>
      <c r="N85" s="427">
        <v>3</v>
      </c>
      <c r="O85" s="156" t="s">
        <v>1986</v>
      </c>
      <c r="P85" s="433">
        <v>23</v>
      </c>
      <c r="Q85" s="429">
        <v>329997100</v>
      </c>
      <c r="R85" s="228"/>
      <c r="S85" s="431">
        <v>15313090</v>
      </c>
    </row>
    <row r="86" spans="3:19" ht="15">
      <c r="C86" s="11" t="str">
        <f t="shared" si="10"/>
        <v>泰康资产管理有限责任公司</v>
      </c>
      <c r="D86" s="11">
        <f t="shared" si="11"/>
        <v>19.600000000000001</v>
      </c>
      <c r="E86" s="10">
        <f t="shared" si="12"/>
        <v>3.155208</v>
      </c>
      <c r="F86" s="10" t="str">
        <f t="shared" si="13"/>
        <v/>
      </c>
      <c r="G86" s="10" t="str">
        <f t="shared" si="14"/>
        <v/>
      </c>
      <c r="I86" s="427">
        <v>5</v>
      </c>
      <c r="J86" s="203" t="s">
        <v>124</v>
      </c>
      <c r="K86" s="371">
        <v>19.600000000000001</v>
      </c>
      <c r="L86" s="426">
        <v>315520800</v>
      </c>
      <c r="M86" s="25"/>
      <c r="N86" s="427"/>
      <c r="O86" s="156"/>
      <c r="P86" s="433"/>
      <c r="Q86" s="429"/>
      <c r="R86" s="228"/>
      <c r="S86" s="431"/>
    </row>
    <row r="87" spans="3:19" ht="15">
      <c r="C87" s="11" t="str">
        <f t="shared" si="10"/>
        <v/>
      </c>
      <c r="D87" s="11">
        <f t="shared" si="11"/>
        <v>18.88</v>
      </c>
      <c r="E87" s="10">
        <f t="shared" si="12"/>
        <v>4.3803488000000002</v>
      </c>
      <c r="F87" s="10" t="str">
        <f t="shared" si="13"/>
        <v/>
      </c>
      <c r="G87" s="10" t="str">
        <f t="shared" si="14"/>
        <v/>
      </c>
      <c r="I87" s="427"/>
      <c r="J87" s="25"/>
      <c r="K87" s="371">
        <v>18.88</v>
      </c>
      <c r="L87" s="426">
        <v>438034880</v>
      </c>
      <c r="M87" s="25"/>
      <c r="N87" s="371">
        <v>4</v>
      </c>
      <c r="O87" s="203" t="s">
        <v>1065</v>
      </c>
      <c r="P87" s="436">
        <v>22.37</v>
      </c>
      <c r="Q87" s="437">
        <v>250000006.34</v>
      </c>
      <c r="R87" s="228"/>
      <c r="S87" s="434">
        <v>11600928</v>
      </c>
    </row>
    <row r="88" spans="3:19" ht="15">
      <c r="C88" s="11" t="str">
        <f t="shared" si="10"/>
        <v>中信证券股份有限公司</v>
      </c>
      <c r="D88" s="11">
        <f t="shared" si="11"/>
        <v>19.45</v>
      </c>
      <c r="E88" s="10">
        <f t="shared" si="12"/>
        <v>3.1650000830000002</v>
      </c>
      <c r="F88" s="10" t="str">
        <f t="shared" si="13"/>
        <v/>
      </c>
      <c r="G88" s="10" t="str">
        <f t="shared" si="14"/>
        <v/>
      </c>
      <c r="I88" s="371">
        <v>6</v>
      </c>
      <c r="J88" s="204" t="s">
        <v>316</v>
      </c>
      <c r="K88" s="371">
        <v>19.45</v>
      </c>
      <c r="L88" s="426">
        <v>316500008.30000001</v>
      </c>
      <c r="M88" s="25"/>
      <c r="N88" s="427">
        <v>5</v>
      </c>
      <c r="O88" s="156" t="s">
        <v>1985</v>
      </c>
      <c r="P88" s="433">
        <v>22.37</v>
      </c>
      <c r="Q88" s="429">
        <v>250000006.34</v>
      </c>
      <c r="R88" s="228"/>
      <c r="S88" s="431">
        <v>11600928</v>
      </c>
    </row>
    <row r="89" spans="3:19">
      <c r="C89" s="11" t="str">
        <f t="shared" si="10"/>
        <v>第一创业证券股份有限公司</v>
      </c>
      <c r="D89" s="11">
        <f t="shared" si="11"/>
        <v>17.03</v>
      </c>
      <c r="E89" s="10">
        <f t="shared" si="12"/>
        <v>2.5987779999999998</v>
      </c>
      <c r="F89" s="10" t="str">
        <f t="shared" si="13"/>
        <v/>
      </c>
      <c r="G89" s="10" t="str">
        <f t="shared" si="14"/>
        <v/>
      </c>
      <c r="I89" s="371">
        <v>7</v>
      </c>
      <c r="J89" s="204" t="s">
        <v>127</v>
      </c>
      <c r="K89" s="371">
        <v>17.03</v>
      </c>
      <c r="L89" s="426">
        <v>259877800</v>
      </c>
      <c r="M89" s="25"/>
      <c r="N89" s="427"/>
      <c r="O89" s="156"/>
      <c r="P89" s="433"/>
      <c r="Q89" s="429"/>
      <c r="R89" s="156"/>
      <c r="S89" s="431"/>
    </row>
    <row r="90" spans="3:19">
      <c r="C90" s="11" t="str">
        <f t="shared" si="10"/>
        <v>厦门国贸资产管理有限公司</v>
      </c>
      <c r="D90" s="11">
        <f t="shared" si="11"/>
        <v>20.61</v>
      </c>
      <c r="E90" s="10">
        <f t="shared" si="12"/>
        <v>3.2899998563999997</v>
      </c>
      <c r="F90" s="10" t="str">
        <f t="shared" si="13"/>
        <v/>
      </c>
      <c r="G90" s="10" t="str">
        <f t="shared" si="14"/>
        <v/>
      </c>
      <c r="I90" s="371">
        <v>8</v>
      </c>
      <c r="J90" s="204" t="s">
        <v>1984</v>
      </c>
      <c r="K90" s="371">
        <v>20.61</v>
      </c>
      <c r="L90" s="426">
        <v>328999985.63999999</v>
      </c>
      <c r="M90" s="25"/>
      <c r="N90" s="371">
        <v>6</v>
      </c>
      <c r="O90" s="156" t="s">
        <v>1983</v>
      </c>
      <c r="P90" s="436">
        <v>22</v>
      </c>
      <c r="Q90" s="435">
        <v>250000014</v>
      </c>
      <c r="R90" s="428">
        <v>21.55</v>
      </c>
      <c r="S90" s="434">
        <v>11600928</v>
      </c>
    </row>
    <row r="91" spans="3:19" ht="16.5">
      <c r="C91" s="11" t="str">
        <f t="shared" si="10"/>
        <v>嘉实基金管理有限公司</v>
      </c>
      <c r="D91" s="11">
        <f t="shared" si="11"/>
        <v>20.59</v>
      </c>
      <c r="E91" s="10">
        <f t="shared" si="12"/>
        <v>3.9532799999999999</v>
      </c>
      <c r="F91" s="10" t="str">
        <f t="shared" si="13"/>
        <v/>
      </c>
      <c r="G91" s="10" t="str">
        <f t="shared" si="14"/>
        <v/>
      </c>
      <c r="I91" s="371">
        <v>9</v>
      </c>
      <c r="J91" s="204" t="s">
        <v>228</v>
      </c>
      <c r="K91" s="371">
        <v>20.59</v>
      </c>
      <c r="L91" s="426">
        <v>395328000</v>
      </c>
      <c r="M91" s="25"/>
      <c r="N91" s="229"/>
      <c r="O91" s="25"/>
      <c r="P91" s="229"/>
      <c r="Q91" s="229"/>
      <c r="R91" s="64"/>
      <c r="S91" s="229"/>
    </row>
    <row r="92" spans="3:19">
      <c r="C92" s="11" t="str">
        <f t="shared" si="10"/>
        <v>九泰基金管理有限公司</v>
      </c>
      <c r="D92" s="11">
        <f t="shared" si="11"/>
        <v>20.05</v>
      </c>
      <c r="E92" s="10">
        <f t="shared" si="12"/>
        <v>2.9519999960000001</v>
      </c>
      <c r="F92" s="10" t="str">
        <f t="shared" si="13"/>
        <v/>
      </c>
      <c r="G92" s="10" t="str">
        <f t="shared" si="14"/>
        <v/>
      </c>
      <c r="I92" s="370">
        <v>10</v>
      </c>
      <c r="J92" s="204" t="s">
        <v>666</v>
      </c>
      <c r="K92" s="371">
        <v>20.05</v>
      </c>
      <c r="L92" s="426">
        <v>295199999.60000002</v>
      </c>
      <c r="M92" s="25"/>
      <c r="N92" s="371">
        <v>7</v>
      </c>
      <c r="O92" s="156" t="s">
        <v>1871</v>
      </c>
      <c r="P92" s="436">
        <v>21.78</v>
      </c>
      <c r="Q92" s="435">
        <v>500000000</v>
      </c>
      <c r="R92" s="64"/>
      <c r="S92" s="434">
        <v>23201856</v>
      </c>
    </row>
    <row r="93" spans="3:19">
      <c r="C93" s="11" t="str">
        <f t="shared" si="10"/>
        <v/>
      </c>
      <c r="D93" s="11">
        <f t="shared" si="11"/>
        <v>19.260000000000002</v>
      </c>
      <c r="E93" s="10">
        <f t="shared" si="12"/>
        <v>4.0654000296000001</v>
      </c>
      <c r="F93" s="10" t="str">
        <f t="shared" si="13"/>
        <v/>
      </c>
      <c r="G93" s="10" t="str">
        <f t="shared" si="14"/>
        <v/>
      </c>
      <c r="I93" s="293"/>
      <c r="J93" s="293"/>
      <c r="K93" s="371">
        <v>19.260000000000002</v>
      </c>
      <c r="L93" s="426">
        <v>406540002.95999998</v>
      </c>
      <c r="M93" s="25"/>
      <c r="N93" s="427">
        <v>8</v>
      </c>
      <c r="O93" s="156" t="s">
        <v>1655</v>
      </c>
      <c r="P93" s="433">
        <v>21.6</v>
      </c>
      <c r="Q93" s="432">
        <v>250128000</v>
      </c>
      <c r="R93" s="64"/>
      <c r="S93" s="431">
        <v>11606867</v>
      </c>
    </row>
    <row r="94" spans="3:19">
      <c r="C94" s="11" t="str">
        <f t="shared" si="10"/>
        <v/>
      </c>
      <c r="D94" s="11">
        <f t="shared" si="11"/>
        <v>18.510000000000002</v>
      </c>
      <c r="E94" s="10">
        <f t="shared" si="12"/>
        <v>4.1353999886999997</v>
      </c>
      <c r="F94" s="10" t="str">
        <f t="shared" si="13"/>
        <v/>
      </c>
      <c r="G94" s="10" t="str">
        <f t="shared" si="14"/>
        <v/>
      </c>
      <c r="I94" s="293"/>
      <c r="J94" s="293"/>
      <c r="K94" s="371">
        <v>18.510000000000002</v>
      </c>
      <c r="L94" s="426">
        <v>413539998.87</v>
      </c>
      <c r="M94" s="25"/>
      <c r="N94" s="427"/>
      <c r="O94" s="156"/>
      <c r="P94" s="433"/>
      <c r="Q94" s="432"/>
      <c r="R94" s="64"/>
      <c r="S94" s="431"/>
    </row>
    <row r="95" spans="3:19">
      <c r="C95" s="11" t="str">
        <f t="shared" si="10"/>
        <v>冯鹏飞</v>
      </c>
      <c r="D95" s="11">
        <f t="shared" si="11"/>
        <v>19.18</v>
      </c>
      <c r="E95" s="10">
        <f t="shared" si="12"/>
        <v>2.5001129999999998</v>
      </c>
      <c r="F95" s="10" t="str">
        <f t="shared" si="13"/>
        <v/>
      </c>
      <c r="G95" s="10" t="str">
        <f t="shared" si="14"/>
        <v/>
      </c>
      <c r="I95" s="371">
        <v>11</v>
      </c>
      <c r="J95" s="204" t="s">
        <v>1909</v>
      </c>
      <c r="K95" s="371">
        <v>19.18</v>
      </c>
      <c r="L95" s="426">
        <v>250011300</v>
      </c>
      <c r="M95" s="25"/>
      <c r="N95" s="427">
        <v>9</v>
      </c>
      <c r="O95" s="156" t="s">
        <v>1665</v>
      </c>
      <c r="P95" s="433">
        <v>21.55</v>
      </c>
      <c r="Q95" s="432">
        <v>250000019.94999999</v>
      </c>
      <c r="R95" s="64"/>
      <c r="S95" s="431">
        <v>922271</v>
      </c>
    </row>
    <row r="96" spans="3:19">
      <c r="C96" s="11" t="str">
        <f t="shared" si="10"/>
        <v>中国华融资产管理股份有限公司</v>
      </c>
      <c r="D96" s="11">
        <f t="shared" si="11"/>
        <v>23.09</v>
      </c>
      <c r="E96" s="10">
        <f t="shared" si="12"/>
        <v>3.9999998444</v>
      </c>
      <c r="F96" s="10">
        <f t="shared" si="13"/>
        <v>1856.1484</v>
      </c>
      <c r="G96" s="10">
        <f t="shared" si="14"/>
        <v>3.999999802</v>
      </c>
      <c r="I96" s="428">
        <v>12</v>
      </c>
      <c r="J96" s="203" t="s">
        <v>1785</v>
      </c>
      <c r="K96" s="371">
        <v>23.09</v>
      </c>
      <c r="L96" s="426">
        <v>399999984.44</v>
      </c>
      <c r="M96" s="25"/>
      <c r="N96" s="427"/>
      <c r="O96" s="156"/>
      <c r="P96" s="433"/>
      <c r="Q96" s="432"/>
      <c r="R96" s="64"/>
      <c r="S96" s="431"/>
    </row>
    <row r="97" spans="3:19">
      <c r="C97" s="11" t="str">
        <f t="shared" si="10"/>
        <v/>
      </c>
      <c r="D97" s="11">
        <f t="shared" si="11"/>
        <v>21.31</v>
      </c>
      <c r="E97" s="10">
        <f t="shared" si="12"/>
        <v>3.9999999430000002</v>
      </c>
      <c r="F97" s="10" t="str">
        <f t="shared" si="13"/>
        <v/>
      </c>
      <c r="G97" s="10" t="str">
        <f t="shared" si="14"/>
        <v/>
      </c>
      <c r="I97" s="25"/>
      <c r="J97" s="25"/>
      <c r="K97" s="371">
        <v>21.31</v>
      </c>
      <c r="L97" s="426">
        <v>399999994.30000001</v>
      </c>
      <c r="M97" s="25"/>
      <c r="N97" s="196" t="s">
        <v>1293</v>
      </c>
      <c r="O97" s="196"/>
      <c r="P97" s="196"/>
      <c r="Q97" s="196"/>
      <c r="R97" s="196"/>
      <c r="S97" s="430">
        <v>116009280</v>
      </c>
    </row>
    <row r="98" spans="3:19">
      <c r="C98" s="11" t="str">
        <f t="shared" si="10"/>
        <v/>
      </c>
      <c r="D98" s="11">
        <f t="shared" si="11"/>
        <v>20.89</v>
      </c>
      <c r="E98" s="10">
        <f t="shared" si="12"/>
        <v>3.9999998613000001</v>
      </c>
      <c r="F98" s="10" t="str">
        <f t="shared" si="13"/>
        <v/>
      </c>
      <c r="G98" s="10" t="str">
        <f t="shared" si="14"/>
        <v/>
      </c>
      <c r="I98" s="64"/>
      <c r="J98" s="64"/>
      <c r="K98" s="371">
        <v>20.89</v>
      </c>
      <c r="L98" s="426">
        <v>399999986.13</v>
      </c>
      <c r="M98" s="25"/>
      <c r="N98" s="25"/>
      <c r="O98" s="25"/>
      <c r="P98" s="25"/>
      <c r="Q98" s="25"/>
      <c r="R98" s="25"/>
      <c r="S98" s="25"/>
    </row>
    <row r="99" spans="3:19">
      <c r="C99" s="11" t="str">
        <f t="shared" si="10"/>
        <v>兴全基金管理有限公司</v>
      </c>
      <c r="D99" s="11">
        <f t="shared" si="11"/>
        <v>19.649999999999999</v>
      </c>
      <c r="E99" s="10">
        <f t="shared" si="12"/>
        <v>2.8250019000000002</v>
      </c>
      <c r="F99" s="10" t="str">
        <f t="shared" si="13"/>
        <v/>
      </c>
      <c r="G99" s="10" t="str">
        <f t="shared" si="14"/>
        <v/>
      </c>
      <c r="I99" s="427">
        <v>13</v>
      </c>
      <c r="J99" s="203" t="s">
        <v>1923</v>
      </c>
      <c r="K99" s="371">
        <v>19.649999999999999</v>
      </c>
      <c r="L99" s="426">
        <v>282500190</v>
      </c>
      <c r="M99" s="25"/>
    </row>
    <row r="100" spans="3:19">
      <c r="C100" s="11" t="str">
        <f t="shared" si="10"/>
        <v/>
      </c>
      <c r="D100" s="11">
        <f t="shared" si="11"/>
        <v>15.88</v>
      </c>
      <c r="E100" s="10">
        <f t="shared" si="12"/>
        <v>4.5000267599999999</v>
      </c>
      <c r="F100" s="10" t="str">
        <f t="shared" si="13"/>
        <v/>
      </c>
      <c r="G100" s="10" t="str">
        <f t="shared" si="14"/>
        <v/>
      </c>
      <c r="I100" s="427"/>
      <c r="J100" s="25"/>
      <c r="K100" s="371">
        <v>15.88</v>
      </c>
      <c r="L100" s="426">
        <v>450002676</v>
      </c>
      <c r="M100" s="25"/>
    </row>
    <row r="101" spans="3:19">
      <c r="C101" s="11" t="str">
        <f t="shared" si="10"/>
        <v>威海中泰齐东蓝色并购投资中心（有限合伙）</v>
      </c>
      <c r="D101" s="11">
        <f t="shared" si="11"/>
        <v>23.55</v>
      </c>
      <c r="E101" s="10">
        <f t="shared" si="12"/>
        <v>2.5000001759999999</v>
      </c>
      <c r="F101" s="10">
        <f t="shared" si="13"/>
        <v>1160.0927999999999</v>
      </c>
      <c r="G101" s="10">
        <f t="shared" si="14"/>
        <v>2.499999984</v>
      </c>
      <c r="I101" s="427">
        <v>14</v>
      </c>
      <c r="J101" s="204" t="s">
        <v>1982</v>
      </c>
      <c r="K101" s="427">
        <v>23.55</v>
      </c>
      <c r="L101" s="429">
        <v>250000017.59999999</v>
      </c>
      <c r="M101" s="25"/>
    </row>
    <row r="102" spans="3:19">
      <c r="C102" s="11" t="str">
        <f t="shared" si="10"/>
        <v>博时基金管理有限公司</v>
      </c>
      <c r="D102" s="11">
        <f t="shared" si="11"/>
        <v>18.12</v>
      </c>
      <c r="E102" s="10">
        <f t="shared" si="12"/>
        <v>2.504184</v>
      </c>
      <c r="F102" s="10" t="str">
        <f t="shared" si="13"/>
        <v/>
      </c>
      <c r="G102" s="10" t="str">
        <f t="shared" si="14"/>
        <v/>
      </c>
      <c r="I102" s="371">
        <v>15</v>
      </c>
      <c r="J102" s="204" t="s">
        <v>173</v>
      </c>
      <c r="K102" s="371">
        <v>18.12</v>
      </c>
      <c r="L102" s="426">
        <v>250418400</v>
      </c>
      <c r="M102" s="25"/>
    </row>
    <row r="103" spans="3:19">
      <c r="C103" s="11" t="str">
        <f t="shared" si="10"/>
        <v>中国人寿资产管理有限公司</v>
      </c>
      <c r="D103" s="11">
        <f t="shared" si="11"/>
        <v>19.5</v>
      </c>
      <c r="E103" s="10">
        <f t="shared" si="12"/>
        <v>2.5000002299999999</v>
      </c>
      <c r="F103" s="10" t="str">
        <f t="shared" si="13"/>
        <v/>
      </c>
      <c r="G103" s="10" t="str">
        <f t="shared" si="14"/>
        <v/>
      </c>
      <c r="I103" s="371">
        <v>16</v>
      </c>
      <c r="J103" s="204" t="s">
        <v>132</v>
      </c>
      <c r="K103" s="371">
        <v>19.5</v>
      </c>
      <c r="L103" s="426">
        <v>250000023</v>
      </c>
      <c r="M103" s="25"/>
    </row>
    <row r="104" spans="3:19">
      <c r="C104" s="11" t="str">
        <f t="shared" si="10"/>
        <v>申万菱信基金管理有限公司</v>
      </c>
      <c r="D104" s="11">
        <f t="shared" si="11"/>
        <v>17.5</v>
      </c>
      <c r="E104" s="10">
        <f t="shared" si="12"/>
        <v>2.8499999499999999</v>
      </c>
      <c r="F104" s="10" t="str">
        <f t="shared" si="13"/>
        <v/>
      </c>
      <c r="G104" s="10" t="str">
        <f t="shared" si="14"/>
        <v/>
      </c>
      <c r="I104" s="371">
        <v>17</v>
      </c>
      <c r="J104" s="204" t="s">
        <v>121</v>
      </c>
      <c r="K104" s="371">
        <v>17.5</v>
      </c>
      <c r="L104" s="426">
        <v>284999995</v>
      </c>
      <c r="M104" s="25"/>
    </row>
    <row r="105" spans="3:19">
      <c r="C105" s="11" t="str">
        <f t="shared" si="10"/>
        <v>大成基金管理有限公司</v>
      </c>
      <c r="D105" s="11">
        <f t="shared" si="11"/>
        <v>20.309999999999999</v>
      </c>
      <c r="E105" s="10">
        <f t="shared" si="12"/>
        <v>2.5499997090000002</v>
      </c>
      <c r="F105" s="10" t="str">
        <f t="shared" si="13"/>
        <v/>
      </c>
      <c r="G105" s="10" t="str">
        <f t="shared" si="14"/>
        <v/>
      </c>
      <c r="I105" s="371">
        <v>18</v>
      </c>
      <c r="J105" s="204" t="s">
        <v>1127</v>
      </c>
      <c r="K105" s="371">
        <v>20.309999999999999</v>
      </c>
      <c r="L105" s="426">
        <v>254999970.90000001</v>
      </c>
      <c r="M105" s="25"/>
    </row>
    <row r="106" spans="3:19">
      <c r="C106" s="11" t="str">
        <f t="shared" si="10"/>
        <v>银华基金管理股份有限公司</v>
      </c>
      <c r="D106" s="11">
        <f t="shared" si="11"/>
        <v>20.21</v>
      </c>
      <c r="E106" s="10">
        <f t="shared" si="12"/>
        <v>2.5000000394000002</v>
      </c>
      <c r="F106" s="10" t="str">
        <f t="shared" si="13"/>
        <v/>
      </c>
      <c r="G106" s="10" t="str">
        <f t="shared" si="14"/>
        <v/>
      </c>
      <c r="I106" s="371">
        <v>19</v>
      </c>
      <c r="J106" s="204" t="s">
        <v>982</v>
      </c>
      <c r="K106" s="371">
        <v>20.21</v>
      </c>
      <c r="L106" s="426">
        <v>250000003.94</v>
      </c>
      <c r="M106" s="25"/>
    </row>
    <row r="107" spans="3:19">
      <c r="C107" s="11" t="str">
        <f t="shared" si="10"/>
        <v>招商基金管理有限公司</v>
      </c>
      <c r="D107" s="11">
        <f t="shared" si="11"/>
        <v>19.920000000000002</v>
      </c>
      <c r="E107" s="10">
        <f t="shared" si="12"/>
        <v>2.500696</v>
      </c>
      <c r="F107" s="10" t="str">
        <f t="shared" si="13"/>
        <v/>
      </c>
      <c r="G107" s="10" t="str">
        <f t="shared" si="14"/>
        <v/>
      </c>
      <c r="I107" s="427">
        <v>20</v>
      </c>
      <c r="J107" s="203" t="s">
        <v>348</v>
      </c>
      <c r="K107" s="371">
        <v>19.920000000000002</v>
      </c>
      <c r="L107" s="426">
        <v>250069600</v>
      </c>
      <c r="M107" s="25"/>
    </row>
    <row r="108" spans="3:19">
      <c r="C108" s="11" t="str">
        <f t="shared" si="10"/>
        <v/>
      </c>
      <c r="D108" s="11">
        <f t="shared" si="11"/>
        <v>19.91</v>
      </c>
      <c r="E108" s="10">
        <f t="shared" si="12"/>
        <v>2.5019520000000002</v>
      </c>
      <c r="F108" s="10" t="str">
        <f t="shared" si="13"/>
        <v/>
      </c>
      <c r="G108" s="10" t="str">
        <f t="shared" si="14"/>
        <v/>
      </c>
      <c r="I108" s="427"/>
      <c r="J108" s="25"/>
      <c r="K108" s="371">
        <v>19.91</v>
      </c>
      <c r="L108" s="426">
        <v>250195200</v>
      </c>
      <c r="M108" s="25"/>
    </row>
    <row r="109" spans="3:19">
      <c r="C109" s="11" t="str">
        <f t="shared" si="10"/>
        <v>鹏华基金管理有限公司</v>
      </c>
      <c r="D109" s="11">
        <f t="shared" si="11"/>
        <v>21.3</v>
      </c>
      <c r="E109" s="10">
        <f t="shared" si="12"/>
        <v>4.999999914</v>
      </c>
      <c r="F109" s="10" t="str">
        <f t="shared" si="13"/>
        <v/>
      </c>
      <c r="G109" s="10" t="str">
        <f t="shared" si="14"/>
        <v/>
      </c>
      <c r="I109" s="428">
        <v>21</v>
      </c>
      <c r="J109" s="203" t="s">
        <v>152</v>
      </c>
      <c r="K109" s="371">
        <v>21.3</v>
      </c>
      <c r="L109" s="426">
        <v>499999991.39999998</v>
      </c>
      <c r="M109" s="25"/>
    </row>
    <row r="110" spans="3:19">
      <c r="C110" s="11" t="str">
        <f t="shared" si="10"/>
        <v/>
      </c>
      <c r="D110" s="11">
        <f t="shared" si="11"/>
        <v>20.239999999999998</v>
      </c>
      <c r="E110" s="10">
        <f t="shared" si="12"/>
        <v>4.9999999370000001</v>
      </c>
      <c r="F110" s="10" t="str">
        <f t="shared" si="13"/>
        <v/>
      </c>
      <c r="G110" s="10" t="str">
        <f t="shared" si="14"/>
        <v/>
      </c>
      <c r="I110" s="25"/>
      <c r="J110" s="25"/>
      <c r="K110" s="371">
        <v>20.239999999999998</v>
      </c>
      <c r="L110" s="426">
        <v>499999993.69999999</v>
      </c>
      <c r="M110" s="25"/>
    </row>
    <row r="111" spans="3:19">
      <c r="C111" s="11" t="str">
        <f t="shared" si="10"/>
        <v/>
      </c>
      <c r="D111" s="11">
        <f t="shared" si="11"/>
        <v>18.11</v>
      </c>
      <c r="E111" s="10">
        <f t="shared" si="12"/>
        <v>5.0000000419999999</v>
      </c>
      <c r="F111" s="10" t="str">
        <f t="shared" si="13"/>
        <v/>
      </c>
      <c r="G111" s="10" t="str">
        <f t="shared" si="14"/>
        <v/>
      </c>
      <c r="I111" s="64"/>
      <c r="J111" s="64"/>
      <c r="K111" s="371">
        <v>18.11</v>
      </c>
      <c r="L111" s="426">
        <v>500000004.19999999</v>
      </c>
      <c r="M111" s="25"/>
    </row>
    <row r="112" spans="3:19">
      <c r="C112" s="11" t="str">
        <f t="shared" ref="C112:C137" si="15">IF(J112=0,"",J112)</f>
        <v>长城国泰（舟山）产业并购重组基金合伙企业（有限公司）</v>
      </c>
      <c r="D112" s="11">
        <f t="shared" ref="D112:D137" si="16">K112</f>
        <v>20.38</v>
      </c>
      <c r="E112" s="10">
        <f t="shared" ref="E112:E137" si="17">L112/100000000</f>
        <v>4.9999998527999994</v>
      </c>
      <c r="F112" s="10" t="str">
        <f t="shared" ref="F112:F137" si="18">IFERROR(VLOOKUP(C112,O$81:S$95,5,FALSE)/10000,"")</f>
        <v/>
      </c>
      <c r="G112" s="10" t="str">
        <f t="shared" ref="G112:G137" si="19">IFERROR(F112*J$78/10000,"")</f>
        <v/>
      </c>
      <c r="I112" s="427">
        <v>22</v>
      </c>
      <c r="J112" s="204" t="s">
        <v>1981</v>
      </c>
      <c r="K112" s="427">
        <v>20.38</v>
      </c>
      <c r="L112" s="429">
        <v>499999985.27999997</v>
      </c>
      <c r="M112" s="25"/>
    </row>
    <row r="113" spans="3:13">
      <c r="C113" s="11" t="str">
        <f t="shared" si="15"/>
        <v/>
      </c>
      <c r="D113" s="11">
        <f t="shared" si="16"/>
        <v>0</v>
      </c>
      <c r="E113" s="10">
        <f t="shared" si="17"/>
        <v>0</v>
      </c>
      <c r="F113" s="10" t="str">
        <f t="shared" si="18"/>
        <v/>
      </c>
      <c r="G113" s="10" t="str">
        <f t="shared" si="19"/>
        <v/>
      </c>
      <c r="I113" s="427"/>
      <c r="J113" s="204"/>
      <c r="K113" s="427"/>
      <c r="L113" s="429"/>
      <c r="M113" s="25"/>
    </row>
    <row r="114" spans="3:13">
      <c r="C114" s="11" t="str">
        <f t="shared" si="15"/>
        <v>深圳天风天成资产管理有限公司</v>
      </c>
      <c r="D114" s="11">
        <f t="shared" si="16"/>
        <v>21.6</v>
      </c>
      <c r="E114" s="10">
        <f t="shared" si="17"/>
        <v>2.5012799999999999</v>
      </c>
      <c r="F114" s="10">
        <f t="shared" si="18"/>
        <v>1160.6867</v>
      </c>
      <c r="G114" s="10">
        <f t="shared" si="19"/>
        <v>2.5012798385000004</v>
      </c>
      <c r="I114" s="427">
        <v>23</v>
      </c>
      <c r="J114" s="203" t="s">
        <v>560</v>
      </c>
      <c r="K114" s="371">
        <v>21.6</v>
      </c>
      <c r="L114" s="426">
        <v>250128000</v>
      </c>
      <c r="M114" s="25"/>
    </row>
    <row r="115" spans="3:13">
      <c r="C115" s="11" t="str">
        <f t="shared" si="15"/>
        <v/>
      </c>
      <c r="D115" s="11">
        <f t="shared" si="16"/>
        <v>19.45</v>
      </c>
      <c r="E115" s="10">
        <f t="shared" si="17"/>
        <v>4.9986499999999996</v>
      </c>
      <c r="F115" s="10" t="str">
        <f t="shared" si="18"/>
        <v/>
      </c>
      <c r="G115" s="10" t="str">
        <f t="shared" si="19"/>
        <v/>
      </c>
      <c r="I115" s="427"/>
      <c r="J115" s="25"/>
      <c r="K115" s="371">
        <v>19.45</v>
      </c>
      <c r="L115" s="426">
        <v>499865000</v>
      </c>
      <c r="M115" s="25"/>
    </row>
    <row r="116" spans="3:13">
      <c r="C116" s="11" t="str">
        <f t="shared" si="15"/>
        <v>平安大华基金管理有限公司</v>
      </c>
      <c r="D116" s="11">
        <f t="shared" si="16"/>
        <v>19.170000000000002</v>
      </c>
      <c r="E116" s="10">
        <f t="shared" si="17"/>
        <v>2.5350595866000001</v>
      </c>
      <c r="F116" s="10" t="str">
        <f t="shared" si="18"/>
        <v/>
      </c>
      <c r="G116" s="10" t="str">
        <f t="shared" si="19"/>
        <v/>
      </c>
      <c r="I116" s="371">
        <v>24</v>
      </c>
      <c r="J116" s="204" t="s">
        <v>146</v>
      </c>
      <c r="K116" s="371">
        <v>19.170000000000002</v>
      </c>
      <c r="L116" s="426">
        <v>253505958.66</v>
      </c>
      <c r="M116" s="25"/>
    </row>
    <row r="117" spans="3:13">
      <c r="C117" s="11" t="str">
        <f t="shared" si="15"/>
        <v>上海绿联君和产业并购股权投资基金合伙企业（有限合伙）</v>
      </c>
      <c r="D117" s="11">
        <f t="shared" si="16"/>
        <v>21.78</v>
      </c>
      <c r="E117" s="10">
        <f t="shared" si="17"/>
        <v>5.0000001875999995</v>
      </c>
      <c r="F117" s="10">
        <f t="shared" si="18"/>
        <v>2320.1855999999998</v>
      </c>
      <c r="G117" s="10">
        <f t="shared" si="19"/>
        <v>4.999999968</v>
      </c>
      <c r="I117" s="427">
        <v>25</v>
      </c>
      <c r="J117" s="204" t="s">
        <v>1871</v>
      </c>
      <c r="K117" s="427">
        <v>21.78</v>
      </c>
      <c r="L117" s="429">
        <v>500000018.75999999</v>
      </c>
      <c r="M117" s="25"/>
    </row>
    <row r="118" spans="3:13">
      <c r="C118" s="11" t="str">
        <f t="shared" si="15"/>
        <v/>
      </c>
      <c r="D118" s="11">
        <f t="shared" si="16"/>
        <v>0</v>
      </c>
      <c r="E118" s="10">
        <f t="shared" si="17"/>
        <v>0</v>
      </c>
      <c r="F118" s="10" t="str">
        <f t="shared" si="18"/>
        <v/>
      </c>
      <c r="G118" s="10" t="str">
        <f t="shared" si="19"/>
        <v/>
      </c>
      <c r="I118" s="427"/>
      <c r="J118" s="204"/>
      <c r="K118" s="427"/>
      <c r="L118" s="429"/>
      <c r="M118" s="25"/>
    </row>
    <row r="119" spans="3:13">
      <c r="C119" s="11" t="str">
        <f t="shared" si="15"/>
        <v>太平洋资产管理有限责任公司</v>
      </c>
      <c r="D119" s="11">
        <f t="shared" si="16"/>
        <v>19.510000000000002</v>
      </c>
      <c r="E119" s="10">
        <f t="shared" si="17"/>
        <v>2.509994667</v>
      </c>
      <c r="F119" s="10" t="str">
        <f t="shared" si="18"/>
        <v/>
      </c>
      <c r="G119" s="10" t="str">
        <f t="shared" si="19"/>
        <v/>
      </c>
      <c r="I119" s="427">
        <v>26</v>
      </c>
      <c r="J119" s="203" t="s">
        <v>1921</v>
      </c>
      <c r="K119" s="371">
        <v>19.510000000000002</v>
      </c>
      <c r="L119" s="426">
        <v>250999466.69999999</v>
      </c>
      <c r="M119" s="25"/>
    </row>
    <row r="120" spans="3:13">
      <c r="C120" s="11" t="str">
        <f t="shared" si="15"/>
        <v/>
      </c>
      <c r="D120" s="11">
        <f t="shared" si="16"/>
        <v>17.91</v>
      </c>
      <c r="E120" s="10">
        <f t="shared" si="17"/>
        <v>4.9999955939999996</v>
      </c>
      <c r="F120" s="10" t="str">
        <f t="shared" si="18"/>
        <v/>
      </c>
      <c r="G120" s="10" t="str">
        <f t="shared" si="19"/>
        <v/>
      </c>
      <c r="I120" s="427"/>
      <c r="J120" s="25"/>
      <c r="K120" s="371">
        <v>17.91</v>
      </c>
      <c r="L120" s="426">
        <v>499999559.39999998</v>
      </c>
      <c r="M120" s="25"/>
    </row>
    <row r="121" spans="3:13">
      <c r="C121" s="11" t="str">
        <f t="shared" si="15"/>
        <v>红土创新基金管理有限公司</v>
      </c>
      <c r="D121" s="11">
        <f t="shared" si="16"/>
        <v>22.37</v>
      </c>
      <c r="E121" s="10">
        <f t="shared" si="17"/>
        <v>2.5000000633999999</v>
      </c>
      <c r="F121" s="10">
        <f t="shared" si="18"/>
        <v>1160.0927999999999</v>
      </c>
      <c r="G121" s="10">
        <f t="shared" si="19"/>
        <v>2.499999984</v>
      </c>
      <c r="I121" s="371">
        <v>27</v>
      </c>
      <c r="J121" s="204" t="s">
        <v>1065</v>
      </c>
      <c r="K121" s="371">
        <v>22.37</v>
      </c>
      <c r="L121" s="426">
        <v>250000006.34</v>
      </c>
      <c r="M121" s="25"/>
    </row>
    <row r="122" spans="3:13">
      <c r="C122" s="11" t="str">
        <f t="shared" si="15"/>
        <v>深圳市创新投资集团有限公司</v>
      </c>
      <c r="D122" s="11">
        <f t="shared" si="16"/>
        <v>22.37</v>
      </c>
      <c r="E122" s="10">
        <f t="shared" si="17"/>
        <v>2.5000000633999999</v>
      </c>
      <c r="F122" s="10">
        <f t="shared" si="18"/>
        <v>1160.0927999999999</v>
      </c>
      <c r="G122" s="10">
        <f t="shared" si="19"/>
        <v>2.499999984</v>
      </c>
      <c r="I122" s="371">
        <v>28</v>
      </c>
      <c r="J122" s="204" t="s">
        <v>664</v>
      </c>
      <c r="K122" s="371">
        <v>22.37</v>
      </c>
      <c r="L122" s="426">
        <v>250000006.34</v>
      </c>
      <c r="M122" s="25"/>
    </row>
    <row r="123" spans="3:13">
      <c r="C123" s="11" t="str">
        <f t="shared" si="15"/>
        <v>农银汇理（上海）资产管理有限公司</v>
      </c>
      <c r="D123" s="11">
        <f t="shared" si="16"/>
        <v>20.82</v>
      </c>
      <c r="E123" s="10">
        <f t="shared" si="17"/>
        <v>2.5</v>
      </c>
      <c r="F123" s="10" t="str">
        <f t="shared" si="18"/>
        <v/>
      </c>
      <c r="G123" s="10" t="str">
        <f t="shared" si="19"/>
        <v/>
      </c>
      <c r="I123" s="371">
        <v>29</v>
      </c>
      <c r="J123" s="204" t="s">
        <v>975</v>
      </c>
      <c r="K123" s="371">
        <v>20.82</v>
      </c>
      <c r="L123" s="426">
        <v>250000000</v>
      </c>
      <c r="M123" s="25"/>
    </row>
    <row r="124" spans="3:13">
      <c r="C124" s="11" t="str">
        <f t="shared" si="15"/>
        <v>财通基金管理有限公司</v>
      </c>
      <c r="D124" s="11">
        <f t="shared" si="16"/>
        <v>20.239999999999998</v>
      </c>
      <c r="E124" s="10">
        <f t="shared" si="17"/>
        <v>4.954752</v>
      </c>
      <c r="F124" s="10" t="str">
        <f t="shared" si="18"/>
        <v/>
      </c>
      <c r="G124" s="10" t="str">
        <f t="shared" si="19"/>
        <v/>
      </c>
      <c r="I124" s="371">
        <v>30</v>
      </c>
      <c r="J124" s="204" t="s">
        <v>115</v>
      </c>
      <c r="K124" s="371">
        <v>20.239999999999998</v>
      </c>
      <c r="L124" s="426">
        <v>495475200</v>
      </c>
      <c r="M124" s="25"/>
    </row>
    <row r="125" spans="3:13">
      <c r="C125" s="11" t="str">
        <f t="shared" si="15"/>
        <v>兴证证券资产管理有限公司</v>
      </c>
      <c r="D125" s="11">
        <f t="shared" si="16"/>
        <v>18.579999999999998</v>
      </c>
      <c r="E125" s="10">
        <f t="shared" si="17"/>
        <v>3.7717399999999999</v>
      </c>
      <c r="F125" s="10" t="str">
        <f t="shared" si="18"/>
        <v/>
      </c>
      <c r="G125" s="10" t="str">
        <f t="shared" si="19"/>
        <v/>
      </c>
      <c r="I125" s="371">
        <v>31</v>
      </c>
      <c r="J125" s="204" t="s">
        <v>150</v>
      </c>
      <c r="K125" s="371">
        <v>18.579999999999998</v>
      </c>
      <c r="L125" s="426">
        <v>377174000</v>
      </c>
      <c r="M125" s="25"/>
    </row>
    <row r="126" spans="3:13">
      <c r="C126" s="11" t="str">
        <f t="shared" si="15"/>
        <v>贵州铁路发展基金管理有限公司</v>
      </c>
      <c r="D126" s="11">
        <f t="shared" si="16"/>
        <v>21.55</v>
      </c>
      <c r="E126" s="10">
        <f t="shared" si="17"/>
        <v>2.5000001995000001</v>
      </c>
      <c r="F126" s="10">
        <f t="shared" si="18"/>
        <v>92.227099999999993</v>
      </c>
      <c r="G126" s="10">
        <f t="shared" si="19"/>
        <v>0.19874940050000001</v>
      </c>
      <c r="I126" s="371">
        <v>32</v>
      </c>
      <c r="J126" s="204" t="s">
        <v>1668</v>
      </c>
      <c r="K126" s="371">
        <v>21.55</v>
      </c>
      <c r="L126" s="426">
        <v>250000019.94999999</v>
      </c>
      <c r="M126" s="25"/>
    </row>
    <row r="127" spans="3:13">
      <c r="C127" s="11" t="str">
        <f t="shared" si="15"/>
        <v>华安未来资产管理（上海）有限公司</v>
      </c>
      <c r="D127" s="11">
        <f t="shared" si="16"/>
        <v>23.5</v>
      </c>
      <c r="E127" s="10">
        <f t="shared" si="17"/>
        <v>2.5000005000000001</v>
      </c>
      <c r="F127" s="10">
        <f t="shared" si="18"/>
        <v>1531.309</v>
      </c>
      <c r="G127" s="10">
        <f t="shared" si="19"/>
        <v>3.299970895</v>
      </c>
      <c r="I127" s="428">
        <v>33</v>
      </c>
      <c r="J127" s="203" t="s">
        <v>358</v>
      </c>
      <c r="K127" s="371">
        <v>23.5</v>
      </c>
      <c r="L127" s="426">
        <v>250000050</v>
      </c>
      <c r="M127" s="25"/>
    </row>
    <row r="128" spans="3:13">
      <c r="C128" s="11" t="str">
        <f t="shared" si="15"/>
        <v/>
      </c>
      <c r="D128" s="11">
        <f t="shared" si="16"/>
        <v>23</v>
      </c>
      <c r="E128" s="10">
        <f t="shared" si="17"/>
        <v>3.2999710000000002</v>
      </c>
      <c r="F128" s="10" t="str">
        <f t="shared" si="18"/>
        <v/>
      </c>
      <c r="G128" s="10" t="str">
        <f t="shared" si="19"/>
        <v/>
      </c>
      <c r="I128" s="25"/>
      <c r="J128" s="25"/>
      <c r="K128" s="371">
        <v>23</v>
      </c>
      <c r="L128" s="426">
        <v>329997100</v>
      </c>
      <c r="M128" s="25"/>
    </row>
    <row r="129" spans="1:17">
      <c r="C129" s="11" t="str">
        <f t="shared" si="15"/>
        <v/>
      </c>
      <c r="D129" s="11">
        <f t="shared" si="16"/>
        <v>20.149999999999999</v>
      </c>
      <c r="E129" s="10">
        <f t="shared" si="17"/>
        <v>3.3000058000000001</v>
      </c>
      <c r="F129" s="10" t="str">
        <f t="shared" si="18"/>
        <v/>
      </c>
      <c r="G129" s="10" t="str">
        <f t="shared" si="19"/>
        <v/>
      </c>
      <c r="I129" s="64"/>
      <c r="J129" s="64"/>
      <c r="K129" s="371">
        <v>20.149999999999999</v>
      </c>
      <c r="L129" s="426">
        <v>330000580</v>
      </c>
      <c r="M129" s="25"/>
    </row>
    <row r="130" spans="1:17">
      <c r="C130" s="11" t="str">
        <f t="shared" si="15"/>
        <v>青岛城投金融控股集团有限公司</v>
      </c>
      <c r="D130" s="11">
        <f t="shared" si="16"/>
        <v>21.46</v>
      </c>
      <c r="E130" s="10">
        <f t="shared" si="17"/>
        <v>2.5000000825999997</v>
      </c>
      <c r="F130" s="10" t="str">
        <f t="shared" si="18"/>
        <v/>
      </c>
      <c r="G130" s="10" t="str">
        <f t="shared" si="19"/>
        <v/>
      </c>
      <c r="I130" s="371">
        <v>34</v>
      </c>
      <c r="J130" s="204" t="s">
        <v>125</v>
      </c>
      <c r="K130" s="371">
        <v>21.46</v>
      </c>
      <c r="L130" s="426">
        <v>250000008.25999999</v>
      </c>
      <c r="M130" s="25"/>
    </row>
    <row r="131" spans="1:17">
      <c r="C131" s="11" t="str">
        <f t="shared" si="15"/>
        <v>易方达基金管理有限公司</v>
      </c>
      <c r="D131" s="11">
        <f t="shared" si="16"/>
        <v>18.11</v>
      </c>
      <c r="E131" s="10">
        <f t="shared" si="17"/>
        <v>2.5000003830000002</v>
      </c>
      <c r="F131" s="10" t="str">
        <f t="shared" si="18"/>
        <v/>
      </c>
      <c r="G131" s="10" t="str">
        <f t="shared" si="19"/>
        <v/>
      </c>
      <c r="I131" s="371">
        <v>35</v>
      </c>
      <c r="J131" s="204" t="s">
        <v>225</v>
      </c>
      <c r="K131" s="371">
        <v>18.11</v>
      </c>
      <c r="L131" s="426">
        <v>250000038.30000001</v>
      </c>
      <c r="M131" s="25"/>
    </row>
    <row r="132" spans="1:17">
      <c r="C132" s="11" t="str">
        <f t="shared" si="15"/>
        <v>富国基金管理有限公司</v>
      </c>
      <c r="D132" s="11">
        <f t="shared" si="16"/>
        <v>20.88</v>
      </c>
      <c r="E132" s="10">
        <f t="shared" si="17"/>
        <v>2.5000001928</v>
      </c>
      <c r="F132" s="10" t="str">
        <f t="shared" si="18"/>
        <v/>
      </c>
      <c r="G132" s="10" t="str">
        <f t="shared" si="19"/>
        <v/>
      </c>
      <c r="I132" s="371">
        <v>36</v>
      </c>
      <c r="J132" s="204" t="s">
        <v>295</v>
      </c>
      <c r="K132" s="371">
        <v>20.88</v>
      </c>
      <c r="L132" s="426">
        <v>250000019.28</v>
      </c>
      <c r="M132" s="25"/>
    </row>
    <row r="133" spans="1:17">
      <c r="C133" s="11" t="str">
        <f t="shared" si="15"/>
        <v>北信瑞丰基金管理有限公司</v>
      </c>
      <c r="D133" s="11">
        <f t="shared" si="16"/>
        <v>20.39</v>
      </c>
      <c r="E133" s="10">
        <f t="shared" si="17"/>
        <v>2.5799997139999999</v>
      </c>
      <c r="F133" s="10" t="str">
        <f t="shared" si="18"/>
        <v/>
      </c>
      <c r="G133" s="10" t="str">
        <f t="shared" si="19"/>
        <v/>
      </c>
      <c r="I133" s="371">
        <v>37</v>
      </c>
      <c r="J133" s="204" t="s">
        <v>336</v>
      </c>
      <c r="K133" s="371">
        <v>20.39</v>
      </c>
      <c r="L133" s="426">
        <v>257999971.40000001</v>
      </c>
      <c r="M133" s="25"/>
    </row>
    <row r="134" spans="1:17">
      <c r="C134" s="11" t="str">
        <f t="shared" si="15"/>
        <v/>
      </c>
      <c r="D134" s="11">
        <f t="shared" si="16"/>
        <v>20.239999999999998</v>
      </c>
      <c r="E134" s="10">
        <f t="shared" si="17"/>
        <v>3.5999995416000004</v>
      </c>
      <c r="F134" s="10" t="str">
        <f t="shared" si="18"/>
        <v/>
      </c>
      <c r="G134" s="10" t="str">
        <f t="shared" si="19"/>
        <v/>
      </c>
      <c r="I134" s="293"/>
      <c r="J134" s="293"/>
      <c r="K134" s="371">
        <v>20.239999999999998</v>
      </c>
      <c r="L134" s="426">
        <v>359999954.16000003</v>
      </c>
      <c r="M134" s="25"/>
    </row>
    <row r="135" spans="1:17">
      <c r="C135" s="11" t="str">
        <f t="shared" si="15"/>
        <v/>
      </c>
      <c r="D135" s="11">
        <f t="shared" si="16"/>
        <v>20</v>
      </c>
      <c r="E135" s="10">
        <f t="shared" si="17"/>
        <v>5</v>
      </c>
      <c r="F135" s="10" t="str">
        <f t="shared" si="18"/>
        <v/>
      </c>
      <c r="G135" s="10" t="str">
        <f t="shared" si="19"/>
        <v/>
      </c>
      <c r="I135" s="293"/>
      <c r="J135" s="293"/>
      <c r="K135" s="371">
        <v>20</v>
      </c>
      <c r="L135" s="426">
        <v>500000000</v>
      </c>
      <c r="M135" s="25"/>
    </row>
    <row r="136" spans="1:17">
      <c r="C136" s="11" t="str">
        <f t="shared" si="15"/>
        <v>华泰柏瑞基金管理有限公司</v>
      </c>
      <c r="D136" s="11">
        <f t="shared" si="16"/>
        <v>17.670000000000002</v>
      </c>
      <c r="E136" s="10">
        <f t="shared" si="17"/>
        <v>2.8271999999999999</v>
      </c>
      <c r="F136" s="10" t="str">
        <f t="shared" si="18"/>
        <v/>
      </c>
      <c r="G136" s="10" t="str">
        <f t="shared" si="19"/>
        <v/>
      </c>
      <c r="I136" s="427">
        <v>38</v>
      </c>
      <c r="J136" s="203" t="s">
        <v>122</v>
      </c>
      <c r="K136" s="371">
        <v>17.670000000000002</v>
      </c>
      <c r="L136" s="426">
        <v>282720000</v>
      </c>
      <c r="M136" s="25"/>
    </row>
    <row r="137" spans="1:17">
      <c r="C137" s="11" t="str">
        <f t="shared" si="15"/>
        <v/>
      </c>
      <c r="D137" s="11">
        <f t="shared" si="16"/>
        <v>16.28</v>
      </c>
      <c r="E137" s="10">
        <f t="shared" si="17"/>
        <v>4.8840000000000003</v>
      </c>
      <c r="F137" s="10" t="str">
        <f t="shared" si="18"/>
        <v/>
      </c>
      <c r="G137" s="10" t="str">
        <f t="shared" si="19"/>
        <v/>
      </c>
      <c r="I137" s="427"/>
      <c r="J137" s="25"/>
      <c r="K137" s="371">
        <v>16.28</v>
      </c>
      <c r="L137" s="426">
        <v>488400000</v>
      </c>
      <c r="M137" s="25"/>
    </row>
    <row r="142" spans="1:17" s="162" customFormat="1">
      <c r="A142" s="164" t="s">
        <v>1315</v>
      </c>
      <c r="B142" s="164"/>
      <c r="C142" s="164" t="s">
        <v>107</v>
      </c>
      <c r="D142" s="164" t="s">
        <v>4</v>
      </c>
      <c r="E142" s="166" t="s">
        <v>108</v>
      </c>
      <c r="F142" s="166" t="s">
        <v>109</v>
      </c>
      <c r="G142" s="164" t="s">
        <v>1314</v>
      </c>
      <c r="H142" s="164" t="s">
        <v>1313</v>
      </c>
      <c r="I142" s="165" t="s">
        <v>1312</v>
      </c>
      <c r="J142" s="163" t="s">
        <v>1311</v>
      </c>
      <c r="K142" s="163" t="s">
        <v>110</v>
      </c>
      <c r="L142" s="163" t="s">
        <v>1310</v>
      </c>
      <c r="M142" s="164" t="s">
        <v>111</v>
      </c>
      <c r="N142" s="163" t="s">
        <v>949</v>
      </c>
      <c r="O142" s="163" t="s">
        <v>948</v>
      </c>
      <c r="P142" s="163" t="s">
        <v>129</v>
      </c>
    </row>
    <row r="143" spans="1:17">
      <c r="A143" s="24">
        <v>320</v>
      </c>
      <c r="B143" s="329" t="s">
        <v>1980</v>
      </c>
      <c r="C143" s="1" t="s">
        <v>1979</v>
      </c>
      <c r="D143" s="1" t="s">
        <v>1978</v>
      </c>
      <c r="E143" s="3">
        <v>2.718</v>
      </c>
      <c r="F143" s="3">
        <v>2.7179999183999999</v>
      </c>
      <c r="G143" s="2">
        <v>42727</v>
      </c>
      <c r="H143" s="24" t="s">
        <v>151</v>
      </c>
      <c r="I143" s="130">
        <v>15.78</v>
      </c>
      <c r="J143" s="3">
        <v>14.81</v>
      </c>
      <c r="K143" s="160">
        <v>10.68</v>
      </c>
      <c r="L143" s="271">
        <v>0.93852978453738922</v>
      </c>
      <c r="M143" s="270">
        <v>6</v>
      </c>
      <c r="N143" s="2">
        <v>43116</v>
      </c>
      <c r="O143" s="24">
        <v>10.3</v>
      </c>
      <c r="P143" s="157">
        <v>0.69783929777177589</v>
      </c>
    </row>
    <row r="144" spans="1:17" ht="15">
      <c r="C144" s="16" t="s">
        <v>112</v>
      </c>
      <c r="D144" s="16" t="s">
        <v>113</v>
      </c>
      <c r="E144" s="16" t="s">
        <v>1305</v>
      </c>
      <c r="F144" s="17" t="s">
        <v>1304</v>
      </c>
      <c r="G144" s="16" t="s">
        <v>1303</v>
      </c>
      <c r="I144" s="174"/>
      <c r="J144" s="174"/>
      <c r="K144" s="228"/>
      <c r="L144" s="228"/>
      <c r="N144" s="85" t="s">
        <v>118</v>
      </c>
      <c r="O144" s="85" t="s">
        <v>349</v>
      </c>
      <c r="P144" s="225" t="s">
        <v>354</v>
      </c>
      <c r="Q144" s="225" t="s">
        <v>1300</v>
      </c>
    </row>
    <row r="145" spans="3:17">
      <c r="C145" s="11" t="str">
        <f t="shared" ref="C145:C183" si="20">IF(J147=0,"",J147)</f>
        <v>上海琛晟资产管理有限公司</v>
      </c>
      <c r="D145" s="11">
        <f t="shared" ref="D145:D183" si="21">K147</f>
        <v>12</v>
      </c>
      <c r="E145" s="11">
        <f t="shared" ref="E145:E183" si="22">L147/10000</f>
        <v>0.28999999999999998</v>
      </c>
      <c r="F145" s="11" t="str">
        <f t="shared" ref="F145:F183" si="23">IFERROR(VLOOKUP(C145,O$145:Q$150,2,FALSE)/10000,"")</f>
        <v/>
      </c>
      <c r="G145" s="11"/>
      <c r="I145" s="232"/>
      <c r="J145" s="232"/>
      <c r="K145" s="204" t="s">
        <v>488</v>
      </c>
      <c r="L145" s="204" t="s">
        <v>401</v>
      </c>
      <c r="N145" s="168">
        <v>1</v>
      </c>
      <c r="O145" s="203" t="s">
        <v>148</v>
      </c>
      <c r="P145" s="236">
        <v>4726536</v>
      </c>
      <c r="Q145" s="234">
        <v>69999998.159999996</v>
      </c>
    </row>
    <row r="146" spans="3:17">
      <c r="C146" s="11" t="str">
        <f t="shared" si="20"/>
        <v>华商基金管理有限公司</v>
      </c>
      <c r="D146" s="11">
        <f t="shared" si="21"/>
        <v>10.98</v>
      </c>
      <c r="E146" s="11">
        <f t="shared" si="22"/>
        <v>0.56000000000000005</v>
      </c>
      <c r="F146" s="11" t="str">
        <f t="shared" si="23"/>
        <v/>
      </c>
      <c r="G146" s="11"/>
      <c r="I146" s="204" t="s">
        <v>118</v>
      </c>
      <c r="J146" s="204" t="s">
        <v>414</v>
      </c>
      <c r="K146" s="168" t="s">
        <v>1696</v>
      </c>
      <c r="L146" s="168" t="s">
        <v>1695</v>
      </c>
      <c r="N146" s="168">
        <v>2</v>
      </c>
      <c r="O146" s="203" t="s">
        <v>115</v>
      </c>
      <c r="P146" s="236">
        <v>5064145</v>
      </c>
      <c r="Q146" s="234">
        <v>74999987.450000003</v>
      </c>
    </row>
    <row r="147" spans="3:17">
      <c r="C147" s="11" t="str">
        <f t="shared" si="20"/>
        <v>建信基金管理有限责任公司</v>
      </c>
      <c r="D147" s="11">
        <f t="shared" si="21"/>
        <v>13.5</v>
      </c>
      <c r="E147" s="11">
        <f t="shared" si="22"/>
        <v>0.28000000000000003</v>
      </c>
      <c r="F147" s="11" t="str">
        <f t="shared" si="23"/>
        <v/>
      </c>
      <c r="G147" s="11"/>
      <c r="I147" s="168">
        <v>1</v>
      </c>
      <c r="J147" s="204" t="s">
        <v>1977</v>
      </c>
      <c r="K147" s="168">
        <v>12</v>
      </c>
      <c r="L147" s="167">
        <v>2900</v>
      </c>
      <c r="N147" s="168">
        <v>3</v>
      </c>
      <c r="O147" s="203" t="s">
        <v>136</v>
      </c>
      <c r="P147" s="236">
        <v>1924375</v>
      </c>
      <c r="Q147" s="234">
        <v>28499993.75</v>
      </c>
    </row>
    <row r="148" spans="3:17">
      <c r="C148" s="11" t="str">
        <f t="shared" si="20"/>
        <v>民生通惠资产管理有限公司</v>
      </c>
      <c r="D148" s="11">
        <f t="shared" si="21"/>
        <v>12.98</v>
      </c>
      <c r="E148" s="11">
        <f t="shared" si="22"/>
        <v>0.56000000000000005</v>
      </c>
      <c r="F148" s="11" t="str">
        <f t="shared" si="23"/>
        <v/>
      </c>
      <c r="G148" s="11"/>
      <c r="I148" s="168">
        <v>2</v>
      </c>
      <c r="J148" s="204" t="s">
        <v>227</v>
      </c>
      <c r="K148" s="168">
        <v>10.98</v>
      </c>
      <c r="L148" s="167">
        <v>5600</v>
      </c>
      <c r="N148" s="168">
        <v>4</v>
      </c>
      <c r="O148" s="203" t="s">
        <v>1971</v>
      </c>
      <c r="P148" s="236">
        <v>1890614</v>
      </c>
      <c r="Q148" s="234">
        <v>27999993.34</v>
      </c>
    </row>
    <row r="149" spans="3:17">
      <c r="C149" s="11" t="str">
        <f t="shared" si="20"/>
        <v>宋都基业投资股份有限公司</v>
      </c>
      <c r="D149" s="11">
        <f t="shared" si="21"/>
        <v>10.75</v>
      </c>
      <c r="E149" s="11">
        <f t="shared" si="22"/>
        <v>0.3</v>
      </c>
      <c r="F149" s="11" t="str">
        <f t="shared" si="23"/>
        <v/>
      </c>
      <c r="G149" s="11"/>
      <c r="I149" s="168">
        <v>3</v>
      </c>
      <c r="J149" s="204" t="s">
        <v>130</v>
      </c>
      <c r="K149" s="168">
        <v>13.5</v>
      </c>
      <c r="L149" s="167">
        <v>2800</v>
      </c>
      <c r="N149" s="168">
        <v>5</v>
      </c>
      <c r="O149" s="203" t="s">
        <v>666</v>
      </c>
      <c r="P149" s="236">
        <v>3396356</v>
      </c>
      <c r="Q149" s="234">
        <v>50300032.359999999</v>
      </c>
    </row>
    <row r="150" spans="3:17">
      <c r="C150" s="11" t="str">
        <f t="shared" si="20"/>
        <v/>
      </c>
      <c r="D150" s="11">
        <f t="shared" si="21"/>
        <v>10.7</v>
      </c>
      <c r="E150" s="11">
        <f t="shared" si="22"/>
        <v>0.3</v>
      </c>
      <c r="F150" s="11" t="str">
        <f t="shared" si="23"/>
        <v/>
      </c>
      <c r="G150" s="11"/>
      <c r="I150" s="168">
        <v>4</v>
      </c>
      <c r="J150" s="204" t="s">
        <v>351</v>
      </c>
      <c r="K150" s="168">
        <v>12.98</v>
      </c>
      <c r="L150" s="167">
        <v>5600</v>
      </c>
      <c r="N150" s="168">
        <v>6</v>
      </c>
      <c r="O150" s="203" t="s">
        <v>1976</v>
      </c>
      <c r="P150" s="236">
        <v>1350438</v>
      </c>
      <c r="Q150" s="234">
        <v>19999986.780000001</v>
      </c>
    </row>
    <row r="151" spans="3:17">
      <c r="C151" s="11" t="str">
        <f t="shared" si="20"/>
        <v/>
      </c>
      <c r="D151" s="11">
        <f t="shared" si="21"/>
        <v>10.68</v>
      </c>
      <c r="E151" s="11">
        <f t="shared" si="22"/>
        <v>0.3</v>
      </c>
      <c r="F151" s="11" t="str">
        <f t="shared" si="23"/>
        <v/>
      </c>
      <c r="G151" s="11"/>
      <c r="I151" s="168">
        <v>5</v>
      </c>
      <c r="J151" s="203" t="s">
        <v>1975</v>
      </c>
      <c r="K151" s="168">
        <v>10.75</v>
      </c>
      <c r="L151" s="167">
        <v>3000</v>
      </c>
      <c r="N151" s="227"/>
      <c r="O151" s="85" t="s">
        <v>1293</v>
      </c>
      <c r="P151" s="284">
        <v>18352464</v>
      </c>
      <c r="Q151" s="323">
        <v>271799991.83999997</v>
      </c>
    </row>
    <row r="152" spans="3:17">
      <c r="C152" s="11" t="str">
        <f t="shared" si="20"/>
        <v>深圳前海新富资本管理集团有限公司</v>
      </c>
      <c r="D152" s="11">
        <f t="shared" si="21"/>
        <v>14</v>
      </c>
      <c r="E152" s="11">
        <f t="shared" si="22"/>
        <v>0.28000000000000003</v>
      </c>
      <c r="F152" s="11" t="str">
        <f t="shared" si="23"/>
        <v/>
      </c>
      <c r="G152" s="11"/>
      <c r="I152" s="25"/>
      <c r="J152" s="25"/>
      <c r="K152" s="168">
        <v>10.7</v>
      </c>
      <c r="L152" s="167">
        <v>3000</v>
      </c>
    </row>
    <row r="153" spans="3:17">
      <c r="C153" s="11" t="str">
        <f t="shared" si="20"/>
        <v/>
      </c>
      <c r="D153" s="11">
        <f t="shared" si="21"/>
        <v>13.2</v>
      </c>
      <c r="E153" s="11">
        <f t="shared" si="22"/>
        <v>0.28999999999999998</v>
      </c>
      <c r="F153" s="11" t="str">
        <f t="shared" si="23"/>
        <v/>
      </c>
      <c r="G153" s="11"/>
      <c r="I153" s="64"/>
      <c r="J153" s="64"/>
      <c r="K153" s="168">
        <v>10.68</v>
      </c>
      <c r="L153" s="167">
        <v>3000</v>
      </c>
    </row>
    <row r="154" spans="3:17">
      <c r="C154" s="11" t="str">
        <f t="shared" si="20"/>
        <v/>
      </c>
      <c r="D154" s="11">
        <f t="shared" si="21"/>
        <v>12.2</v>
      </c>
      <c r="E154" s="11">
        <f t="shared" si="22"/>
        <v>0.3</v>
      </c>
      <c r="F154" s="11" t="str">
        <f t="shared" si="23"/>
        <v/>
      </c>
      <c r="G154" s="11"/>
      <c r="I154" s="168">
        <v>6</v>
      </c>
      <c r="J154" s="203" t="s">
        <v>1974</v>
      </c>
      <c r="K154" s="168">
        <v>14</v>
      </c>
      <c r="L154" s="167">
        <v>2800</v>
      </c>
    </row>
    <row r="155" spans="3:17">
      <c r="C155" s="11" t="str">
        <f t="shared" si="20"/>
        <v>和瑾（上海）资产管理有限公司</v>
      </c>
      <c r="D155" s="11">
        <f t="shared" si="21"/>
        <v>13.5</v>
      </c>
      <c r="E155" s="11">
        <f t="shared" si="22"/>
        <v>0.28000000000000003</v>
      </c>
      <c r="F155" s="11" t="str">
        <f t="shared" si="23"/>
        <v/>
      </c>
      <c r="G155" s="11"/>
      <c r="I155" s="25"/>
      <c r="J155" s="25"/>
      <c r="K155" s="168">
        <v>13.2</v>
      </c>
      <c r="L155" s="167">
        <v>2900</v>
      </c>
    </row>
    <row r="156" spans="3:17">
      <c r="C156" s="11" t="str">
        <f t="shared" si="20"/>
        <v/>
      </c>
      <c r="D156" s="11">
        <f t="shared" si="21"/>
        <v>12.8</v>
      </c>
      <c r="E156" s="11">
        <f t="shared" si="22"/>
        <v>0.28000000000000003</v>
      </c>
      <c r="F156" s="11" t="str">
        <f t="shared" si="23"/>
        <v/>
      </c>
      <c r="G156" s="11"/>
      <c r="I156" s="64"/>
      <c r="J156" s="64"/>
      <c r="K156" s="168">
        <v>12.2</v>
      </c>
      <c r="L156" s="167">
        <v>3000</v>
      </c>
    </row>
    <row r="157" spans="3:17">
      <c r="C157" s="11" t="str">
        <f t="shared" si="20"/>
        <v/>
      </c>
      <c r="D157" s="11">
        <f t="shared" si="21"/>
        <v>11</v>
      </c>
      <c r="E157" s="11">
        <f t="shared" si="22"/>
        <v>0.28000000000000003</v>
      </c>
      <c r="F157" s="11" t="str">
        <f t="shared" si="23"/>
        <v/>
      </c>
      <c r="G157" s="11"/>
      <c r="I157" s="168">
        <v>7</v>
      </c>
      <c r="J157" s="203" t="s">
        <v>1973</v>
      </c>
      <c r="K157" s="168">
        <v>13.5</v>
      </c>
      <c r="L157" s="167">
        <v>2800</v>
      </c>
    </row>
    <row r="158" spans="3:17">
      <c r="C158" s="11" t="str">
        <f t="shared" si="20"/>
        <v>兴业全球基金管理有限公司</v>
      </c>
      <c r="D158" s="11">
        <f t="shared" si="21"/>
        <v>10.72</v>
      </c>
      <c r="E158" s="11">
        <f t="shared" si="22"/>
        <v>0.84</v>
      </c>
      <c r="F158" s="11" t="str">
        <f t="shared" si="23"/>
        <v/>
      </c>
      <c r="G158" s="11"/>
      <c r="I158" s="25"/>
      <c r="J158" s="25"/>
      <c r="K158" s="168">
        <v>12.8</v>
      </c>
      <c r="L158" s="167">
        <v>2800</v>
      </c>
    </row>
    <row r="159" spans="3:17">
      <c r="C159" s="11" t="str">
        <f t="shared" si="20"/>
        <v>王大冲</v>
      </c>
      <c r="D159" s="11">
        <f t="shared" si="21"/>
        <v>13.1</v>
      </c>
      <c r="E159" s="11">
        <f t="shared" si="22"/>
        <v>0.28000000000000003</v>
      </c>
      <c r="F159" s="11" t="str">
        <f t="shared" si="23"/>
        <v/>
      </c>
      <c r="G159" s="11"/>
      <c r="I159" s="64"/>
      <c r="J159" s="64"/>
      <c r="K159" s="168">
        <v>11</v>
      </c>
      <c r="L159" s="167">
        <v>2800</v>
      </c>
    </row>
    <row r="160" spans="3:17">
      <c r="C160" s="11" t="str">
        <f t="shared" si="20"/>
        <v>嘉实基金管理有限公司</v>
      </c>
      <c r="D160" s="11">
        <f t="shared" si="21"/>
        <v>13.6</v>
      </c>
      <c r="E160" s="11">
        <f t="shared" si="22"/>
        <v>1.17</v>
      </c>
      <c r="F160" s="11" t="str">
        <f t="shared" si="23"/>
        <v/>
      </c>
      <c r="G160" s="11"/>
      <c r="I160" s="168">
        <v>8</v>
      </c>
      <c r="J160" s="204" t="s">
        <v>131</v>
      </c>
      <c r="K160" s="168">
        <v>10.72</v>
      </c>
      <c r="L160" s="167">
        <v>8400</v>
      </c>
    </row>
    <row r="161" spans="3:12">
      <c r="C161" s="11" t="str">
        <f t="shared" si="20"/>
        <v/>
      </c>
      <c r="D161" s="11">
        <f t="shared" si="21"/>
        <v>12.5</v>
      </c>
      <c r="E161" s="11">
        <f t="shared" si="22"/>
        <v>0.53</v>
      </c>
      <c r="F161" s="11" t="str">
        <f t="shared" si="23"/>
        <v/>
      </c>
      <c r="G161" s="11"/>
      <c r="I161" s="168">
        <v>9</v>
      </c>
      <c r="J161" s="204" t="s">
        <v>1972</v>
      </c>
      <c r="K161" s="168">
        <v>13.1</v>
      </c>
      <c r="L161" s="167">
        <v>2800</v>
      </c>
    </row>
    <row r="162" spans="3:12">
      <c r="C162" s="11" t="str">
        <f t="shared" si="20"/>
        <v>刘晖</v>
      </c>
      <c r="D162" s="11">
        <f t="shared" si="21"/>
        <v>14.33</v>
      </c>
      <c r="E162" s="11">
        <f t="shared" si="22"/>
        <v>0.3</v>
      </c>
      <c r="F162" s="11" t="str">
        <f t="shared" si="23"/>
        <v/>
      </c>
      <c r="G162" s="11"/>
      <c r="I162" s="168">
        <v>10</v>
      </c>
      <c r="J162" s="203" t="s">
        <v>228</v>
      </c>
      <c r="K162" s="168">
        <v>13.6</v>
      </c>
      <c r="L162" s="167">
        <v>11700</v>
      </c>
    </row>
    <row r="163" spans="3:12">
      <c r="C163" s="11" t="str">
        <f t="shared" si="20"/>
        <v>北信瑞丰基金管理有限公司</v>
      </c>
      <c r="D163" s="11">
        <f t="shared" si="21"/>
        <v>14.3</v>
      </c>
      <c r="E163" s="11">
        <f t="shared" si="22"/>
        <v>0.54</v>
      </c>
      <c r="F163" s="11" t="str">
        <f t="shared" si="23"/>
        <v/>
      </c>
      <c r="G163" s="11"/>
      <c r="I163" s="25"/>
      <c r="J163" s="25"/>
      <c r="K163" s="168">
        <v>12.5</v>
      </c>
      <c r="L163" s="167">
        <v>5300</v>
      </c>
    </row>
    <row r="164" spans="3:12">
      <c r="C164" s="11" t="str">
        <f t="shared" si="20"/>
        <v/>
      </c>
      <c r="D164" s="11">
        <f t="shared" si="21"/>
        <v>10.98</v>
      </c>
      <c r="E164" s="11">
        <f t="shared" si="22"/>
        <v>0.82</v>
      </c>
      <c r="F164" s="11" t="str">
        <f t="shared" si="23"/>
        <v/>
      </c>
      <c r="G164" s="11"/>
      <c r="I164" s="168">
        <v>11</v>
      </c>
      <c r="J164" s="204" t="s">
        <v>157</v>
      </c>
      <c r="K164" s="168">
        <v>14.33</v>
      </c>
      <c r="L164" s="167">
        <v>3000</v>
      </c>
    </row>
    <row r="165" spans="3:12">
      <c r="C165" s="11" t="str">
        <f t="shared" si="20"/>
        <v>九泰基金管理有限公司</v>
      </c>
      <c r="D165" s="11">
        <f t="shared" si="21"/>
        <v>15.63</v>
      </c>
      <c r="E165" s="11">
        <f t="shared" si="22"/>
        <v>0.45500000000000002</v>
      </c>
      <c r="F165" s="10">
        <f t="shared" si="23"/>
        <v>339.63560000000001</v>
      </c>
      <c r="G165" s="10">
        <f t="shared" ref="G165:G183" si="24">IFERROR(F165*J$143/10000,"")</f>
        <v>0.50300032360000002</v>
      </c>
      <c r="I165" s="168">
        <v>12</v>
      </c>
      <c r="J165" s="203" t="s">
        <v>336</v>
      </c>
      <c r="K165" s="168">
        <v>14.3</v>
      </c>
      <c r="L165" s="167">
        <v>5400</v>
      </c>
    </row>
    <row r="166" spans="3:12">
      <c r="C166" s="11" t="str">
        <f t="shared" si="20"/>
        <v/>
      </c>
      <c r="D166" s="11">
        <f t="shared" si="21"/>
        <v>14.81</v>
      </c>
      <c r="E166" s="11">
        <f t="shared" si="22"/>
        <v>0.51</v>
      </c>
      <c r="F166" s="10" t="str">
        <f t="shared" si="23"/>
        <v/>
      </c>
      <c r="G166" s="10" t="str">
        <f t="shared" si="24"/>
        <v/>
      </c>
      <c r="I166" s="25"/>
      <c r="J166" s="25"/>
      <c r="K166" s="168">
        <v>10.98</v>
      </c>
      <c r="L166" s="167">
        <v>8200</v>
      </c>
    </row>
    <row r="167" spans="3:12">
      <c r="C167" s="11" t="str">
        <f t="shared" si="20"/>
        <v/>
      </c>
      <c r="D167" s="11">
        <f t="shared" si="21"/>
        <v>11.51</v>
      </c>
      <c r="E167" s="11">
        <f t="shared" si="22"/>
        <v>0.74099999999999999</v>
      </c>
      <c r="F167" s="10" t="str">
        <f t="shared" si="23"/>
        <v/>
      </c>
      <c r="G167" s="10" t="str">
        <f t="shared" si="24"/>
        <v/>
      </c>
      <c r="I167" s="168">
        <v>13</v>
      </c>
      <c r="J167" s="203" t="s">
        <v>666</v>
      </c>
      <c r="K167" s="168">
        <v>15.63</v>
      </c>
      <c r="L167" s="167">
        <v>4550</v>
      </c>
    </row>
    <row r="168" spans="3:12">
      <c r="C168" s="11" t="str">
        <f t="shared" si="20"/>
        <v>上海通晟资产管理有限公司</v>
      </c>
      <c r="D168" s="11">
        <f t="shared" si="21"/>
        <v>14.95</v>
      </c>
      <c r="E168" s="11">
        <f t="shared" si="22"/>
        <v>0.28000000000000003</v>
      </c>
      <c r="F168" s="10">
        <f t="shared" si="23"/>
        <v>189.06139999999999</v>
      </c>
      <c r="G168" s="10">
        <f t="shared" si="24"/>
        <v>0.27999993340000001</v>
      </c>
      <c r="I168" s="25"/>
      <c r="J168" s="25"/>
      <c r="K168" s="168">
        <v>14.81</v>
      </c>
      <c r="L168" s="167">
        <v>5100</v>
      </c>
    </row>
    <row r="169" spans="3:12">
      <c r="C169" s="11" t="str">
        <f t="shared" si="20"/>
        <v>华安基金管理有限公司</v>
      </c>
      <c r="D169" s="11">
        <f t="shared" si="21"/>
        <v>15.77</v>
      </c>
      <c r="E169" s="11">
        <f t="shared" si="22"/>
        <v>0.28499999999999998</v>
      </c>
      <c r="F169" s="10">
        <f t="shared" si="23"/>
        <v>192.4375</v>
      </c>
      <c r="G169" s="10">
        <f t="shared" si="24"/>
        <v>0.28499993749999997</v>
      </c>
      <c r="I169" s="64"/>
      <c r="J169" s="64"/>
      <c r="K169" s="168">
        <v>11.51</v>
      </c>
      <c r="L169" s="167">
        <v>7410</v>
      </c>
    </row>
    <row r="170" spans="3:12">
      <c r="C170" s="11" t="str">
        <f t="shared" si="20"/>
        <v>东海基金管理有限公司</v>
      </c>
      <c r="D170" s="11">
        <f t="shared" si="21"/>
        <v>13.5</v>
      </c>
      <c r="E170" s="11">
        <f t="shared" si="22"/>
        <v>0.28000000000000003</v>
      </c>
      <c r="F170" s="10" t="str">
        <f t="shared" si="23"/>
        <v/>
      </c>
      <c r="G170" s="10" t="str">
        <f t="shared" si="24"/>
        <v/>
      </c>
      <c r="I170" s="168">
        <v>14</v>
      </c>
      <c r="J170" s="204" t="s">
        <v>1971</v>
      </c>
      <c r="K170" s="168">
        <v>14.95</v>
      </c>
      <c r="L170" s="167">
        <v>2800</v>
      </c>
    </row>
    <row r="171" spans="3:12">
      <c r="C171" s="11" t="str">
        <f t="shared" si="20"/>
        <v/>
      </c>
      <c r="D171" s="11">
        <f t="shared" si="21"/>
        <v>13</v>
      </c>
      <c r="E171" s="11">
        <f t="shared" si="22"/>
        <v>0.3</v>
      </c>
      <c r="F171" s="10" t="str">
        <f t="shared" si="23"/>
        <v/>
      </c>
      <c r="G171" s="10" t="str">
        <f t="shared" si="24"/>
        <v/>
      </c>
      <c r="I171" s="168">
        <v>15</v>
      </c>
      <c r="J171" s="204" t="s">
        <v>136</v>
      </c>
      <c r="K171" s="168">
        <v>15.77</v>
      </c>
      <c r="L171" s="167">
        <v>2850</v>
      </c>
    </row>
    <row r="172" spans="3:12">
      <c r="C172" s="11" t="str">
        <f t="shared" si="20"/>
        <v>上海国储能源集团有限公司</v>
      </c>
      <c r="D172" s="11">
        <f t="shared" si="21"/>
        <v>13</v>
      </c>
      <c r="E172" s="11">
        <f t="shared" si="22"/>
        <v>0.84</v>
      </c>
      <c r="F172" s="10" t="str">
        <f t="shared" si="23"/>
        <v/>
      </c>
      <c r="G172" s="10" t="str">
        <f t="shared" si="24"/>
        <v/>
      </c>
      <c r="I172" s="168">
        <v>16</v>
      </c>
      <c r="J172" s="203" t="s">
        <v>526</v>
      </c>
      <c r="K172" s="168">
        <v>13.5</v>
      </c>
      <c r="L172" s="167">
        <v>2800</v>
      </c>
    </row>
    <row r="173" spans="3:12">
      <c r="C173" s="11" t="str">
        <f t="shared" si="20"/>
        <v/>
      </c>
      <c r="D173" s="11">
        <f t="shared" si="21"/>
        <v>12</v>
      </c>
      <c r="E173" s="11">
        <f t="shared" si="22"/>
        <v>0.84</v>
      </c>
      <c r="F173" s="10" t="str">
        <f t="shared" si="23"/>
        <v/>
      </c>
      <c r="G173" s="10" t="str">
        <f t="shared" si="24"/>
        <v/>
      </c>
      <c r="I173" s="25"/>
      <c r="J173" s="25"/>
      <c r="K173" s="168">
        <v>13</v>
      </c>
      <c r="L173" s="167">
        <v>3000</v>
      </c>
    </row>
    <row r="174" spans="3:12">
      <c r="C174" s="11" t="str">
        <f t="shared" si="20"/>
        <v/>
      </c>
      <c r="D174" s="11">
        <f t="shared" si="21"/>
        <v>11</v>
      </c>
      <c r="E174" s="11">
        <f t="shared" si="22"/>
        <v>0.84</v>
      </c>
      <c r="F174" s="10" t="str">
        <f t="shared" si="23"/>
        <v/>
      </c>
      <c r="G174" s="10" t="str">
        <f t="shared" si="24"/>
        <v/>
      </c>
      <c r="I174" s="168">
        <v>17</v>
      </c>
      <c r="J174" s="203" t="s">
        <v>1970</v>
      </c>
      <c r="K174" s="168">
        <v>13</v>
      </c>
      <c r="L174" s="167">
        <v>8400</v>
      </c>
    </row>
    <row r="175" spans="3:12">
      <c r="C175" s="11" t="str">
        <f t="shared" si="20"/>
        <v>财通基金管理有限公司</v>
      </c>
      <c r="D175" s="11">
        <f t="shared" si="21"/>
        <v>16.079999999999998</v>
      </c>
      <c r="E175" s="11">
        <f t="shared" si="22"/>
        <v>0.75</v>
      </c>
      <c r="F175" s="10">
        <f t="shared" si="23"/>
        <v>506.41449999999998</v>
      </c>
      <c r="G175" s="10">
        <f t="shared" si="24"/>
        <v>0.74999987449999994</v>
      </c>
      <c r="I175" s="25"/>
      <c r="J175" s="25"/>
      <c r="K175" s="168">
        <v>12</v>
      </c>
      <c r="L175" s="167">
        <v>8400</v>
      </c>
    </row>
    <row r="176" spans="3:12">
      <c r="C176" s="11" t="str">
        <f t="shared" si="20"/>
        <v/>
      </c>
      <c r="D176" s="11">
        <f t="shared" si="21"/>
        <v>14.33</v>
      </c>
      <c r="E176" s="11">
        <f t="shared" si="22"/>
        <v>2.14</v>
      </c>
      <c r="F176" s="10" t="str">
        <f t="shared" si="23"/>
        <v/>
      </c>
      <c r="G176" s="10" t="str">
        <f t="shared" si="24"/>
        <v/>
      </c>
      <c r="I176" s="64"/>
      <c r="J176" s="64"/>
      <c r="K176" s="168">
        <v>11</v>
      </c>
      <c r="L176" s="167">
        <v>8400</v>
      </c>
    </row>
    <row r="177" spans="1:17">
      <c r="C177" s="11" t="str">
        <f t="shared" si="20"/>
        <v/>
      </c>
      <c r="D177" s="11">
        <f t="shared" si="21"/>
        <v>13.35</v>
      </c>
      <c r="E177" s="11">
        <f t="shared" si="22"/>
        <v>2.46</v>
      </c>
      <c r="F177" s="10" t="str">
        <f t="shared" si="23"/>
        <v/>
      </c>
      <c r="G177" s="10" t="str">
        <f t="shared" si="24"/>
        <v/>
      </c>
      <c r="I177" s="168">
        <v>18</v>
      </c>
      <c r="J177" s="203" t="s">
        <v>115</v>
      </c>
      <c r="K177" s="168">
        <v>16.079999999999998</v>
      </c>
      <c r="L177" s="167">
        <v>7500</v>
      </c>
    </row>
    <row r="178" spans="1:17">
      <c r="C178" s="11" t="str">
        <f t="shared" si="20"/>
        <v>汇安基金管理有限责任公司</v>
      </c>
      <c r="D178" s="11">
        <f t="shared" si="21"/>
        <v>12.89</v>
      </c>
      <c r="E178" s="11">
        <f t="shared" si="22"/>
        <v>0.28000000000000003</v>
      </c>
      <c r="F178" s="10" t="str">
        <f t="shared" si="23"/>
        <v/>
      </c>
      <c r="G178" s="10" t="str">
        <f t="shared" si="24"/>
        <v/>
      </c>
      <c r="I178" s="25"/>
      <c r="J178" s="25"/>
      <c r="K178" s="168">
        <v>14.33</v>
      </c>
      <c r="L178" s="167">
        <v>21400</v>
      </c>
    </row>
    <row r="179" spans="1:17">
      <c r="C179" s="11" t="str">
        <f t="shared" si="20"/>
        <v>泰达宏利基金管理有限公司</v>
      </c>
      <c r="D179" s="11">
        <f t="shared" si="21"/>
        <v>16.100000000000001</v>
      </c>
      <c r="E179" s="11">
        <f t="shared" si="22"/>
        <v>0.7</v>
      </c>
      <c r="F179" s="10">
        <f t="shared" si="23"/>
        <v>472.65359999999998</v>
      </c>
      <c r="G179" s="10">
        <f t="shared" si="24"/>
        <v>0.69999998159999999</v>
      </c>
      <c r="I179" s="64"/>
      <c r="J179" s="64"/>
      <c r="K179" s="168">
        <v>13.35</v>
      </c>
      <c r="L179" s="167">
        <v>24600</v>
      </c>
    </row>
    <row r="180" spans="1:17">
      <c r="C180" s="11" t="str">
        <f t="shared" si="20"/>
        <v>金鹰基金管理有限公司</v>
      </c>
      <c r="D180" s="11">
        <f t="shared" si="21"/>
        <v>11.21</v>
      </c>
      <c r="E180" s="11">
        <f t="shared" si="22"/>
        <v>0.28000000000000003</v>
      </c>
      <c r="F180" s="10" t="str">
        <f t="shared" si="23"/>
        <v/>
      </c>
      <c r="G180" s="10" t="str">
        <f t="shared" si="24"/>
        <v/>
      </c>
      <c r="I180" s="168">
        <v>19</v>
      </c>
      <c r="J180" s="204" t="s">
        <v>1509</v>
      </c>
      <c r="K180" s="168">
        <v>12.89</v>
      </c>
      <c r="L180" s="167">
        <v>2800</v>
      </c>
    </row>
    <row r="181" spans="1:17">
      <c r="C181" s="11" t="str">
        <f t="shared" si="20"/>
        <v>东吴基金管理有限公司</v>
      </c>
      <c r="D181" s="11">
        <f t="shared" si="21"/>
        <v>12</v>
      </c>
      <c r="E181" s="11">
        <f t="shared" si="22"/>
        <v>0.28000000000000003</v>
      </c>
      <c r="F181" s="10" t="str">
        <f t="shared" si="23"/>
        <v/>
      </c>
      <c r="G181" s="10" t="str">
        <f t="shared" si="24"/>
        <v/>
      </c>
      <c r="I181" s="168">
        <v>20</v>
      </c>
      <c r="J181" s="204" t="s">
        <v>148</v>
      </c>
      <c r="K181" s="168">
        <v>16.100000000000001</v>
      </c>
      <c r="L181" s="167">
        <v>7000</v>
      </c>
    </row>
    <row r="182" spans="1:17">
      <c r="C182" s="11" t="str">
        <f t="shared" si="20"/>
        <v/>
      </c>
      <c r="D182" s="11">
        <f t="shared" si="21"/>
        <v>11</v>
      </c>
      <c r="E182" s="11">
        <f t="shared" si="22"/>
        <v>0.56000000000000005</v>
      </c>
      <c r="F182" s="10" t="str">
        <f t="shared" si="23"/>
        <v/>
      </c>
      <c r="G182" s="10" t="str">
        <f t="shared" si="24"/>
        <v/>
      </c>
      <c r="I182" s="168">
        <v>21</v>
      </c>
      <c r="J182" s="204" t="s">
        <v>278</v>
      </c>
      <c r="K182" s="168">
        <v>11.21</v>
      </c>
      <c r="L182" s="167">
        <v>2800</v>
      </c>
    </row>
    <row r="183" spans="1:17">
      <c r="C183" s="11" t="str">
        <f t="shared" si="20"/>
        <v>刘伟</v>
      </c>
      <c r="D183" s="11">
        <f t="shared" si="21"/>
        <v>14</v>
      </c>
      <c r="E183" s="11">
        <f t="shared" si="22"/>
        <v>0.28000000000000003</v>
      </c>
      <c r="F183" s="10" t="str">
        <f t="shared" si="23"/>
        <v/>
      </c>
      <c r="G183" s="10" t="str">
        <f t="shared" si="24"/>
        <v/>
      </c>
      <c r="I183" s="168">
        <v>22</v>
      </c>
      <c r="J183" s="203" t="s">
        <v>974</v>
      </c>
      <c r="K183" s="168">
        <v>12</v>
      </c>
      <c r="L183" s="167">
        <v>2800</v>
      </c>
    </row>
    <row r="184" spans="1:17">
      <c r="C184" s="16" t="s">
        <v>1643</v>
      </c>
      <c r="D184" s="11"/>
      <c r="E184" s="11"/>
      <c r="F184" s="11"/>
      <c r="G184" s="10"/>
      <c r="I184" s="25"/>
      <c r="J184" s="25"/>
      <c r="K184" s="168">
        <v>11</v>
      </c>
      <c r="L184" s="167">
        <v>5600</v>
      </c>
    </row>
    <row r="185" spans="1:17">
      <c r="C185" s="11" t="str">
        <f>O150</f>
        <v>西湖电子集团有限公司</v>
      </c>
      <c r="D185" s="11"/>
      <c r="E185" s="11"/>
      <c r="F185" s="10">
        <f>P150/10000</f>
        <v>135.0438</v>
      </c>
      <c r="G185" s="10">
        <f>IFERROR(F185*J$143/10000,"")</f>
        <v>0.19999986780000001</v>
      </c>
      <c r="I185" s="425">
        <v>23</v>
      </c>
      <c r="J185" s="424" t="s">
        <v>1969</v>
      </c>
      <c r="K185" s="423">
        <v>14</v>
      </c>
      <c r="L185" s="422">
        <v>2800</v>
      </c>
    </row>
    <row r="186" spans="1:17">
      <c r="C186" s="24" t="str">
        <f>IF(J188=0,"",J188)</f>
        <v/>
      </c>
    </row>
    <row r="189" spans="1:17" s="162" customFormat="1">
      <c r="A189" s="164" t="s">
        <v>1315</v>
      </c>
      <c r="B189" s="164"/>
      <c r="C189" s="164" t="s">
        <v>107</v>
      </c>
      <c r="D189" s="164" t="s">
        <v>4</v>
      </c>
      <c r="E189" s="166" t="s">
        <v>108</v>
      </c>
      <c r="F189" s="166" t="s">
        <v>109</v>
      </c>
      <c r="G189" s="164" t="s">
        <v>1314</v>
      </c>
      <c r="H189" s="164" t="s">
        <v>1313</v>
      </c>
      <c r="I189" s="165" t="s">
        <v>1312</v>
      </c>
      <c r="J189" s="163" t="s">
        <v>1311</v>
      </c>
      <c r="K189" s="163" t="s">
        <v>110</v>
      </c>
      <c r="L189" s="163" t="s">
        <v>1310</v>
      </c>
      <c r="M189" s="164" t="s">
        <v>111</v>
      </c>
      <c r="N189" s="163" t="s">
        <v>949</v>
      </c>
      <c r="O189" s="163" t="s">
        <v>948</v>
      </c>
      <c r="P189" s="163" t="s">
        <v>129</v>
      </c>
    </row>
    <row r="190" spans="1:17">
      <c r="A190" s="24">
        <v>321</v>
      </c>
      <c r="B190" s="329" t="s">
        <v>1968</v>
      </c>
      <c r="C190" s="1" t="s">
        <v>1967</v>
      </c>
      <c r="D190" s="1" t="s">
        <v>1966</v>
      </c>
      <c r="E190" s="3">
        <v>1.742165</v>
      </c>
      <c r="F190" s="3">
        <v>1.7421648698000001</v>
      </c>
      <c r="G190" s="332">
        <v>42726</v>
      </c>
      <c r="H190" s="24" t="s">
        <v>1587</v>
      </c>
      <c r="I190" s="130">
        <v>30.9</v>
      </c>
      <c r="J190" s="3">
        <v>32.03</v>
      </c>
      <c r="K190" s="160">
        <v>29.23</v>
      </c>
      <c r="L190" s="271">
        <v>1.0365695792880261</v>
      </c>
      <c r="M190" s="270">
        <v>2</v>
      </c>
      <c r="N190" s="2">
        <v>42752</v>
      </c>
      <c r="O190" s="24">
        <v>9.59</v>
      </c>
      <c r="P190" s="157">
        <v>0.29940680611926318</v>
      </c>
    </row>
    <row r="191" spans="1:17" ht="14.5">
      <c r="C191" s="16" t="s">
        <v>112</v>
      </c>
      <c r="D191" s="16" t="s">
        <v>113</v>
      </c>
      <c r="E191" s="16" t="s">
        <v>1305</v>
      </c>
      <c r="F191" s="17" t="s">
        <v>1304</v>
      </c>
      <c r="G191" s="16" t="s">
        <v>1303</v>
      </c>
      <c r="I191" s="186" t="s">
        <v>118</v>
      </c>
      <c r="J191" s="186" t="s">
        <v>1826</v>
      </c>
      <c r="K191" s="188" t="s">
        <v>1301</v>
      </c>
      <c r="L191" s="188" t="s">
        <v>1786</v>
      </c>
      <c r="N191" s="382"/>
      <c r="O191" s="382"/>
      <c r="P191" s="188" t="s">
        <v>160</v>
      </c>
      <c r="Q191" s="188" t="s">
        <v>1318</v>
      </c>
    </row>
    <row r="192" spans="1:17" ht="14.5">
      <c r="C192" s="11" t="str">
        <f t="shared" ref="C192:C201" si="25">IF(J193=0,"",J193)</f>
        <v>成都力鼎银科股权投资基金中心（有限合伙）</v>
      </c>
      <c r="D192" s="11">
        <f t="shared" ref="D192:D199" si="26">K193</f>
        <v>30.95</v>
      </c>
      <c r="E192" s="11">
        <f t="shared" ref="E192:E199" si="27">L193/10000</f>
        <v>0.5</v>
      </c>
      <c r="F192" s="11" t="str">
        <f t="shared" ref="F192:F199" si="28">IFERROR(VLOOKUP(C192,O$193:Q$194,2,FALSE),"")</f>
        <v/>
      </c>
      <c r="G192" s="11"/>
      <c r="I192" s="186"/>
      <c r="J192" s="186"/>
      <c r="K192" s="188" t="s">
        <v>1965</v>
      </c>
      <c r="L192" s="188" t="s">
        <v>1333</v>
      </c>
      <c r="N192" s="177" t="s">
        <v>118</v>
      </c>
      <c r="O192" s="177" t="s">
        <v>1320</v>
      </c>
      <c r="P192" s="188" t="s">
        <v>1812</v>
      </c>
      <c r="Q192" s="188" t="s">
        <v>1333</v>
      </c>
    </row>
    <row r="193" spans="1:19">
      <c r="C193" s="11" t="str">
        <f t="shared" si="25"/>
        <v>中融基金管理有限公司</v>
      </c>
      <c r="D193" s="11">
        <f t="shared" si="26"/>
        <v>30.5</v>
      </c>
      <c r="E193" s="11">
        <f t="shared" si="27"/>
        <v>0.5</v>
      </c>
      <c r="F193" s="11" t="str">
        <f t="shared" si="28"/>
        <v/>
      </c>
      <c r="G193" s="11"/>
      <c r="I193" s="278">
        <v>1</v>
      </c>
      <c r="J193" s="155" t="s">
        <v>1964</v>
      </c>
      <c r="K193" s="278">
        <v>30.95</v>
      </c>
      <c r="L193" s="279">
        <v>5000</v>
      </c>
      <c r="N193" s="237">
        <v>1</v>
      </c>
      <c r="O193" s="155" t="s">
        <v>1963</v>
      </c>
      <c r="P193" s="277">
        <v>499.53160000000003</v>
      </c>
      <c r="Q193" s="343">
        <v>15999.997148</v>
      </c>
    </row>
    <row r="194" spans="1:19">
      <c r="C194" s="11" t="str">
        <f t="shared" si="25"/>
        <v>九泰基金管理有限公司</v>
      </c>
      <c r="D194" s="11">
        <f t="shared" si="26"/>
        <v>29.63</v>
      </c>
      <c r="E194" s="11">
        <f t="shared" si="27"/>
        <v>0.7</v>
      </c>
      <c r="F194" s="11" t="str">
        <f t="shared" si="28"/>
        <v/>
      </c>
      <c r="G194" s="11"/>
      <c r="I194" s="237">
        <v>2</v>
      </c>
      <c r="J194" s="155" t="s">
        <v>629</v>
      </c>
      <c r="K194" s="237">
        <v>30.5</v>
      </c>
      <c r="L194" s="343">
        <v>5000</v>
      </c>
      <c r="N194" s="237">
        <v>2</v>
      </c>
      <c r="O194" s="155" t="s">
        <v>138</v>
      </c>
      <c r="P194" s="277">
        <v>44.384999999999998</v>
      </c>
      <c r="Q194" s="343">
        <v>1421.65155</v>
      </c>
    </row>
    <row r="195" spans="1:19">
      <c r="C195" s="11" t="str">
        <f t="shared" si="25"/>
        <v>申万菱信（上海）资产管理有限公司</v>
      </c>
      <c r="D195" s="11">
        <f t="shared" si="26"/>
        <v>32.03</v>
      </c>
      <c r="E195" s="11">
        <f t="shared" si="27"/>
        <v>0.5</v>
      </c>
      <c r="F195" s="10">
        <f t="shared" si="28"/>
        <v>44.384999999999998</v>
      </c>
      <c r="G195" s="10">
        <f>IFERROR(F195*J$190/10000,"")</f>
        <v>0.14216515500000002</v>
      </c>
      <c r="I195" s="237">
        <v>3</v>
      </c>
      <c r="J195" s="155" t="s">
        <v>666</v>
      </c>
      <c r="K195" s="237">
        <v>29.63</v>
      </c>
      <c r="L195" s="343">
        <v>7000</v>
      </c>
      <c r="N195" s="182" t="s">
        <v>1293</v>
      </c>
      <c r="O195" s="182"/>
      <c r="P195" s="277">
        <v>543.91660000000002</v>
      </c>
      <c r="Q195" s="343">
        <v>17421.648698000001</v>
      </c>
    </row>
    <row r="196" spans="1:19">
      <c r="C196" s="11" t="str">
        <f t="shared" si="25"/>
        <v>财通基金管理有限公司</v>
      </c>
      <c r="D196" s="11">
        <f t="shared" si="26"/>
        <v>30.89</v>
      </c>
      <c r="E196" s="11">
        <f t="shared" si="27"/>
        <v>0.8</v>
      </c>
      <c r="F196" s="10" t="str">
        <f t="shared" si="28"/>
        <v/>
      </c>
      <c r="G196" s="10" t="str">
        <f>IFERROR(F196*J$190/10000,"")</f>
        <v/>
      </c>
      <c r="I196" s="278">
        <v>4</v>
      </c>
      <c r="J196" s="155" t="s">
        <v>1955</v>
      </c>
      <c r="K196" s="278">
        <v>32.03</v>
      </c>
      <c r="L196" s="279">
        <v>5000</v>
      </c>
    </row>
    <row r="197" spans="1:19">
      <c r="C197" s="11" t="str">
        <f t="shared" si="25"/>
        <v/>
      </c>
      <c r="D197" s="11">
        <f t="shared" si="26"/>
        <v>30.73</v>
      </c>
      <c r="E197" s="11">
        <f t="shared" si="27"/>
        <v>1</v>
      </c>
      <c r="F197" s="10" t="str">
        <f t="shared" si="28"/>
        <v/>
      </c>
      <c r="G197" s="10" t="str">
        <f>IFERROR(F197*J$190/10000,"")</f>
        <v/>
      </c>
      <c r="I197" s="237">
        <v>5</v>
      </c>
      <c r="J197" s="156" t="s">
        <v>115</v>
      </c>
      <c r="K197" s="237">
        <v>30.89</v>
      </c>
      <c r="L197" s="343">
        <v>8000</v>
      </c>
    </row>
    <row r="198" spans="1:19">
      <c r="C198" s="11" t="str">
        <f t="shared" si="25"/>
        <v>东海证券股份有限公司</v>
      </c>
      <c r="D198" s="11">
        <f t="shared" si="26"/>
        <v>30.91</v>
      </c>
      <c r="E198" s="11">
        <f t="shared" si="27"/>
        <v>0.6</v>
      </c>
      <c r="F198" s="10" t="str">
        <f t="shared" si="28"/>
        <v/>
      </c>
      <c r="G198" s="10" t="str">
        <f>IFERROR(F198*J$190/10000,"")</f>
        <v/>
      </c>
      <c r="I198" s="25"/>
      <c r="J198" s="25"/>
      <c r="K198" s="237">
        <v>30.73</v>
      </c>
      <c r="L198" s="343">
        <v>10000</v>
      </c>
    </row>
    <row r="199" spans="1:19">
      <c r="C199" s="11" t="str">
        <f t="shared" si="25"/>
        <v>上海达渡资产管理合伙企业（有限合伙）</v>
      </c>
      <c r="D199" s="11">
        <f t="shared" si="26"/>
        <v>34</v>
      </c>
      <c r="E199" s="11">
        <f t="shared" si="27"/>
        <v>1.6</v>
      </c>
      <c r="F199" s="10">
        <f t="shared" si="28"/>
        <v>499.53160000000003</v>
      </c>
      <c r="G199" s="10">
        <f>IFERROR(F199*J$190/10000,"")</f>
        <v>1.5999997148000003</v>
      </c>
      <c r="I199" s="237">
        <v>6</v>
      </c>
      <c r="J199" s="155" t="s">
        <v>6</v>
      </c>
      <c r="K199" s="237">
        <v>30.91</v>
      </c>
      <c r="L199" s="343">
        <v>6000</v>
      </c>
    </row>
    <row r="200" spans="1:19" ht="15">
      <c r="C200" s="24" t="str">
        <f t="shared" si="25"/>
        <v/>
      </c>
      <c r="I200" s="228"/>
      <c r="J200" s="155" t="s">
        <v>1962</v>
      </c>
      <c r="K200" s="237">
        <v>34</v>
      </c>
      <c r="L200" s="343">
        <v>16000</v>
      </c>
    </row>
    <row r="201" spans="1:19">
      <c r="C201" s="24" t="str">
        <f t="shared" si="25"/>
        <v/>
      </c>
      <c r="I201" s="146"/>
      <c r="J201" s="25"/>
      <c r="K201" s="237">
        <v>31.2</v>
      </c>
      <c r="L201" s="343">
        <v>17000</v>
      </c>
    </row>
    <row r="202" spans="1:19">
      <c r="I202" s="237">
        <v>7</v>
      </c>
      <c r="J202" s="155"/>
      <c r="K202" s="237">
        <v>29.25</v>
      </c>
      <c r="L202" s="343">
        <v>17421.650000000001</v>
      </c>
    </row>
    <row r="203" spans="1:19" s="162" customFormat="1">
      <c r="A203" s="164" t="s">
        <v>1315</v>
      </c>
      <c r="B203" s="164"/>
      <c r="C203" s="164" t="s">
        <v>107</v>
      </c>
      <c r="D203" s="164" t="s">
        <v>4</v>
      </c>
      <c r="E203" s="166" t="s">
        <v>108</v>
      </c>
      <c r="F203" s="166" t="s">
        <v>109</v>
      </c>
      <c r="G203" s="164" t="s">
        <v>1314</v>
      </c>
      <c r="H203" s="164" t="s">
        <v>1313</v>
      </c>
      <c r="I203" s="165" t="s">
        <v>1312</v>
      </c>
      <c r="J203" s="163" t="s">
        <v>1311</v>
      </c>
      <c r="K203" s="163" t="s">
        <v>110</v>
      </c>
      <c r="L203" s="163" t="s">
        <v>1310</v>
      </c>
      <c r="M203" s="164" t="s">
        <v>111</v>
      </c>
      <c r="N203" s="163" t="s">
        <v>949</v>
      </c>
      <c r="O203" s="163" t="s">
        <v>948</v>
      </c>
      <c r="P203" s="163" t="s">
        <v>129</v>
      </c>
    </row>
    <row r="204" spans="1:19">
      <c r="A204" s="24">
        <v>322</v>
      </c>
      <c r="B204" s="329" t="s">
        <v>1961</v>
      </c>
      <c r="C204" s="1" t="s">
        <v>1960</v>
      </c>
      <c r="D204" s="1" t="s">
        <v>1959</v>
      </c>
      <c r="E204" s="3">
        <v>11.1936</v>
      </c>
      <c r="F204" s="3">
        <v>11.193599306399999</v>
      </c>
      <c r="G204" s="2">
        <v>42731</v>
      </c>
      <c r="H204" s="24" t="s">
        <v>191</v>
      </c>
      <c r="I204" s="130">
        <v>16.48</v>
      </c>
      <c r="J204" s="3">
        <v>15.96</v>
      </c>
      <c r="K204" s="160">
        <v>13.2</v>
      </c>
      <c r="L204" s="271">
        <v>0.96844660194174759</v>
      </c>
      <c r="M204" s="270">
        <v>7</v>
      </c>
      <c r="N204" s="2">
        <v>43118</v>
      </c>
      <c r="O204" s="24">
        <v>9.84</v>
      </c>
      <c r="P204" s="157">
        <v>0.62280701754385959</v>
      </c>
    </row>
    <row r="205" spans="1:19">
      <c r="C205" s="16" t="s">
        <v>112</v>
      </c>
      <c r="D205" s="16" t="s">
        <v>113</v>
      </c>
      <c r="E205" s="16" t="s">
        <v>1305</v>
      </c>
      <c r="F205" s="17" t="s">
        <v>1304</v>
      </c>
      <c r="G205" s="16" t="s">
        <v>1303</v>
      </c>
      <c r="I205" s="196" t="s">
        <v>118</v>
      </c>
      <c r="J205" s="196" t="s">
        <v>296</v>
      </c>
      <c r="K205" s="84" t="s">
        <v>488</v>
      </c>
      <c r="L205" s="225" t="s">
        <v>1814</v>
      </c>
      <c r="M205" s="84" t="s">
        <v>401</v>
      </c>
      <c r="O205" s="149"/>
      <c r="P205" s="149"/>
      <c r="Q205" s="149"/>
      <c r="R205" s="149"/>
      <c r="S205" s="225" t="s">
        <v>1520</v>
      </c>
    </row>
    <row r="206" spans="1:19">
      <c r="C206" s="11" t="str">
        <f t="shared" ref="C206:C247" si="29">IF(J207=0,"",J207)</f>
        <v>圆信永丰基金管理有限公司</v>
      </c>
      <c r="D206" s="11">
        <f t="shared" ref="D206:D247" si="30">K207</f>
        <v>16.63</v>
      </c>
      <c r="E206" s="11">
        <f t="shared" ref="E206:E247" si="31">M207/10000</f>
        <v>1.2</v>
      </c>
      <c r="F206" s="10">
        <f t="shared" ref="F206:F247" si="32">IFERROR(VLOOKUP(C206,P$207:R$213,2,FALSE)/10000,"")</f>
        <v>751.87959999999998</v>
      </c>
      <c r="G206" s="10">
        <f t="shared" ref="G206:G244" si="33">IFERROR(F206*J$204/10000,"")</f>
        <v>1.1999998416</v>
      </c>
      <c r="I206" s="196"/>
      <c r="J206" s="196"/>
      <c r="K206" s="272" t="s">
        <v>1958</v>
      </c>
      <c r="L206" s="225" t="s">
        <v>1317</v>
      </c>
      <c r="M206" s="421" t="s">
        <v>1957</v>
      </c>
      <c r="O206" s="85" t="s">
        <v>118</v>
      </c>
      <c r="P206" s="85" t="s">
        <v>296</v>
      </c>
      <c r="Q206" s="84" t="s">
        <v>323</v>
      </c>
      <c r="R206" s="225" t="s">
        <v>1346</v>
      </c>
      <c r="S206" s="225" t="s">
        <v>1657</v>
      </c>
    </row>
    <row r="207" spans="1:19">
      <c r="C207" s="11" t="str">
        <f t="shared" si="29"/>
        <v>华泰柏瑞基金管理有限公司</v>
      </c>
      <c r="D207" s="11">
        <f t="shared" si="30"/>
        <v>14.57</v>
      </c>
      <c r="E207" s="11">
        <f t="shared" si="31"/>
        <v>1.4</v>
      </c>
      <c r="F207" s="10" t="str">
        <f t="shared" si="32"/>
        <v/>
      </c>
      <c r="G207" s="10" t="str">
        <f t="shared" si="33"/>
        <v/>
      </c>
      <c r="I207" s="191">
        <v>1</v>
      </c>
      <c r="J207" s="204" t="s">
        <v>1956</v>
      </c>
      <c r="K207" s="190">
        <v>16.63</v>
      </c>
      <c r="L207" s="236">
        <v>7215874</v>
      </c>
      <c r="M207" s="236">
        <v>12000</v>
      </c>
      <c r="O207" s="296">
        <v>1</v>
      </c>
      <c r="P207" s="192" t="s">
        <v>629</v>
      </c>
      <c r="Q207" s="275">
        <v>12531328</v>
      </c>
      <c r="R207" s="234">
        <v>199999994.88</v>
      </c>
      <c r="S207" s="296">
        <v>12</v>
      </c>
    </row>
    <row r="208" spans="1:19">
      <c r="C208" s="11" t="str">
        <f t="shared" si="29"/>
        <v/>
      </c>
      <c r="D208" s="11">
        <f t="shared" si="30"/>
        <v>15.5</v>
      </c>
      <c r="E208" s="11">
        <f t="shared" si="31"/>
        <v>1.2</v>
      </c>
      <c r="F208" s="10" t="str">
        <f t="shared" si="32"/>
        <v/>
      </c>
      <c r="G208" s="10" t="str">
        <f t="shared" si="33"/>
        <v/>
      </c>
      <c r="I208" s="296">
        <v>2</v>
      </c>
      <c r="J208" s="203" t="s">
        <v>122</v>
      </c>
      <c r="K208" s="190">
        <v>14.57</v>
      </c>
      <c r="L208" s="236">
        <v>9608785</v>
      </c>
      <c r="M208" s="236">
        <v>14000</v>
      </c>
      <c r="O208" s="296">
        <v>2</v>
      </c>
      <c r="P208" s="192" t="s">
        <v>1127</v>
      </c>
      <c r="Q208" s="275">
        <v>7518796</v>
      </c>
      <c r="R208" s="234">
        <v>119999984.16</v>
      </c>
      <c r="S208" s="296">
        <v>12</v>
      </c>
    </row>
    <row r="209" spans="3:19">
      <c r="C209" s="11" t="str">
        <f t="shared" si="29"/>
        <v>国泰基金管理有限公司</v>
      </c>
      <c r="D209" s="11">
        <f t="shared" si="30"/>
        <v>14.7</v>
      </c>
      <c r="E209" s="11">
        <f t="shared" si="31"/>
        <v>1.2</v>
      </c>
      <c r="F209" s="10" t="str">
        <f t="shared" si="32"/>
        <v/>
      </c>
      <c r="G209" s="10" t="str">
        <f t="shared" si="33"/>
        <v/>
      </c>
      <c r="I209" s="296"/>
      <c r="J209" s="25"/>
      <c r="K209" s="190">
        <v>15.5</v>
      </c>
      <c r="L209" s="236">
        <v>7741935</v>
      </c>
      <c r="M209" s="236">
        <v>12000</v>
      </c>
      <c r="O209" s="296">
        <v>3</v>
      </c>
      <c r="P209" s="192" t="s">
        <v>1956</v>
      </c>
      <c r="Q209" s="275">
        <v>7518796</v>
      </c>
      <c r="R209" s="234">
        <v>119999984.16</v>
      </c>
      <c r="S209" s="296">
        <v>12</v>
      </c>
    </row>
    <row r="210" spans="3:19">
      <c r="C210" s="11" t="str">
        <f t="shared" si="29"/>
        <v>中信证券股份有限公司</v>
      </c>
      <c r="D210" s="11">
        <f t="shared" si="30"/>
        <v>15.15</v>
      </c>
      <c r="E210" s="11">
        <f t="shared" si="31"/>
        <v>1.2</v>
      </c>
      <c r="F210" s="10" t="str">
        <f t="shared" si="32"/>
        <v/>
      </c>
      <c r="G210" s="10" t="str">
        <f t="shared" si="33"/>
        <v/>
      </c>
      <c r="I210" s="191">
        <v>3</v>
      </c>
      <c r="J210" s="204" t="s">
        <v>233</v>
      </c>
      <c r="K210" s="190">
        <v>14.7</v>
      </c>
      <c r="L210" s="236">
        <v>8163265</v>
      </c>
      <c r="M210" s="236">
        <v>12000</v>
      </c>
      <c r="O210" s="296">
        <v>4</v>
      </c>
      <c r="P210" s="192" t="s">
        <v>152</v>
      </c>
      <c r="Q210" s="275">
        <v>18796992</v>
      </c>
      <c r="R210" s="234">
        <v>299999992.31999999</v>
      </c>
      <c r="S210" s="296">
        <v>12</v>
      </c>
    </row>
    <row r="211" spans="3:19" ht="14.5" customHeight="1">
      <c r="C211" s="11" t="str">
        <f t="shared" si="29"/>
        <v/>
      </c>
      <c r="D211" s="11">
        <f t="shared" si="30"/>
        <v>14.28</v>
      </c>
      <c r="E211" s="11">
        <f t="shared" si="31"/>
        <v>1.42</v>
      </c>
      <c r="F211" s="10" t="str">
        <f t="shared" si="32"/>
        <v/>
      </c>
      <c r="G211" s="10" t="str">
        <f t="shared" si="33"/>
        <v/>
      </c>
      <c r="I211" s="296">
        <v>4</v>
      </c>
      <c r="J211" s="203" t="s">
        <v>316</v>
      </c>
      <c r="K211" s="190">
        <v>15.15</v>
      </c>
      <c r="L211" s="236">
        <v>7920792</v>
      </c>
      <c r="M211" s="236">
        <v>12000</v>
      </c>
      <c r="O211" s="296">
        <v>5</v>
      </c>
      <c r="P211" s="192" t="s">
        <v>295</v>
      </c>
      <c r="Q211" s="275">
        <v>7518796</v>
      </c>
      <c r="R211" s="234">
        <v>119999984.16</v>
      </c>
      <c r="S211" s="296">
        <v>12</v>
      </c>
    </row>
    <row r="212" spans="3:19">
      <c r="C212" s="11" t="str">
        <f t="shared" si="29"/>
        <v>兴业全球基金管理有限公司</v>
      </c>
      <c r="D212" s="11">
        <f t="shared" si="30"/>
        <v>13.51</v>
      </c>
      <c r="E212" s="11">
        <f t="shared" si="31"/>
        <v>3</v>
      </c>
      <c r="F212" s="10" t="str">
        <f t="shared" si="32"/>
        <v/>
      </c>
      <c r="G212" s="10" t="str">
        <f t="shared" si="33"/>
        <v/>
      </c>
      <c r="I212" s="296"/>
      <c r="J212" s="25"/>
      <c r="K212" s="190">
        <v>14.28</v>
      </c>
      <c r="L212" s="236">
        <v>9943977</v>
      </c>
      <c r="M212" s="236">
        <v>14200</v>
      </c>
      <c r="O212" s="296">
        <v>6</v>
      </c>
      <c r="P212" s="204" t="s">
        <v>1955</v>
      </c>
      <c r="Q212" s="275">
        <v>10275689</v>
      </c>
      <c r="R212" s="297">
        <v>163999996.44</v>
      </c>
      <c r="S212" s="296">
        <v>12</v>
      </c>
    </row>
    <row r="213" spans="3:19">
      <c r="C213" s="11" t="str">
        <f t="shared" si="29"/>
        <v/>
      </c>
      <c r="D213" s="11">
        <f t="shared" si="30"/>
        <v>15.61</v>
      </c>
      <c r="E213" s="11">
        <f t="shared" si="31"/>
        <v>1.2</v>
      </c>
      <c r="F213" s="10" t="str">
        <f t="shared" si="32"/>
        <v/>
      </c>
      <c r="G213" s="10" t="str">
        <f t="shared" si="33"/>
        <v/>
      </c>
      <c r="I213" s="296">
        <v>5</v>
      </c>
      <c r="J213" s="203" t="s">
        <v>131</v>
      </c>
      <c r="K213" s="190">
        <v>13.51</v>
      </c>
      <c r="L213" s="236">
        <v>22205773</v>
      </c>
      <c r="M213" s="236">
        <v>30000</v>
      </c>
      <c r="O213" s="168">
        <v>7</v>
      </c>
      <c r="P213" s="204" t="s">
        <v>1954</v>
      </c>
      <c r="Q213" s="236">
        <v>5974937</v>
      </c>
      <c r="R213" s="234">
        <v>95359994.519999996</v>
      </c>
      <c r="S213" s="168">
        <v>12</v>
      </c>
    </row>
    <row r="214" spans="3:19">
      <c r="C214" s="11" t="str">
        <f t="shared" si="29"/>
        <v>鹏华资产管理有限公司</v>
      </c>
      <c r="D214" s="11">
        <f t="shared" si="30"/>
        <v>14.18</v>
      </c>
      <c r="E214" s="11">
        <f t="shared" si="31"/>
        <v>1.2</v>
      </c>
      <c r="F214" s="10" t="str">
        <f t="shared" si="32"/>
        <v/>
      </c>
      <c r="G214" s="10" t="str">
        <f t="shared" si="33"/>
        <v/>
      </c>
      <c r="I214" s="296"/>
      <c r="J214" s="25"/>
      <c r="K214" s="190">
        <v>15.61</v>
      </c>
      <c r="L214" s="236">
        <v>7687379</v>
      </c>
      <c r="M214" s="236">
        <v>12000</v>
      </c>
      <c r="O214" s="196" t="s">
        <v>1953</v>
      </c>
      <c r="P214" s="196"/>
      <c r="Q214" s="420">
        <v>70135334</v>
      </c>
      <c r="R214" s="284">
        <v>1119359930</v>
      </c>
      <c r="S214" s="296" t="s">
        <v>294</v>
      </c>
    </row>
    <row r="215" spans="3:19">
      <c r="C215" s="11" t="str">
        <f t="shared" si="29"/>
        <v>东莞证券股份有限公司</v>
      </c>
      <c r="D215" s="11">
        <f t="shared" si="30"/>
        <v>14.85</v>
      </c>
      <c r="E215" s="11">
        <f t="shared" si="31"/>
        <v>1.2</v>
      </c>
      <c r="F215" s="10" t="str">
        <f t="shared" si="32"/>
        <v/>
      </c>
      <c r="G215" s="10" t="str">
        <f t="shared" si="33"/>
        <v/>
      </c>
      <c r="I215" s="191">
        <v>6</v>
      </c>
      <c r="J215" s="204" t="s">
        <v>1650</v>
      </c>
      <c r="K215" s="190">
        <v>14.18</v>
      </c>
      <c r="L215" s="236">
        <v>8462623</v>
      </c>
      <c r="M215" s="236">
        <v>12000</v>
      </c>
      <c r="O215" s="196"/>
      <c r="P215" s="196"/>
      <c r="Q215" s="420"/>
      <c r="R215" s="419">
        <v>0.64</v>
      </c>
      <c r="S215" s="296"/>
    </row>
    <row r="216" spans="3:19">
      <c r="C216" s="11" t="str">
        <f t="shared" si="29"/>
        <v>嘉实基金管理有限公司</v>
      </c>
      <c r="D216" s="11">
        <f t="shared" si="30"/>
        <v>14.5</v>
      </c>
      <c r="E216" s="11">
        <f t="shared" si="31"/>
        <v>1.74</v>
      </c>
      <c r="F216" s="10" t="str">
        <f t="shared" si="32"/>
        <v/>
      </c>
      <c r="G216" s="10" t="str">
        <f t="shared" si="33"/>
        <v/>
      </c>
      <c r="I216" s="191">
        <v>7</v>
      </c>
      <c r="J216" s="204" t="s">
        <v>384</v>
      </c>
      <c r="K216" s="190">
        <v>14.85</v>
      </c>
      <c r="L216" s="236">
        <v>8080808</v>
      </c>
      <c r="M216" s="236">
        <v>12000</v>
      </c>
    </row>
    <row r="217" spans="3:19">
      <c r="C217" s="11" t="str">
        <f t="shared" si="29"/>
        <v/>
      </c>
      <c r="D217" s="11">
        <f t="shared" si="30"/>
        <v>15.5</v>
      </c>
      <c r="E217" s="11">
        <f t="shared" si="31"/>
        <v>2.79</v>
      </c>
      <c r="F217" s="10" t="str">
        <f t="shared" si="32"/>
        <v/>
      </c>
      <c r="G217" s="10" t="str">
        <f t="shared" si="33"/>
        <v/>
      </c>
      <c r="I217" s="296">
        <v>8</v>
      </c>
      <c r="J217" s="203" t="s">
        <v>228</v>
      </c>
      <c r="K217" s="190">
        <v>14.5</v>
      </c>
      <c r="L217" s="236">
        <v>12000000</v>
      </c>
      <c r="M217" s="236">
        <v>17400</v>
      </c>
    </row>
    <row r="218" spans="3:19">
      <c r="C218" s="11" t="str">
        <f t="shared" si="29"/>
        <v>新华资产管理股份有限公司</v>
      </c>
      <c r="D218" s="11">
        <f t="shared" si="30"/>
        <v>15.06</v>
      </c>
      <c r="E218" s="11">
        <f t="shared" si="31"/>
        <v>1.6</v>
      </c>
      <c r="F218" s="10" t="str">
        <f t="shared" si="32"/>
        <v/>
      </c>
      <c r="G218" s="10" t="str">
        <f t="shared" si="33"/>
        <v/>
      </c>
      <c r="I218" s="296"/>
      <c r="J218" s="25"/>
      <c r="K218" s="190">
        <v>15.5</v>
      </c>
      <c r="L218" s="236">
        <v>18000000</v>
      </c>
      <c r="M218" s="236">
        <v>27900</v>
      </c>
    </row>
    <row r="219" spans="3:19">
      <c r="C219" s="11" t="str">
        <f t="shared" si="29"/>
        <v>第一创业证券股份有限公司</v>
      </c>
      <c r="D219" s="11">
        <f t="shared" si="30"/>
        <v>14.12</v>
      </c>
      <c r="E219" s="11">
        <f t="shared" si="31"/>
        <v>1.5</v>
      </c>
      <c r="F219" s="10" t="str">
        <f t="shared" si="32"/>
        <v/>
      </c>
      <c r="G219" s="10" t="str">
        <f t="shared" si="33"/>
        <v/>
      </c>
      <c r="I219" s="191">
        <v>9</v>
      </c>
      <c r="J219" s="204" t="s">
        <v>226</v>
      </c>
      <c r="K219" s="190">
        <v>15.06</v>
      </c>
      <c r="L219" s="236">
        <v>10624169</v>
      </c>
      <c r="M219" s="236">
        <v>16000</v>
      </c>
    </row>
    <row r="220" spans="3:19">
      <c r="C220" s="11" t="str">
        <f t="shared" si="29"/>
        <v>银华基金管理股份有限公司</v>
      </c>
      <c r="D220" s="11">
        <f t="shared" si="30"/>
        <v>15.13</v>
      </c>
      <c r="E220" s="11">
        <f t="shared" si="31"/>
        <v>2.5</v>
      </c>
      <c r="F220" s="10">
        <f t="shared" si="32"/>
        <v>597.49369999999999</v>
      </c>
      <c r="G220" s="10">
        <f t="shared" si="33"/>
        <v>0.95359994520000002</v>
      </c>
      <c r="I220" s="191">
        <v>10</v>
      </c>
      <c r="J220" s="204" t="s">
        <v>127</v>
      </c>
      <c r="K220" s="190">
        <v>14.12</v>
      </c>
      <c r="L220" s="236">
        <v>10623229</v>
      </c>
      <c r="M220" s="236">
        <v>15000</v>
      </c>
    </row>
    <row r="221" spans="3:19">
      <c r="C221" s="11" t="str">
        <f t="shared" si="29"/>
        <v/>
      </c>
      <c r="D221" s="11">
        <f t="shared" si="30"/>
        <v>15.66</v>
      </c>
      <c r="E221" s="11">
        <f t="shared" si="31"/>
        <v>2</v>
      </c>
      <c r="F221" s="10" t="str">
        <f t="shared" si="32"/>
        <v/>
      </c>
      <c r="G221" s="10" t="str">
        <f t="shared" si="33"/>
        <v/>
      </c>
      <c r="I221" s="168">
        <v>11</v>
      </c>
      <c r="J221" s="203" t="s">
        <v>982</v>
      </c>
      <c r="K221" s="190">
        <v>15.13</v>
      </c>
      <c r="L221" s="236">
        <v>16523463</v>
      </c>
      <c r="M221" s="236">
        <v>25000</v>
      </c>
    </row>
    <row r="222" spans="3:19">
      <c r="C222" s="11" t="str">
        <f t="shared" si="29"/>
        <v/>
      </c>
      <c r="D222" s="11">
        <f t="shared" si="30"/>
        <v>15.96</v>
      </c>
      <c r="E222" s="11">
        <f t="shared" si="31"/>
        <v>1.5</v>
      </c>
      <c r="F222" s="10" t="str">
        <f t="shared" si="32"/>
        <v/>
      </c>
      <c r="G222" s="10" t="str">
        <f t="shared" si="33"/>
        <v/>
      </c>
      <c r="I222" s="25"/>
      <c r="J222" s="25"/>
      <c r="K222" s="190">
        <v>15.66</v>
      </c>
      <c r="L222" s="236">
        <v>12771392</v>
      </c>
      <c r="M222" s="236">
        <v>20000</v>
      </c>
    </row>
    <row r="223" spans="3:19">
      <c r="C223" s="11" t="str">
        <f t="shared" si="29"/>
        <v>东海基金管理有限责任公司</v>
      </c>
      <c r="D223" s="11">
        <f t="shared" si="30"/>
        <v>14.01</v>
      </c>
      <c r="E223" s="11">
        <f t="shared" si="31"/>
        <v>1.83</v>
      </c>
      <c r="F223" s="10" t="str">
        <f t="shared" si="32"/>
        <v/>
      </c>
      <c r="G223" s="10" t="str">
        <f t="shared" si="33"/>
        <v/>
      </c>
      <c r="I223" s="64"/>
      <c r="J223" s="64"/>
      <c r="K223" s="190">
        <v>15.96</v>
      </c>
      <c r="L223" s="236">
        <v>9398496</v>
      </c>
      <c r="M223" s="236">
        <v>15000</v>
      </c>
    </row>
    <row r="224" spans="3:19">
      <c r="C224" s="11" t="str">
        <f t="shared" si="29"/>
        <v/>
      </c>
      <c r="D224" s="11">
        <f t="shared" si="30"/>
        <v>14.9</v>
      </c>
      <c r="E224" s="11">
        <f t="shared" si="31"/>
        <v>1.5</v>
      </c>
      <c r="F224" s="10" t="str">
        <f t="shared" si="32"/>
        <v/>
      </c>
      <c r="G224" s="10" t="str">
        <f t="shared" si="33"/>
        <v/>
      </c>
      <c r="I224" s="191">
        <v>12</v>
      </c>
      <c r="J224" s="204" t="s">
        <v>128</v>
      </c>
      <c r="K224" s="190">
        <v>14.01</v>
      </c>
      <c r="L224" s="236">
        <v>13062098</v>
      </c>
      <c r="M224" s="236">
        <v>18300</v>
      </c>
    </row>
    <row r="225" spans="3:13">
      <c r="C225" s="11" t="str">
        <f t="shared" si="29"/>
        <v/>
      </c>
      <c r="D225" s="11">
        <f t="shared" si="30"/>
        <v>15.2</v>
      </c>
      <c r="E225" s="11">
        <f t="shared" si="31"/>
        <v>1.2</v>
      </c>
      <c r="F225" s="10" t="str">
        <f t="shared" si="32"/>
        <v/>
      </c>
      <c r="G225" s="10" t="str">
        <f t="shared" si="33"/>
        <v/>
      </c>
      <c r="I225" s="293"/>
      <c r="J225" s="293"/>
      <c r="K225" s="190">
        <v>14.9</v>
      </c>
      <c r="L225" s="236">
        <v>10067114</v>
      </c>
      <c r="M225" s="236">
        <v>15000</v>
      </c>
    </row>
    <row r="226" spans="3:13">
      <c r="C226" s="11" t="str">
        <f t="shared" si="29"/>
        <v>民生通惠资产管理有限公司</v>
      </c>
      <c r="D226" s="11">
        <f t="shared" si="30"/>
        <v>13.21</v>
      </c>
      <c r="E226" s="11">
        <f t="shared" si="31"/>
        <v>1.2</v>
      </c>
      <c r="F226" s="10" t="str">
        <f t="shared" si="32"/>
        <v/>
      </c>
      <c r="G226" s="10" t="str">
        <f t="shared" si="33"/>
        <v/>
      </c>
      <c r="I226" s="293"/>
      <c r="J226" s="293"/>
      <c r="K226" s="190">
        <v>15.2</v>
      </c>
      <c r="L226" s="236">
        <v>7894736</v>
      </c>
      <c r="M226" s="236">
        <v>12000</v>
      </c>
    </row>
    <row r="227" spans="3:13">
      <c r="C227" s="11" t="str">
        <f t="shared" si="29"/>
        <v>东吴基金管理有限公司</v>
      </c>
      <c r="D227" s="11">
        <f t="shared" si="30"/>
        <v>13.3</v>
      </c>
      <c r="E227" s="11">
        <f t="shared" si="31"/>
        <v>1.2</v>
      </c>
      <c r="F227" s="10" t="str">
        <f t="shared" si="32"/>
        <v/>
      </c>
      <c r="G227" s="10" t="str">
        <f t="shared" si="33"/>
        <v/>
      </c>
      <c r="I227" s="168">
        <v>13</v>
      </c>
      <c r="J227" s="204" t="s">
        <v>351</v>
      </c>
      <c r="K227" s="190">
        <v>13.21</v>
      </c>
      <c r="L227" s="236">
        <v>9084027</v>
      </c>
      <c r="M227" s="236">
        <v>12000</v>
      </c>
    </row>
    <row r="228" spans="3:13">
      <c r="C228" s="11" t="str">
        <f t="shared" si="29"/>
        <v>中融基金管理有限公司</v>
      </c>
      <c r="D228" s="11">
        <f t="shared" si="30"/>
        <v>18</v>
      </c>
      <c r="E228" s="11">
        <f t="shared" si="31"/>
        <v>2</v>
      </c>
      <c r="F228" s="10">
        <f t="shared" si="32"/>
        <v>1253.1328000000001</v>
      </c>
      <c r="G228" s="10">
        <f t="shared" si="33"/>
        <v>1.9999999488000002</v>
      </c>
      <c r="I228" s="168">
        <v>14</v>
      </c>
      <c r="J228" s="204" t="s">
        <v>974</v>
      </c>
      <c r="K228" s="190">
        <v>13.3</v>
      </c>
      <c r="L228" s="236">
        <v>9022556</v>
      </c>
      <c r="M228" s="236">
        <v>12000</v>
      </c>
    </row>
    <row r="229" spans="3:13">
      <c r="C229" s="11" t="str">
        <f t="shared" si="29"/>
        <v>俞洪泉</v>
      </c>
      <c r="D229" s="11">
        <f t="shared" si="30"/>
        <v>14.83</v>
      </c>
      <c r="E229" s="11">
        <f t="shared" si="31"/>
        <v>1.21</v>
      </c>
      <c r="F229" s="10" t="str">
        <f t="shared" si="32"/>
        <v/>
      </c>
      <c r="G229" s="10" t="str">
        <f t="shared" si="33"/>
        <v/>
      </c>
      <c r="I229" s="168">
        <v>15</v>
      </c>
      <c r="J229" s="204" t="s">
        <v>629</v>
      </c>
      <c r="K229" s="190">
        <v>18</v>
      </c>
      <c r="L229" s="236">
        <v>11111111</v>
      </c>
      <c r="M229" s="236">
        <v>20000</v>
      </c>
    </row>
    <row r="230" spans="3:13">
      <c r="C230" s="11" t="str">
        <f t="shared" si="29"/>
        <v>申万菱信基金管理有限公司</v>
      </c>
      <c r="D230" s="11">
        <f t="shared" si="30"/>
        <v>13.3</v>
      </c>
      <c r="E230" s="11">
        <f t="shared" si="31"/>
        <v>2.4</v>
      </c>
      <c r="F230" s="10" t="str">
        <f t="shared" si="32"/>
        <v/>
      </c>
      <c r="G230" s="10" t="str">
        <f t="shared" si="33"/>
        <v/>
      </c>
      <c r="I230" s="168">
        <v>16</v>
      </c>
      <c r="J230" s="204" t="s">
        <v>1623</v>
      </c>
      <c r="K230" s="190">
        <v>14.83</v>
      </c>
      <c r="L230" s="236">
        <v>8159136</v>
      </c>
      <c r="M230" s="236">
        <v>12100</v>
      </c>
    </row>
    <row r="231" spans="3:13">
      <c r="C231" s="11" t="str">
        <f t="shared" si="29"/>
        <v/>
      </c>
      <c r="D231" s="11">
        <f t="shared" si="30"/>
        <v>13.99</v>
      </c>
      <c r="E231" s="11">
        <f t="shared" si="31"/>
        <v>1.2</v>
      </c>
      <c r="F231" s="10" t="str">
        <f t="shared" si="32"/>
        <v/>
      </c>
      <c r="G231" s="10" t="str">
        <f t="shared" si="33"/>
        <v/>
      </c>
      <c r="I231" s="296">
        <v>17</v>
      </c>
      <c r="J231" s="203" t="s">
        <v>121</v>
      </c>
      <c r="K231" s="190">
        <v>13.3</v>
      </c>
      <c r="L231" s="236">
        <v>18045112</v>
      </c>
      <c r="M231" s="236">
        <v>24000</v>
      </c>
    </row>
    <row r="232" spans="3:13">
      <c r="C232" s="11" t="str">
        <f t="shared" si="29"/>
        <v>富国基金管理有限公司</v>
      </c>
      <c r="D232" s="11">
        <f t="shared" si="30"/>
        <v>16.38</v>
      </c>
      <c r="E232" s="11">
        <f t="shared" si="31"/>
        <v>1.2</v>
      </c>
      <c r="F232" s="10">
        <f t="shared" si="32"/>
        <v>751.87959999999998</v>
      </c>
      <c r="G232" s="10">
        <f t="shared" si="33"/>
        <v>1.1999998416</v>
      </c>
      <c r="I232" s="296"/>
      <c r="J232" s="25"/>
      <c r="K232" s="190">
        <v>13.99</v>
      </c>
      <c r="L232" s="236">
        <v>8577555</v>
      </c>
      <c r="M232" s="236">
        <v>12000</v>
      </c>
    </row>
    <row r="233" spans="3:13">
      <c r="C233" s="11" t="str">
        <f t="shared" si="29"/>
        <v>大成基金管理有限公司</v>
      </c>
      <c r="D233" s="11">
        <f t="shared" si="30"/>
        <v>15.95</v>
      </c>
      <c r="E233" s="11">
        <f t="shared" si="31"/>
        <v>1.8</v>
      </c>
      <c r="F233" s="10">
        <f t="shared" si="32"/>
        <v>751.87959999999998</v>
      </c>
      <c r="G233" s="10">
        <f t="shared" si="33"/>
        <v>1.1999998416</v>
      </c>
      <c r="I233" s="168">
        <v>18</v>
      </c>
      <c r="J233" s="204" t="s">
        <v>295</v>
      </c>
      <c r="K233" s="190">
        <v>16.38</v>
      </c>
      <c r="L233" s="236">
        <v>7326007</v>
      </c>
      <c r="M233" s="236">
        <v>12000</v>
      </c>
    </row>
    <row r="234" spans="3:13">
      <c r="C234" s="11" t="str">
        <f t="shared" si="29"/>
        <v/>
      </c>
      <c r="D234" s="11">
        <f t="shared" si="30"/>
        <v>17.03</v>
      </c>
      <c r="E234" s="11">
        <f t="shared" si="31"/>
        <v>1.2</v>
      </c>
      <c r="F234" s="10" t="str">
        <f t="shared" si="32"/>
        <v/>
      </c>
      <c r="G234" s="10" t="str">
        <f t="shared" si="33"/>
        <v/>
      </c>
      <c r="I234" s="296">
        <v>19</v>
      </c>
      <c r="J234" s="203" t="s">
        <v>1127</v>
      </c>
      <c r="K234" s="190">
        <v>15.95</v>
      </c>
      <c r="L234" s="236">
        <v>11285266</v>
      </c>
      <c r="M234" s="236">
        <v>18000</v>
      </c>
    </row>
    <row r="235" spans="3:13">
      <c r="C235" s="11" t="str">
        <f t="shared" si="29"/>
        <v>申万菱信（上海）资产管理有限公司</v>
      </c>
      <c r="D235" s="11">
        <f t="shared" si="30"/>
        <v>15.97</v>
      </c>
      <c r="E235" s="11">
        <f t="shared" si="31"/>
        <v>1.64</v>
      </c>
      <c r="F235" s="10">
        <f t="shared" si="32"/>
        <v>1027.5689</v>
      </c>
      <c r="G235" s="10">
        <f t="shared" si="33"/>
        <v>1.6399999643999998</v>
      </c>
      <c r="I235" s="296"/>
      <c r="J235" s="25"/>
      <c r="K235" s="190">
        <v>17.03</v>
      </c>
      <c r="L235" s="236">
        <v>7046388</v>
      </c>
      <c r="M235" s="236">
        <v>12000</v>
      </c>
    </row>
    <row r="236" spans="3:13">
      <c r="C236" s="11" t="str">
        <f t="shared" si="29"/>
        <v/>
      </c>
      <c r="D236" s="11">
        <f t="shared" si="30"/>
        <v>16.79</v>
      </c>
      <c r="E236" s="11">
        <f t="shared" si="31"/>
        <v>1.34</v>
      </c>
      <c r="F236" s="10" t="str">
        <f t="shared" si="32"/>
        <v/>
      </c>
      <c r="G236" s="10" t="str">
        <f t="shared" si="33"/>
        <v/>
      </c>
      <c r="I236" s="296">
        <v>20</v>
      </c>
      <c r="J236" s="203" t="s">
        <v>138</v>
      </c>
      <c r="K236" s="190">
        <v>15.97</v>
      </c>
      <c r="L236" s="236">
        <v>10269254</v>
      </c>
      <c r="M236" s="236">
        <v>16400</v>
      </c>
    </row>
    <row r="237" spans="3:13">
      <c r="C237" s="11" t="str">
        <f t="shared" si="29"/>
        <v>诺安基金管理有限公司</v>
      </c>
      <c r="D237" s="11">
        <f t="shared" si="30"/>
        <v>13.21</v>
      </c>
      <c r="E237" s="11">
        <f t="shared" si="31"/>
        <v>1.2</v>
      </c>
      <c r="F237" s="10" t="str">
        <f t="shared" si="32"/>
        <v/>
      </c>
      <c r="G237" s="10" t="str">
        <f t="shared" si="33"/>
        <v/>
      </c>
      <c r="I237" s="296"/>
      <c r="J237" s="25"/>
      <c r="K237" s="190">
        <v>16.79</v>
      </c>
      <c r="L237" s="236">
        <v>7980941</v>
      </c>
      <c r="M237" s="236">
        <v>13400</v>
      </c>
    </row>
    <row r="238" spans="3:13">
      <c r="C238" s="11" t="str">
        <f t="shared" si="29"/>
        <v>东海证券股份有限公司</v>
      </c>
      <c r="D238" s="11">
        <f t="shared" si="30"/>
        <v>14.9</v>
      </c>
      <c r="E238" s="11">
        <f t="shared" si="31"/>
        <v>1.2</v>
      </c>
      <c r="F238" s="10" t="str">
        <f t="shared" si="32"/>
        <v/>
      </c>
      <c r="G238" s="10" t="str">
        <f t="shared" si="33"/>
        <v/>
      </c>
      <c r="I238" s="168">
        <v>21</v>
      </c>
      <c r="J238" s="204" t="s">
        <v>147</v>
      </c>
      <c r="K238" s="190">
        <v>13.21</v>
      </c>
      <c r="L238" s="236">
        <v>9084027</v>
      </c>
      <c r="M238" s="236">
        <v>12000</v>
      </c>
    </row>
    <row r="239" spans="3:13">
      <c r="C239" s="11" t="str">
        <f t="shared" si="29"/>
        <v>平安大华基金管理有限公司</v>
      </c>
      <c r="D239" s="11">
        <f t="shared" si="30"/>
        <v>15.12</v>
      </c>
      <c r="E239" s="11">
        <f t="shared" si="31"/>
        <v>2.02</v>
      </c>
      <c r="F239" s="10" t="str">
        <f t="shared" si="32"/>
        <v/>
      </c>
      <c r="G239" s="10" t="str">
        <f t="shared" si="33"/>
        <v/>
      </c>
      <c r="I239" s="168">
        <v>22</v>
      </c>
      <c r="J239" s="204" t="s">
        <v>6</v>
      </c>
      <c r="K239" s="190">
        <v>14.9</v>
      </c>
      <c r="L239" s="236">
        <v>8053691</v>
      </c>
      <c r="M239" s="236">
        <v>12000</v>
      </c>
    </row>
    <row r="240" spans="3:13">
      <c r="C240" s="11" t="str">
        <f t="shared" si="29"/>
        <v/>
      </c>
      <c r="D240" s="11">
        <f t="shared" si="30"/>
        <v>15.46</v>
      </c>
      <c r="E240" s="11">
        <f t="shared" si="31"/>
        <v>1.2</v>
      </c>
      <c r="F240" s="10" t="str">
        <f t="shared" si="32"/>
        <v/>
      </c>
      <c r="G240" s="10" t="str">
        <f t="shared" si="33"/>
        <v/>
      </c>
      <c r="I240" s="296">
        <v>23</v>
      </c>
      <c r="J240" s="203" t="s">
        <v>146</v>
      </c>
      <c r="K240" s="190">
        <v>15.12</v>
      </c>
      <c r="L240" s="236">
        <v>13359788</v>
      </c>
      <c r="M240" s="236">
        <v>20200</v>
      </c>
    </row>
    <row r="241" spans="1:17">
      <c r="C241" s="11" t="str">
        <f t="shared" si="29"/>
        <v>鹏华基金管理有限公司</v>
      </c>
      <c r="D241" s="11">
        <f t="shared" si="30"/>
        <v>15.96</v>
      </c>
      <c r="E241" s="11">
        <f t="shared" si="31"/>
        <v>3</v>
      </c>
      <c r="F241" s="10">
        <f t="shared" si="32"/>
        <v>1879.6992</v>
      </c>
      <c r="G241" s="10">
        <f t="shared" si="33"/>
        <v>2.9999999232000003</v>
      </c>
      <c r="I241" s="296"/>
      <c r="J241" s="25"/>
      <c r="K241" s="190">
        <v>15.46</v>
      </c>
      <c r="L241" s="236">
        <v>7761966</v>
      </c>
      <c r="M241" s="236">
        <v>12000</v>
      </c>
    </row>
    <row r="242" spans="1:17">
      <c r="C242" s="11" t="str">
        <f t="shared" si="29"/>
        <v/>
      </c>
      <c r="D242" s="11">
        <f t="shared" si="30"/>
        <v>16.47</v>
      </c>
      <c r="E242" s="11">
        <f t="shared" si="31"/>
        <v>3</v>
      </c>
      <c r="F242" s="10" t="str">
        <f t="shared" si="32"/>
        <v/>
      </c>
      <c r="G242" s="10" t="str">
        <f t="shared" si="33"/>
        <v/>
      </c>
      <c r="I242" s="296">
        <v>24</v>
      </c>
      <c r="J242" s="203" t="s">
        <v>152</v>
      </c>
      <c r="K242" s="190">
        <v>15.96</v>
      </c>
      <c r="L242" s="236">
        <v>18796992</v>
      </c>
      <c r="M242" s="236">
        <v>30000</v>
      </c>
    </row>
    <row r="243" spans="1:17">
      <c r="C243" s="11" t="str">
        <f t="shared" si="29"/>
        <v>兴证证券资产管理有限公司</v>
      </c>
      <c r="D243" s="11">
        <f t="shared" si="30"/>
        <v>13.3</v>
      </c>
      <c r="E243" s="11">
        <f t="shared" si="31"/>
        <v>1.7</v>
      </c>
      <c r="F243" s="10" t="str">
        <f t="shared" si="32"/>
        <v/>
      </c>
      <c r="G243" s="10" t="str">
        <f t="shared" si="33"/>
        <v/>
      </c>
      <c r="I243" s="296"/>
      <c r="J243" s="25"/>
      <c r="K243" s="190">
        <v>16.47</v>
      </c>
      <c r="L243" s="236">
        <v>18214936</v>
      </c>
      <c r="M243" s="236">
        <v>30000</v>
      </c>
    </row>
    <row r="244" spans="1:17">
      <c r="C244" s="11" t="str">
        <f t="shared" si="29"/>
        <v>财通基金管理有限公司</v>
      </c>
      <c r="D244" s="11">
        <f t="shared" si="30"/>
        <v>14.78</v>
      </c>
      <c r="E244" s="11">
        <f t="shared" si="31"/>
        <v>3</v>
      </c>
      <c r="F244" s="10" t="str">
        <f t="shared" si="32"/>
        <v/>
      </c>
      <c r="G244" s="10" t="str">
        <f t="shared" si="33"/>
        <v/>
      </c>
      <c r="I244" s="168">
        <v>25</v>
      </c>
      <c r="J244" s="204" t="s">
        <v>150</v>
      </c>
      <c r="K244" s="190">
        <v>13.3</v>
      </c>
      <c r="L244" s="236">
        <v>12781954</v>
      </c>
      <c r="M244" s="236">
        <v>17000</v>
      </c>
    </row>
    <row r="245" spans="1:17">
      <c r="C245" s="11" t="str">
        <f t="shared" si="29"/>
        <v/>
      </c>
      <c r="D245" s="11">
        <f t="shared" si="30"/>
        <v>15.8</v>
      </c>
      <c r="E245" s="11">
        <f t="shared" si="31"/>
        <v>1.68</v>
      </c>
      <c r="F245" s="10" t="str">
        <f t="shared" si="32"/>
        <v/>
      </c>
      <c r="G245" s="11"/>
      <c r="I245" s="296">
        <v>26</v>
      </c>
      <c r="J245" s="203" t="s">
        <v>115</v>
      </c>
      <c r="K245" s="190">
        <v>14.78</v>
      </c>
      <c r="L245" s="236">
        <v>20297699</v>
      </c>
      <c r="M245" s="236">
        <v>30000</v>
      </c>
    </row>
    <row r="246" spans="1:17">
      <c r="C246" s="11" t="str">
        <f t="shared" si="29"/>
        <v>北信瑞丰基金管理有限公司</v>
      </c>
      <c r="D246" s="11">
        <f t="shared" si="30"/>
        <v>13.51</v>
      </c>
      <c r="E246" s="11">
        <f t="shared" si="31"/>
        <v>1.89</v>
      </c>
      <c r="F246" s="10" t="str">
        <f t="shared" si="32"/>
        <v/>
      </c>
      <c r="G246" s="11"/>
      <c r="I246" s="296"/>
      <c r="J246" s="25"/>
      <c r="K246" s="190">
        <v>15.8</v>
      </c>
      <c r="L246" s="236">
        <v>10632911</v>
      </c>
      <c r="M246" s="236">
        <v>16800</v>
      </c>
    </row>
    <row r="247" spans="1:17">
      <c r="C247" s="11" t="str">
        <f t="shared" si="29"/>
        <v>台州泓石汇泉投资管理合伙企业（有限合伙）</v>
      </c>
      <c r="D247" s="11">
        <f t="shared" si="30"/>
        <v>15.55</v>
      </c>
      <c r="E247" s="11">
        <f t="shared" si="31"/>
        <v>1.2</v>
      </c>
      <c r="F247" s="10" t="str">
        <f t="shared" si="32"/>
        <v/>
      </c>
      <c r="G247" s="11"/>
      <c r="I247" s="168">
        <v>27</v>
      </c>
      <c r="J247" s="204" t="s">
        <v>336</v>
      </c>
      <c r="K247" s="190">
        <v>13.51</v>
      </c>
      <c r="L247" s="236">
        <v>13989637</v>
      </c>
      <c r="M247" s="236">
        <v>18900</v>
      </c>
    </row>
    <row r="248" spans="1:17">
      <c r="I248" s="296">
        <v>28</v>
      </c>
      <c r="J248" s="204" t="s">
        <v>1952</v>
      </c>
      <c r="K248" s="296">
        <v>15.55</v>
      </c>
      <c r="L248" s="275">
        <v>7717041</v>
      </c>
      <c r="M248" s="275">
        <v>12000</v>
      </c>
    </row>
    <row r="249" spans="1:17">
      <c r="C249" s="24" t="str">
        <f>IF(J250=0,"",J250)</f>
        <v/>
      </c>
      <c r="I249" s="25"/>
      <c r="J249" s="25"/>
      <c r="K249" s="25"/>
      <c r="L249" s="25"/>
      <c r="M249" s="25"/>
    </row>
    <row r="251" spans="1:17" s="162" customFormat="1">
      <c r="A251" s="164" t="s">
        <v>1315</v>
      </c>
      <c r="B251" s="164"/>
      <c r="C251" s="164" t="s">
        <v>107</v>
      </c>
      <c r="D251" s="164" t="s">
        <v>4</v>
      </c>
      <c r="E251" s="166" t="s">
        <v>108</v>
      </c>
      <c r="F251" s="166" t="s">
        <v>109</v>
      </c>
      <c r="G251" s="164" t="s">
        <v>1314</v>
      </c>
      <c r="H251" s="164" t="s">
        <v>1313</v>
      </c>
      <c r="I251" s="165" t="s">
        <v>1312</v>
      </c>
      <c r="J251" s="163" t="s">
        <v>1311</v>
      </c>
      <c r="K251" s="163" t="s">
        <v>110</v>
      </c>
      <c r="L251" s="163" t="s">
        <v>1310</v>
      </c>
      <c r="M251" s="164" t="s">
        <v>111</v>
      </c>
      <c r="N251" s="163" t="s">
        <v>949</v>
      </c>
      <c r="O251" s="163" t="s">
        <v>948</v>
      </c>
      <c r="P251" s="163" t="s">
        <v>129</v>
      </c>
    </row>
    <row r="252" spans="1:17">
      <c r="A252" s="24">
        <v>323</v>
      </c>
      <c r="B252" s="329" t="s">
        <v>1951</v>
      </c>
      <c r="C252" s="1" t="s">
        <v>1950</v>
      </c>
      <c r="D252" s="1" t="s">
        <v>1949</v>
      </c>
      <c r="E252" s="3">
        <v>11.739649999999999</v>
      </c>
      <c r="F252" s="3">
        <v>11.7396499394</v>
      </c>
      <c r="G252" s="2">
        <v>42730</v>
      </c>
      <c r="H252" s="24" t="s">
        <v>151</v>
      </c>
      <c r="I252" s="130">
        <v>8.75</v>
      </c>
      <c r="J252" s="3">
        <v>7.03</v>
      </c>
      <c r="K252" s="160">
        <v>5.95</v>
      </c>
      <c r="L252" s="271">
        <v>0.80342857142857149</v>
      </c>
      <c r="M252" s="270">
        <v>8</v>
      </c>
      <c r="N252" s="2">
        <v>43125</v>
      </c>
      <c r="O252" s="24">
        <v>4.7699999999999996</v>
      </c>
      <c r="P252" s="157">
        <v>0.67852062588904682</v>
      </c>
    </row>
    <row r="253" spans="1:17" ht="16">
      <c r="C253" s="16" t="s">
        <v>112</v>
      </c>
      <c r="D253" s="16" t="s">
        <v>113</v>
      </c>
      <c r="E253" s="16" t="s">
        <v>1305</v>
      </c>
      <c r="F253" s="17" t="s">
        <v>1304</v>
      </c>
      <c r="G253" s="16" t="s">
        <v>1303</v>
      </c>
      <c r="I253" s="192" t="s">
        <v>118</v>
      </c>
      <c r="J253" s="339"/>
      <c r="K253" s="203" t="s">
        <v>488</v>
      </c>
      <c r="L253" s="203" t="s">
        <v>401</v>
      </c>
      <c r="M253" s="182"/>
      <c r="N253" s="85" t="s">
        <v>118</v>
      </c>
      <c r="O253" s="85" t="s">
        <v>349</v>
      </c>
      <c r="P253" s="85" t="s">
        <v>354</v>
      </c>
      <c r="Q253" s="85" t="s">
        <v>1300</v>
      </c>
    </row>
    <row r="254" spans="1:17">
      <c r="C254" s="11" t="str">
        <f t="shared" ref="C254:C282" si="34">IF(J256=0,"",J256)</f>
        <v>第一创业证券股份有限公司</v>
      </c>
      <c r="D254" s="11">
        <f t="shared" ref="D254:D281" si="35">K256</f>
        <v>7.03</v>
      </c>
      <c r="E254" s="11">
        <f t="shared" ref="E254:E281" si="36">L256/10000</f>
        <v>1.5</v>
      </c>
      <c r="F254" s="10">
        <f t="shared" ref="F254:F281" si="37">IFERROR(VLOOKUP(C254,O$254:Q$261,2,FALSE)/10000,"")</f>
        <v>2133.7125999999998</v>
      </c>
      <c r="G254" s="10">
        <f t="shared" ref="G254:G280" si="38">IFERROR(F254*J$252/10000,"")</f>
        <v>1.4999999577999998</v>
      </c>
      <c r="I254" s="192"/>
      <c r="J254" s="204" t="s">
        <v>7</v>
      </c>
      <c r="K254" s="203" t="s">
        <v>1948</v>
      </c>
      <c r="L254" s="203" t="s">
        <v>1333</v>
      </c>
      <c r="M254" s="182"/>
      <c r="N254" s="147">
        <v>1</v>
      </c>
      <c r="O254" s="148" t="s">
        <v>127</v>
      </c>
      <c r="P254" s="150">
        <v>21337126</v>
      </c>
      <c r="Q254" s="144">
        <v>149999995.78</v>
      </c>
    </row>
    <row r="255" spans="1:17">
      <c r="C255" s="11" t="str">
        <f t="shared" si="34"/>
        <v/>
      </c>
      <c r="D255" s="11">
        <f t="shared" si="35"/>
        <v>6.03</v>
      </c>
      <c r="E255" s="11">
        <f t="shared" si="36"/>
        <v>3</v>
      </c>
      <c r="F255" s="10" t="str">
        <f t="shared" si="37"/>
        <v/>
      </c>
      <c r="G255" s="10" t="str">
        <f t="shared" si="38"/>
        <v/>
      </c>
      <c r="I255" s="196" t="s">
        <v>1566</v>
      </c>
      <c r="J255" s="196"/>
      <c r="K255" s="196"/>
      <c r="L255" s="196"/>
      <c r="M255" s="196"/>
      <c r="N255" s="147">
        <v>2</v>
      </c>
      <c r="O255" s="148" t="s">
        <v>351</v>
      </c>
      <c r="P255" s="150">
        <v>17069701</v>
      </c>
      <c r="Q255" s="144">
        <v>119999998.03</v>
      </c>
    </row>
    <row r="256" spans="1:17" ht="14.5" customHeight="1">
      <c r="C256" s="11" t="str">
        <f t="shared" si="34"/>
        <v>民生通惠资产管理有限公司</v>
      </c>
      <c r="D256" s="11">
        <f t="shared" si="35"/>
        <v>7.05</v>
      </c>
      <c r="E256" s="11">
        <f t="shared" si="36"/>
        <v>1.2</v>
      </c>
      <c r="F256" s="10">
        <f t="shared" si="37"/>
        <v>1706.9701</v>
      </c>
      <c r="G256" s="10">
        <f t="shared" si="38"/>
        <v>1.1999999803000001</v>
      </c>
      <c r="I256" s="296">
        <v>1</v>
      </c>
      <c r="J256" s="331" t="s">
        <v>1370</v>
      </c>
      <c r="K256" s="191">
        <v>7.03</v>
      </c>
      <c r="L256" s="197">
        <v>15000</v>
      </c>
      <c r="M256" s="182"/>
      <c r="N256" s="147">
        <v>3</v>
      </c>
      <c r="O256" s="148" t="s">
        <v>666</v>
      </c>
      <c r="P256" s="150">
        <v>19957325</v>
      </c>
      <c r="Q256" s="144">
        <v>140299994.75</v>
      </c>
    </row>
    <row r="257" spans="3:17" ht="14.5" customHeight="1">
      <c r="C257" s="11" t="str">
        <f t="shared" si="34"/>
        <v/>
      </c>
      <c r="D257" s="11">
        <f t="shared" si="35"/>
        <v>6.56</v>
      </c>
      <c r="E257" s="11">
        <f t="shared" si="36"/>
        <v>1.5</v>
      </c>
      <c r="F257" s="10" t="str">
        <f t="shared" si="37"/>
        <v/>
      </c>
      <c r="G257" s="10" t="str">
        <f t="shared" si="38"/>
        <v/>
      </c>
      <c r="I257" s="296"/>
      <c r="J257" s="418"/>
      <c r="K257" s="191">
        <v>6.03</v>
      </c>
      <c r="L257" s="197">
        <v>30000</v>
      </c>
      <c r="M257" s="182"/>
      <c r="N257" s="147">
        <v>4</v>
      </c>
      <c r="O257" s="148" t="s">
        <v>300</v>
      </c>
      <c r="P257" s="150">
        <v>17069701</v>
      </c>
      <c r="Q257" s="144">
        <v>119999998.03</v>
      </c>
    </row>
    <row r="258" spans="3:17" ht="17">
      <c r="C258" s="11" t="str">
        <f t="shared" si="34"/>
        <v/>
      </c>
      <c r="D258" s="11">
        <f t="shared" si="35"/>
        <v>6.08</v>
      </c>
      <c r="E258" s="11">
        <f t="shared" si="36"/>
        <v>2</v>
      </c>
      <c r="F258" s="10" t="str">
        <f t="shared" si="37"/>
        <v/>
      </c>
      <c r="G258" s="10" t="str">
        <f t="shared" si="38"/>
        <v/>
      </c>
      <c r="I258" s="221"/>
      <c r="J258" s="330" t="s">
        <v>351</v>
      </c>
      <c r="K258" s="191">
        <v>7.05</v>
      </c>
      <c r="L258" s="197">
        <v>12000</v>
      </c>
      <c r="M258" s="182"/>
      <c r="N258" s="147">
        <v>5</v>
      </c>
      <c r="O258" s="148" t="s">
        <v>128</v>
      </c>
      <c r="P258" s="150">
        <v>16538409</v>
      </c>
      <c r="Q258" s="144">
        <v>116265015.27</v>
      </c>
    </row>
    <row r="259" spans="3:17">
      <c r="C259" s="11" t="str">
        <f t="shared" si="34"/>
        <v>东海证券股份有限公司</v>
      </c>
      <c r="D259" s="11">
        <f t="shared" si="35"/>
        <v>5.98</v>
      </c>
      <c r="E259" s="11">
        <f t="shared" si="36"/>
        <v>1.2</v>
      </c>
      <c r="F259" s="10" t="str">
        <f t="shared" si="37"/>
        <v/>
      </c>
      <c r="G259" s="10" t="str">
        <f t="shared" si="38"/>
        <v/>
      </c>
      <c r="I259" s="168">
        <v>2</v>
      </c>
      <c r="J259" s="348"/>
      <c r="K259" s="191">
        <v>6.56</v>
      </c>
      <c r="L259" s="197">
        <v>15000</v>
      </c>
      <c r="M259" s="182"/>
      <c r="N259" s="147">
        <v>6</v>
      </c>
      <c r="O259" s="148" t="s">
        <v>1946</v>
      </c>
      <c r="P259" s="417">
        <v>17069701</v>
      </c>
      <c r="Q259" s="416">
        <v>119999998.03</v>
      </c>
    </row>
    <row r="260" spans="3:17">
      <c r="C260" s="11" t="str">
        <f t="shared" si="34"/>
        <v>九泰基金管理有限公司</v>
      </c>
      <c r="D260" s="11">
        <f t="shared" si="35"/>
        <v>7.06</v>
      </c>
      <c r="E260" s="11">
        <f t="shared" si="36"/>
        <v>1.403</v>
      </c>
      <c r="F260" s="10">
        <f t="shared" si="37"/>
        <v>1995.7325000000001</v>
      </c>
      <c r="G260" s="10">
        <f t="shared" si="38"/>
        <v>1.4029999475000001</v>
      </c>
      <c r="I260" s="64"/>
      <c r="J260" s="348"/>
      <c r="K260" s="191">
        <v>6.08</v>
      </c>
      <c r="L260" s="197">
        <v>20000</v>
      </c>
      <c r="M260" s="182"/>
      <c r="N260" s="147">
        <v>7</v>
      </c>
      <c r="O260" s="148" t="s">
        <v>115</v>
      </c>
      <c r="P260" s="417">
        <v>39459459</v>
      </c>
      <c r="Q260" s="416">
        <v>277399996.76999998</v>
      </c>
    </row>
    <row r="261" spans="3:17">
      <c r="C261" s="11" t="str">
        <f t="shared" si="34"/>
        <v/>
      </c>
      <c r="D261" s="11">
        <f t="shared" si="35"/>
        <v>6.44</v>
      </c>
      <c r="E261" s="11">
        <f t="shared" si="36"/>
        <v>1.45</v>
      </c>
      <c r="F261" s="10" t="str">
        <f t="shared" si="37"/>
        <v/>
      </c>
      <c r="G261" s="10" t="str">
        <f t="shared" si="38"/>
        <v/>
      </c>
      <c r="I261" s="168">
        <v>3</v>
      </c>
      <c r="J261" s="204" t="s">
        <v>6</v>
      </c>
      <c r="K261" s="191">
        <v>5.98</v>
      </c>
      <c r="L261" s="197">
        <v>12000</v>
      </c>
      <c r="M261" s="182"/>
      <c r="N261" s="147">
        <v>8</v>
      </c>
      <c r="O261" s="148" t="s">
        <v>122</v>
      </c>
      <c r="P261" s="417">
        <v>18492176</v>
      </c>
      <c r="Q261" s="416">
        <v>129999997.28</v>
      </c>
    </row>
    <row r="262" spans="3:17" ht="17">
      <c r="C262" s="11" t="str">
        <f t="shared" si="34"/>
        <v/>
      </c>
      <c r="D262" s="11">
        <f t="shared" si="35"/>
        <v>6.11</v>
      </c>
      <c r="E262" s="11">
        <f t="shared" si="36"/>
        <v>1.5329999999999999</v>
      </c>
      <c r="F262" s="10" t="str">
        <f t="shared" si="37"/>
        <v/>
      </c>
      <c r="G262" s="10" t="str">
        <f t="shared" si="38"/>
        <v/>
      </c>
      <c r="I262" s="221"/>
      <c r="J262" s="330" t="s">
        <v>666</v>
      </c>
      <c r="K262" s="191">
        <v>7.06</v>
      </c>
      <c r="L262" s="197">
        <v>14030</v>
      </c>
      <c r="M262" s="294"/>
    </row>
    <row r="263" spans="3:17">
      <c r="C263" s="11" t="str">
        <f t="shared" si="34"/>
        <v>兴证证券资产管理有限公司</v>
      </c>
      <c r="D263" s="11">
        <f t="shared" si="35"/>
        <v>6.85</v>
      </c>
      <c r="E263" s="11">
        <f t="shared" si="36"/>
        <v>1.27</v>
      </c>
      <c r="F263" s="10" t="str">
        <f t="shared" si="37"/>
        <v/>
      </c>
      <c r="G263" s="10" t="str">
        <f t="shared" si="38"/>
        <v/>
      </c>
      <c r="I263" s="168">
        <v>4</v>
      </c>
      <c r="J263" s="25"/>
      <c r="K263" s="191">
        <v>6.44</v>
      </c>
      <c r="L263" s="197">
        <v>14500</v>
      </c>
      <c r="M263" s="294"/>
    </row>
    <row r="264" spans="3:17">
      <c r="C264" s="11" t="str">
        <f t="shared" si="34"/>
        <v/>
      </c>
      <c r="D264" s="11">
        <f t="shared" si="35"/>
        <v>6.51</v>
      </c>
      <c r="E264" s="11">
        <f t="shared" si="36"/>
        <v>1.79</v>
      </c>
      <c r="F264" s="10" t="str">
        <f t="shared" si="37"/>
        <v/>
      </c>
      <c r="G264" s="10" t="str">
        <f t="shared" si="38"/>
        <v/>
      </c>
      <c r="I264" s="64"/>
      <c r="J264" s="64"/>
      <c r="K264" s="191">
        <v>6.11</v>
      </c>
      <c r="L264" s="197">
        <v>15330</v>
      </c>
      <c r="M264" s="294"/>
    </row>
    <row r="265" spans="3:17" ht="17">
      <c r="C265" s="11" t="str">
        <f t="shared" si="34"/>
        <v/>
      </c>
      <c r="D265" s="11">
        <f t="shared" si="35"/>
        <v>6.1</v>
      </c>
      <c r="E265" s="11">
        <f t="shared" si="36"/>
        <v>2.46</v>
      </c>
      <c r="F265" s="10" t="str">
        <f t="shared" si="37"/>
        <v/>
      </c>
      <c r="G265" s="10" t="str">
        <f t="shared" si="38"/>
        <v/>
      </c>
      <c r="I265" s="221"/>
      <c r="J265" s="203" t="s">
        <v>150</v>
      </c>
      <c r="K265" s="191">
        <v>6.85</v>
      </c>
      <c r="L265" s="197">
        <v>12700</v>
      </c>
      <c r="M265" s="294"/>
    </row>
    <row r="266" spans="3:17">
      <c r="C266" s="11" t="str">
        <f t="shared" si="34"/>
        <v>信诚基金管理有限公司</v>
      </c>
      <c r="D266" s="11">
        <f t="shared" si="35"/>
        <v>7.05</v>
      </c>
      <c r="E266" s="11">
        <f t="shared" si="36"/>
        <v>1.2</v>
      </c>
      <c r="F266" s="10">
        <f t="shared" si="37"/>
        <v>1706.9701</v>
      </c>
      <c r="G266" s="10">
        <f t="shared" si="38"/>
        <v>1.1999999803000001</v>
      </c>
      <c r="I266" s="168">
        <v>5</v>
      </c>
      <c r="J266" s="25"/>
      <c r="K266" s="191">
        <v>6.51</v>
      </c>
      <c r="L266" s="197">
        <v>17900</v>
      </c>
      <c r="M266" s="294"/>
    </row>
    <row r="267" spans="3:17">
      <c r="C267" s="11" t="str">
        <f t="shared" si="34"/>
        <v>东海基金管理有限责任公司</v>
      </c>
      <c r="D267" s="11">
        <f t="shared" si="35"/>
        <v>7.03</v>
      </c>
      <c r="E267" s="11">
        <f t="shared" si="36"/>
        <v>1.2</v>
      </c>
      <c r="F267" s="10">
        <f t="shared" si="37"/>
        <v>1653.8408999999999</v>
      </c>
      <c r="G267" s="10">
        <f t="shared" si="38"/>
        <v>1.1626501526999999</v>
      </c>
      <c r="I267" s="64"/>
      <c r="J267" s="64"/>
      <c r="K267" s="191">
        <v>6.1</v>
      </c>
      <c r="L267" s="197">
        <v>24600</v>
      </c>
      <c r="M267" s="294"/>
    </row>
    <row r="268" spans="3:17" ht="14" customHeight="1">
      <c r="C268" s="11" t="str">
        <f t="shared" si="34"/>
        <v/>
      </c>
      <c r="D268" s="11">
        <f t="shared" si="35"/>
        <v>6.8</v>
      </c>
      <c r="E268" s="11">
        <f t="shared" si="36"/>
        <v>1.3</v>
      </c>
      <c r="F268" s="10" t="str">
        <f t="shared" si="37"/>
        <v/>
      </c>
      <c r="G268" s="10" t="str">
        <f t="shared" si="38"/>
        <v/>
      </c>
      <c r="I268" s="296">
        <v>6</v>
      </c>
      <c r="J268" s="330" t="s">
        <v>300</v>
      </c>
      <c r="K268" s="191">
        <v>7.05</v>
      </c>
      <c r="L268" s="197">
        <v>12000</v>
      </c>
      <c r="M268" s="294"/>
    </row>
    <row r="269" spans="3:17" ht="14.5" customHeight="1">
      <c r="C269" s="11" t="str">
        <f t="shared" si="34"/>
        <v/>
      </c>
      <c r="D269" s="11">
        <f t="shared" si="35"/>
        <v>6.4</v>
      </c>
      <c r="E269" s="11">
        <f t="shared" si="36"/>
        <v>1.35</v>
      </c>
      <c r="F269" s="10" t="str">
        <f t="shared" si="37"/>
        <v/>
      </c>
      <c r="G269" s="10" t="str">
        <f t="shared" si="38"/>
        <v/>
      </c>
      <c r="I269" s="168">
        <v>7</v>
      </c>
      <c r="J269" s="330" t="s">
        <v>128</v>
      </c>
      <c r="K269" s="191">
        <v>7.03</v>
      </c>
      <c r="L269" s="197">
        <v>12000</v>
      </c>
      <c r="M269" s="294"/>
    </row>
    <row r="270" spans="3:17">
      <c r="C270" s="11" t="str">
        <f t="shared" si="34"/>
        <v>诺安基金管理有限公司</v>
      </c>
      <c r="D270" s="11">
        <f t="shared" si="35"/>
        <v>5.96</v>
      </c>
      <c r="E270" s="11">
        <f t="shared" si="36"/>
        <v>1.2</v>
      </c>
      <c r="F270" s="10" t="str">
        <f t="shared" si="37"/>
        <v/>
      </c>
      <c r="G270" s="10" t="str">
        <f t="shared" si="38"/>
        <v/>
      </c>
      <c r="I270" s="25"/>
      <c r="J270" s="348"/>
      <c r="K270" s="191">
        <v>6.8</v>
      </c>
      <c r="L270" s="197">
        <v>13000</v>
      </c>
      <c r="M270" s="294"/>
    </row>
    <row r="271" spans="3:17">
      <c r="C271" s="11" t="str">
        <f t="shared" si="34"/>
        <v>杨相如</v>
      </c>
      <c r="D271" s="11">
        <f t="shared" si="35"/>
        <v>6.35</v>
      </c>
      <c r="E271" s="11">
        <f t="shared" si="36"/>
        <v>1.2529999999999999</v>
      </c>
      <c r="F271" s="10" t="str">
        <f t="shared" si="37"/>
        <v/>
      </c>
      <c r="G271" s="10" t="str">
        <f t="shared" si="38"/>
        <v/>
      </c>
      <c r="I271" s="64"/>
      <c r="J271" s="348"/>
      <c r="K271" s="191">
        <v>6.4</v>
      </c>
      <c r="L271" s="197">
        <v>13500</v>
      </c>
      <c r="M271" s="294"/>
    </row>
    <row r="272" spans="3:17">
      <c r="C272" s="11" t="str">
        <f t="shared" si="34"/>
        <v/>
      </c>
      <c r="D272" s="11">
        <f t="shared" si="35"/>
        <v>6.3</v>
      </c>
      <c r="E272" s="11">
        <f t="shared" si="36"/>
        <v>1.3</v>
      </c>
      <c r="F272" s="10" t="str">
        <f t="shared" si="37"/>
        <v/>
      </c>
      <c r="G272" s="10" t="str">
        <f t="shared" si="38"/>
        <v/>
      </c>
      <c r="I272" s="168">
        <v>8</v>
      </c>
      <c r="J272" s="204" t="s">
        <v>147</v>
      </c>
      <c r="K272" s="191">
        <v>5.96</v>
      </c>
      <c r="L272" s="197">
        <v>12000</v>
      </c>
      <c r="M272" s="294"/>
    </row>
    <row r="273" spans="1:19">
      <c r="C273" s="11" t="str">
        <f t="shared" si="34"/>
        <v>深圳市瑞丰林投资管理中心（有限合伙）</v>
      </c>
      <c r="D273" s="11">
        <f t="shared" si="35"/>
        <v>7.16</v>
      </c>
      <c r="E273" s="11">
        <f t="shared" si="36"/>
        <v>1.2</v>
      </c>
      <c r="F273" s="10">
        <f t="shared" si="37"/>
        <v>1706.9701</v>
      </c>
      <c r="G273" s="10">
        <f t="shared" si="38"/>
        <v>1.1999999803000001</v>
      </c>
      <c r="I273" s="296">
        <v>9</v>
      </c>
      <c r="J273" s="204" t="s">
        <v>1947</v>
      </c>
      <c r="K273" s="191">
        <v>6.35</v>
      </c>
      <c r="L273" s="197">
        <v>12530</v>
      </c>
      <c r="M273" s="294"/>
    </row>
    <row r="274" spans="1:19">
      <c r="C274" s="11" t="str">
        <f t="shared" si="34"/>
        <v/>
      </c>
      <c r="D274" s="11">
        <f t="shared" si="35"/>
        <v>6.38</v>
      </c>
      <c r="E274" s="11">
        <f t="shared" si="36"/>
        <v>1.2010000000000001</v>
      </c>
      <c r="F274" s="10" t="str">
        <f t="shared" si="37"/>
        <v/>
      </c>
      <c r="G274" s="10" t="str">
        <f t="shared" si="38"/>
        <v/>
      </c>
      <c r="I274" s="296"/>
      <c r="J274" s="25"/>
      <c r="K274" s="191">
        <v>6.3</v>
      </c>
      <c r="L274" s="197">
        <v>13000</v>
      </c>
      <c r="M274" s="294"/>
    </row>
    <row r="275" spans="1:19">
      <c r="C275" s="11" t="str">
        <f t="shared" si="34"/>
        <v/>
      </c>
      <c r="D275" s="11">
        <f t="shared" si="35"/>
        <v>6.16</v>
      </c>
      <c r="E275" s="11">
        <f t="shared" si="36"/>
        <v>1.202</v>
      </c>
      <c r="F275" s="10" t="str">
        <f t="shared" si="37"/>
        <v/>
      </c>
      <c r="G275" s="10" t="str">
        <f t="shared" si="38"/>
        <v/>
      </c>
      <c r="I275" s="191">
        <v>10</v>
      </c>
      <c r="J275" s="330" t="s">
        <v>1946</v>
      </c>
      <c r="K275" s="191">
        <v>7.16</v>
      </c>
      <c r="L275" s="197">
        <v>12000</v>
      </c>
      <c r="M275" s="294"/>
    </row>
    <row r="276" spans="1:19" ht="24" customHeight="1">
      <c r="C276" s="11" t="str">
        <f t="shared" si="34"/>
        <v>东吴基金管理有限公司</v>
      </c>
      <c r="D276" s="11">
        <f t="shared" si="35"/>
        <v>7.01</v>
      </c>
      <c r="E276" s="11">
        <f t="shared" si="36"/>
        <v>1.2</v>
      </c>
      <c r="F276" s="10" t="str">
        <f t="shared" si="37"/>
        <v/>
      </c>
      <c r="G276" s="10" t="str">
        <f t="shared" si="38"/>
        <v/>
      </c>
      <c r="I276" s="25"/>
      <c r="J276" s="348"/>
      <c r="K276" s="191">
        <v>6.38</v>
      </c>
      <c r="L276" s="197">
        <v>12010</v>
      </c>
      <c r="M276" s="294"/>
    </row>
    <row r="277" spans="1:19">
      <c r="C277" s="11" t="str">
        <f t="shared" si="34"/>
        <v>财通基金管理有限公司</v>
      </c>
      <c r="D277" s="11">
        <f t="shared" si="35"/>
        <v>7.62</v>
      </c>
      <c r="E277" s="11">
        <f t="shared" si="36"/>
        <v>1.4610000000000001</v>
      </c>
      <c r="F277" s="10">
        <f t="shared" si="37"/>
        <v>3945.9459000000002</v>
      </c>
      <c r="G277" s="10">
        <f t="shared" si="38"/>
        <v>2.7739999677000005</v>
      </c>
      <c r="I277" s="64"/>
      <c r="J277" s="348"/>
      <c r="K277" s="191">
        <v>6.16</v>
      </c>
      <c r="L277" s="197">
        <v>12020</v>
      </c>
      <c r="M277" s="294"/>
    </row>
    <row r="278" spans="1:19">
      <c r="C278" s="11" t="str">
        <f t="shared" si="34"/>
        <v/>
      </c>
      <c r="D278" s="11">
        <f t="shared" si="35"/>
        <v>7.26</v>
      </c>
      <c r="E278" s="11">
        <f t="shared" si="36"/>
        <v>2.774</v>
      </c>
      <c r="F278" s="10" t="str">
        <f t="shared" si="37"/>
        <v/>
      </c>
      <c r="G278" s="10" t="str">
        <f t="shared" si="38"/>
        <v/>
      </c>
      <c r="I278" s="168">
        <v>11</v>
      </c>
      <c r="J278" s="204" t="s">
        <v>974</v>
      </c>
      <c r="K278" s="191">
        <v>7.01</v>
      </c>
      <c r="L278" s="197">
        <v>12000</v>
      </c>
      <c r="M278" s="294"/>
    </row>
    <row r="279" spans="1:19">
      <c r="C279" s="11" t="str">
        <f t="shared" si="34"/>
        <v/>
      </c>
      <c r="D279" s="11">
        <f t="shared" si="35"/>
        <v>6.82</v>
      </c>
      <c r="E279" s="11">
        <f t="shared" si="36"/>
        <v>3.3570000000000002</v>
      </c>
      <c r="F279" s="10" t="str">
        <f t="shared" si="37"/>
        <v/>
      </c>
      <c r="G279" s="10" t="str">
        <f t="shared" si="38"/>
        <v/>
      </c>
      <c r="I279" s="191">
        <v>12</v>
      </c>
      <c r="J279" s="330" t="s">
        <v>115</v>
      </c>
      <c r="K279" s="191">
        <v>7.62</v>
      </c>
      <c r="L279" s="197">
        <v>14610</v>
      </c>
      <c r="M279" s="294"/>
    </row>
    <row r="280" spans="1:19">
      <c r="C280" s="11" t="str">
        <f t="shared" si="34"/>
        <v>华泰柏瑞基金管理有限公司</v>
      </c>
      <c r="D280" s="11">
        <f t="shared" si="35"/>
        <v>7.13</v>
      </c>
      <c r="E280" s="11">
        <f t="shared" si="36"/>
        <v>1.3</v>
      </c>
      <c r="F280" s="10">
        <f t="shared" si="37"/>
        <v>1849.2175999999999</v>
      </c>
      <c r="G280" s="10">
        <f t="shared" si="38"/>
        <v>1.2999999728</v>
      </c>
      <c r="I280" s="25"/>
      <c r="J280" s="25"/>
      <c r="K280" s="191">
        <v>7.26</v>
      </c>
      <c r="L280" s="197">
        <v>27740</v>
      </c>
      <c r="M280" s="294"/>
    </row>
    <row r="281" spans="1:19">
      <c r="C281" s="11" t="str">
        <f t="shared" si="34"/>
        <v/>
      </c>
      <c r="D281" s="11">
        <f t="shared" si="35"/>
        <v>6.28</v>
      </c>
      <c r="E281" s="11">
        <f t="shared" si="36"/>
        <v>2.1</v>
      </c>
      <c r="F281" s="11" t="str">
        <f t="shared" si="37"/>
        <v/>
      </c>
      <c r="G281" s="11"/>
      <c r="I281" s="64"/>
      <c r="J281" s="64"/>
      <c r="K281" s="191">
        <v>6.82</v>
      </c>
      <c r="L281" s="197">
        <v>33570</v>
      </c>
      <c r="M281" s="294"/>
    </row>
    <row r="282" spans="1:19">
      <c r="C282" s="24" t="str">
        <f t="shared" si="34"/>
        <v/>
      </c>
      <c r="I282" s="296">
        <v>13</v>
      </c>
      <c r="J282" s="331" t="s">
        <v>1365</v>
      </c>
      <c r="K282" s="191">
        <v>7.13</v>
      </c>
      <c r="L282" s="197">
        <v>13000</v>
      </c>
      <c r="M282" s="294"/>
    </row>
    <row r="283" spans="1:19" ht="14.5" customHeight="1">
      <c r="I283" s="296"/>
      <c r="J283" s="415"/>
      <c r="K283" s="191">
        <v>6.28</v>
      </c>
      <c r="L283" s="197">
        <v>21000</v>
      </c>
      <c r="M283" s="294"/>
    </row>
    <row r="284" spans="1:19" ht="14.5" customHeight="1">
      <c r="M284" s="294"/>
    </row>
    <row r="285" spans="1:19" s="162" customFormat="1">
      <c r="A285" s="164" t="s">
        <v>1315</v>
      </c>
      <c r="B285" s="164"/>
      <c r="C285" s="164" t="s">
        <v>107</v>
      </c>
      <c r="D285" s="164" t="s">
        <v>4</v>
      </c>
      <c r="E285" s="166" t="s">
        <v>108</v>
      </c>
      <c r="F285" s="166" t="s">
        <v>109</v>
      </c>
      <c r="G285" s="164" t="s">
        <v>1314</v>
      </c>
      <c r="H285" s="164" t="s">
        <v>1313</v>
      </c>
      <c r="I285" s="165" t="s">
        <v>1312</v>
      </c>
      <c r="J285" s="163" t="s">
        <v>1311</v>
      </c>
      <c r="K285" s="163" t="s">
        <v>110</v>
      </c>
      <c r="L285" s="163" t="s">
        <v>1310</v>
      </c>
      <c r="M285" s="164" t="s">
        <v>111</v>
      </c>
      <c r="N285" s="163" t="s">
        <v>949</v>
      </c>
      <c r="O285" s="163" t="s">
        <v>948</v>
      </c>
      <c r="P285" s="163" t="s">
        <v>129</v>
      </c>
    </row>
    <row r="286" spans="1:19">
      <c r="A286" s="24">
        <v>324</v>
      </c>
      <c r="B286" s="329" t="s">
        <v>1945</v>
      </c>
      <c r="C286" s="1" t="s">
        <v>1944</v>
      </c>
      <c r="D286" s="1" t="s">
        <v>1943</v>
      </c>
      <c r="E286" s="3">
        <v>150</v>
      </c>
      <c r="F286" s="3">
        <v>149.99999980800001</v>
      </c>
      <c r="G286" s="2">
        <v>42734</v>
      </c>
      <c r="H286" s="24" t="s">
        <v>151</v>
      </c>
      <c r="I286" s="130">
        <v>23.25</v>
      </c>
      <c r="J286" s="3">
        <v>22.8</v>
      </c>
      <c r="K286" s="160">
        <v>14.2</v>
      </c>
      <c r="L286" s="271">
        <v>0.98064516129032264</v>
      </c>
      <c r="M286" s="270">
        <v>8</v>
      </c>
      <c r="N286" s="2">
        <v>43119</v>
      </c>
      <c r="O286" s="24">
        <v>32.83</v>
      </c>
      <c r="P286" s="157">
        <v>1.5122807017543858</v>
      </c>
    </row>
    <row r="287" spans="1:19">
      <c r="C287" s="16" t="s">
        <v>112</v>
      </c>
      <c r="D287" s="16" t="s">
        <v>113</v>
      </c>
      <c r="E287" s="16" t="s">
        <v>1305</v>
      </c>
      <c r="F287" s="17" t="s">
        <v>1304</v>
      </c>
      <c r="G287" s="16" t="s">
        <v>1303</v>
      </c>
      <c r="I287" s="196" t="s">
        <v>118</v>
      </c>
      <c r="J287" s="196" t="s">
        <v>1942</v>
      </c>
      <c r="K287" s="196" t="s">
        <v>1941</v>
      </c>
      <c r="L287" s="196" t="s">
        <v>488</v>
      </c>
      <c r="M287" s="196" t="s">
        <v>475</v>
      </c>
      <c r="N287" s="25"/>
      <c r="O287" s="196" t="s">
        <v>118</v>
      </c>
      <c r="P287" s="183"/>
      <c r="Q287" s="183"/>
      <c r="R287" s="183"/>
      <c r="S287" s="183"/>
    </row>
    <row r="288" spans="1:19">
      <c r="C288" s="11" t="str">
        <f t="shared" ref="C288:C319" si="39">IF(J289=0,"",J289)</f>
        <v>中原股权投资管理有限公司</v>
      </c>
      <c r="D288" s="11">
        <f t="shared" ref="D288:D319" si="40">L289</f>
        <v>26.4</v>
      </c>
      <c r="E288" s="10">
        <f t="shared" ref="E288:E319" si="41">M289/100000000</f>
        <v>20.0001</v>
      </c>
      <c r="F288" s="10">
        <f t="shared" ref="F288:F319" si="42">IFERROR(VLOOKUP(C288,P$289:S$297,3,FALSE)/10000,"")</f>
        <v>8771.9735999999994</v>
      </c>
      <c r="G288" s="10">
        <f t="shared" ref="G288:G319" si="43">IFERROR(F288*J$286/10000,"")</f>
        <v>20.000099807999998</v>
      </c>
      <c r="I288" s="196"/>
      <c r="J288" s="196"/>
      <c r="K288" s="196"/>
      <c r="L288" s="196" t="s">
        <v>1389</v>
      </c>
      <c r="M288" s="196"/>
      <c r="N288" s="25"/>
      <c r="O288" s="196"/>
      <c r="P288" s="225" t="s">
        <v>7</v>
      </c>
      <c r="Q288" s="85" t="s">
        <v>1940</v>
      </c>
      <c r="R288" s="85" t="s">
        <v>354</v>
      </c>
      <c r="S288" s="85" t="s">
        <v>1298</v>
      </c>
    </row>
    <row r="289" spans="3:19">
      <c r="C289" s="11" t="str">
        <f t="shared" si="39"/>
        <v/>
      </c>
      <c r="D289" s="11">
        <f t="shared" si="40"/>
        <v>26.2</v>
      </c>
      <c r="E289" s="10">
        <f t="shared" si="41"/>
        <v>20.0001</v>
      </c>
      <c r="F289" s="10" t="str">
        <f t="shared" si="42"/>
        <v/>
      </c>
      <c r="G289" s="10" t="str">
        <f t="shared" si="43"/>
        <v/>
      </c>
      <c r="I289" s="168">
        <v>1</v>
      </c>
      <c r="J289" s="192" t="s">
        <v>1064</v>
      </c>
      <c r="K289" s="203" t="s">
        <v>1917</v>
      </c>
      <c r="L289" s="168">
        <v>26.4</v>
      </c>
      <c r="M289" s="234">
        <v>2000010000</v>
      </c>
      <c r="N289" s="25"/>
      <c r="O289" s="296">
        <v>1</v>
      </c>
      <c r="P289" s="192" t="s">
        <v>1939</v>
      </c>
      <c r="Q289" s="204" t="s">
        <v>1938</v>
      </c>
      <c r="R289" s="275">
        <v>131578947</v>
      </c>
      <c r="S289" s="297">
        <v>2999999991.5999999</v>
      </c>
    </row>
    <row r="290" spans="3:19">
      <c r="C290" s="11" t="str">
        <f t="shared" si="39"/>
        <v/>
      </c>
      <c r="D290" s="11">
        <f t="shared" si="40"/>
        <v>26</v>
      </c>
      <c r="E290" s="10">
        <f t="shared" si="41"/>
        <v>20.0001</v>
      </c>
      <c r="F290" s="10" t="str">
        <f t="shared" si="42"/>
        <v/>
      </c>
      <c r="G290" s="10" t="str">
        <f t="shared" si="43"/>
        <v/>
      </c>
      <c r="I290" s="25"/>
      <c r="J290" s="25"/>
      <c r="K290" s="25"/>
      <c r="L290" s="168">
        <v>26.2</v>
      </c>
      <c r="M290" s="234">
        <v>2000010000</v>
      </c>
      <c r="N290" s="25"/>
      <c r="O290" s="296"/>
      <c r="P290" s="192"/>
      <c r="Q290" s="204"/>
      <c r="R290" s="275"/>
      <c r="S290" s="297"/>
    </row>
    <row r="291" spans="3:19" ht="14.5" customHeight="1">
      <c r="C291" s="11" t="str">
        <f t="shared" si="39"/>
        <v>广东恒健投资控股有限公司</v>
      </c>
      <c r="D291" s="11">
        <f t="shared" si="40"/>
        <v>23.8</v>
      </c>
      <c r="E291" s="10">
        <f t="shared" si="41"/>
        <v>20</v>
      </c>
      <c r="F291" s="10">
        <f t="shared" si="42"/>
        <v>8771.9297999999999</v>
      </c>
      <c r="G291" s="10">
        <f t="shared" si="43"/>
        <v>19.999999944000002</v>
      </c>
      <c r="I291" s="64"/>
      <c r="J291" s="64"/>
      <c r="K291" s="64"/>
      <c r="L291" s="168">
        <v>26</v>
      </c>
      <c r="M291" s="234">
        <v>2000010000</v>
      </c>
      <c r="N291" s="25"/>
      <c r="O291" s="168">
        <v>2</v>
      </c>
      <c r="P291" s="414" t="s">
        <v>1937</v>
      </c>
      <c r="Q291" s="192" t="s">
        <v>1936</v>
      </c>
      <c r="R291" s="167">
        <v>48449561</v>
      </c>
      <c r="S291" s="197">
        <v>1104649990.8</v>
      </c>
    </row>
    <row r="292" spans="3:19">
      <c r="C292" s="11" t="str">
        <f t="shared" si="39"/>
        <v>华融汇通资产管理有限公司</v>
      </c>
      <c r="D292" s="11">
        <f t="shared" si="40"/>
        <v>23.8</v>
      </c>
      <c r="E292" s="10">
        <f t="shared" si="41"/>
        <v>20</v>
      </c>
      <c r="F292" s="10">
        <f t="shared" si="42"/>
        <v>8771.9297999999999</v>
      </c>
      <c r="G292" s="10">
        <f t="shared" si="43"/>
        <v>19.999999944000002</v>
      </c>
      <c r="I292" s="168">
        <v>2</v>
      </c>
      <c r="J292" s="192" t="s">
        <v>1935</v>
      </c>
      <c r="K292" s="204" t="s">
        <v>1917</v>
      </c>
      <c r="L292" s="168">
        <v>23.8</v>
      </c>
      <c r="M292" s="234">
        <v>2000000000</v>
      </c>
      <c r="N292" s="25"/>
      <c r="O292" s="296">
        <v>3</v>
      </c>
      <c r="P292" s="192" t="s">
        <v>1934</v>
      </c>
      <c r="Q292" s="192" t="s">
        <v>1917</v>
      </c>
      <c r="R292" s="275">
        <v>87719736</v>
      </c>
      <c r="S292" s="297">
        <v>2000009980.8</v>
      </c>
    </row>
    <row r="293" spans="3:19">
      <c r="C293" s="11" t="str">
        <f t="shared" si="39"/>
        <v/>
      </c>
      <c r="D293" s="11">
        <f t="shared" si="40"/>
        <v>21.8</v>
      </c>
      <c r="E293" s="10">
        <f t="shared" si="41"/>
        <v>20</v>
      </c>
      <c r="F293" s="10" t="str">
        <f t="shared" si="42"/>
        <v/>
      </c>
      <c r="G293" s="10" t="str">
        <f t="shared" si="43"/>
        <v/>
      </c>
      <c r="I293" s="168">
        <v>3</v>
      </c>
      <c r="J293" s="192" t="s">
        <v>1933</v>
      </c>
      <c r="K293" s="203" t="s">
        <v>1917</v>
      </c>
      <c r="L293" s="168">
        <v>23.8</v>
      </c>
      <c r="M293" s="234">
        <v>2000000000</v>
      </c>
      <c r="N293" s="25"/>
      <c r="O293" s="296">
        <v>4</v>
      </c>
      <c r="P293" s="192" t="s">
        <v>1932</v>
      </c>
      <c r="Q293" s="192" t="s">
        <v>1917</v>
      </c>
      <c r="R293" s="275">
        <v>87719298</v>
      </c>
      <c r="S293" s="297">
        <v>1999999994.4000001</v>
      </c>
    </row>
    <row r="294" spans="3:19">
      <c r="C294" s="11" t="str">
        <f t="shared" si="39"/>
        <v>河北港口集团有限公司</v>
      </c>
      <c r="D294" s="11">
        <f t="shared" si="40"/>
        <v>23.2</v>
      </c>
      <c r="E294" s="10">
        <f t="shared" si="41"/>
        <v>20</v>
      </c>
      <c r="F294" s="10">
        <f t="shared" si="42"/>
        <v>8771.9297999999999</v>
      </c>
      <c r="G294" s="10">
        <f t="shared" si="43"/>
        <v>19.999999944000002</v>
      </c>
      <c r="I294" s="25"/>
      <c r="J294" s="25"/>
      <c r="K294" s="25"/>
      <c r="L294" s="168">
        <v>21.8</v>
      </c>
      <c r="M294" s="234">
        <v>2000000000</v>
      </c>
      <c r="N294" s="25"/>
      <c r="O294" s="296">
        <v>5</v>
      </c>
      <c r="P294" s="192" t="s">
        <v>1931</v>
      </c>
      <c r="Q294" s="204" t="s">
        <v>1917</v>
      </c>
      <c r="R294" s="275">
        <v>87719298</v>
      </c>
      <c r="S294" s="297">
        <v>1999999994.4000001</v>
      </c>
    </row>
    <row r="295" spans="3:19">
      <c r="C295" s="11" t="str">
        <f t="shared" si="39"/>
        <v>平安资产管理有限责任公司</v>
      </c>
      <c r="D295" s="11">
        <f t="shared" si="40"/>
        <v>23.2</v>
      </c>
      <c r="E295" s="10">
        <f t="shared" si="41"/>
        <v>20</v>
      </c>
      <c r="F295" s="10">
        <f t="shared" si="42"/>
        <v>8771.9297999999999</v>
      </c>
      <c r="G295" s="10">
        <f t="shared" si="43"/>
        <v>19.999999944000002</v>
      </c>
      <c r="I295" s="168">
        <v>4</v>
      </c>
      <c r="J295" s="192" t="s">
        <v>1930</v>
      </c>
      <c r="K295" s="204" t="s">
        <v>1917</v>
      </c>
      <c r="L295" s="168">
        <v>23.2</v>
      </c>
      <c r="M295" s="234">
        <v>2000000000</v>
      </c>
      <c r="N295" s="25"/>
      <c r="O295" s="296">
        <v>6</v>
      </c>
      <c r="P295" s="192" t="s">
        <v>1929</v>
      </c>
      <c r="Q295" s="192" t="s">
        <v>1917</v>
      </c>
      <c r="R295" s="275">
        <v>87719298</v>
      </c>
      <c r="S295" s="297">
        <v>1999999994.4000001</v>
      </c>
    </row>
    <row r="296" spans="3:19">
      <c r="C296" s="11" t="str">
        <f t="shared" si="39"/>
        <v/>
      </c>
      <c r="D296" s="11">
        <f t="shared" si="40"/>
        <v>21.2</v>
      </c>
      <c r="E296" s="10">
        <f t="shared" si="41"/>
        <v>20</v>
      </c>
      <c r="F296" s="10" t="str">
        <f t="shared" si="42"/>
        <v/>
      </c>
      <c r="G296" s="10" t="str">
        <f t="shared" si="43"/>
        <v/>
      </c>
      <c r="I296" s="168">
        <v>5</v>
      </c>
      <c r="J296" s="192" t="s">
        <v>328</v>
      </c>
      <c r="K296" s="204" t="s">
        <v>1331</v>
      </c>
      <c r="L296" s="168">
        <v>23.2</v>
      </c>
      <c r="M296" s="234">
        <v>2000000000</v>
      </c>
      <c r="N296" s="25"/>
      <c r="O296" s="296">
        <v>7</v>
      </c>
      <c r="P296" s="192" t="s">
        <v>1928</v>
      </c>
      <c r="Q296" s="192" t="s">
        <v>1331</v>
      </c>
      <c r="R296" s="275">
        <v>87719298</v>
      </c>
      <c r="S296" s="297">
        <v>1999999994.4000001</v>
      </c>
    </row>
    <row r="297" spans="3:19">
      <c r="C297" s="11" t="str">
        <f t="shared" si="39"/>
        <v/>
      </c>
      <c r="D297" s="11">
        <f t="shared" si="40"/>
        <v>19.600000000000001</v>
      </c>
      <c r="E297" s="10">
        <f t="shared" si="41"/>
        <v>24.48</v>
      </c>
      <c r="F297" s="10" t="str">
        <f t="shared" si="42"/>
        <v/>
      </c>
      <c r="G297" s="10" t="str">
        <f t="shared" si="43"/>
        <v/>
      </c>
      <c r="I297" s="25"/>
      <c r="J297" s="25"/>
      <c r="K297" s="25"/>
      <c r="L297" s="168">
        <v>21.2</v>
      </c>
      <c r="M297" s="234">
        <v>2000000000</v>
      </c>
      <c r="N297" s="25"/>
      <c r="O297" s="296">
        <v>8</v>
      </c>
      <c r="P297" s="192" t="s">
        <v>1364</v>
      </c>
      <c r="Q297" s="192" t="s">
        <v>1331</v>
      </c>
      <c r="R297" s="275">
        <v>39269300</v>
      </c>
      <c r="S297" s="297">
        <v>895340040</v>
      </c>
    </row>
    <row r="298" spans="3:19">
      <c r="C298" s="11" t="str">
        <f t="shared" si="39"/>
        <v>民生通惠资产管理有限公司</v>
      </c>
      <c r="D298" s="11">
        <f t="shared" si="40"/>
        <v>22.8</v>
      </c>
      <c r="E298" s="10">
        <f t="shared" si="41"/>
        <v>20.01066668</v>
      </c>
      <c r="F298" s="10">
        <f t="shared" si="42"/>
        <v>3926.93</v>
      </c>
      <c r="G298" s="10">
        <f t="shared" si="43"/>
        <v>8.9534003999999996</v>
      </c>
      <c r="I298" s="64"/>
      <c r="J298" s="64"/>
      <c r="K298" s="64"/>
      <c r="L298" s="168">
        <v>19.600000000000001</v>
      </c>
      <c r="M298" s="234">
        <v>2448000000</v>
      </c>
      <c r="N298" s="25"/>
      <c r="O298" s="296"/>
      <c r="P298" s="192"/>
      <c r="Q298" s="192"/>
      <c r="R298" s="275"/>
      <c r="S298" s="297"/>
    </row>
    <row r="299" spans="3:19">
      <c r="C299" s="11" t="str">
        <f t="shared" si="39"/>
        <v>广东省铁路发展基金有限责任公司</v>
      </c>
      <c r="D299" s="11">
        <f t="shared" si="40"/>
        <v>22.4</v>
      </c>
      <c r="E299" s="10">
        <f t="shared" si="41"/>
        <v>20</v>
      </c>
      <c r="F299" s="10" t="str">
        <f t="shared" si="42"/>
        <v/>
      </c>
      <c r="G299" s="10" t="str">
        <f t="shared" si="43"/>
        <v/>
      </c>
      <c r="I299" s="168">
        <v>6</v>
      </c>
      <c r="J299" s="192" t="s">
        <v>351</v>
      </c>
      <c r="K299" s="204" t="s">
        <v>1331</v>
      </c>
      <c r="L299" s="168">
        <v>22.8</v>
      </c>
      <c r="M299" s="234">
        <v>2001066668</v>
      </c>
    </row>
    <row r="300" spans="3:19">
      <c r="C300" s="11" t="str">
        <f t="shared" si="39"/>
        <v>嘉实基金管理有限公司</v>
      </c>
      <c r="D300" s="11">
        <f t="shared" si="40"/>
        <v>22</v>
      </c>
      <c r="E300" s="10">
        <f t="shared" si="41"/>
        <v>21.94</v>
      </c>
      <c r="F300" s="10" t="str">
        <f t="shared" si="42"/>
        <v/>
      </c>
      <c r="G300" s="10" t="str">
        <f t="shared" si="43"/>
        <v/>
      </c>
      <c r="I300" s="296">
        <v>7</v>
      </c>
      <c r="J300" s="192" t="s">
        <v>1654</v>
      </c>
      <c r="K300" s="192" t="s">
        <v>1917</v>
      </c>
      <c r="L300" s="296">
        <v>22.4</v>
      </c>
      <c r="M300" s="297">
        <v>2000000000</v>
      </c>
    </row>
    <row r="301" spans="3:19">
      <c r="C301" s="11" t="str">
        <f t="shared" si="39"/>
        <v>光大保德信基金管理有限公司</v>
      </c>
      <c r="D301" s="11">
        <f t="shared" si="40"/>
        <v>22</v>
      </c>
      <c r="E301" s="10">
        <f t="shared" si="41"/>
        <v>20.001000000000001</v>
      </c>
      <c r="F301" s="10" t="str">
        <f t="shared" si="42"/>
        <v/>
      </c>
      <c r="G301" s="10" t="str">
        <f t="shared" si="43"/>
        <v/>
      </c>
      <c r="I301" s="168">
        <v>8</v>
      </c>
      <c r="J301" s="192" t="s">
        <v>228</v>
      </c>
      <c r="K301" s="204" t="s">
        <v>1325</v>
      </c>
      <c r="L301" s="168">
        <v>22</v>
      </c>
      <c r="M301" s="234">
        <v>2194000000</v>
      </c>
    </row>
    <row r="302" spans="3:19">
      <c r="C302" s="11" t="str">
        <f t="shared" si="39"/>
        <v/>
      </c>
      <c r="D302" s="11">
        <f t="shared" si="40"/>
        <v>21</v>
      </c>
      <c r="E302" s="10">
        <f t="shared" si="41"/>
        <v>22.001000000000001</v>
      </c>
      <c r="F302" s="10" t="str">
        <f t="shared" si="42"/>
        <v/>
      </c>
      <c r="G302" s="10" t="str">
        <f t="shared" si="43"/>
        <v/>
      </c>
      <c r="I302" s="168">
        <v>9</v>
      </c>
      <c r="J302" s="192" t="s">
        <v>141</v>
      </c>
      <c r="K302" s="204" t="s">
        <v>1325</v>
      </c>
      <c r="L302" s="168">
        <v>22</v>
      </c>
      <c r="M302" s="234">
        <v>2000100000</v>
      </c>
    </row>
    <row r="303" spans="3:19">
      <c r="C303" s="11" t="str">
        <f t="shared" si="39"/>
        <v/>
      </c>
      <c r="D303" s="11">
        <f t="shared" si="40"/>
        <v>20.2</v>
      </c>
      <c r="E303" s="10">
        <f t="shared" si="41"/>
        <v>49.401000000000003</v>
      </c>
      <c r="F303" s="10" t="str">
        <f t="shared" si="42"/>
        <v/>
      </c>
      <c r="G303" s="10" t="str">
        <f t="shared" si="43"/>
        <v/>
      </c>
      <c r="I303" s="25"/>
      <c r="J303" s="25"/>
      <c r="K303" s="25"/>
      <c r="L303" s="168">
        <v>21</v>
      </c>
      <c r="M303" s="234">
        <v>2200100000</v>
      </c>
    </row>
    <row r="304" spans="3:19">
      <c r="C304" s="11" t="str">
        <f t="shared" si="39"/>
        <v>普星聚能股份公司</v>
      </c>
      <c r="D304" s="11">
        <f t="shared" si="40"/>
        <v>21.8</v>
      </c>
      <c r="E304" s="10">
        <f t="shared" si="41"/>
        <v>20</v>
      </c>
      <c r="F304" s="10" t="str">
        <f t="shared" si="42"/>
        <v/>
      </c>
      <c r="G304" s="10" t="str">
        <f t="shared" si="43"/>
        <v/>
      </c>
      <c r="I304" s="64"/>
      <c r="J304" s="64"/>
      <c r="K304" s="64"/>
      <c r="L304" s="168">
        <v>20.2</v>
      </c>
      <c r="M304" s="234">
        <v>4940100000</v>
      </c>
    </row>
    <row r="305" spans="3:13">
      <c r="C305" s="11" t="str">
        <f t="shared" si="39"/>
        <v/>
      </c>
      <c r="D305" s="11">
        <f t="shared" si="40"/>
        <v>20.8</v>
      </c>
      <c r="E305" s="10">
        <f t="shared" si="41"/>
        <v>20</v>
      </c>
      <c r="F305" s="10" t="str">
        <f t="shared" si="42"/>
        <v/>
      </c>
      <c r="G305" s="10" t="str">
        <f t="shared" si="43"/>
        <v/>
      </c>
      <c r="I305" s="191">
        <v>10</v>
      </c>
      <c r="J305" s="192" t="s">
        <v>1927</v>
      </c>
      <c r="K305" s="203" t="s">
        <v>1917</v>
      </c>
      <c r="L305" s="168">
        <v>21.8</v>
      </c>
      <c r="M305" s="234">
        <v>2000000000</v>
      </c>
    </row>
    <row r="306" spans="3:13">
      <c r="C306" s="11" t="str">
        <f t="shared" si="39"/>
        <v/>
      </c>
      <c r="D306" s="11">
        <f t="shared" si="40"/>
        <v>19.8</v>
      </c>
      <c r="E306" s="10">
        <f t="shared" si="41"/>
        <v>20</v>
      </c>
      <c r="F306" s="10" t="str">
        <f t="shared" si="42"/>
        <v/>
      </c>
      <c r="G306" s="10" t="str">
        <f t="shared" si="43"/>
        <v/>
      </c>
      <c r="I306" s="25"/>
      <c r="J306" s="25"/>
      <c r="K306" s="25"/>
      <c r="L306" s="168">
        <v>20.8</v>
      </c>
      <c r="M306" s="234">
        <v>2000000000</v>
      </c>
    </row>
    <row r="307" spans="3:13">
      <c r="C307" s="11" t="str">
        <f t="shared" si="39"/>
        <v>财通基金管理有限公司</v>
      </c>
      <c r="D307" s="11">
        <f t="shared" si="40"/>
        <v>21.6</v>
      </c>
      <c r="E307" s="10">
        <f t="shared" si="41"/>
        <v>31.6755</v>
      </c>
      <c r="F307" s="10" t="str">
        <f t="shared" si="42"/>
        <v/>
      </c>
      <c r="G307" s="10" t="str">
        <f t="shared" si="43"/>
        <v/>
      </c>
      <c r="I307" s="64"/>
      <c r="J307" s="64"/>
      <c r="K307" s="64"/>
      <c r="L307" s="168">
        <v>19.8</v>
      </c>
      <c r="M307" s="234">
        <v>2000000000</v>
      </c>
    </row>
    <row r="308" spans="3:13">
      <c r="C308" s="11" t="str">
        <f t="shared" si="39"/>
        <v/>
      </c>
      <c r="D308" s="11">
        <f t="shared" si="40"/>
        <v>20</v>
      </c>
      <c r="E308" s="10">
        <f t="shared" si="41"/>
        <v>50</v>
      </c>
      <c r="F308" s="10" t="str">
        <f t="shared" si="42"/>
        <v/>
      </c>
      <c r="G308" s="10" t="str">
        <f t="shared" si="43"/>
        <v/>
      </c>
      <c r="I308" s="191">
        <v>11</v>
      </c>
      <c r="J308" s="192" t="s">
        <v>115</v>
      </c>
      <c r="K308" s="204" t="s">
        <v>1325</v>
      </c>
      <c r="L308" s="168">
        <v>21.6</v>
      </c>
      <c r="M308" s="234">
        <v>3167550000</v>
      </c>
    </row>
    <row r="309" spans="3:13">
      <c r="C309" s="11" t="str">
        <f t="shared" si="39"/>
        <v/>
      </c>
      <c r="D309" s="11">
        <f t="shared" si="40"/>
        <v>18.399999999999999</v>
      </c>
      <c r="E309" s="10">
        <f t="shared" si="41"/>
        <v>59.314</v>
      </c>
      <c r="F309" s="10" t="str">
        <f t="shared" si="42"/>
        <v/>
      </c>
      <c r="G309" s="10" t="str">
        <f t="shared" si="43"/>
        <v/>
      </c>
      <c r="I309" s="25"/>
      <c r="J309" s="25"/>
      <c r="K309" s="25"/>
      <c r="L309" s="168">
        <v>20</v>
      </c>
      <c r="M309" s="234">
        <v>5000000000</v>
      </c>
    </row>
    <row r="310" spans="3:13">
      <c r="C310" s="11" t="str">
        <f t="shared" si="39"/>
        <v>汇添富基金管理股份有限公司</v>
      </c>
      <c r="D310" s="11">
        <f t="shared" si="40"/>
        <v>21</v>
      </c>
      <c r="E310" s="10">
        <f t="shared" si="41"/>
        <v>25.65</v>
      </c>
      <c r="F310" s="10" t="str">
        <f t="shared" si="42"/>
        <v/>
      </c>
      <c r="G310" s="10" t="str">
        <f t="shared" si="43"/>
        <v/>
      </c>
      <c r="I310" s="64"/>
      <c r="J310" s="64"/>
      <c r="K310" s="64"/>
      <c r="L310" s="168">
        <v>18.399999999999999</v>
      </c>
      <c r="M310" s="234">
        <v>5931400000</v>
      </c>
    </row>
    <row r="311" spans="3:13">
      <c r="C311" s="11" t="str">
        <f t="shared" si="39"/>
        <v/>
      </c>
      <c r="D311" s="11">
        <f t="shared" si="40"/>
        <v>19</v>
      </c>
      <c r="E311" s="10">
        <f t="shared" si="41"/>
        <v>26.21</v>
      </c>
      <c r="F311" s="10" t="str">
        <f t="shared" si="42"/>
        <v/>
      </c>
      <c r="G311" s="10" t="str">
        <f t="shared" si="43"/>
        <v/>
      </c>
      <c r="I311" s="168">
        <v>12</v>
      </c>
      <c r="J311" s="192" t="s">
        <v>139</v>
      </c>
      <c r="K311" s="204" t="s">
        <v>1325</v>
      </c>
      <c r="L311" s="168">
        <v>21</v>
      </c>
      <c r="M311" s="234">
        <v>2565000000</v>
      </c>
    </row>
    <row r="312" spans="3:13">
      <c r="C312" s="11" t="str">
        <f t="shared" si="39"/>
        <v/>
      </c>
      <c r="D312" s="11">
        <f t="shared" si="40"/>
        <v>18.600000000000001</v>
      </c>
      <c r="E312" s="10">
        <f t="shared" si="41"/>
        <v>26.51</v>
      </c>
      <c r="F312" s="10" t="str">
        <f t="shared" si="42"/>
        <v/>
      </c>
      <c r="G312" s="10" t="str">
        <f t="shared" si="43"/>
        <v/>
      </c>
      <c r="I312" s="293"/>
      <c r="J312" s="293"/>
      <c r="K312" s="293"/>
      <c r="L312" s="168">
        <v>19</v>
      </c>
      <c r="M312" s="234">
        <v>2621000000</v>
      </c>
    </row>
    <row r="313" spans="3:13">
      <c r="C313" s="11" t="str">
        <f t="shared" si="39"/>
        <v>申万菱信基金管理有限公司</v>
      </c>
      <c r="D313" s="11">
        <f t="shared" si="40"/>
        <v>21</v>
      </c>
      <c r="E313" s="10">
        <f t="shared" si="41"/>
        <v>20</v>
      </c>
      <c r="F313" s="10" t="str">
        <f t="shared" si="42"/>
        <v/>
      </c>
      <c r="G313" s="10" t="str">
        <f t="shared" si="43"/>
        <v/>
      </c>
      <c r="I313" s="293"/>
      <c r="J313" s="293"/>
      <c r="K313" s="293"/>
      <c r="L313" s="168">
        <v>18.600000000000001</v>
      </c>
      <c r="M313" s="234">
        <v>2651000000</v>
      </c>
    </row>
    <row r="314" spans="3:13">
      <c r="C314" s="11" t="str">
        <f t="shared" si="39"/>
        <v/>
      </c>
      <c r="D314" s="11">
        <f t="shared" si="40"/>
        <v>20.6</v>
      </c>
      <c r="E314" s="10">
        <f t="shared" si="41"/>
        <v>23.4</v>
      </c>
      <c r="F314" s="10" t="str">
        <f t="shared" si="42"/>
        <v/>
      </c>
      <c r="G314" s="10" t="str">
        <f t="shared" si="43"/>
        <v/>
      </c>
      <c r="I314" s="191">
        <v>13</v>
      </c>
      <c r="J314" s="192" t="s">
        <v>121</v>
      </c>
      <c r="K314" s="204" t="s">
        <v>1325</v>
      </c>
      <c r="L314" s="168">
        <v>21</v>
      </c>
      <c r="M314" s="234">
        <v>2000000000</v>
      </c>
    </row>
    <row r="315" spans="3:13">
      <c r="C315" s="11" t="str">
        <f t="shared" si="39"/>
        <v/>
      </c>
      <c r="D315" s="11">
        <f t="shared" si="40"/>
        <v>19.399999999999999</v>
      </c>
      <c r="E315" s="10">
        <f t="shared" si="41"/>
        <v>33.9</v>
      </c>
      <c r="F315" s="10" t="str">
        <f t="shared" si="42"/>
        <v/>
      </c>
      <c r="G315" s="10" t="str">
        <f t="shared" si="43"/>
        <v/>
      </c>
      <c r="I315" s="25"/>
      <c r="J315" s="25"/>
      <c r="K315" s="25"/>
      <c r="L315" s="168">
        <v>20.6</v>
      </c>
      <c r="M315" s="234">
        <v>2340000000</v>
      </c>
    </row>
    <row r="316" spans="3:13">
      <c r="C316" s="11" t="str">
        <f t="shared" si="39"/>
        <v>中国人寿保险股份有限公司</v>
      </c>
      <c r="D316" s="11">
        <f t="shared" si="40"/>
        <v>21</v>
      </c>
      <c r="E316" s="10">
        <f t="shared" si="41"/>
        <v>20</v>
      </c>
      <c r="F316" s="10" t="str">
        <f t="shared" si="42"/>
        <v/>
      </c>
      <c r="G316" s="10" t="str">
        <f t="shared" si="43"/>
        <v/>
      </c>
      <c r="I316" s="64"/>
      <c r="J316" s="64"/>
      <c r="K316" s="64"/>
      <c r="L316" s="168">
        <v>19.399999999999999</v>
      </c>
      <c r="M316" s="234">
        <v>3390000000</v>
      </c>
    </row>
    <row r="317" spans="3:13">
      <c r="C317" s="11" t="str">
        <f t="shared" si="39"/>
        <v/>
      </c>
      <c r="D317" s="11">
        <f t="shared" si="40"/>
        <v>19.600000000000001</v>
      </c>
      <c r="E317" s="10">
        <f t="shared" si="41"/>
        <v>40</v>
      </c>
      <c r="F317" s="10" t="str">
        <f t="shared" si="42"/>
        <v/>
      </c>
      <c r="G317" s="10" t="str">
        <f t="shared" si="43"/>
        <v/>
      </c>
      <c r="I317" s="191">
        <v>14</v>
      </c>
      <c r="J317" s="192" t="s">
        <v>1926</v>
      </c>
      <c r="K317" s="204" t="s">
        <v>1331</v>
      </c>
      <c r="L317" s="168">
        <v>21</v>
      </c>
      <c r="M317" s="234">
        <v>2000000000</v>
      </c>
    </row>
    <row r="318" spans="3:13">
      <c r="C318" s="11" t="str">
        <f t="shared" si="39"/>
        <v>九泰基金管理有限公司</v>
      </c>
      <c r="D318" s="11">
        <f t="shared" si="40"/>
        <v>20.8</v>
      </c>
      <c r="E318" s="10">
        <f t="shared" si="41"/>
        <v>24.5535</v>
      </c>
      <c r="F318" s="10" t="str">
        <f t="shared" si="42"/>
        <v/>
      </c>
      <c r="G318" s="10" t="str">
        <f t="shared" si="43"/>
        <v/>
      </c>
      <c r="I318" s="25"/>
      <c r="J318" s="25"/>
      <c r="K318" s="25"/>
      <c r="L318" s="168">
        <v>19.600000000000001</v>
      </c>
      <c r="M318" s="234">
        <v>4000000000</v>
      </c>
    </row>
    <row r="319" spans="3:13">
      <c r="C319" s="11" t="str">
        <f t="shared" si="39"/>
        <v/>
      </c>
      <c r="D319" s="11">
        <f t="shared" si="40"/>
        <v>20.2</v>
      </c>
      <c r="E319" s="10">
        <f t="shared" si="41"/>
        <v>24.653400000000001</v>
      </c>
      <c r="F319" s="10" t="str">
        <f t="shared" si="42"/>
        <v/>
      </c>
      <c r="G319" s="10" t="str">
        <f t="shared" si="43"/>
        <v/>
      </c>
      <c r="I319" s="191">
        <v>15</v>
      </c>
      <c r="J319" s="192" t="s">
        <v>666</v>
      </c>
      <c r="K319" s="204" t="s">
        <v>1325</v>
      </c>
      <c r="L319" s="168">
        <v>20.8</v>
      </c>
      <c r="M319" s="234">
        <v>2455350000</v>
      </c>
    </row>
    <row r="320" spans="3:13">
      <c r="C320" s="11" t="str">
        <f t="shared" ref="C320:C351" si="44">IF(J321=0,"",J321)</f>
        <v/>
      </c>
      <c r="D320" s="11">
        <f t="shared" ref="D320:D351" si="45">L321</f>
        <v>19.399999999999999</v>
      </c>
      <c r="E320" s="10">
        <f t="shared" ref="E320:E351" si="46">M321/100000000</f>
        <v>25.386800000000001</v>
      </c>
      <c r="F320" s="10" t="str">
        <f t="shared" ref="F320:F351" si="47">IFERROR(VLOOKUP(C320,P$289:S$297,3,FALSE)/10000,"")</f>
        <v/>
      </c>
      <c r="G320" s="10" t="str">
        <f t="shared" ref="G320:G351" si="48">IFERROR(F320*J$286/10000,"")</f>
        <v/>
      </c>
      <c r="I320" s="25"/>
      <c r="J320" s="25"/>
      <c r="K320" s="25"/>
      <c r="L320" s="168">
        <v>20.2</v>
      </c>
      <c r="M320" s="234">
        <v>2465340000</v>
      </c>
    </row>
    <row r="321" spans="3:13">
      <c r="C321" s="11" t="str">
        <f t="shared" si="44"/>
        <v>安信基金管理有限责任公司</v>
      </c>
      <c r="D321" s="11">
        <f t="shared" si="45"/>
        <v>20.8</v>
      </c>
      <c r="E321" s="10">
        <f t="shared" si="46"/>
        <v>20</v>
      </c>
      <c r="F321" s="10" t="str">
        <f t="shared" si="47"/>
        <v/>
      </c>
      <c r="G321" s="10" t="str">
        <f t="shared" si="48"/>
        <v/>
      </c>
      <c r="I321" s="64"/>
      <c r="J321" s="64"/>
      <c r="K321" s="64"/>
      <c r="L321" s="168">
        <v>19.399999999999999</v>
      </c>
      <c r="M321" s="234">
        <v>2538680000</v>
      </c>
    </row>
    <row r="322" spans="3:13">
      <c r="C322" s="11" t="str">
        <f t="shared" si="44"/>
        <v>德邦基金管理有限公司</v>
      </c>
      <c r="D322" s="11">
        <f t="shared" si="45"/>
        <v>20.8</v>
      </c>
      <c r="E322" s="10">
        <f t="shared" si="46"/>
        <v>20</v>
      </c>
      <c r="F322" s="10" t="str">
        <f t="shared" si="47"/>
        <v/>
      </c>
      <c r="G322" s="10" t="str">
        <f t="shared" si="48"/>
        <v/>
      </c>
      <c r="I322" s="190">
        <v>16</v>
      </c>
      <c r="J322" s="192" t="s">
        <v>371</v>
      </c>
      <c r="K322" s="204" t="s">
        <v>1325</v>
      </c>
      <c r="L322" s="168">
        <v>20.8</v>
      </c>
      <c r="M322" s="234">
        <v>2000000000</v>
      </c>
    </row>
    <row r="323" spans="3:13">
      <c r="C323" s="11" t="str">
        <f t="shared" si="44"/>
        <v/>
      </c>
      <c r="D323" s="11">
        <f t="shared" si="45"/>
        <v>20.2</v>
      </c>
      <c r="E323" s="10">
        <f t="shared" si="46"/>
        <v>21</v>
      </c>
      <c r="F323" s="10" t="str">
        <f t="shared" si="47"/>
        <v/>
      </c>
      <c r="G323" s="10" t="str">
        <f t="shared" si="48"/>
        <v/>
      </c>
      <c r="I323" s="191">
        <v>17</v>
      </c>
      <c r="J323" s="192" t="s">
        <v>953</v>
      </c>
      <c r="K323" s="204" t="s">
        <v>1325</v>
      </c>
      <c r="L323" s="168">
        <v>20.8</v>
      </c>
      <c r="M323" s="234">
        <v>2000000000</v>
      </c>
    </row>
    <row r="324" spans="3:13">
      <c r="C324" s="11" t="str">
        <f t="shared" si="44"/>
        <v/>
      </c>
      <c r="D324" s="11">
        <f t="shared" si="45"/>
        <v>19.600000000000001</v>
      </c>
      <c r="E324" s="10">
        <f t="shared" si="46"/>
        <v>22</v>
      </c>
      <c r="F324" s="10" t="str">
        <f t="shared" si="47"/>
        <v/>
      </c>
      <c r="G324" s="10" t="str">
        <f t="shared" si="48"/>
        <v/>
      </c>
      <c r="I324" s="25"/>
      <c r="J324" s="25"/>
      <c r="K324" s="25"/>
      <c r="L324" s="168">
        <v>20.2</v>
      </c>
      <c r="M324" s="234">
        <v>2100000000</v>
      </c>
    </row>
    <row r="325" spans="3:13">
      <c r="C325" s="11" t="str">
        <f t="shared" si="44"/>
        <v>工银瑞信基金管理有限公司</v>
      </c>
      <c r="D325" s="11">
        <f t="shared" si="45"/>
        <v>20.6</v>
      </c>
      <c r="E325" s="10">
        <f t="shared" si="46"/>
        <v>20.497</v>
      </c>
      <c r="F325" s="10" t="str">
        <f t="shared" si="47"/>
        <v/>
      </c>
      <c r="G325" s="10" t="str">
        <f t="shared" si="48"/>
        <v/>
      </c>
      <c r="I325" s="64"/>
      <c r="J325" s="64"/>
      <c r="K325" s="64"/>
      <c r="L325" s="168">
        <v>19.600000000000001</v>
      </c>
      <c r="M325" s="234">
        <v>2200000000</v>
      </c>
    </row>
    <row r="326" spans="3:13">
      <c r="C326" s="11" t="str">
        <f t="shared" si="44"/>
        <v/>
      </c>
      <c r="D326" s="11">
        <f t="shared" si="45"/>
        <v>19.600000000000001</v>
      </c>
      <c r="E326" s="10">
        <f t="shared" si="46"/>
        <v>25.521999999999998</v>
      </c>
      <c r="F326" s="10" t="str">
        <f t="shared" si="47"/>
        <v/>
      </c>
      <c r="G326" s="10" t="str">
        <f t="shared" si="48"/>
        <v/>
      </c>
      <c r="I326" s="191">
        <v>18</v>
      </c>
      <c r="J326" s="192" t="s">
        <v>145</v>
      </c>
      <c r="K326" s="204" t="s">
        <v>1325</v>
      </c>
      <c r="L326" s="168">
        <v>20.6</v>
      </c>
      <c r="M326" s="234">
        <v>2049700000</v>
      </c>
    </row>
    <row r="327" spans="3:13">
      <c r="C327" s="11" t="str">
        <f t="shared" si="44"/>
        <v/>
      </c>
      <c r="D327" s="11">
        <f t="shared" si="45"/>
        <v>18.399999999999999</v>
      </c>
      <c r="E327" s="10">
        <f t="shared" si="46"/>
        <v>27.222000000000001</v>
      </c>
      <c r="F327" s="10" t="str">
        <f t="shared" si="47"/>
        <v/>
      </c>
      <c r="G327" s="10" t="str">
        <f t="shared" si="48"/>
        <v/>
      </c>
      <c r="I327" s="25"/>
      <c r="J327" s="25"/>
      <c r="K327" s="25"/>
      <c r="L327" s="168">
        <v>19.600000000000001</v>
      </c>
      <c r="M327" s="234">
        <v>2552200000</v>
      </c>
    </row>
    <row r="328" spans="3:13">
      <c r="C328" s="11" t="str">
        <f t="shared" si="44"/>
        <v>汇安基金管理有限责任公司</v>
      </c>
      <c r="D328" s="11">
        <f t="shared" si="45"/>
        <v>20.6</v>
      </c>
      <c r="E328" s="10">
        <f t="shared" si="46"/>
        <v>20.010000000000002</v>
      </c>
      <c r="F328" s="10" t="str">
        <f t="shared" si="47"/>
        <v/>
      </c>
      <c r="G328" s="10" t="str">
        <f t="shared" si="48"/>
        <v/>
      </c>
      <c r="I328" s="64"/>
      <c r="J328" s="64"/>
      <c r="K328" s="64"/>
      <c r="L328" s="168">
        <v>18.399999999999999</v>
      </c>
      <c r="M328" s="234">
        <v>2722200000</v>
      </c>
    </row>
    <row r="329" spans="3:13">
      <c r="C329" s="11" t="str">
        <f t="shared" si="44"/>
        <v>博时基金管理有限公司</v>
      </c>
      <c r="D329" s="11">
        <f t="shared" si="45"/>
        <v>20.6</v>
      </c>
      <c r="E329" s="10">
        <f t="shared" si="46"/>
        <v>20</v>
      </c>
      <c r="F329" s="10" t="str">
        <f t="shared" si="47"/>
        <v/>
      </c>
      <c r="G329" s="10" t="str">
        <f t="shared" si="48"/>
        <v/>
      </c>
      <c r="I329" s="190">
        <v>19</v>
      </c>
      <c r="J329" s="192" t="s">
        <v>1509</v>
      </c>
      <c r="K329" s="204" t="s">
        <v>1325</v>
      </c>
      <c r="L329" s="168">
        <v>20.6</v>
      </c>
      <c r="M329" s="234">
        <v>2001000000</v>
      </c>
    </row>
    <row r="330" spans="3:13">
      <c r="C330" s="11" t="str">
        <f t="shared" si="44"/>
        <v>泰康资产管理有限责任公司</v>
      </c>
      <c r="D330" s="11">
        <f t="shared" si="45"/>
        <v>20.6</v>
      </c>
      <c r="E330" s="10">
        <f t="shared" si="46"/>
        <v>20</v>
      </c>
      <c r="F330" s="10" t="str">
        <f t="shared" si="47"/>
        <v/>
      </c>
      <c r="G330" s="10" t="str">
        <f t="shared" si="48"/>
        <v/>
      </c>
      <c r="I330" s="190">
        <v>20</v>
      </c>
      <c r="J330" s="192" t="s">
        <v>173</v>
      </c>
      <c r="K330" s="204" t="s">
        <v>1325</v>
      </c>
      <c r="L330" s="168">
        <v>20.6</v>
      </c>
      <c r="M330" s="234">
        <v>2000000000</v>
      </c>
    </row>
    <row r="331" spans="3:13">
      <c r="C331" s="11" t="str">
        <f t="shared" si="44"/>
        <v/>
      </c>
      <c r="D331" s="11">
        <f t="shared" si="45"/>
        <v>20</v>
      </c>
      <c r="E331" s="10">
        <f t="shared" si="46"/>
        <v>20.010000000000002</v>
      </c>
      <c r="F331" s="10" t="str">
        <f t="shared" si="47"/>
        <v/>
      </c>
      <c r="G331" s="10" t="str">
        <f t="shared" si="48"/>
        <v/>
      </c>
      <c r="I331" s="296">
        <v>21</v>
      </c>
      <c r="J331" s="192" t="s">
        <v>124</v>
      </c>
      <c r="K331" s="204" t="s">
        <v>1331</v>
      </c>
      <c r="L331" s="168">
        <v>20.6</v>
      </c>
      <c r="M331" s="234">
        <v>2000000000</v>
      </c>
    </row>
    <row r="332" spans="3:13">
      <c r="C332" s="11" t="str">
        <f t="shared" si="44"/>
        <v>诺德基金管理有限公司</v>
      </c>
      <c r="D332" s="11">
        <f t="shared" si="45"/>
        <v>20.399999999999999</v>
      </c>
      <c r="E332" s="10">
        <f t="shared" si="46"/>
        <v>24.502400000000002</v>
      </c>
      <c r="F332" s="10" t="str">
        <f t="shared" si="47"/>
        <v/>
      </c>
      <c r="G332" s="10" t="str">
        <f t="shared" si="48"/>
        <v/>
      </c>
      <c r="I332" s="296"/>
      <c r="J332" s="25"/>
      <c r="K332" s="25"/>
      <c r="L332" s="168">
        <v>20</v>
      </c>
      <c r="M332" s="234">
        <v>2001000000</v>
      </c>
    </row>
    <row r="333" spans="3:13">
      <c r="C333" s="11" t="str">
        <f t="shared" si="44"/>
        <v/>
      </c>
      <c r="D333" s="11">
        <f t="shared" si="45"/>
        <v>19.8</v>
      </c>
      <c r="E333" s="10">
        <f t="shared" si="46"/>
        <v>28.57</v>
      </c>
      <c r="F333" s="10" t="str">
        <f t="shared" si="47"/>
        <v/>
      </c>
      <c r="G333" s="10" t="str">
        <f t="shared" si="48"/>
        <v/>
      </c>
      <c r="I333" s="191">
        <v>22</v>
      </c>
      <c r="J333" s="192" t="s">
        <v>1052</v>
      </c>
      <c r="K333" s="204" t="s">
        <v>1325</v>
      </c>
      <c r="L333" s="168">
        <v>20.399999999999999</v>
      </c>
      <c r="M333" s="234">
        <v>2450240000</v>
      </c>
    </row>
    <row r="334" spans="3:13">
      <c r="C334" s="11" t="str">
        <f t="shared" si="44"/>
        <v/>
      </c>
      <c r="D334" s="11">
        <f t="shared" si="45"/>
        <v>17</v>
      </c>
      <c r="E334" s="10">
        <f t="shared" si="46"/>
        <v>28.5791</v>
      </c>
      <c r="F334" s="10" t="str">
        <f t="shared" si="47"/>
        <v/>
      </c>
      <c r="G334" s="10" t="str">
        <f t="shared" si="48"/>
        <v/>
      </c>
      <c r="I334" s="25"/>
      <c r="J334" s="25"/>
      <c r="K334" s="25"/>
      <c r="L334" s="168">
        <v>19.8</v>
      </c>
      <c r="M334" s="234">
        <v>2857000000</v>
      </c>
    </row>
    <row r="335" spans="3:13">
      <c r="C335" s="11" t="str">
        <f t="shared" si="44"/>
        <v>华宝证券有限责任公司</v>
      </c>
      <c r="D335" s="11">
        <f t="shared" si="45"/>
        <v>20</v>
      </c>
      <c r="E335" s="10">
        <f t="shared" si="46"/>
        <v>20.000019999999999</v>
      </c>
      <c r="F335" s="10" t="str">
        <f t="shared" si="47"/>
        <v/>
      </c>
      <c r="G335" s="10" t="str">
        <f t="shared" si="48"/>
        <v/>
      </c>
      <c r="I335" s="64"/>
      <c r="J335" s="64"/>
      <c r="K335" s="64"/>
      <c r="L335" s="168">
        <v>17</v>
      </c>
      <c r="M335" s="234">
        <v>2857910000</v>
      </c>
    </row>
    <row r="336" spans="3:13">
      <c r="C336" s="11" t="str">
        <f t="shared" si="44"/>
        <v/>
      </c>
      <c r="D336" s="11">
        <f t="shared" si="45"/>
        <v>18.8</v>
      </c>
      <c r="E336" s="10">
        <f t="shared" si="46"/>
        <v>20.000019999999999</v>
      </c>
      <c r="F336" s="10" t="str">
        <f t="shared" si="47"/>
        <v/>
      </c>
      <c r="G336" s="10" t="str">
        <f t="shared" si="48"/>
        <v/>
      </c>
      <c r="I336" s="191">
        <v>23</v>
      </c>
      <c r="J336" s="192" t="s">
        <v>1925</v>
      </c>
      <c r="K336" s="204" t="s">
        <v>1326</v>
      </c>
      <c r="L336" s="168">
        <v>20</v>
      </c>
      <c r="M336" s="234">
        <v>2000002000</v>
      </c>
    </row>
    <row r="337" spans="3:13">
      <c r="C337" s="11" t="str">
        <f t="shared" si="44"/>
        <v/>
      </c>
      <c r="D337" s="11">
        <f t="shared" si="45"/>
        <v>18</v>
      </c>
      <c r="E337" s="10">
        <f t="shared" si="46"/>
        <v>20.000019999999999</v>
      </c>
      <c r="F337" s="10" t="str">
        <f t="shared" si="47"/>
        <v/>
      </c>
      <c r="G337" s="10" t="str">
        <f t="shared" si="48"/>
        <v/>
      </c>
      <c r="I337" s="25"/>
      <c r="J337" s="25"/>
      <c r="K337" s="25"/>
      <c r="L337" s="168">
        <v>18.8</v>
      </c>
      <c r="M337" s="234">
        <v>2000002000</v>
      </c>
    </row>
    <row r="338" spans="3:13">
      <c r="C338" s="11" t="str">
        <f t="shared" si="44"/>
        <v>华夏人寿保险股份有限公司</v>
      </c>
      <c r="D338" s="11">
        <f t="shared" si="45"/>
        <v>20</v>
      </c>
      <c r="E338" s="10">
        <f t="shared" si="46"/>
        <v>20</v>
      </c>
      <c r="F338" s="10" t="str">
        <f t="shared" si="47"/>
        <v/>
      </c>
      <c r="G338" s="10" t="str">
        <f t="shared" si="48"/>
        <v/>
      </c>
      <c r="I338" s="64"/>
      <c r="J338" s="64"/>
      <c r="K338" s="64"/>
      <c r="L338" s="168">
        <v>18</v>
      </c>
      <c r="M338" s="234">
        <v>2000002000</v>
      </c>
    </row>
    <row r="339" spans="3:13">
      <c r="C339" s="11" t="str">
        <f t="shared" si="44"/>
        <v>前海股权投资基金（有限合伙）</v>
      </c>
      <c r="D339" s="11">
        <f t="shared" si="45"/>
        <v>20</v>
      </c>
      <c r="E339" s="10">
        <f t="shared" si="46"/>
        <v>20</v>
      </c>
      <c r="F339" s="10" t="str">
        <f t="shared" si="47"/>
        <v/>
      </c>
      <c r="G339" s="10" t="str">
        <f t="shared" si="48"/>
        <v/>
      </c>
      <c r="I339" s="190">
        <v>24</v>
      </c>
      <c r="J339" s="192" t="s">
        <v>119</v>
      </c>
      <c r="K339" s="204" t="s">
        <v>1331</v>
      </c>
      <c r="L339" s="168">
        <v>20</v>
      </c>
      <c r="M339" s="234">
        <v>2000000000</v>
      </c>
    </row>
    <row r="340" spans="3:13">
      <c r="C340" s="11" t="str">
        <f t="shared" si="44"/>
        <v>兴全基金管理有限公司</v>
      </c>
      <c r="D340" s="11">
        <f t="shared" si="45"/>
        <v>19.8</v>
      </c>
      <c r="E340" s="10">
        <f t="shared" si="46"/>
        <v>20.49</v>
      </c>
      <c r="F340" s="10" t="str">
        <f t="shared" si="47"/>
        <v/>
      </c>
      <c r="G340" s="10" t="str">
        <f t="shared" si="48"/>
        <v/>
      </c>
      <c r="I340" s="190">
        <v>25</v>
      </c>
      <c r="J340" s="192" t="s">
        <v>1924</v>
      </c>
      <c r="K340" s="204" t="s">
        <v>1917</v>
      </c>
      <c r="L340" s="168">
        <v>20</v>
      </c>
      <c r="M340" s="234">
        <v>2000000000</v>
      </c>
    </row>
    <row r="341" spans="3:13">
      <c r="C341" s="11" t="str">
        <f t="shared" si="44"/>
        <v/>
      </c>
      <c r="D341" s="11">
        <f t="shared" si="45"/>
        <v>16.2</v>
      </c>
      <c r="E341" s="10">
        <f t="shared" si="46"/>
        <v>20.79</v>
      </c>
      <c r="F341" s="10" t="str">
        <f t="shared" si="47"/>
        <v/>
      </c>
      <c r="G341" s="10" t="str">
        <f t="shared" si="48"/>
        <v/>
      </c>
      <c r="I341" s="191">
        <v>26</v>
      </c>
      <c r="J341" s="192" t="s">
        <v>1923</v>
      </c>
      <c r="K341" s="204" t="s">
        <v>1325</v>
      </c>
      <c r="L341" s="168">
        <v>19.8</v>
      </c>
      <c r="M341" s="234">
        <v>2049000000</v>
      </c>
    </row>
    <row r="342" spans="3:13">
      <c r="C342" s="11" t="str">
        <f t="shared" si="44"/>
        <v>深圳天风天成资产管理有限公司</v>
      </c>
      <c r="D342" s="11">
        <f t="shared" si="45"/>
        <v>19.600000000000001</v>
      </c>
      <c r="E342" s="10">
        <f t="shared" si="46"/>
        <v>22</v>
      </c>
      <c r="F342" s="10" t="str">
        <f t="shared" si="47"/>
        <v/>
      </c>
      <c r="G342" s="10" t="str">
        <f t="shared" si="48"/>
        <v/>
      </c>
      <c r="I342" s="25"/>
      <c r="J342" s="25"/>
      <c r="K342" s="25"/>
      <c r="L342" s="168">
        <v>16.2</v>
      </c>
      <c r="M342" s="234">
        <v>2079000000</v>
      </c>
    </row>
    <row r="343" spans="3:13">
      <c r="C343" s="11" t="str">
        <f t="shared" si="44"/>
        <v>北京首钢基金有限公司</v>
      </c>
      <c r="D343" s="11">
        <f t="shared" si="45"/>
        <v>19.600000000000001</v>
      </c>
      <c r="E343" s="10">
        <f t="shared" si="46"/>
        <v>20</v>
      </c>
      <c r="F343" s="10" t="str">
        <f t="shared" si="47"/>
        <v/>
      </c>
      <c r="G343" s="10" t="str">
        <f t="shared" si="48"/>
        <v/>
      </c>
      <c r="I343" s="296">
        <v>27</v>
      </c>
      <c r="J343" s="192" t="s">
        <v>1655</v>
      </c>
      <c r="K343" s="192" t="s">
        <v>1917</v>
      </c>
      <c r="L343" s="296">
        <v>19.600000000000001</v>
      </c>
      <c r="M343" s="297">
        <v>2200000000</v>
      </c>
    </row>
    <row r="344" spans="3:13">
      <c r="C344" s="11" t="str">
        <f t="shared" si="44"/>
        <v/>
      </c>
      <c r="D344" s="11">
        <f t="shared" si="45"/>
        <v>19.399999999999999</v>
      </c>
      <c r="E344" s="10">
        <f t="shared" si="46"/>
        <v>20</v>
      </c>
      <c r="F344" s="10" t="str">
        <f t="shared" si="47"/>
        <v/>
      </c>
      <c r="G344" s="10" t="str">
        <f t="shared" si="48"/>
        <v/>
      </c>
      <c r="I344" s="191">
        <v>28</v>
      </c>
      <c r="J344" s="192" t="s">
        <v>1922</v>
      </c>
      <c r="K344" s="203" t="s">
        <v>1917</v>
      </c>
      <c r="L344" s="168">
        <v>19.600000000000001</v>
      </c>
      <c r="M344" s="234">
        <v>2000000000</v>
      </c>
    </row>
    <row r="345" spans="3:13">
      <c r="C345" s="11" t="str">
        <f t="shared" si="44"/>
        <v/>
      </c>
      <c r="D345" s="11">
        <f t="shared" si="45"/>
        <v>19.2</v>
      </c>
      <c r="E345" s="10">
        <f t="shared" si="46"/>
        <v>20</v>
      </c>
      <c r="F345" s="10" t="str">
        <f t="shared" si="47"/>
        <v/>
      </c>
      <c r="G345" s="10" t="str">
        <f t="shared" si="48"/>
        <v/>
      </c>
      <c r="I345" s="25"/>
      <c r="J345" s="25"/>
      <c r="K345" s="25"/>
      <c r="L345" s="168">
        <v>19.399999999999999</v>
      </c>
      <c r="M345" s="234">
        <v>2000000000</v>
      </c>
    </row>
    <row r="346" spans="3:13">
      <c r="C346" s="11" t="str">
        <f t="shared" si="44"/>
        <v>太平洋资产管理有限责任公司</v>
      </c>
      <c r="D346" s="11">
        <f t="shared" si="45"/>
        <v>19.399999999999999</v>
      </c>
      <c r="E346" s="10">
        <f t="shared" si="46"/>
        <v>20.100000000000001</v>
      </c>
      <c r="F346" s="10" t="str">
        <f t="shared" si="47"/>
        <v/>
      </c>
      <c r="G346" s="10" t="str">
        <f t="shared" si="48"/>
        <v/>
      </c>
      <c r="I346" s="64"/>
      <c r="J346" s="64"/>
      <c r="K346" s="64"/>
      <c r="L346" s="168">
        <v>19.2</v>
      </c>
      <c r="M346" s="234">
        <v>2000000000</v>
      </c>
    </row>
    <row r="347" spans="3:13">
      <c r="C347" s="11" t="str">
        <f t="shared" si="44"/>
        <v/>
      </c>
      <c r="D347" s="11">
        <f t="shared" si="45"/>
        <v>19</v>
      </c>
      <c r="E347" s="10">
        <f t="shared" si="46"/>
        <v>21.1</v>
      </c>
      <c r="F347" s="10" t="str">
        <f t="shared" si="47"/>
        <v/>
      </c>
      <c r="G347" s="10" t="str">
        <f t="shared" si="48"/>
        <v/>
      </c>
      <c r="I347" s="191">
        <v>29</v>
      </c>
      <c r="J347" s="192" t="s">
        <v>1921</v>
      </c>
      <c r="K347" s="204" t="s">
        <v>1331</v>
      </c>
      <c r="L347" s="168">
        <v>19.399999999999999</v>
      </c>
      <c r="M347" s="234">
        <v>2010000000</v>
      </c>
    </row>
    <row r="348" spans="3:13">
      <c r="C348" s="11" t="str">
        <f t="shared" si="44"/>
        <v/>
      </c>
      <c r="D348" s="11">
        <f t="shared" si="45"/>
        <v>18.399999999999999</v>
      </c>
      <c r="E348" s="10">
        <f t="shared" si="46"/>
        <v>22.6</v>
      </c>
      <c r="F348" s="10" t="str">
        <f t="shared" si="47"/>
        <v/>
      </c>
      <c r="G348" s="10" t="str">
        <f t="shared" si="48"/>
        <v/>
      </c>
      <c r="I348" s="25"/>
      <c r="J348" s="25"/>
      <c r="K348" s="25"/>
      <c r="L348" s="168">
        <v>19</v>
      </c>
      <c r="M348" s="234">
        <v>2110000000</v>
      </c>
    </row>
    <row r="349" spans="3:13">
      <c r="C349" s="11" t="str">
        <f t="shared" si="44"/>
        <v>华鑫证券有限责任公司</v>
      </c>
      <c r="D349" s="11">
        <f t="shared" si="45"/>
        <v>19.2</v>
      </c>
      <c r="E349" s="10">
        <f t="shared" si="46"/>
        <v>20.5</v>
      </c>
      <c r="F349" s="10" t="str">
        <f t="shared" si="47"/>
        <v/>
      </c>
      <c r="G349" s="10" t="str">
        <f t="shared" si="48"/>
        <v/>
      </c>
      <c r="I349" s="64"/>
      <c r="J349" s="64"/>
      <c r="K349" s="64"/>
      <c r="L349" s="168">
        <v>18.399999999999999</v>
      </c>
      <c r="M349" s="234">
        <v>2260000000</v>
      </c>
    </row>
    <row r="350" spans="3:13">
      <c r="C350" s="11" t="str">
        <f t="shared" si="44"/>
        <v>新华资产管理股份有限公司</v>
      </c>
      <c r="D350" s="11">
        <f t="shared" si="45"/>
        <v>19</v>
      </c>
      <c r="E350" s="10">
        <f t="shared" si="46"/>
        <v>20</v>
      </c>
      <c r="F350" s="10" t="str">
        <f t="shared" si="47"/>
        <v/>
      </c>
      <c r="G350" s="10" t="str">
        <f t="shared" si="48"/>
        <v/>
      </c>
      <c r="I350" s="190">
        <v>30</v>
      </c>
      <c r="J350" s="192" t="s">
        <v>505</v>
      </c>
      <c r="K350" s="204" t="s">
        <v>1326</v>
      </c>
      <c r="L350" s="168">
        <v>19.2</v>
      </c>
      <c r="M350" s="234">
        <v>2050000000</v>
      </c>
    </row>
    <row r="351" spans="3:13">
      <c r="C351" s="11" t="str">
        <f t="shared" si="44"/>
        <v/>
      </c>
      <c r="D351" s="11">
        <f t="shared" si="45"/>
        <v>18.600000000000001</v>
      </c>
      <c r="E351" s="10">
        <f t="shared" si="46"/>
        <v>40</v>
      </c>
      <c r="F351" s="10" t="str">
        <f t="shared" si="47"/>
        <v/>
      </c>
      <c r="G351" s="10" t="str">
        <f t="shared" si="48"/>
        <v/>
      </c>
      <c r="I351" s="296">
        <v>31</v>
      </c>
      <c r="J351" s="192" t="s">
        <v>226</v>
      </c>
      <c r="K351" s="204" t="s">
        <v>1331</v>
      </c>
      <c r="L351" s="168">
        <v>19</v>
      </c>
      <c r="M351" s="234">
        <v>2000000000</v>
      </c>
    </row>
    <row r="352" spans="3:13">
      <c r="C352" s="11" t="str">
        <f t="shared" ref="C352:C368" si="49">IF(J353=0,"",J353)</f>
        <v>华泰资产管理有限公司</v>
      </c>
      <c r="D352" s="11">
        <f t="shared" ref="D352:D368" si="50">L353</f>
        <v>18.600000000000001</v>
      </c>
      <c r="E352" s="10">
        <f t="shared" ref="E352:E368" si="51">M353/100000000</f>
        <v>21.655000000000001</v>
      </c>
      <c r="F352" s="10" t="str">
        <f t="shared" ref="F352:F368" si="52">IFERROR(VLOOKUP(C352,P$289:S$297,3,FALSE)/10000,"")</f>
        <v/>
      </c>
      <c r="G352" s="10" t="str">
        <f t="shared" ref="G352:G368" si="53">IFERROR(F352*J$286/10000,"")</f>
        <v/>
      </c>
      <c r="I352" s="296"/>
      <c r="J352" s="25"/>
      <c r="K352" s="25"/>
      <c r="L352" s="168">
        <v>18.600000000000001</v>
      </c>
      <c r="M352" s="234">
        <v>4000000000</v>
      </c>
    </row>
    <row r="353" spans="3:13">
      <c r="C353" s="11" t="str">
        <f t="shared" si="49"/>
        <v/>
      </c>
      <c r="D353" s="11">
        <f t="shared" si="50"/>
        <v>18.399999999999999</v>
      </c>
      <c r="E353" s="10">
        <f t="shared" si="51"/>
        <v>26.954999999999998</v>
      </c>
      <c r="F353" s="10" t="str">
        <f t="shared" si="52"/>
        <v/>
      </c>
      <c r="G353" s="10" t="str">
        <f t="shared" si="53"/>
        <v/>
      </c>
      <c r="I353" s="191">
        <v>32</v>
      </c>
      <c r="J353" s="192" t="s">
        <v>135</v>
      </c>
      <c r="K353" s="204" t="s">
        <v>1331</v>
      </c>
      <c r="L353" s="168">
        <v>18.600000000000001</v>
      </c>
      <c r="M353" s="234">
        <v>2165500000</v>
      </c>
    </row>
    <row r="354" spans="3:13">
      <c r="C354" s="11" t="str">
        <f t="shared" si="49"/>
        <v/>
      </c>
      <c r="D354" s="11">
        <f t="shared" si="50"/>
        <v>17.8</v>
      </c>
      <c r="E354" s="10">
        <f t="shared" si="51"/>
        <v>27.655000000000001</v>
      </c>
      <c r="F354" s="10" t="str">
        <f t="shared" si="52"/>
        <v/>
      </c>
      <c r="G354" s="10" t="str">
        <f t="shared" si="53"/>
        <v/>
      </c>
      <c r="I354" s="25"/>
      <c r="J354" s="25"/>
      <c r="K354" s="25"/>
      <c r="L354" s="168">
        <v>18.399999999999999</v>
      </c>
      <c r="M354" s="234">
        <v>2695500000</v>
      </c>
    </row>
    <row r="355" spans="3:13">
      <c r="C355" s="11" t="str">
        <f t="shared" si="49"/>
        <v>中意资产管理有限责任公司</v>
      </c>
      <c r="D355" s="11">
        <f t="shared" si="50"/>
        <v>18.600000000000001</v>
      </c>
      <c r="E355" s="10">
        <f t="shared" si="51"/>
        <v>20.010000000000002</v>
      </c>
      <c r="F355" s="10" t="str">
        <f t="shared" si="52"/>
        <v/>
      </c>
      <c r="G355" s="10" t="str">
        <f t="shared" si="53"/>
        <v/>
      </c>
      <c r="I355" s="64"/>
      <c r="J355" s="64"/>
      <c r="K355" s="64"/>
      <c r="L355" s="168">
        <v>17.8</v>
      </c>
      <c r="M355" s="234">
        <v>2765500000</v>
      </c>
    </row>
    <row r="356" spans="3:13">
      <c r="C356" s="11" t="str">
        <f t="shared" si="49"/>
        <v>华泰柏瑞基金管理有限公司</v>
      </c>
      <c r="D356" s="11">
        <f t="shared" si="50"/>
        <v>18.600000000000001</v>
      </c>
      <c r="E356" s="10">
        <f t="shared" si="51"/>
        <v>20</v>
      </c>
      <c r="F356" s="10" t="str">
        <f t="shared" si="52"/>
        <v/>
      </c>
      <c r="G356" s="10" t="str">
        <f t="shared" si="53"/>
        <v/>
      </c>
      <c r="I356" s="190">
        <v>33</v>
      </c>
      <c r="J356" s="192" t="s">
        <v>1920</v>
      </c>
      <c r="K356" s="204" t="s">
        <v>1331</v>
      </c>
      <c r="L356" s="168">
        <v>18.600000000000001</v>
      </c>
      <c r="M356" s="234">
        <v>2001000000</v>
      </c>
    </row>
    <row r="357" spans="3:13">
      <c r="C357" s="11" t="str">
        <f t="shared" si="49"/>
        <v>招商财富资产管理有限公司</v>
      </c>
      <c r="D357" s="11">
        <f t="shared" si="50"/>
        <v>18.2</v>
      </c>
      <c r="E357" s="10">
        <f t="shared" si="51"/>
        <v>26.43</v>
      </c>
      <c r="F357" s="10" t="str">
        <f t="shared" si="52"/>
        <v/>
      </c>
      <c r="G357" s="10" t="str">
        <f t="shared" si="53"/>
        <v/>
      </c>
      <c r="I357" s="190">
        <v>34</v>
      </c>
      <c r="J357" s="192" t="s">
        <v>122</v>
      </c>
      <c r="K357" s="204" t="s">
        <v>1325</v>
      </c>
      <c r="L357" s="168">
        <v>18.600000000000001</v>
      </c>
      <c r="M357" s="234">
        <v>2000000000</v>
      </c>
    </row>
    <row r="358" spans="3:13">
      <c r="C358" s="11" t="str">
        <f t="shared" si="49"/>
        <v>南方基金管理有限公司</v>
      </c>
      <c r="D358" s="11">
        <f t="shared" si="50"/>
        <v>18</v>
      </c>
      <c r="E358" s="10">
        <f t="shared" si="51"/>
        <v>20.010798000000001</v>
      </c>
      <c r="F358" s="10" t="str">
        <f t="shared" si="52"/>
        <v/>
      </c>
      <c r="G358" s="10" t="str">
        <f t="shared" si="53"/>
        <v/>
      </c>
      <c r="I358" s="190">
        <v>35</v>
      </c>
      <c r="J358" s="192" t="s">
        <v>142</v>
      </c>
      <c r="K358" s="204" t="s">
        <v>1917</v>
      </c>
      <c r="L358" s="168">
        <v>18.2</v>
      </c>
      <c r="M358" s="234">
        <v>2643000000</v>
      </c>
    </row>
    <row r="359" spans="3:13">
      <c r="C359" s="11" t="str">
        <f t="shared" si="49"/>
        <v>诺安基金管理有限公司</v>
      </c>
      <c r="D359" s="11">
        <f t="shared" si="50"/>
        <v>17.399999999999999</v>
      </c>
      <c r="E359" s="10">
        <f t="shared" si="51"/>
        <v>20</v>
      </c>
      <c r="F359" s="10" t="str">
        <f t="shared" si="52"/>
        <v/>
      </c>
      <c r="G359" s="10" t="str">
        <f t="shared" si="53"/>
        <v/>
      </c>
      <c r="I359" s="190">
        <v>36</v>
      </c>
      <c r="J359" s="192" t="s">
        <v>321</v>
      </c>
      <c r="K359" s="204" t="s">
        <v>1325</v>
      </c>
      <c r="L359" s="168">
        <v>18</v>
      </c>
      <c r="M359" s="234">
        <v>2001079800</v>
      </c>
    </row>
    <row r="360" spans="3:13">
      <c r="C360" s="11" t="str">
        <f t="shared" si="49"/>
        <v>长城（天津）股权投资基金管理有限责任公司</v>
      </c>
      <c r="D360" s="11">
        <f t="shared" si="50"/>
        <v>17</v>
      </c>
      <c r="E360" s="10">
        <f t="shared" si="51"/>
        <v>20</v>
      </c>
      <c r="F360" s="10" t="str">
        <f t="shared" si="52"/>
        <v/>
      </c>
      <c r="G360" s="10" t="str">
        <f t="shared" si="53"/>
        <v/>
      </c>
      <c r="I360" s="190">
        <v>37</v>
      </c>
      <c r="J360" s="192" t="s">
        <v>147</v>
      </c>
      <c r="K360" s="204" t="s">
        <v>1325</v>
      </c>
      <c r="L360" s="168">
        <v>17.399999999999999</v>
      </c>
      <c r="M360" s="234">
        <v>2000000000</v>
      </c>
    </row>
    <row r="361" spans="3:13">
      <c r="C361" s="11" t="str">
        <f t="shared" si="49"/>
        <v>兴证证券资产管理有限公司</v>
      </c>
      <c r="D361" s="11">
        <f t="shared" si="50"/>
        <v>16.8</v>
      </c>
      <c r="E361" s="10">
        <f t="shared" si="51"/>
        <v>21.76</v>
      </c>
      <c r="F361" s="10" t="str">
        <f t="shared" si="52"/>
        <v/>
      </c>
      <c r="G361" s="10" t="str">
        <f t="shared" si="53"/>
        <v/>
      </c>
      <c r="I361" s="296">
        <v>38</v>
      </c>
      <c r="J361" s="192" t="s">
        <v>1919</v>
      </c>
      <c r="K361" s="192" t="s">
        <v>1917</v>
      </c>
      <c r="L361" s="296">
        <v>17</v>
      </c>
      <c r="M361" s="297">
        <v>2000000000</v>
      </c>
    </row>
    <row r="362" spans="3:13">
      <c r="C362" s="11" t="str">
        <f t="shared" si="49"/>
        <v>北信瑞丰基金管理有限公司</v>
      </c>
      <c r="D362" s="11">
        <f t="shared" si="50"/>
        <v>15.2</v>
      </c>
      <c r="E362" s="10">
        <f t="shared" si="51"/>
        <v>24.245000000000001</v>
      </c>
      <c r="F362" s="10" t="str">
        <f t="shared" si="52"/>
        <v/>
      </c>
      <c r="G362" s="10" t="str">
        <f t="shared" si="53"/>
        <v/>
      </c>
      <c r="I362" s="190">
        <v>39</v>
      </c>
      <c r="J362" s="192" t="s">
        <v>150</v>
      </c>
      <c r="K362" s="204" t="s">
        <v>1917</v>
      </c>
      <c r="L362" s="168">
        <v>16.8</v>
      </c>
      <c r="M362" s="234">
        <v>2176000000</v>
      </c>
    </row>
    <row r="363" spans="3:13">
      <c r="C363" s="11" t="str">
        <f t="shared" si="49"/>
        <v>建信基金管理有限责任公司</v>
      </c>
      <c r="D363" s="11">
        <f t="shared" si="50"/>
        <v>25</v>
      </c>
      <c r="E363" s="10">
        <f t="shared" si="51"/>
        <v>27.2</v>
      </c>
      <c r="F363" s="10" t="str">
        <f t="shared" si="52"/>
        <v/>
      </c>
      <c r="G363" s="10" t="str">
        <f t="shared" si="53"/>
        <v/>
      </c>
      <c r="I363" s="190">
        <v>40</v>
      </c>
      <c r="J363" s="192" t="s">
        <v>336</v>
      </c>
      <c r="K363" s="204" t="s">
        <v>1325</v>
      </c>
      <c r="L363" s="168">
        <v>15.2</v>
      </c>
      <c r="M363" s="234">
        <v>2424500000</v>
      </c>
    </row>
    <row r="364" spans="3:13">
      <c r="C364" s="11" t="str">
        <f t="shared" si="49"/>
        <v/>
      </c>
      <c r="D364" s="11">
        <f t="shared" si="50"/>
        <v>22.6</v>
      </c>
      <c r="E364" s="10">
        <f t="shared" si="51"/>
        <v>27.5</v>
      </c>
      <c r="F364" s="10" t="str">
        <f t="shared" si="52"/>
        <v/>
      </c>
      <c r="G364" s="10" t="str">
        <f t="shared" si="53"/>
        <v/>
      </c>
      <c r="I364" s="191">
        <v>41</v>
      </c>
      <c r="J364" s="192" t="s">
        <v>130</v>
      </c>
      <c r="K364" s="204" t="s">
        <v>1325</v>
      </c>
      <c r="L364" s="168">
        <v>25</v>
      </c>
      <c r="M364" s="234">
        <v>2720000000</v>
      </c>
    </row>
    <row r="365" spans="3:13">
      <c r="C365" s="11" t="str">
        <f t="shared" si="49"/>
        <v/>
      </c>
      <c r="D365" s="11">
        <f t="shared" si="50"/>
        <v>19.8</v>
      </c>
      <c r="E365" s="10">
        <f t="shared" si="51"/>
        <v>31.4</v>
      </c>
      <c r="F365" s="10" t="str">
        <f t="shared" si="52"/>
        <v/>
      </c>
      <c r="G365" s="10" t="str">
        <f t="shared" si="53"/>
        <v/>
      </c>
      <c r="I365" s="25"/>
      <c r="J365" s="25"/>
      <c r="K365" s="25"/>
      <c r="L365" s="168">
        <v>22.6</v>
      </c>
      <c r="M365" s="234">
        <v>2750000000</v>
      </c>
    </row>
    <row r="366" spans="3:13">
      <c r="C366" s="11" t="str">
        <f t="shared" si="49"/>
        <v>西安投资控股有限公司</v>
      </c>
      <c r="D366" s="11">
        <f t="shared" si="50"/>
        <v>21</v>
      </c>
      <c r="E366" s="10">
        <f t="shared" si="51"/>
        <v>20</v>
      </c>
      <c r="F366" s="10" t="str">
        <f t="shared" si="52"/>
        <v/>
      </c>
      <c r="G366" s="10" t="str">
        <f t="shared" si="53"/>
        <v/>
      </c>
      <c r="I366" s="64"/>
      <c r="J366" s="64"/>
      <c r="K366" s="64"/>
      <c r="L366" s="168">
        <v>19.8</v>
      </c>
      <c r="M366" s="234">
        <v>3140000000</v>
      </c>
    </row>
    <row r="367" spans="3:13">
      <c r="C367" s="11" t="str">
        <f t="shared" si="49"/>
        <v/>
      </c>
      <c r="D367" s="11">
        <f t="shared" si="50"/>
        <v>19</v>
      </c>
      <c r="E367" s="10">
        <f t="shared" si="51"/>
        <v>20</v>
      </c>
      <c r="F367" s="10" t="str">
        <f t="shared" si="52"/>
        <v/>
      </c>
      <c r="G367" s="10" t="str">
        <f t="shared" si="53"/>
        <v/>
      </c>
      <c r="I367" s="191">
        <v>42</v>
      </c>
      <c r="J367" s="192" t="s">
        <v>1918</v>
      </c>
      <c r="K367" s="203" t="s">
        <v>1917</v>
      </c>
      <c r="L367" s="168">
        <v>21</v>
      </c>
      <c r="M367" s="234">
        <v>2000000000</v>
      </c>
    </row>
    <row r="368" spans="3:13">
      <c r="C368" s="11" t="str">
        <f t="shared" si="49"/>
        <v/>
      </c>
      <c r="D368" s="11">
        <f t="shared" si="50"/>
        <v>17.600000000000001</v>
      </c>
      <c r="E368" s="10">
        <f t="shared" si="51"/>
        <v>20</v>
      </c>
      <c r="F368" s="10" t="str">
        <f t="shared" si="52"/>
        <v/>
      </c>
      <c r="G368" s="10" t="str">
        <f t="shared" si="53"/>
        <v/>
      </c>
      <c r="I368" s="64"/>
      <c r="J368" s="64"/>
      <c r="K368" s="64"/>
      <c r="L368" s="168">
        <v>19</v>
      </c>
      <c r="M368" s="234">
        <v>2000000000</v>
      </c>
    </row>
    <row r="369" spans="1:18">
      <c r="C369" s="16" t="s">
        <v>1643</v>
      </c>
      <c r="D369" s="1686" t="str">
        <f>IFERROR(VLOOKUP(C369,P$289:S$297,3,FALSE)/10000,"")</f>
        <v/>
      </c>
      <c r="E369" s="1687"/>
      <c r="F369" s="1687"/>
      <c r="G369" s="1688"/>
      <c r="I369" s="25"/>
      <c r="J369" s="25"/>
      <c r="K369" s="25"/>
      <c r="L369" s="168">
        <v>17.600000000000001</v>
      </c>
      <c r="M369" s="234">
        <v>2000000000</v>
      </c>
    </row>
    <row r="370" spans="1:18">
      <c r="C370" s="11" t="str">
        <f>P289</f>
        <v>上海汽车工业（集团）总公司</v>
      </c>
      <c r="D370" s="11"/>
      <c r="E370" s="11"/>
      <c r="F370" s="10">
        <f>IFERROR(VLOOKUP(C370,P$289:S$297,3,FALSE)/10000,"")</f>
        <v>13157.894700000001</v>
      </c>
      <c r="G370" s="10">
        <f>IFERROR(F370*J$286/10000,"")</f>
        <v>29.999999916</v>
      </c>
      <c r="I370" s="25"/>
      <c r="J370" s="25"/>
      <c r="K370" s="25"/>
      <c r="L370" s="25"/>
      <c r="M370" s="25"/>
    </row>
    <row r="371" spans="1:18">
      <c r="C371" s="16" t="s">
        <v>1916</v>
      </c>
      <c r="D371" s="1686" t="str">
        <f>IFERROR(VLOOKUP(C371,P$289:S$297,3,FALSE)/10000,"")</f>
        <v/>
      </c>
      <c r="E371" s="1687"/>
      <c r="F371" s="1687"/>
      <c r="G371" s="1688"/>
      <c r="I371" s="25"/>
      <c r="J371" s="25"/>
      <c r="K371" s="25"/>
      <c r="L371" s="25"/>
      <c r="M371" s="25"/>
    </row>
    <row r="372" spans="1:18">
      <c r="C372" s="11" t="str">
        <f>P291</f>
        <v>上汽集团核心员工持股计划（由受托管理该计划的长江养老保险股份有限公司设立专项产品予以认购）</v>
      </c>
      <c r="D372" s="11"/>
      <c r="E372" s="11"/>
      <c r="F372" s="10">
        <f>IFERROR(VLOOKUP(C372,P$289:S$297,3,FALSE)/10000,"")</f>
        <v>4844.9561000000003</v>
      </c>
      <c r="G372" s="10">
        <f>IFERROR(F372*J$286/10000,"")</f>
        <v>11.046499908000001</v>
      </c>
    </row>
    <row r="376" spans="1:18" s="162" customFormat="1">
      <c r="A376" s="164" t="s">
        <v>1315</v>
      </c>
      <c r="B376" s="164"/>
      <c r="C376" s="164" t="s">
        <v>107</v>
      </c>
      <c r="D376" s="164" t="s">
        <v>4</v>
      </c>
      <c r="E376" s="166" t="s">
        <v>108</v>
      </c>
      <c r="F376" s="166" t="s">
        <v>109</v>
      </c>
      <c r="G376" s="164" t="s">
        <v>1314</v>
      </c>
      <c r="H376" s="164" t="s">
        <v>1313</v>
      </c>
      <c r="I376" s="165" t="s">
        <v>1312</v>
      </c>
      <c r="J376" s="163" t="s">
        <v>1311</v>
      </c>
      <c r="K376" s="163" t="s">
        <v>110</v>
      </c>
      <c r="L376" s="163" t="s">
        <v>1310</v>
      </c>
      <c r="M376" s="164" t="s">
        <v>111</v>
      </c>
      <c r="N376" s="163" t="s">
        <v>949</v>
      </c>
      <c r="O376" s="163" t="s">
        <v>948</v>
      </c>
      <c r="P376" s="163" t="s">
        <v>129</v>
      </c>
    </row>
    <row r="377" spans="1:18">
      <c r="A377" s="24">
        <v>325</v>
      </c>
      <c r="B377" s="329" t="s">
        <v>1915</v>
      </c>
      <c r="C377" s="1" t="s">
        <v>1914</v>
      </c>
      <c r="D377" s="1" t="s">
        <v>1913</v>
      </c>
      <c r="E377" s="3">
        <v>3.355</v>
      </c>
      <c r="F377" s="3">
        <v>3.3549998944000001</v>
      </c>
      <c r="G377" s="332">
        <v>42723</v>
      </c>
      <c r="H377" s="24" t="s">
        <v>151</v>
      </c>
      <c r="I377" s="130">
        <v>17.84</v>
      </c>
      <c r="J377" s="3">
        <v>14.84</v>
      </c>
      <c r="K377" s="160">
        <v>12.16</v>
      </c>
      <c r="L377" s="271">
        <v>0.83183856502242148</v>
      </c>
      <c r="M377" s="270">
        <v>4</v>
      </c>
      <c r="N377" s="2">
        <v>43119</v>
      </c>
      <c r="O377" s="24">
        <v>12.69</v>
      </c>
      <c r="P377" s="157">
        <v>0.8564690026954177</v>
      </c>
    </row>
    <row r="378" spans="1:18">
      <c r="C378" s="16" t="s">
        <v>112</v>
      </c>
      <c r="D378" s="16" t="s">
        <v>113</v>
      </c>
      <c r="E378" s="16" t="s">
        <v>1305</v>
      </c>
      <c r="F378" s="17" t="s">
        <v>1304</v>
      </c>
      <c r="G378" s="16" t="s">
        <v>1303</v>
      </c>
      <c r="I378" s="203"/>
      <c r="J378" s="203"/>
      <c r="K378" s="85" t="s">
        <v>1912</v>
      </c>
      <c r="L378" s="85" t="s">
        <v>1786</v>
      </c>
      <c r="M378" s="85" t="s">
        <v>1911</v>
      </c>
      <c r="O378" s="196" t="s">
        <v>118</v>
      </c>
      <c r="P378" s="196" t="s">
        <v>7</v>
      </c>
      <c r="Q378" s="85" t="s">
        <v>1773</v>
      </c>
      <c r="R378" s="85" t="s">
        <v>1772</v>
      </c>
    </row>
    <row r="379" spans="1:18">
      <c r="C379" s="11" t="str">
        <f t="shared" ref="C379:C407" si="54">IF(J380=0,"",J380)</f>
        <v>南京音飞储存设备（集团）股份有限公司</v>
      </c>
      <c r="D379" s="11">
        <f t="shared" ref="D379:D405" si="55">K380</f>
        <v>13.68</v>
      </c>
      <c r="E379" s="10">
        <f t="shared" ref="E379:E405" si="56">L380/100000000</f>
        <v>0.33550008479999999</v>
      </c>
      <c r="F379" s="11" t="str">
        <f t="shared" ref="F379:F405" si="57">IFERROR(VLOOKUP(C379,P$380:R$383,2,FALSE)/10000,"")</f>
        <v/>
      </c>
      <c r="G379" s="11"/>
      <c r="I379" s="225" t="s">
        <v>118</v>
      </c>
      <c r="J379" s="85" t="s">
        <v>7</v>
      </c>
      <c r="K379" s="85" t="s">
        <v>1380</v>
      </c>
      <c r="L379" s="85" t="s">
        <v>1316</v>
      </c>
      <c r="M379" s="85" t="s">
        <v>1317</v>
      </c>
      <c r="O379" s="196"/>
      <c r="P379" s="196"/>
      <c r="Q379" s="85" t="s">
        <v>1317</v>
      </c>
      <c r="R379" s="85" t="s">
        <v>1317</v>
      </c>
    </row>
    <row r="380" spans="1:18">
      <c r="C380" s="11" t="str">
        <f t="shared" si="54"/>
        <v/>
      </c>
      <c r="D380" s="11">
        <f t="shared" si="55"/>
        <v>13.6</v>
      </c>
      <c r="E380" s="10">
        <f t="shared" si="56"/>
        <v>0.335500032</v>
      </c>
      <c r="F380" s="11" t="str">
        <f t="shared" si="57"/>
        <v/>
      </c>
      <c r="G380" s="11"/>
      <c r="I380" s="168">
        <v>1</v>
      </c>
      <c r="J380" s="203" t="s">
        <v>1910</v>
      </c>
      <c r="K380" s="190">
        <v>13.68</v>
      </c>
      <c r="L380" s="197">
        <v>33550008.48</v>
      </c>
      <c r="M380" s="167">
        <v>2452486</v>
      </c>
      <c r="O380" s="168">
        <v>1</v>
      </c>
      <c r="P380" s="203" t="s">
        <v>982</v>
      </c>
      <c r="Q380" s="234">
        <v>9716981</v>
      </c>
      <c r="R380" s="189">
        <v>144199998.03999999</v>
      </c>
    </row>
    <row r="381" spans="1:18">
      <c r="C381" s="11" t="str">
        <f t="shared" si="54"/>
        <v/>
      </c>
      <c r="D381" s="11">
        <f t="shared" si="55"/>
        <v>13.49</v>
      </c>
      <c r="E381" s="10">
        <f t="shared" si="56"/>
        <v>0.33550007719999997</v>
      </c>
      <c r="F381" s="11" t="str">
        <f t="shared" si="57"/>
        <v/>
      </c>
      <c r="G381" s="11"/>
      <c r="I381" s="25"/>
      <c r="J381" s="25"/>
      <c r="K381" s="190">
        <v>13.6</v>
      </c>
      <c r="L381" s="197">
        <v>33550003.199999999</v>
      </c>
      <c r="M381" s="167">
        <v>2466912</v>
      </c>
      <c r="O381" s="168">
        <v>2</v>
      </c>
      <c r="P381" s="203" t="s">
        <v>115</v>
      </c>
      <c r="Q381" s="234">
        <v>7193397</v>
      </c>
      <c r="R381" s="189">
        <v>106750011.48</v>
      </c>
    </row>
    <row r="382" spans="1:18">
      <c r="C382" s="11" t="str">
        <f t="shared" si="54"/>
        <v>第一创业证券股份有限公司</v>
      </c>
      <c r="D382" s="11">
        <f t="shared" si="55"/>
        <v>14.03</v>
      </c>
      <c r="E382" s="10">
        <f t="shared" si="56"/>
        <v>1.4998069999999999</v>
      </c>
      <c r="F382" s="11" t="str">
        <f t="shared" si="57"/>
        <v/>
      </c>
      <c r="G382" s="11"/>
      <c r="I382" s="64"/>
      <c r="J382" s="64"/>
      <c r="K382" s="190">
        <v>13.49</v>
      </c>
      <c r="L382" s="197">
        <v>33550007.719999999</v>
      </c>
      <c r="M382" s="167">
        <v>2487028</v>
      </c>
      <c r="O382" s="168">
        <v>3</v>
      </c>
      <c r="P382" s="203" t="s">
        <v>666</v>
      </c>
      <c r="Q382" s="234">
        <v>3436657</v>
      </c>
      <c r="R382" s="189">
        <v>50999989.880000003</v>
      </c>
    </row>
    <row r="383" spans="1:18">
      <c r="C383" s="11" t="str">
        <f t="shared" si="54"/>
        <v>嘉实基金管理有限公司</v>
      </c>
      <c r="D383" s="11">
        <f t="shared" si="55"/>
        <v>13.6</v>
      </c>
      <c r="E383" s="10">
        <f t="shared" si="56"/>
        <v>0.40799999999999997</v>
      </c>
      <c r="F383" s="11" t="str">
        <f t="shared" si="57"/>
        <v/>
      </c>
      <c r="G383" s="11"/>
      <c r="I383" s="168">
        <v>2</v>
      </c>
      <c r="J383" s="204" t="s">
        <v>127</v>
      </c>
      <c r="K383" s="190">
        <v>14.03</v>
      </c>
      <c r="L383" s="197">
        <v>149980700</v>
      </c>
      <c r="M383" s="167">
        <v>10690000</v>
      </c>
      <c r="O383" s="168">
        <v>4</v>
      </c>
      <c r="P383" s="203" t="s">
        <v>954</v>
      </c>
      <c r="Q383" s="234">
        <v>2260781</v>
      </c>
      <c r="R383" s="189">
        <v>33549990.039999999</v>
      </c>
    </row>
    <row r="384" spans="1:18">
      <c r="C384" s="11" t="str">
        <f t="shared" si="54"/>
        <v/>
      </c>
      <c r="D384" s="11">
        <f t="shared" si="55"/>
        <v>12.5</v>
      </c>
      <c r="E384" s="10">
        <f t="shared" si="56"/>
        <v>0.625</v>
      </c>
      <c r="F384" s="11" t="str">
        <f t="shared" si="57"/>
        <v/>
      </c>
      <c r="G384" s="11"/>
      <c r="I384" s="296">
        <v>3</v>
      </c>
      <c r="J384" s="203" t="s">
        <v>228</v>
      </c>
      <c r="K384" s="190">
        <v>13.6</v>
      </c>
      <c r="L384" s="197">
        <v>40800000</v>
      </c>
      <c r="M384" s="167">
        <v>3000000</v>
      </c>
    </row>
    <row r="385" spans="3:13">
      <c r="C385" s="11" t="str">
        <f t="shared" si="54"/>
        <v>兴业全球基金管理有限公司</v>
      </c>
      <c r="D385" s="11">
        <f t="shared" si="55"/>
        <v>12.18</v>
      </c>
      <c r="E385" s="10">
        <f t="shared" si="56"/>
        <v>0.335559</v>
      </c>
      <c r="F385" s="11" t="str">
        <f t="shared" si="57"/>
        <v/>
      </c>
      <c r="G385" s="11"/>
      <c r="I385" s="296"/>
      <c r="J385" s="25"/>
      <c r="K385" s="190">
        <v>12.5</v>
      </c>
      <c r="L385" s="197">
        <v>62500000</v>
      </c>
      <c r="M385" s="167">
        <v>5000000</v>
      </c>
    </row>
    <row r="386" spans="3:13">
      <c r="C386" s="11" t="str">
        <f t="shared" si="54"/>
        <v>九泰基金管理有限公司</v>
      </c>
      <c r="D386" s="11">
        <f t="shared" si="55"/>
        <v>15.12</v>
      </c>
      <c r="E386" s="10">
        <f t="shared" si="56"/>
        <v>0.51</v>
      </c>
      <c r="F386" s="10">
        <f t="shared" si="57"/>
        <v>343.66570000000002</v>
      </c>
      <c r="G386" s="10">
        <f t="shared" ref="G386:G405" si="58">IFERROR(F386*J$377/10000,"")</f>
        <v>0.50999989880000007</v>
      </c>
      <c r="I386" s="168">
        <v>4</v>
      </c>
      <c r="J386" s="204" t="s">
        <v>131</v>
      </c>
      <c r="K386" s="190">
        <v>12.18</v>
      </c>
      <c r="L386" s="197">
        <v>33555900</v>
      </c>
      <c r="M386" s="167">
        <v>2755000</v>
      </c>
    </row>
    <row r="387" spans="3:13">
      <c r="C387" s="11" t="str">
        <f t="shared" si="54"/>
        <v/>
      </c>
      <c r="D387" s="11">
        <f t="shared" si="55"/>
        <v>13.69</v>
      </c>
      <c r="E387" s="10">
        <f t="shared" si="56"/>
        <v>0.55000000000000004</v>
      </c>
      <c r="F387" s="10" t="str">
        <f t="shared" si="57"/>
        <v/>
      </c>
      <c r="G387" s="10" t="str">
        <f t="shared" si="58"/>
        <v/>
      </c>
      <c r="I387" s="168">
        <v>5</v>
      </c>
      <c r="J387" s="203" t="s">
        <v>666</v>
      </c>
      <c r="K387" s="190">
        <v>15.12</v>
      </c>
      <c r="L387" s="197">
        <v>51000000</v>
      </c>
      <c r="M387" s="167">
        <v>3370000</v>
      </c>
    </row>
    <row r="388" spans="3:13">
      <c r="C388" s="11" t="str">
        <f t="shared" si="54"/>
        <v/>
      </c>
      <c r="D388" s="11">
        <f t="shared" si="55"/>
        <v>12.25</v>
      </c>
      <c r="E388" s="10">
        <f t="shared" si="56"/>
        <v>0.6</v>
      </c>
      <c r="F388" s="10" t="str">
        <f t="shared" si="57"/>
        <v/>
      </c>
      <c r="G388" s="10" t="str">
        <f t="shared" si="58"/>
        <v/>
      </c>
      <c r="I388" s="25"/>
      <c r="J388" s="25"/>
      <c r="K388" s="190">
        <v>13.69</v>
      </c>
      <c r="L388" s="197">
        <v>55000000</v>
      </c>
      <c r="M388" s="167">
        <v>4010000</v>
      </c>
    </row>
    <row r="389" spans="3:13">
      <c r="C389" s="11" t="str">
        <f t="shared" si="54"/>
        <v>冯鹏飞</v>
      </c>
      <c r="D389" s="11">
        <f t="shared" si="55"/>
        <v>13.99</v>
      </c>
      <c r="E389" s="10">
        <f t="shared" si="56"/>
        <v>0.34975000000000001</v>
      </c>
      <c r="F389" s="10" t="str">
        <f t="shared" si="57"/>
        <v/>
      </c>
      <c r="G389" s="10" t="str">
        <f t="shared" si="58"/>
        <v/>
      </c>
      <c r="I389" s="64"/>
      <c r="J389" s="64"/>
      <c r="K389" s="190">
        <v>12.25</v>
      </c>
      <c r="L389" s="197">
        <v>60000000</v>
      </c>
      <c r="M389" s="167">
        <v>4890000</v>
      </c>
    </row>
    <row r="390" spans="3:13">
      <c r="C390" s="11" t="str">
        <f t="shared" si="54"/>
        <v/>
      </c>
      <c r="D390" s="11">
        <f t="shared" si="55"/>
        <v>13.81</v>
      </c>
      <c r="E390" s="10">
        <f t="shared" si="56"/>
        <v>0.37286999999999998</v>
      </c>
      <c r="F390" s="10" t="str">
        <f t="shared" si="57"/>
        <v/>
      </c>
      <c r="G390" s="10" t="str">
        <f t="shared" si="58"/>
        <v/>
      </c>
      <c r="I390" s="168">
        <v>6</v>
      </c>
      <c r="J390" s="204" t="s">
        <v>1909</v>
      </c>
      <c r="K390" s="190">
        <v>13.99</v>
      </c>
      <c r="L390" s="197">
        <v>34975000</v>
      </c>
      <c r="M390" s="167">
        <v>2500000</v>
      </c>
    </row>
    <row r="391" spans="3:13">
      <c r="C391" s="11" t="str">
        <f t="shared" si="54"/>
        <v/>
      </c>
      <c r="D391" s="11">
        <f t="shared" si="55"/>
        <v>13.63</v>
      </c>
      <c r="E391" s="10">
        <f t="shared" si="56"/>
        <v>0.66786999999999996</v>
      </c>
      <c r="F391" s="10" t="str">
        <f t="shared" si="57"/>
        <v/>
      </c>
      <c r="G391" s="10" t="str">
        <f t="shared" si="58"/>
        <v/>
      </c>
      <c r="I391" s="25"/>
      <c r="J391" s="25"/>
      <c r="K391" s="190">
        <v>13.81</v>
      </c>
      <c r="L391" s="197">
        <v>37287000</v>
      </c>
      <c r="M391" s="167">
        <v>2700000</v>
      </c>
    </row>
    <row r="392" spans="3:13">
      <c r="C392" s="11" t="str">
        <f t="shared" si="54"/>
        <v>银华基金管理股份有限公司</v>
      </c>
      <c r="D392" s="11">
        <f t="shared" si="55"/>
        <v>16</v>
      </c>
      <c r="E392" s="10">
        <f t="shared" si="56"/>
        <v>0.67100000000000004</v>
      </c>
      <c r="F392" s="10">
        <f t="shared" si="57"/>
        <v>971.69809999999995</v>
      </c>
      <c r="G392" s="10">
        <f t="shared" si="58"/>
        <v>1.4419999803999999</v>
      </c>
      <c r="I392" s="64"/>
      <c r="J392" s="64"/>
      <c r="K392" s="190">
        <v>13.63</v>
      </c>
      <c r="L392" s="197">
        <v>66787000</v>
      </c>
      <c r="M392" s="167">
        <v>4900000</v>
      </c>
    </row>
    <row r="393" spans="3:13">
      <c r="C393" s="11" t="str">
        <f t="shared" si="54"/>
        <v/>
      </c>
      <c r="D393" s="11">
        <f t="shared" si="55"/>
        <v>15.67</v>
      </c>
      <c r="E393" s="10">
        <f t="shared" si="56"/>
        <v>1.4419999999999999</v>
      </c>
      <c r="F393" s="10" t="str">
        <f t="shared" si="57"/>
        <v/>
      </c>
      <c r="G393" s="10" t="str">
        <f t="shared" si="58"/>
        <v/>
      </c>
      <c r="I393" s="296">
        <v>7</v>
      </c>
      <c r="J393" s="203" t="s">
        <v>982</v>
      </c>
      <c r="K393" s="190">
        <v>16</v>
      </c>
      <c r="L393" s="197">
        <v>67100000</v>
      </c>
      <c r="M393" s="167">
        <v>4193750</v>
      </c>
    </row>
    <row r="394" spans="3:13">
      <c r="C394" s="11" t="str">
        <f t="shared" si="54"/>
        <v>东吴基金管理有限公司</v>
      </c>
      <c r="D394" s="11">
        <f t="shared" si="55"/>
        <v>14.01</v>
      </c>
      <c r="E394" s="10">
        <f t="shared" si="56"/>
        <v>0.33550000000000002</v>
      </c>
      <c r="F394" s="10" t="str">
        <f t="shared" si="57"/>
        <v/>
      </c>
      <c r="G394" s="10" t="str">
        <f t="shared" si="58"/>
        <v/>
      </c>
      <c r="I394" s="296"/>
      <c r="J394" s="25"/>
      <c r="K394" s="190">
        <v>15.67</v>
      </c>
      <c r="L394" s="197">
        <v>144200000</v>
      </c>
      <c r="M394" s="167">
        <v>9202297</v>
      </c>
    </row>
    <row r="395" spans="3:13">
      <c r="C395" s="11" t="str">
        <f t="shared" si="54"/>
        <v>诺安基金管理有限公司</v>
      </c>
      <c r="D395" s="11">
        <f t="shared" si="55"/>
        <v>12.66</v>
      </c>
      <c r="E395" s="10">
        <f t="shared" si="56"/>
        <v>0.33550000140000003</v>
      </c>
      <c r="F395" s="10" t="str">
        <f t="shared" si="57"/>
        <v/>
      </c>
      <c r="G395" s="10" t="str">
        <f t="shared" si="58"/>
        <v/>
      </c>
      <c r="I395" s="168">
        <v>8</v>
      </c>
      <c r="J395" s="204" t="s">
        <v>974</v>
      </c>
      <c r="K395" s="190">
        <v>14.01</v>
      </c>
      <c r="L395" s="197">
        <v>33550000</v>
      </c>
      <c r="M395" s="167">
        <v>2394718</v>
      </c>
    </row>
    <row r="396" spans="3:13">
      <c r="C396" s="11" t="str">
        <f t="shared" si="54"/>
        <v/>
      </c>
      <c r="D396" s="11">
        <f t="shared" si="55"/>
        <v>12.65</v>
      </c>
      <c r="E396" s="10">
        <f t="shared" si="56"/>
        <v>0.81549958049999993</v>
      </c>
      <c r="F396" s="10" t="str">
        <f t="shared" si="57"/>
        <v/>
      </c>
      <c r="G396" s="10" t="str">
        <f t="shared" si="58"/>
        <v/>
      </c>
      <c r="I396" s="296">
        <v>9</v>
      </c>
      <c r="J396" s="203" t="s">
        <v>147</v>
      </c>
      <c r="K396" s="190">
        <v>12.66</v>
      </c>
      <c r="L396" s="197">
        <v>33550000.140000001</v>
      </c>
      <c r="M396" s="167">
        <v>2650079</v>
      </c>
    </row>
    <row r="397" spans="3:13">
      <c r="C397" s="11" t="str">
        <f t="shared" si="54"/>
        <v>南京国立资产管理有限责任公司</v>
      </c>
      <c r="D397" s="11">
        <f t="shared" si="55"/>
        <v>13.8</v>
      </c>
      <c r="E397" s="10">
        <f t="shared" si="56"/>
        <v>0.49956</v>
      </c>
      <c r="F397" s="10" t="str">
        <f t="shared" si="57"/>
        <v/>
      </c>
      <c r="G397" s="10" t="str">
        <f t="shared" si="58"/>
        <v/>
      </c>
      <c r="I397" s="296"/>
      <c r="J397" s="25"/>
      <c r="K397" s="190">
        <v>12.65</v>
      </c>
      <c r="L397" s="197">
        <v>81549958.049999997</v>
      </c>
      <c r="M397" s="167">
        <v>6446637</v>
      </c>
    </row>
    <row r="398" spans="3:13">
      <c r="C398" s="11" t="str">
        <f t="shared" si="54"/>
        <v/>
      </c>
      <c r="D398" s="11">
        <f t="shared" si="55"/>
        <v>13.3</v>
      </c>
      <c r="E398" s="10">
        <f t="shared" si="56"/>
        <v>0.49875000000000003</v>
      </c>
      <c r="F398" s="10" t="str">
        <f t="shared" si="57"/>
        <v/>
      </c>
      <c r="G398" s="10" t="str">
        <f t="shared" si="58"/>
        <v/>
      </c>
      <c r="I398" s="191">
        <v>10</v>
      </c>
      <c r="J398" s="203" t="s">
        <v>1908</v>
      </c>
      <c r="K398" s="190">
        <v>13.8</v>
      </c>
      <c r="L398" s="197">
        <v>49956000</v>
      </c>
      <c r="M398" s="167">
        <v>3620000</v>
      </c>
    </row>
    <row r="399" spans="3:13">
      <c r="C399" s="11" t="str">
        <f t="shared" si="54"/>
        <v/>
      </c>
      <c r="D399" s="11">
        <f t="shared" si="55"/>
        <v>12.18</v>
      </c>
      <c r="E399" s="10">
        <f t="shared" si="56"/>
        <v>0.60047399999999995</v>
      </c>
      <c r="F399" s="10" t="str">
        <f t="shared" si="57"/>
        <v/>
      </c>
      <c r="G399" s="10" t="str">
        <f t="shared" si="58"/>
        <v/>
      </c>
      <c r="I399" s="25"/>
      <c r="J399" s="25"/>
      <c r="K399" s="190">
        <v>13.3</v>
      </c>
      <c r="L399" s="197">
        <v>49875000</v>
      </c>
      <c r="M399" s="167">
        <v>3750000</v>
      </c>
    </row>
    <row r="400" spans="3:13">
      <c r="C400" s="11" t="str">
        <f t="shared" si="54"/>
        <v>平安大华基金管理有限公司</v>
      </c>
      <c r="D400" s="11">
        <f t="shared" si="55"/>
        <v>14.47</v>
      </c>
      <c r="E400" s="10">
        <f t="shared" si="56"/>
        <v>1.073674</v>
      </c>
      <c r="F400" s="10" t="str">
        <f t="shared" si="57"/>
        <v/>
      </c>
      <c r="G400" s="10" t="str">
        <f t="shared" si="58"/>
        <v/>
      </c>
      <c r="I400" s="64"/>
      <c r="J400" s="64"/>
      <c r="K400" s="190">
        <v>12.18</v>
      </c>
      <c r="L400" s="197">
        <v>60047400</v>
      </c>
      <c r="M400" s="167">
        <v>4930000</v>
      </c>
    </row>
    <row r="401" spans="1:20">
      <c r="C401" s="11" t="str">
        <f t="shared" si="54"/>
        <v/>
      </c>
      <c r="D401" s="11">
        <f t="shared" si="55"/>
        <v>14.07</v>
      </c>
      <c r="E401" s="10">
        <f t="shared" si="56"/>
        <v>1.274742</v>
      </c>
      <c r="F401" s="10" t="str">
        <f t="shared" si="57"/>
        <v/>
      </c>
      <c r="G401" s="10" t="str">
        <f t="shared" si="58"/>
        <v/>
      </c>
      <c r="I401" s="296">
        <v>11</v>
      </c>
      <c r="J401" s="203" t="s">
        <v>146</v>
      </c>
      <c r="K401" s="190">
        <v>14.47</v>
      </c>
      <c r="L401" s="197">
        <v>107367400</v>
      </c>
      <c r="M401" s="167">
        <v>7420000</v>
      </c>
    </row>
    <row r="402" spans="1:20">
      <c r="C402" s="11" t="str">
        <f t="shared" si="54"/>
        <v>财通基金管理有限公司</v>
      </c>
      <c r="D402" s="11">
        <f t="shared" si="55"/>
        <v>14.84</v>
      </c>
      <c r="E402" s="10">
        <f t="shared" si="56"/>
        <v>1.1575200000000001</v>
      </c>
      <c r="F402" s="10">
        <f t="shared" si="57"/>
        <v>719.33969999999999</v>
      </c>
      <c r="G402" s="10">
        <f t="shared" si="58"/>
        <v>1.0675001147999998</v>
      </c>
      <c r="I402" s="296"/>
      <c r="J402" s="25"/>
      <c r="K402" s="190">
        <v>14.07</v>
      </c>
      <c r="L402" s="197">
        <v>127474200</v>
      </c>
      <c r="M402" s="167">
        <v>9060000</v>
      </c>
    </row>
    <row r="403" spans="1:20">
      <c r="C403" s="11" t="str">
        <f t="shared" si="54"/>
        <v/>
      </c>
      <c r="D403" s="11">
        <f t="shared" si="55"/>
        <v>14</v>
      </c>
      <c r="E403" s="10">
        <f t="shared" si="56"/>
        <v>3.2704</v>
      </c>
      <c r="F403" s="10" t="str">
        <f t="shared" si="57"/>
        <v/>
      </c>
      <c r="G403" s="10" t="str">
        <f t="shared" si="58"/>
        <v/>
      </c>
      <c r="I403" s="296">
        <v>12</v>
      </c>
      <c r="J403" s="203" t="s">
        <v>115</v>
      </c>
      <c r="K403" s="190">
        <v>14.84</v>
      </c>
      <c r="L403" s="197">
        <v>115752000</v>
      </c>
      <c r="M403" s="167">
        <v>7800000</v>
      </c>
    </row>
    <row r="404" spans="1:20">
      <c r="C404" s="11" t="str">
        <f t="shared" si="54"/>
        <v>华泰柏瑞基金管理有限公司</v>
      </c>
      <c r="D404" s="11">
        <f t="shared" si="55"/>
        <v>13.28</v>
      </c>
      <c r="E404" s="10">
        <f t="shared" si="56"/>
        <v>1.5935999999999999</v>
      </c>
      <c r="F404" s="10" t="str">
        <f t="shared" si="57"/>
        <v/>
      </c>
      <c r="G404" s="10" t="str">
        <f t="shared" si="58"/>
        <v/>
      </c>
      <c r="I404" s="296"/>
      <c r="J404" s="25"/>
      <c r="K404" s="190">
        <v>14</v>
      </c>
      <c r="L404" s="197">
        <v>327040000</v>
      </c>
      <c r="M404" s="167">
        <v>23360000</v>
      </c>
    </row>
    <row r="405" spans="1:20">
      <c r="C405" s="11" t="str">
        <f t="shared" si="54"/>
        <v>西藏泓涵股权投资管理有限公司</v>
      </c>
      <c r="D405" s="11">
        <f t="shared" si="55"/>
        <v>14.95</v>
      </c>
      <c r="E405" s="10">
        <f t="shared" si="56"/>
        <v>0.33550000000000002</v>
      </c>
      <c r="F405" s="10">
        <f t="shared" si="57"/>
        <v>226.07810000000001</v>
      </c>
      <c r="G405" s="10">
        <f t="shared" si="58"/>
        <v>0.33549990040000005</v>
      </c>
      <c r="I405" s="168">
        <v>13</v>
      </c>
      <c r="J405" s="204" t="s">
        <v>122</v>
      </c>
      <c r="K405" s="190">
        <v>13.28</v>
      </c>
      <c r="L405" s="189">
        <v>159360000</v>
      </c>
      <c r="M405" s="167">
        <v>12000000</v>
      </c>
    </row>
    <row r="406" spans="1:20">
      <c r="C406" s="24" t="str">
        <f t="shared" si="54"/>
        <v/>
      </c>
      <c r="I406" s="168">
        <v>14</v>
      </c>
      <c r="J406" s="204" t="s">
        <v>954</v>
      </c>
      <c r="K406" s="190">
        <v>14.95</v>
      </c>
      <c r="L406" s="189">
        <v>33550000</v>
      </c>
      <c r="M406" s="167">
        <v>2244147</v>
      </c>
    </row>
    <row r="407" spans="1:20">
      <c r="C407" s="24" t="str">
        <f t="shared" si="54"/>
        <v/>
      </c>
    </row>
    <row r="409" spans="1:20" s="162" customFormat="1">
      <c r="A409" s="164" t="s">
        <v>1315</v>
      </c>
      <c r="B409" s="164"/>
      <c r="C409" s="164" t="s">
        <v>107</v>
      </c>
      <c r="D409" s="164" t="s">
        <v>4</v>
      </c>
      <c r="E409" s="166" t="s">
        <v>108</v>
      </c>
      <c r="F409" s="166" t="s">
        <v>109</v>
      </c>
      <c r="G409" s="164" t="s">
        <v>1314</v>
      </c>
      <c r="H409" s="164" t="s">
        <v>1313</v>
      </c>
      <c r="I409" s="165" t="s">
        <v>1312</v>
      </c>
      <c r="J409" s="163" t="s">
        <v>1311</v>
      </c>
      <c r="K409" s="163" t="s">
        <v>110</v>
      </c>
      <c r="L409" s="163" t="s">
        <v>1310</v>
      </c>
      <c r="M409" s="164" t="s">
        <v>111</v>
      </c>
      <c r="N409" s="163" t="s">
        <v>949</v>
      </c>
      <c r="O409" s="163" t="s">
        <v>948</v>
      </c>
      <c r="P409" s="163" t="s">
        <v>129</v>
      </c>
    </row>
    <row r="410" spans="1:20">
      <c r="A410" s="24">
        <v>326</v>
      </c>
      <c r="B410" s="329" t="s">
        <v>1907</v>
      </c>
      <c r="C410" s="1" t="s">
        <v>1906</v>
      </c>
      <c r="D410" s="1" t="s">
        <v>1905</v>
      </c>
      <c r="E410" s="3">
        <v>1.8</v>
      </c>
      <c r="F410" s="3">
        <v>1.7999999202000001</v>
      </c>
      <c r="G410" s="332">
        <v>43815</v>
      </c>
      <c r="H410" s="24" t="s">
        <v>1904</v>
      </c>
      <c r="I410" s="130">
        <v>8.3000000000000007</v>
      </c>
      <c r="J410" s="3">
        <v>8.18</v>
      </c>
      <c r="K410" s="160">
        <v>7.85</v>
      </c>
      <c r="L410" s="271">
        <v>0.98554216867469868</v>
      </c>
      <c r="M410" s="270">
        <v>4</v>
      </c>
      <c r="N410" s="2">
        <v>43119</v>
      </c>
      <c r="O410" s="24">
        <v>6.04</v>
      </c>
      <c r="P410" s="157">
        <v>0.75061124694376524</v>
      </c>
    </row>
    <row r="411" spans="1:20">
      <c r="C411" s="16" t="s">
        <v>112</v>
      </c>
      <c r="D411" s="16" t="s">
        <v>113</v>
      </c>
      <c r="E411" s="16" t="s">
        <v>1305</v>
      </c>
      <c r="F411" s="17" t="s">
        <v>1304</v>
      </c>
      <c r="G411" s="16" t="s">
        <v>1303</v>
      </c>
      <c r="I411" s="154" t="s">
        <v>118</v>
      </c>
      <c r="J411" s="182"/>
      <c r="K411" s="413" t="s">
        <v>1520</v>
      </c>
      <c r="L411" s="153" t="s">
        <v>488</v>
      </c>
      <c r="M411" s="153" t="s">
        <v>401</v>
      </c>
      <c r="O411" s="154" t="s">
        <v>118</v>
      </c>
      <c r="P411" s="183"/>
      <c r="Q411" s="154" t="s">
        <v>1301</v>
      </c>
      <c r="R411" s="153" t="s">
        <v>1903</v>
      </c>
      <c r="S411" s="413" t="s">
        <v>1772</v>
      </c>
      <c r="T411" s="154" t="s">
        <v>1520</v>
      </c>
    </row>
    <row r="412" spans="1:20">
      <c r="C412" s="11" t="str">
        <f t="shared" ref="C412:C421" si="59">IF(J413=0,"",J413)</f>
        <v>高伟</v>
      </c>
      <c r="D412" s="11">
        <f t="shared" ref="D412:D420" si="60">L413</f>
        <v>8.18</v>
      </c>
      <c r="E412" s="10">
        <f t="shared" ref="E412:E420" si="61">M413/10000</f>
        <v>0.36</v>
      </c>
      <c r="F412" s="10">
        <f t="shared" ref="F412:F420" si="62">IFERROR(VLOOKUP(C412,P$413:S$416,3,FALSE)/10000,"")</f>
        <v>392.4205</v>
      </c>
      <c r="G412" s="10">
        <f t="shared" ref="G412:G420" si="63">IFERROR(F412*J$410/10000,"")</f>
        <v>0.320999969</v>
      </c>
      <c r="I412" s="154"/>
      <c r="J412" s="413" t="s">
        <v>7</v>
      </c>
      <c r="K412" s="413" t="s">
        <v>1657</v>
      </c>
      <c r="L412" s="153" t="s">
        <v>1334</v>
      </c>
      <c r="M412" s="153" t="s">
        <v>1333</v>
      </c>
      <c r="O412" s="154"/>
      <c r="P412" s="413" t="s">
        <v>486</v>
      </c>
      <c r="Q412" s="412" t="s">
        <v>1902</v>
      </c>
      <c r="R412" s="153" t="s">
        <v>1317</v>
      </c>
      <c r="S412" s="411" t="s">
        <v>1901</v>
      </c>
      <c r="T412" s="154" t="s">
        <v>1657</v>
      </c>
    </row>
    <row r="413" spans="1:20">
      <c r="C413" s="11" t="str">
        <f t="shared" si="59"/>
        <v/>
      </c>
      <c r="D413" s="11">
        <f t="shared" si="60"/>
        <v>8</v>
      </c>
      <c r="E413" s="10">
        <f t="shared" si="61"/>
        <v>0.72</v>
      </c>
      <c r="F413" s="10" t="str">
        <f t="shared" si="62"/>
        <v/>
      </c>
      <c r="G413" s="10" t="str">
        <f t="shared" si="63"/>
        <v/>
      </c>
      <c r="I413" s="148">
        <v>1</v>
      </c>
      <c r="J413" s="148" t="s">
        <v>1899</v>
      </c>
      <c r="K413" s="182"/>
      <c r="L413" s="146">
        <v>8.18</v>
      </c>
      <c r="M413" s="148">
        <v>3600</v>
      </c>
      <c r="O413" s="152">
        <v>1</v>
      </c>
      <c r="P413" s="148" t="s">
        <v>1900</v>
      </c>
      <c r="Q413" s="147">
        <v>8.18</v>
      </c>
      <c r="R413" s="144">
        <v>4400978</v>
      </c>
      <c r="S413" s="144">
        <v>36000000.039999999</v>
      </c>
      <c r="T413" s="145">
        <v>12</v>
      </c>
    </row>
    <row r="414" spans="1:20">
      <c r="C414" s="11" t="str">
        <f t="shared" si="59"/>
        <v>大成基金管理有限公司</v>
      </c>
      <c r="D414" s="11">
        <f t="shared" si="60"/>
        <v>7.85</v>
      </c>
      <c r="E414" s="10">
        <f t="shared" si="61"/>
        <v>0.37</v>
      </c>
      <c r="F414" s="10" t="str">
        <f t="shared" si="62"/>
        <v/>
      </c>
      <c r="G414" s="10" t="str">
        <f t="shared" si="63"/>
        <v/>
      </c>
      <c r="I414" s="25"/>
      <c r="J414" s="25"/>
      <c r="K414" s="148">
        <v>12</v>
      </c>
      <c r="L414" s="146">
        <v>8</v>
      </c>
      <c r="M414" s="148">
        <v>7200</v>
      </c>
      <c r="O414" s="152">
        <v>2</v>
      </c>
      <c r="P414" s="148" t="s">
        <v>115</v>
      </c>
      <c r="Q414" s="147">
        <v>8.18</v>
      </c>
      <c r="R414" s="144">
        <v>9278728</v>
      </c>
      <c r="S414" s="144">
        <v>75899995.040000007</v>
      </c>
      <c r="T414" s="145">
        <v>12</v>
      </c>
    </row>
    <row r="415" spans="1:20">
      <c r="C415" s="11" t="str">
        <f t="shared" si="59"/>
        <v>财通基金管理有限公司</v>
      </c>
      <c r="D415" s="11">
        <f t="shared" si="60"/>
        <v>8.2899999999999991</v>
      </c>
      <c r="E415" s="10">
        <f t="shared" si="61"/>
        <v>0.75900000000000001</v>
      </c>
      <c r="F415" s="10">
        <f t="shared" si="62"/>
        <v>927.87279999999998</v>
      </c>
      <c r="G415" s="10">
        <f t="shared" si="63"/>
        <v>0.7589999503999999</v>
      </c>
      <c r="I415" s="146">
        <v>2</v>
      </c>
      <c r="J415" s="148" t="s">
        <v>1127</v>
      </c>
      <c r="K415" s="148">
        <v>12</v>
      </c>
      <c r="L415" s="146">
        <v>7.85</v>
      </c>
      <c r="M415" s="148">
        <v>3700</v>
      </c>
      <c r="O415" s="152">
        <v>3</v>
      </c>
      <c r="P415" s="148" t="s">
        <v>1897</v>
      </c>
      <c r="Q415" s="147">
        <v>8.18</v>
      </c>
      <c r="R415" s="144">
        <v>4400978</v>
      </c>
      <c r="S415" s="144">
        <v>36000000.039999999</v>
      </c>
      <c r="T415" s="145">
        <v>12</v>
      </c>
    </row>
    <row r="416" spans="1:20" ht="16">
      <c r="C416" s="11" t="str">
        <f t="shared" si="59"/>
        <v/>
      </c>
      <c r="D416" s="11">
        <f t="shared" si="60"/>
        <v>7.85</v>
      </c>
      <c r="E416" s="10">
        <f t="shared" si="61"/>
        <v>1.08</v>
      </c>
      <c r="F416" s="10" t="str">
        <f t="shared" si="62"/>
        <v/>
      </c>
      <c r="G416" s="10" t="str">
        <f t="shared" si="63"/>
        <v/>
      </c>
      <c r="I416" s="148">
        <v>3</v>
      </c>
      <c r="J416" s="146" t="s">
        <v>115</v>
      </c>
      <c r="K416" s="339"/>
      <c r="L416" s="146">
        <v>8.2899999999999991</v>
      </c>
      <c r="M416" s="148">
        <v>7590</v>
      </c>
      <c r="O416" s="152">
        <v>4</v>
      </c>
      <c r="P416" s="148" t="s">
        <v>1899</v>
      </c>
      <c r="Q416" s="147">
        <v>8.18</v>
      </c>
      <c r="R416" s="144">
        <v>3924205</v>
      </c>
      <c r="S416" s="144">
        <v>32099996.899999999</v>
      </c>
      <c r="T416" s="145">
        <v>12</v>
      </c>
    </row>
    <row r="417" spans="3:13">
      <c r="C417" s="11" t="str">
        <f t="shared" si="59"/>
        <v>创金合信基金管理有限公司</v>
      </c>
      <c r="D417" s="11">
        <f t="shared" si="60"/>
        <v>7.86</v>
      </c>
      <c r="E417" s="10">
        <f t="shared" si="61"/>
        <v>0.4</v>
      </c>
      <c r="F417" s="10" t="str">
        <f t="shared" si="62"/>
        <v/>
      </c>
      <c r="G417" s="10" t="str">
        <f t="shared" si="63"/>
        <v/>
      </c>
      <c r="I417" s="25"/>
      <c r="J417" s="25"/>
      <c r="K417" s="148">
        <v>12</v>
      </c>
      <c r="L417" s="146">
        <v>7.85</v>
      </c>
      <c r="M417" s="148">
        <v>10800</v>
      </c>
    </row>
    <row r="418" spans="3:13">
      <c r="C418" s="11" t="str">
        <f t="shared" si="59"/>
        <v>申万菱信基金管理有限公司</v>
      </c>
      <c r="D418" s="11">
        <f t="shared" si="60"/>
        <v>8.0299999999999994</v>
      </c>
      <c r="E418" s="10">
        <f t="shared" si="61"/>
        <v>0.36</v>
      </c>
      <c r="F418" s="10" t="str">
        <f t="shared" si="62"/>
        <v/>
      </c>
      <c r="G418" s="10" t="str">
        <f t="shared" si="63"/>
        <v/>
      </c>
      <c r="I418" s="146">
        <v>4</v>
      </c>
      <c r="J418" s="148" t="s">
        <v>134</v>
      </c>
      <c r="K418" s="148">
        <v>12</v>
      </c>
      <c r="L418" s="146">
        <v>7.86</v>
      </c>
      <c r="M418" s="148">
        <v>4000</v>
      </c>
    </row>
    <row r="419" spans="3:13">
      <c r="C419" s="11" t="str">
        <f t="shared" si="59"/>
        <v>深圳第一创业创新资本管理有限公司</v>
      </c>
      <c r="D419" s="11">
        <f t="shared" si="60"/>
        <v>8.7200000000000006</v>
      </c>
      <c r="E419" s="10">
        <f t="shared" si="61"/>
        <v>0.36</v>
      </c>
      <c r="F419" s="10">
        <f t="shared" si="62"/>
        <v>440.09780000000001</v>
      </c>
      <c r="G419" s="10">
        <f t="shared" si="63"/>
        <v>0.36000000040000002</v>
      </c>
      <c r="I419" s="146">
        <v>5</v>
      </c>
      <c r="J419" s="148" t="s">
        <v>121</v>
      </c>
      <c r="K419" s="148">
        <v>12</v>
      </c>
      <c r="L419" s="146">
        <v>8.0299999999999994</v>
      </c>
      <c r="M419" s="148">
        <v>3600</v>
      </c>
    </row>
    <row r="420" spans="3:13">
      <c r="C420" s="11" t="str">
        <f t="shared" si="59"/>
        <v>长江证券股份有限公司</v>
      </c>
      <c r="D420" s="11">
        <f t="shared" si="60"/>
        <v>8.1999999999999993</v>
      </c>
      <c r="E420" s="10">
        <f t="shared" si="61"/>
        <v>0.36</v>
      </c>
      <c r="F420" s="10">
        <f t="shared" si="62"/>
        <v>440.09780000000001</v>
      </c>
      <c r="G420" s="10">
        <f t="shared" si="63"/>
        <v>0.36000000040000002</v>
      </c>
      <c r="I420" s="146">
        <v>6</v>
      </c>
      <c r="J420" s="148" t="s">
        <v>1898</v>
      </c>
      <c r="K420" s="148">
        <v>12</v>
      </c>
      <c r="L420" s="146">
        <v>8.7200000000000006</v>
      </c>
      <c r="M420" s="148">
        <v>3600</v>
      </c>
    </row>
    <row r="421" spans="3:13">
      <c r="C421" s="24" t="str">
        <f t="shared" si="59"/>
        <v/>
      </c>
      <c r="I421" s="146">
        <v>7</v>
      </c>
      <c r="J421" s="148" t="s">
        <v>1897</v>
      </c>
      <c r="K421" s="148">
        <v>12</v>
      </c>
      <c r="L421" s="146">
        <v>8.1999999999999993</v>
      </c>
      <c r="M421" s="148">
        <v>3600</v>
      </c>
    </row>
  </sheetData>
  <mergeCells count="2">
    <mergeCell ref="D371:G371"/>
    <mergeCell ref="D369:G369"/>
  </mergeCells>
  <phoneticPr fontId="139" type="noConversion"/>
  <hyperlinks>
    <hyperlink ref="B4" r:id="rId1" xr:uid="{00000000-0004-0000-1400-000000000000}"/>
    <hyperlink ref="B69" r:id="rId2" xr:uid="{00000000-0004-0000-1400-000001000000}"/>
    <hyperlink ref="B78" r:id="rId3" xr:uid="{00000000-0004-0000-1400-000002000000}"/>
    <hyperlink ref="B143" r:id="rId4" xr:uid="{00000000-0004-0000-1400-000003000000}"/>
    <hyperlink ref="B190" r:id="rId5" xr:uid="{00000000-0004-0000-1400-000004000000}"/>
    <hyperlink ref="B204" r:id="rId6" xr:uid="{00000000-0004-0000-1400-000005000000}"/>
    <hyperlink ref="B252" r:id="rId7" xr:uid="{00000000-0004-0000-1400-000006000000}"/>
    <hyperlink ref="B286" r:id="rId8" xr:uid="{00000000-0004-0000-1400-000007000000}"/>
    <hyperlink ref="B377" r:id="rId9" xr:uid="{00000000-0004-0000-1400-000008000000}"/>
    <hyperlink ref="B410" r:id="rId10" xr:uid="{00000000-0004-0000-1400-000009000000}"/>
  </hyperlinks>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T201"/>
  <sheetViews>
    <sheetView topLeftCell="A168" workbookViewId="0">
      <selection activeCell="B166" sqref="B166"/>
    </sheetView>
  </sheetViews>
  <sheetFormatPr defaultColWidth="8.83203125" defaultRowHeight="14"/>
  <cols>
    <col min="1" max="2" width="8.83203125" style="24"/>
    <col min="3" max="3" width="15.33203125" style="24" customWidth="1"/>
    <col min="4" max="4" width="10" style="24" customWidth="1"/>
    <col min="5" max="5" width="14.33203125" style="24" customWidth="1"/>
    <col min="6" max="6" width="13.83203125" style="24" customWidth="1"/>
    <col min="7" max="7" width="16.1640625" style="24" customWidth="1"/>
    <col min="8" max="8" width="13.6640625" style="24" customWidth="1"/>
    <col min="9" max="9" width="12.6640625" style="24" customWidth="1"/>
    <col min="10" max="10" width="10.83203125" style="24" customWidth="1"/>
    <col min="11" max="11" width="8.83203125" style="24" bestFit="1" customWidth="1"/>
    <col min="12" max="12" width="15.5" style="24" customWidth="1"/>
    <col min="13" max="13" width="10.5" style="24" customWidth="1"/>
    <col min="14" max="14" width="11" style="24" customWidth="1"/>
    <col min="15" max="15" width="11.1640625" style="24" customWidth="1"/>
    <col min="16" max="16" width="14" style="24" bestFit="1" customWidth="1"/>
    <col min="17" max="17" width="11.1640625" style="24" bestFit="1" customWidth="1"/>
    <col min="18" max="18" width="15.6640625" style="24" bestFit="1" customWidth="1"/>
    <col min="19" max="19" width="13.83203125" style="24" bestFit="1" customWidth="1"/>
    <col min="20" max="20" width="8.6640625" style="24" bestFit="1" customWidth="1"/>
    <col min="21" max="16384" width="8.83203125" style="24"/>
  </cols>
  <sheetData>
    <row r="1" spans="1:17">
      <c r="A1" s="24" t="s">
        <v>2071</v>
      </c>
    </row>
    <row r="3" spans="1:17" s="162" customFormat="1">
      <c r="A3" s="164" t="s">
        <v>1315</v>
      </c>
      <c r="B3" s="164"/>
      <c r="C3" s="164" t="s">
        <v>107</v>
      </c>
      <c r="D3" s="164" t="s">
        <v>4</v>
      </c>
      <c r="E3" s="166" t="s">
        <v>108</v>
      </c>
      <c r="F3" s="166" t="s">
        <v>109</v>
      </c>
      <c r="G3" s="164" t="s">
        <v>1314</v>
      </c>
      <c r="H3" s="164" t="s">
        <v>1313</v>
      </c>
      <c r="I3" s="165" t="s">
        <v>1312</v>
      </c>
      <c r="J3" s="163" t="s">
        <v>1311</v>
      </c>
      <c r="K3" s="163" t="s">
        <v>110</v>
      </c>
      <c r="L3" s="163" t="s">
        <v>1310</v>
      </c>
      <c r="M3" s="164" t="s">
        <v>111</v>
      </c>
      <c r="N3" s="163" t="s">
        <v>949</v>
      </c>
      <c r="O3" s="163" t="s">
        <v>948</v>
      </c>
      <c r="P3" s="163" t="s">
        <v>129</v>
      </c>
    </row>
    <row r="4" spans="1:17">
      <c r="A4" s="24">
        <v>327</v>
      </c>
      <c r="B4" s="329" t="s">
        <v>2070</v>
      </c>
      <c r="C4" s="1" t="s">
        <v>2069</v>
      </c>
      <c r="D4" s="1" t="s">
        <v>2068</v>
      </c>
      <c r="E4" s="3">
        <v>13.5283</v>
      </c>
      <c r="F4" s="3">
        <v>13.528299918</v>
      </c>
      <c r="G4" s="2">
        <v>42731</v>
      </c>
      <c r="H4" s="24" t="s">
        <v>153</v>
      </c>
      <c r="I4" s="130">
        <v>16.45</v>
      </c>
      <c r="J4" s="3">
        <v>15.05</v>
      </c>
      <c r="K4" s="160">
        <v>14.12</v>
      </c>
      <c r="L4" s="271">
        <v>0.91489361702127669</v>
      </c>
      <c r="M4" s="270">
        <v>8</v>
      </c>
      <c r="N4" s="2">
        <v>43122</v>
      </c>
      <c r="O4" s="24">
        <v>7.02</v>
      </c>
      <c r="P4" s="157">
        <v>0.47973421926910292</v>
      </c>
    </row>
    <row r="5" spans="1:17">
      <c r="C5" s="16" t="s">
        <v>112</v>
      </c>
      <c r="D5" s="16" t="s">
        <v>113</v>
      </c>
      <c r="E5" s="16" t="s">
        <v>1305</v>
      </c>
      <c r="F5" s="17" t="s">
        <v>1304</v>
      </c>
      <c r="G5" s="16" t="s">
        <v>1303</v>
      </c>
    </row>
    <row r="6" spans="1:17">
      <c r="C6" s="11" t="str">
        <f t="shared" ref="C6:C31" si="0">IF(J8=0,"",J8)</f>
        <v>浙江浙商证券资产管理有限公司</v>
      </c>
      <c r="D6" s="11">
        <f t="shared" ref="D6:D30" si="1">K8</f>
        <v>15.78</v>
      </c>
      <c r="E6" s="11">
        <f t="shared" ref="E6:E30" si="2">L8/10000</f>
        <v>1.36</v>
      </c>
      <c r="F6" s="10">
        <f t="shared" ref="F6:F29" si="3">IFERROR(VLOOKUP(C6,O$8:Q$15,3,FALSE)/10000,"")</f>
        <v>903.65440000000001</v>
      </c>
      <c r="G6" s="10">
        <f t="shared" ref="G6:G23" si="4">IFERROR(F6*J$4/10000,"")</f>
        <v>1.3599998720000002</v>
      </c>
      <c r="I6" s="324"/>
      <c r="J6" s="324"/>
      <c r="K6" s="224" t="s">
        <v>488</v>
      </c>
      <c r="L6" s="209" t="s">
        <v>401</v>
      </c>
      <c r="N6" s="209" t="s">
        <v>1413</v>
      </c>
      <c r="O6" s="213" t="s">
        <v>486</v>
      </c>
      <c r="P6" s="213" t="s">
        <v>1301</v>
      </c>
      <c r="Q6" s="213" t="s">
        <v>1596</v>
      </c>
    </row>
    <row r="7" spans="1:17">
      <c r="C7" s="11" t="str">
        <f t="shared" si="0"/>
        <v>银华基金管理股份有限公司</v>
      </c>
      <c r="D7" s="11">
        <f t="shared" si="1"/>
        <v>15.77</v>
      </c>
      <c r="E7" s="11">
        <f t="shared" si="2"/>
        <v>1.5</v>
      </c>
      <c r="F7" s="10">
        <f t="shared" si="3"/>
        <v>996.67769999999996</v>
      </c>
      <c r="G7" s="10">
        <f t="shared" si="4"/>
        <v>1.4999999385</v>
      </c>
      <c r="I7" s="209" t="s">
        <v>118</v>
      </c>
      <c r="J7" s="212" t="s">
        <v>1597</v>
      </c>
      <c r="K7" s="224" t="s">
        <v>1316</v>
      </c>
      <c r="L7" s="209" t="s">
        <v>1333</v>
      </c>
      <c r="N7" s="209" t="s">
        <v>477</v>
      </c>
      <c r="O7" s="213"/>
      <c r="P7" s="213"/>
      <c r="Q7" s="213"/>
    </row>
    <row r="8" spans="1:17">
      <c r="C8" s="11" t="str">
        <f t="shared" si="0"/>
        <v/>
      </c>
      <c r="D8" s="11">
        <f t="shared" si="1"/>
        <v>14.22</v>
      </c>
      <c r="E8" s="11">
        <f t="shared" si="2"/>
        <v>2.6</v>
      </c>
      <c r="F8" s="10" t="str">
        <f t="shared" si="3"/>
        <v/>
      </c>
      <c r="G8" s="10" t="str">
        <f t="shared" si="4"/>
        <v/>
      </c>
      <c r="I8" s="292">
        <v>1</v>
      </c>
      <c r="J8" s="214" t="s">
        <v>154</v>
      </c>
      <c r="K8" s="292">
        <v>15.78</v>
      </c>
      <c r="L8" s="318">
        <v>13600</v>
      </c>
      <c r="N8" s="292">
        <v>1</v>
      </c>
      <c r="O8" s="214" t="s">
        <v>1650</v>
      </c>
      <c r="P8" s="292">
        <v>15.05</v>
      </c>
      <c r="Q8" s="461">
        <v>20332225</v>
      </c>
    </row>
    <row r="9" spans="1:17">
      <c r="C9" s="11" t="str">
        <f t="shared" si="0"/>
        <v>财通基金管理有限公司</v>
      </c>
      <c r="D9" s="11">
        <f t="shared" si="1"/>
        <v>15.52</v>
      </c>
      <c r="E9" s="11">
        <f t="shared" si="2"/>
        <v>2.31</v>
      </c>
      <c r="F9" s="10">
        <f t="shared" si="3"/>
        <v>1534.8837000000001</v>
      </c>
      <c r="G9" s="10">
        <f t="shared" si="4"/>
        <v>2.3099999685000001</v>
      </c>
      <c r="I9" s="293">
        <v>2</v>
      </c>
      <c r="J9" s="183" t="s">
        <v>982</v>
      </c>
      <c r="K9" s="292">
        <v>15.77</v>
      </c>
      <c r="L9" s="318">
        <v>15000</v>
      </c>
      <c r="N9" s="292">
        <v>2</v>
      </c>
      <c r="O9" s="214" t="s">
        <v>115</v>
      </c>
      <c r="P9" s="292">
        <v>15.05</v>
      </c>
      <c r="Q9" s="461">
        <v>15348837</v>
      </c>
    </row>
    <row r="10" spans="1:17">
      <c r="C10" s="11" t="str">
        <f t="shared" si="0"/>
        <v/>
      </c>
      <c r="D10" s="11">
        <f t="shared" si="1"/>
        <v>14.88</v>
      </c>
      <c r="E10" s="11">
        <f t="shared" si="2"/>
        <v>3.76</v>
      </c>
      <c r="F10" s="10" t="str">
        <f t="shared" si="3"/>
        <v/>
      </c>
      <c r="G10" s="10" t="str">
        <f t="shared" si="4"/>
        <v/>
      </c>
      <c r="I10" s="293"/>
      <c r="J10" s="183"/>
      <c r="K10" s="292">
        <v>14.22</v>
      </c>
      <c r="L10" s="318">
        <v>26000</v>
      </c>
      <c r="N10" s="292">
        <v>3</v>
      </c>
      <c r="O10" s="214" t="s">
        <v>2067</v>
      </c>
      <c r="P10" s="292">
        <v>15.05</v>
      </c>
      <c r="Q10" s="461">
        <v>12292358</v>
      </c>
    </row>
    <row r="11" spans="1:17">
      <c r="C11" s="11" t="str">
        <f t="shared" si="0"/>
        <v/>
      </c>
      <c r="D11" s="11">
        <f t="shared" si="1"/>
        <v>14.25</v>
      </c>
      <c r="E11" s="11">
        <f t="shared" si="2"/>
        <v>4.5599999999999996</v>
      </c>
      <c r="F11" s="10" t="str">
        <f t="shared" si="3"/>
        <v/>
      </c>
      <c r="G11" s="10" t="str">
        <f t="shared" si="4"/>
        <v/>
      </c>
      <c r="I11" s="292">
        <v>3</v>
      </c>
      <c r="J11" s="174" t="s">
        <v>115</v>
      </c>
      <c r="K11" s="292">
        <v>15.52</v>
      </c>
      <c r="L11" s="318">
        <v>23100</v>
      </c>
      <c r="N11" s="292">
        <v>4</v>
      </c>
      <c r="O11" s="214" t="s">
        <v>982</v>
      </c>
      <c r="P11" s="292">
        <v>15.05</v>
      </c>
      <c r="Q11" s="461">
        <v>9966777</v>
      </c>
    </row>
    <row r="12" spans="1:17">
      <c r="C12" s="11" t="str">
        <f t="shared" si="0"/>
        <v>天弘基金管理有限公司</v>
      </c>
      <c r="D12" s="11">
        <f t="shared" si="1"/>
        <v>15.51</v>
      </c>
      <c r="E12" s="11">
        <f t="shared" si="2"/>
        <v>1.38</v>
      </c>
      <c r="F12" s="10">
        <f t="shared" si="3"/>
        <v>916.94349999999997</v>
      </c>
      <c r="G12" s="10">
        <f t="shared" si="4"/>
        <v>1.3799999675000001</v>
      </c>
      <c r="I12" s="25"/>
      <c r="J12" s="25"/>
      <c r="K12" s="292">
        <v>14.88</v>
      </c>
      <c r="L12" s="318">
        <v>37600</v>
      </c>
      <c r="N12" s="292">
        <v>5</v>
      </c>
      <c r="O12" s="214" t="s">
        <v>279</v>
      </c>
      <c r="P12" s="292">
        <v>15.05</v>
      </c>
      <c r="Q12" s="461">
        <v>9169435</v>
      </c>
    </row>
    <row r="13" spans="1:17">
      <c r="C13" s="11" t="str">
        <f t="shared" si="0"/>
        <v/>
      </c>
      <c r="D13" s="11">
        <f t="shared" si="1"/>
        <v>15.01</v>
      </c>
      <c r="E13" s="11">
        <f t="shared" si="2"/>
        <v>1.53</v>
      </c>
      <c r="F13" s="10" t="str">
        <f t="shared" si="3"/>
        <v/>
      </c>
      <c r="G13" s="10" t="str">
        <f t="shared" si="4"/>
        <v/>
      </c>
      <c r="I13" s="64"/>
      <c r="J13" s="64"/>
      <c r="K13" s="292">
        <v>14.25</v>
      </c>
      <c r="L13" s="318">
        <v>45600</v>
      </c>
      <c r="N13" s="292">
        <v>6</v>
      </c>
      <c r="O13" s="214" t="s">
        <v>154</v>
      </c>
      <c r="P13" s="292">
        <v>15.05</v>
      </c>
      <c r="Q13" s="461">
        <v>9036544</v>
      </c>
    </row>
    <row r="14" spans="1:17">
      <c r="C14" s="11" t="str">
        <f t="shared" si="0"/>
        <v/>
      </c>
      <c r="D14" s="11">
        <f t="shared" si="1"/>
        <v>14.94</v>
      </c>
      <c r="E14" s="11">
        <f t="shared" si="2"/>
        <v>1.59</v>
      </c>
      <c r="F14" s="10" t="str">
        <f t="shared" si="3"/>
        <v/>
      </c>
      <c r="G14" s="10" t="str">
        <f t="shared" si="4"/>
        <v/>
      </c>
      <c r="I14" s="292">
        <v>4</v>
      </c>
      <c r="J14" s="174" t="s">
        <v>279</v>
      </c>
      <c r="K14" s="292">
        <v>15.51</v>
      </c>
      <c r="L14" s="318">
        <v>13800</v>
      </c>
      <c r="N14" s="292">
        <v>7</v>
      </c>
      <c r="O14" s="214" t="s">
        <v>352</v>
      </c>
      <c r="P14" s="292">
        <v>15.05</v>
      </c>
      <c r="Q14" s="461">
        <v>9036544</v>
      </c>
    </row>
    <row r="15" spans="1:17">
      <c r="C15" s="11" t="str">
        <f t="shared" si="0"/>
        <v>鹏华资产管理有限公司</v>
      </c>
      <c r="D15" s="11">
        <f t="shared" si="1"/>
        <v>15.19</v>
      </c>
      <c r="E15" s="11">
        <f t="shared" si="2"/>
        <v>1.36</v>
      </c>
      <c r="F15" s="10">
        <f t="shared" si="3"/>
        <v>2033.2225000000001</v>
      </c>
      <c r="G15" s="10">
        <f t="shared" si="4"/>
        <v>3.0599998625000002</v>
      </c>
      <c r="I15" s="25"/>
      <c r="J15" s="25"/>
      <c r="K15" s="292">
        <v>15.01</v>
      </c>
      <c r="L15" s="318">
        <v>15300</v>
      </c>
      <c r="N15" s="292">
        <v>8</v>
      </c>
      <c r="O15" s="214" t="s">
        <v>228</v>
      </c>
      <c r="P15" s="292">
        <v>15.05</v>
      </c>
      <c r="Q15" s="461">
        <v>4706316</v>
      </c>
    </row>
    <row r="16" spans="1:17">
      <c r="C16" s="11" t="str">
        <f t="shared" si="0"/>
        <v/>
      </c>
      <c r="D16" s="11">
        <f t="shared" si="1"/>
        <v>15.07</v>
      </c>
      <c r="E16" s="11">
        <f t="shared" si="2"/>
        <v>3.06</v>
      </c>
      <c r="F16" s="10" t="str">
        <f t="shared" si="3"/>
        <v/>
      </c>
      <c r="G16" s="10" t="str">
        <f t="shared" si="4"/>
        <v/>
      </c>
      <c r="I16" s="64"/>
      <c r="J16" s="64"/>
      <c r="K16" s="292">
        <v>14.94</v>
      </c>
      <c r="L16" s="318">
        <v>15900</v>
      </c>
    </row>
    <row r="17" spans="3:12">
      <c r="C17" s="11" t="str">
        <f t="shared" si="0"/>
        <v>张慕中</v>
      </c>
      <c r="D17" s="11">
        <f t="shared" si="1"/>
        <v>15.12</v>
      </c>
      <c r="E17" s="11">
        <f t="shared" si="2"/>
        <v>1.85</v>
      </c>
      <c r="F17" s="10">
        <f t="shared" si="3"/>
        <v>1229.2357999999999</v>
      </c>
      <c r="G17" s="10">
        <f t="shared" si="4"/>
        <v>1.8499998790000001</v>
      </c>
      <c r="I17" s="293">
        <v>5</v>
      </c>
      <c r="J17" s="183" t="s">
        <v>1650</v>
      </c>
      <c r="K17" s="292">
        <v>15.19</v>
      </c>
      <c r="L17" s="318">
        <v>13600</v>
      </c>
    </row>
    <row r="18" spans="3:12">
      <c r="C18" s="11" t="str">
        <f t="shared" si="0"/>
        <v>兴业财富资产管理有限公司</v>
      </c>
      <c r="D18" s="11">
        <f t="shared" si="1"/>
        <v>15.06</v>
      </c>
      <c r="E18" s="11">
        <f t="shared" si="2"/>
        <v>1.36</v>
      </c>
      <c r="F18" s="10">
        <f t="shared" si="3"/>
        <v>903.65440000000001</v>
      </c>
      <c r="G18" s="10">
        <f t="shared" si="4"/>
        <v>1.3599998720000002</v>
      </c>
      <c r="I18" s="293"/>
      <c r="J18" s="183"/>
      <c r="K18" s="292">
        <v>15.07</v>
      </c>
      <c r="L18" s="318">
        <v>30600</v>
      </c>
    </row>
    <row r="19" spans="3:12">
      <c r="C19" s="11" t="str">
        <f t="shared" si="0"/>
        <v/>
      </c>
      <c r="D19" s="11">
        <f t="shared" si="1"/>
        <v>15.02</v>
      </c>
      <c r="E19" s="11">
        <f t="shared" si="2"/>
        <v>1.36</v>
      </c>
      <c r="F19" s="10" t="str">
        <f t="shared" si="3"/>
        <v/>
      </c>
      <c r="G19" s="10" t="str">
        <f t="shared" si="4"/>
        <v/>
      </c>
      <c r="I19" s="292">
        <v>6</v>
      </c>
      <c r="J19" s="214" t="s">
        <v>2067</v>
      </c>
      <c r="K19" s="292">
        <v>15.12</v>
      </c>
      <c r="L19" s="318">
        <v>18500</v>
      </c>
    </row>
    <row r="20" spans="3:12">
      <c r="C20" s="11" t="str">
        <f t="shared" si="0"/>
        <v/>
      </c>
      <c r="D20" s="11">
        <f t="shared" si="1"/>
        <v>15</v>
      </c>
      <c r="E20" s="11">
        <f t="shared" si="2"/>
        <v>1.36</v>
      </c>
      <c r="F20" s="10" t="str">
        <f t="shared" si="3"/>
        <v/>
      </c>
      <c r="G20" s="10" t="str">
        <f t="shared" si="4"/>
        <v/>
      </c>
      <c r="I20" s="292">
        <v>7</v>
      </c>
      <c r="J20" s="174" t="s">
        <v>352</v>
      </c>
      <c r="K20" s="292">
        <v>15.06</v>
      </c>
      <c r="L20" s="318">
        <v>13600</v>
      </c>
    </row>
    <row r="21" spans="3:12">
      <c r="C21" s="11" t="str">
        <f t="shared" si="0"/>
        <v>嘉实基金管理有限公司</v>
      </c>
      <c r="D21" s="11">
        <f t="shared" si="1"/>
        <v>15.05</v>
      </c>
      <c r="E21" s="11">
        <f t="shared" si="2"/>
        <v>2.4500000000000002</v>
      </c>
      <c r="F21" s="10">
        <f t="shared" si="3"/>
        <v>470.63159999999999</v>
      </c>
      <c r="G21" s="10">
        <f t="shared" si="4"/>
        <v>0.70830055800000002</v>
      </c>
      <c r="I21" s="25"/>
      <c r="J21" s="25"/>
      <c r="K21" s="292">
        <v>15.02</v>
      </c>
      <c r="L21" s="318">
        <v>13600</v>
      </c>
    </row>
    <row r="22" spans="3:12">
      <c r="C22" s="11" t="str">
        <f t="shared" si="0"/>
        <v>东吴基金管理有限公司</v>
      </c>
      <c r="D22" s="11">
        <f t="shared" si="1"/>
        <v>15.01</v>
      </c>
      <c r="E22" s="11">
        <f t="shared" si="2"/>
        <v>1.36</v>
      </c>
      <c r="F22" s="10" t="str">
        <f t="shared" si="3"/>
        <v/>
      </c>
      <c r="G22" s="10" t="str">
        <f t="shared" si="4"/>
        <v/>
      </c>
      <c r="I22" s="64"/>
      <c r="J22" s="64"/>
      <c r="K22" s="292">
        <v>15</v>
      </c>
      <c r="L22" s="318">
        <v>13600</v>
      </c>
    </row>
    <row r="23" spans="3:12">
      <c r="C23" s="11" t="str">
        <f t="shared" si="0"/>
        <v>东海证券股份有限公司</v>
      </c>
      <c r="D23" s="11">
        <f t="shared" si="1"/>
        <v>15</v>
      </c>
      <c r="E23" s="11">
        <f t="shared" si="2"/>
        <v>1.36</v>
      </c>
      <c r="F23" s="10" t="str">
        <f t="shared" si="3"/>
        <v/>
      </c>
      <c r="G23" s="10" t="str">
        <f t="shared" si="4"/>
        <v/>
      </c>
      <c r="I23" s="292">
        <v>8</v>
      </c>
      <c r="J23" s="214" t="s">
        <v>228</v>
      </c>
      <c r="K23" s="292">
        <v>15.05</v>
      </c>
      <c r="L23" s="318">
        <v>24500</v>
      </c>
    </row>
    <row r="24" spans="3:12">
      <c r="C24" s="11" t="str">
        <f t="shared" si="0"/>
        <v>九泰基金管理有限公司</v>
      </c>
      <c r="D24" s="11">
        <f t="shared" si="1"/>
        <v>14.96</v>
      </c>
      <c r="E24" s="11">
        <f t="shared" si="2"/>
        <v>1.36</v>
      </c>
      <c r="F24" s="10" t="str">
        <f t="shared" si="3"/>
        <v/>
      </c>
      <c r="G24" s="11"/>
      <c r="I24" s="292">
        <v>9</v>
      </c>
      <c r="J24" s="214" t="s">
        <v>974</v>
      </c>
      <c r="K24" s="292">
        <v>15.01</v>
      </c>
      <c r="L24" s="318">
        <v>13600</v>
      </c>
    </row>
    <row r="25" spans="3:12">
      <c r="C25" s="11" t="str">
        <f t="shared" si="0"/>
        <v/>
      </c>
      <c r="D25" s="11">
        <f t="shared" si="1"/>
        <v>14.44</v>
      </c>
      <c r="E25" s="11">
        <f t="shared" si="2"/>
        <v>1.41</v>
      </c>
      <c r="F25" s="10" t="str">
        <f t="shared" si="3"/>
        <v/>
      </c>
      <c r="G25" s="11"/>
      <c r="I25" s="292">
        <v>10</v>
      </c>
      <c r="J25" s="214" t="s">
        <v>6</v>
      </c>
      <c r="K25" s="292">
        <v>15</v>
      </c>
      <c r="L25" s="318">
        <v>13600</v>
      </c>
    </row>
    <row r="26" spans="3:12">
      <c r="C26" s="11" t="str">
        <f t="shared" si="0"/>
        <v>平安大华基金管理有限公司</v>
      </c>
      <c r="D26" s="11">
        <f t="shared" si="1"/>
        <v>14.94</v>
      </c>
      <c r="E26" s="11">
        <f t="shared" si="2"/>
        <v>1.36</v>
      </c>
      <c r="F26" s="10" t="str">
        <f t="shared" si="3"/>
        <v/>
      </c>
      <c r="G26" s="11"/>
      <c r="I26" s="293">
        <v>11</v>
      </c>
      <c r="J26" s="183" t="s">
        <v>666</v>
      </c>
      <c r="K26" s="292">
        <v>14.96</v>
      </c>
      <c r="L26" s="318">
        <v>13600</v>
      </c>
    </row>
    <row r="27" spans="3:12">
      <c r="C27" s="11" t="str">
        <f t="shared" si="0"/>
        <v>北信瑞丰基金管理有限公司</v>
      </c>
      <c r="D27" s="11">
        <f t="shared" si="1"/>
        <v>14.61</v>
      </c>
      <c r="E27" s="11">
        <f t="shared" si="2"/>
        <v>1.38</v>
      </c>
      <c r="F27" s="10" t="str">
        <f t="shared" si="3"/>
        <v/>
      </c>
      <c r="G27" s="11"/>
      <c r="I27" s="293"/>
      <c r="J27" s="183"/>
      <c r="K27" s="292">
        <v>14.44</v>
      </c>
      <c r="L27" s="318">
        <v>14100</v>
      </c>
    </row>
    <row r="28" spans="3:12">
      <c r="C28" s="11" t="str">
        <f t="shared" si="0"/>
        <v/>
      </c>
      <c r="D28" s="11">
        <f t="shared" si="1"/>
        <v>14.22</v>
      </c>
      <c r="E28" s="11">
        <f t="shared" si="2"/>
        <v>1.5</v>
      </c>
      <c r="F28" s="10" t="str">
        <f t="shared" si="3"/>
        <v/>
      </c>
      <c r="G28" s="11"/>
      <c r="I28" s="292">
        <v>12</v>
      </c>
      <c r="J28" s="214" t="s">
        <v>146</v>
      </c>
      <c r="K28" s="292">
        <v>14.94</v>
      </c>
      <c r="L28" s="318">
        <v>13600</v>
      </c>
    </row>
    <row r="29" spans="3:12">
      <c r="C29" s="11" t="str">
        <f t="shared" si="0"/>
        <v>湘财证券股份有限公司</v>
      </c>
      <c r="D29" s="11">
        <f t="shared" si="1"/>
        <v>14.5</v>
      </c>
      <c r="E29" s="11">
        <f t="shared" si="2"/>
        <v>1.36</v>
      </c>
      <c r="F29" s="10" t="str">
        <f t="shared" si="3"/>
        <v/>
      </c>
      <c r="G29" s="11"/>
      <c r="I29" s="293">
        <v>13</v>
      </c>
      <c r="J29" s="183" t="s">
        <v>336</v>
      </c>
      <c r="K29" s="292">
        <v>14.61</v>
      </c>
      <c r="L29" s="318">
        <v>13800</v>
      </c>
    </row>
    <row r="30" spans="3:12">
      <c r="C30" s="11" t="str">
        <f t="shared" si="0"/>
        <v>第一创业证券股份有限公司</v>
      </c>
      <c r="D30" s="11">
        <f t="shared" si="1"/>
        <v>14.32</v>
      </c>
      <c r="E30" s="11">
        <f t="shared" si="2"/>
        <v>1.5</v>
      </c>
      <c r="F30" s="10" t="str">
        <f>IFERROR(VLOOKUP(C30,O32:Q38,3,FALSE)/10000,"")</f>
        <v/>
      </c>
      <c r="G30" s="11"/>
      <c r="I30" s="293"/>
      <c r="J30" s="183"/>
      <c r="K30" s="292">
        <v>14.22</v>
      </c>
      <c r="L30" s="318">
        <v>15000</v>
      </c>
    </row>
    <row r="31" spans="3:12">
      <c r="C31" s="24" t="str">
        <f t="shared" si="0"/>
        <v/>
      </c>
      <c r="I31" s="292">
        <v>14</v>
      </c>
      <c r="J31" s="214" t="s">
        <v>459</v>
      </c>
      <c r="K31" s="292">
        <v>14.5</v>
      </c>
      <c r="L31" s="318">
        <v>13600</v>
      </c>
    </row>
    <row r="32" spans="3:12">
      <c r="I32" s="292">
        <v>15</v>
      </c>
      <c r="J32" s="214" t="s">
        <v>127</v>
      </c>
      <c r="K32" s="292">
        <v>14.32</v>
      </c>
      <c r="L32" s="318">
        <v>15000</v>
      </c>
    </row>
    <row r="34" spans="1:19" s="162" customFormat="1">
      <c r="A34" s="164" t="s">
        <v>1315</v>
      </c>
      <c r="B34" s="164"/>
      <c r="C34" s="164" t="s">
        <v>107</v>
      </c>
      <c r="D34" s="164" t="s">
        <v>4</v>
      </c>
      <c r="E34" s="166" t="s">
        <v>108</v>
      </c>
      <c r="F34" s="166" t="s">
        <v>109</v>
      </c>
      <c r="G34" s="164" t="s">
        <v>1314</v>
      </c>
      <c r="H34" s="164" t="s">
        <v>1313</v>
      </c>
      <c r="I34" s="165" t="s">
        <v>1312</v>
      </c>
      <c r="J34" s="163" t="s">
        <v>1311</v>
      </c>
      <c r="K34" s="163" t="s">
        <v>110</v>
      </c>
      <c r="L34" s="163" t="s">
        <v>1310</v>
      </c>
      <c r="M34" s="164" t="s">
        <v>111</v>
      </c>
      <c r="N34" s="163" t="s">
        <v>949</v>
      </c>
      <c r="O34" s="163" t="s">
        <v>948</v>
      </c>
      <c r="P34" s="163" t="s">
        <v>129</v>
      </c>
    </row>
    <row r="35" spans="1:19">
      <c r="A35" s="24">
        <v>328</v>
      </c>
      <c r="B35" s="329" t="s">
        <v>2066</v>
      </c>
      <c r="C35" s="1" t="s">
        <v>2065</v>
      </c>
      <c r="D35" s="1" t="s">
        <v>2064</v>
      </c>
      <c r="E35" s="3">
        <v>29.8</v>
      </c>
      <c r="F35" s="3">
        <v>29.799999967800002</v>
      </c>
      <c r="G35" s="332">
        <v>42732</v>
      </c>
      <c r="H35" s="24" t="s">
        <v>153</v>
      </c>
      <c r="I35" s="130">
        <v>3.92</v>
      </c>
      <c r="J35" s="3">
        <v>3.62</v>
      </c>
      <c r="K35" s="160">
        <v>3.6</v>
      </c>
      <c r="L35" s="271">
        <v>0.92346938775510212</v>
      </c>
      <c r="M35" s="270">
        <v>6</v>
      </c>
      <c r="N35" s="2">
        <v>43126</v>
      </c>
      <c r="O35" s="24">
        <v>2.99</v>
      </c>
      <c r="P35" s="157">
        <v>0.82596685082872934</v>
      </c>
    </row>
    <row r="36" spans="1:19">
      <c r="C36" s="16" t="s">
        <v>112</v>
      </c>
      <c r="D36" s="16" t="s">
        <v>113</v>
      </c>
      <c r="E36" s="16" t="s">
        <v>1305</v>
      </c>
      <c r="F36" s="17" t="s">
        <v>1304</v>
      </c>
      <c r="G36" s="16" t="s">
        <v>1303</v>
      </c>
      <c r="H36" s="16" t="s">
        <v>1747</v>
      </c>
    </row>
    <row r="37" spans="1:19">
      <c r="C37" s="24" t="str">
        <f>IF(J39=0,"",J39)</f>
        <v>泰达宏利基金管理有限公司</v>
      </c>
      <c r="D37" s="24">
        <f>K39</f>
        <v>4.1900000000000004</v>
      </c>
      <c r="E37" s="24">
        <f>L39/100000000</f>
        <v>5</v>
      </c>
      <c r="F37" s="5">
        <f t="shared" ref="F37:F43" si="5">IFERROR(VLOOKUP(C37,O$39:S$44,5,FALSE)/10000,"")</f>
        <v>13812.1546</v>
      </c>
      <c r="G37" s="5">
        <f t="shared" ref="G37:G43" si="6">IFERROR(F37*J$35/10000,"")</f>
        <v>4.9999999651999998</v>
      </c>
      <c r="H37" s="24" t="str">
        <f t="shared" ref="H37:H43" si="7">IFERROR(VLOOKUP(C37,O$39:S$44,3,FALSE),"")</f>
        <v>12 个月</v>
      </c>
      <c r="I37" s="314" t="s">
        <v>118</v>
      </c>
      <c r="J37" s="314" t="s">
        <v>7</v>
      </c>
      <c r="K37" s="315" t="s">
        <v>488</v>
      </c>
      <c r="L37" s="314" t="s">
        <v>475</v>
      </c>
      <c r="M37" s="25"/>
      <c r="N37" s="460" t="s">
        <v>1413</v>
      </c>
      <c r="O37" s="314" t="s">
        <v>7</v>
      </c>
      <c r="P37" s="314" t="s">
        <v>1337</v>
      </c>
      <c r="Q37" s="314" t="s">
        <v>1520</v>
      </c>
      <c r="R37" s="314" t="s">
        <v>1346</v>
      </c>
      <c r="S37" s="314" t="s">
        <v>1596</v>
      </c>
    </row>
    <row r="38" spans="1:19">
      <c r="C38" s="24" t="str">
        <f>IF(J40=0,"",J40)</f>
        <v>国开泰富基金管理有限责任公司</v>
      </c>
      <c r="D38" s="24">
        <f>K40</f>
        <v>3.95</v>
      </c>
      <c r="E38" s="24">
        <f>L40/100000000</f>
        <v>3</v>
      </c>
      <c r="F38" s="5">
        <f t="shared" si="5"/>
        <v>8287.2927999999993</v>
      </c>
      <c r="G38" s="5">
        <f t="shared" si="6"/>
        <v>2.9999999935999995</v>
      </c>
      <c r="H38" s="24" t="str">
        <f t="shared" si="7"/>
        <v>12 个月</v>
      </c>
      <c r="I38" s="314"/>
      <c r="J38" s="314"/>
      <c r="K38" s="459" t="s">
        <v>2063</v>
      </c>
      <c r="L38" s="314"/>
      <c r="M38" s="25"/>
      <c r="N38" s="460" t="s">
        <v>477</v>
      </c>
      <c r="O38" s="314"/>
      <c r="P38" s="314"/>
      <c r="Q38" s="314"/>
      <c r="R38" s="314"/>
      <c r="S38" s="460" t="s">
        <v>1317</v>
      </c>
    </row>
    <row r="39" spans="1:19">
      <c r="C39" s="24" t="str">
        <f>IF(J41=0,"",J41)</f>
        <v>中投知本汇（北京）资产管理有限公司</v>
      </c>
      <c r="D39" s="24">
        <f>K41</f>
        <v>3.81</v>
      </c>
      <c r="E39" s="24">
        <f>L41/100000000</f>
        <v>10</v>
      </c>
      <c r="F39" s="5">
        <f t="shared" si="5"/>
        <v>27624.309300000001</v>
      </c>
      <c r="G39" s="5">
        <f t="shared" si="6"/>
        <v>9.9999999666000008</v>
      </c>
      <c r="H39" s="24" t="str">
        <f t="shared" si="7"/>
        <v>12 个月</v>
      </c>
      <c r="I39" s="459">
        <v>1</v>
      </c>
      <c r="J39" s="151" t="s">
        <v>2060</v>
      </c>
      <c r="K39" s="147">
        <v>4.1900000000000004</v>
      </c>
      <c r="L39" s="150">
        <v>500000000</v>
      </c>
      <c r="M39" s="25"/>
      <c r="N39" s="458">
        <v>1</v>
      </c>
      <c r="O39" s="151" t="s">
        <v>2062</v>
      </c>
      <c r="P39" s="148" t="s">
        <v>327</v>
      </c>
      <c r="Q39" s="147" t="s">
        <v>2061</v>
      </c>
      <c r="R39" s="144">
        <v>595999996.46000004</v>
      </c>
      <c r="S39" s="457">
        <v>164640883</v>
      </c>
    </row>
    <row r="40" spans="1:19">
      <c r="C40" s="24" t="str">
        <f>IF(J42=0,"",J42)</f>
        <v>华安未来资产管理（上海）有限公司</v>
      </c>
      <c r="D40" s="24">
        <f>K42</f>
        <v>3.78</v>
      </c>
      <c r="E40" s="24">
        <f>L42/100000000</f>
        <v>5</v>
      </c>
      <c r="F40" s="5">
        <f t="shared" si="5"/>
        <v>13812.1546</v>
      </c>
      <c r="G40" s="5">
        <f t="shared" si="6"/>
        <v>4.9999999651999998</v>
      </c>
      <c r="H40" s="24" t="str">
        <f t="shared" si="7"/>
        <v>12 个月</v>
      </c>
      <c r="I40" s="459">
        <v>2</v>
      </c>
      <c r="J40" s="151" t="s">
        <v>2059</v>
      </c>
      <c r="K40" s="147">
        <v>3.95</v>
      </c>
      <c r="L40" s="150">
        <v>300000000</v>
      </c>
      <c r="M40" s="25"/>
      <c r="N40" s="458">
        <v>2</v>
      </c>
      <c r="O40" s="151" t="s">
        <v>2060</v>
      </c>
      <c r="P40" s="148" t="s">
        <v>2057</v>
      </c>
      <c r="Q40" s="147" t="s">
        <v>2056</v>
      </c>
      <c r="R40" s="144">
        <v>499999996.51999998</v>
      </c>
      <c r="S40" s="457">
        <v>138121546</v>
      </c>
    </row>
    <row r="41" spans="1:19">
      <c r="C41" s="24" t="str">
        <f>IF(J43=0,"",J43)</f>
        <v>财通基金管理有限公司</v>
      </c>
      <c r="D41" s="24">
        <f>K43</f>
        <v>3.62</v>
      </c>
      <c r="E41" s="24">
        <f>L43/100000000</f>
        <v>2.67</v>
      </c>
      <c r="F41" s="5">
        <f t="shared" si="5"/>
        <v>2320.4423000000002</v>
      </c>
      <c r="G41" s="5">
        <f t="shared" si="6"/>
        <v>0.84000011260000007</v>
      </c>
      <c r="H41" s="24" t="str">
        <f t="shared" si="7"/>
        <v>12 个月</v>
      </c>
      <c r="I41" s="459">
        <v>3</v>
      </c>
      <c r="J41" s="151" t="s">
        <v>2058</v>
      </c>
      <c r="K41" s="147">
        <v>3.81</v>
      </c>
      <c r="L41" s="150">
        <v>1000000000</v>
      </c>
      <c r="M41" s="25"/>
      <c r="N41" s="458">
        <v>3</v>
      </c>
      <c r="O41" s="151" t="s">
        <v>2059</v>
      </c>
      <c r="P41" s="148" t="s">
        <v>2057</v>
      </c>
      <c r="Q41" s="147" t="s">
        <v>2056</v>
      </c>
      <c r="R41" s="144">
        <v>299999999.36000001</v>
      </c>
      <c r="S41" s="457">
        <v>82872928</v>
      </c>
    </row>
    <row r="42" spans="1:19">
      <c r="C42" s="16" t="s">
        <v>1643</v>
      </c>
      <c r="F42" s="5" t="str">
        <f t="shared" si="5"/>
        <v/>
      </c>
      <c r="G42" s="5" t="str">
        <f t="shared" si="6"/>
        <v/>
      </c>
      <c r="H42" s="24" t="str">
        <f t="shared" si="7"/>
        <v/>
      </c>
      <c r="I42" s="459">
        <v>4</v>
      </c>
      <c r="J42" s="151" t="s">
        <v>1986</v>
      </c>
      <c r="K42" s="147">
        <v>3.78</v>
      </c>
      <c r="L42" s="150">
        <v>500000000</v>
      </c>
      <c r="M42" s="25"/>
      <c r="N42" s="458">
        <v>4</v>
      </c>
      <c r="O42" s="151" t="s">
        <v>2058</v>
      </c>
      <c r="P42" s="148" t="s">
        <v>2057</v>
      </c>
      <c r="Q42" s="147" t="s">
        <v>2056</v>
      </c>
      <c r="R42" s="144">
        <v>999999996.65999997</v>
      </c>
      <c r="S42" s="457">
        <v>276243093</v>
      </c>
    </row>
    <row r="43" spans="1:19">
      <c r="C43" s="24" t="str">
        <f>O39</f>
        <v>大同煤矿集团有限责任公司</v>
      </c>
      <c r="F43" s="5">
        <f t="shared" si="5"/>
        <v>16464.088299999999</v>
      </c>
      <c r="G43" s="5">
        <f t="shared" si="6"/>
        <v>5.9599999645999997</v>
      </c>
      <c r="H43" s="24" t="str">
        <f t="shared" si="7"/>
        <v>36 个月</v>
      </c>
      <c r="I43" s="459">
        <v>5</v>
      </c>
      <c r="J43" s="151" t="s">
        <v>1578</v>
      </c>
      <c r="K43" s="147">
        <v>3.62</v>
      </c>
      <c r="L43" s="150">
        <v>267000000</v>
      </c>
      <c r="M43" s="25"/>
      <c r="N43" s="458">
        <v>5</v>
      </c>
      <c r="O43" s="151" t="s">
        <v>1986</v>
      </c>
      <c r="P43" s="148" t="s">
        <v>2057</v>
      </c>
      <c r="Q43" s="147" t="s">
        <v>2056</v>
      </c>
      <c r="R43" s="144">
        <v>499999996.51999998</v>
      </c>
      <c r="S43" s="457">
        <v>138121546</v>
      </c>
    </row>
    <row r="44" spans="1:19">
      <c r="C44" s="24" t="str">
        <f>IF(J46=0,"",J46)</f>
        <v/>
      </c>
      <c r="I44" s="25"/>
      <c r="J44" s="25"/>
      <c r="K44" s="25"/>
      <c r="L44" s="25"/>
      <c r="M44" s="25"/>
      <c r="N44" s="458">
        <v>6</v>
      </c>
      <c r="O44" s="151" t="s">
        <v>1578</v>
      </c>
      <c r="P44" s="148" t="s">
        <v>2057</v>
      </c>
      <c r="Q44" s="147" t="s">
        <v>2056</v>
      </c>
      <c r="R44" s="144">
        <v>84000011.260000005</v>
      </c>
      <c r="S44" s="457">
        <v>23204423</v>
      </c>
    </row>
    <row r="47" spans="1:19" s="162" customFormat="1">
      <c r="A47" s="164" t="s">
        <v>1315</v>
      </c>
      <c r="B47" s="164"/>
      <c r="C47" s="164" t="s">
        <v>107</v>
      </c>
      <c r="D47" s="164" t="s">
        <v>4</v>
      </c>
      <c r="E47" s="166" t="s">
        <v>108</v>
      </c>
      <c r="F47" s="166" t="s">
        <v>109</v>
      </c>
      <c r="G47" s="164" t="s">
        <v>1314</v>
      </c>
      <c r="H47" s="164" t="s">
        <v>1313</v>
      </c>
      <c r="I47" s="165" t="s">
        <v>1312</v>
      </c>
      <c r="J47" s="163" t="s">
        <v>1311</v>
      </c>
      <c r="K47" s="163" t="s">
        <v>110</v>
      </c>
      <c r="L47" s="163" t="s">
        <v>1310</v>
      </c>
      <c r="M47" s="164" t="s">
        <v>111</v>
      </c>
      <c r="N47" s="163" t="s">
        <v>949</v>
      </c>
      <c r="O47" s="163" t="s">
        <v>948</v>
      </c>
      <c r="P47" s="163" t="s">
        <v>129</v>
      </c>
    </row>
    <row r="48" spans="1:19">
      <c r="A48" s="24">
        <v>329</v>
      </c>
      <c r="B48" s="329" t="s">
        <v>2055</v>
      </c>
      <c r="C48" s="1" t="s">
        <v>2054</v>
      </c>
      <c r="D48" s="1" t="s">
        <v>2053</v>
      </c>
      <c r="E48" s="3">
        <v>30</v>
      </c>
      <c r="F48" s="3">
        <v>29.999999926800001</v>
      </c>
      <c r="G48" s="2">
        <v>42734</v>
      </c>
      <c r="H48" s="24" t="s">
        <v>151</v>
      </c>
      <c r="I48" s="130">
        <v>12.48</v>
      </c>
      <c r="J48" s="3">
        <v>11.38</v>
      </c>
      <c r="K48" s="160">
        <v>8.86</v>
      </c>
      <c r="L48" s="271">
        <v>0.91185897435897434</v>
      </c>
      <c r="M48" s="270">
        <v>8</v>
      </c>
      <c r="N48" s="2">
        <v>43157</v>
      </c>
      <c r="O48" s="24">
        <v>9.17</v>
      </c>
      <c r="P48" s="157">
        <v>0.80579964850615104</v>
      </c>
    </row>
    <row r="49" spans="3:18">
      <c r="C49" s="179" t="s">
        <v>112</v>
      </c>
      <c r="D49" s="179" t="s">
        <v>113</v>
      </c>
      <c r="E49" s="179" t="s">
        <v>1305</v>
      </c>
      <c r="F49" s="180" t="s">
        <v>1304</v>
      </c>
      <c r="G49" s="179" t="s">
        <v>1303</v>
      </c>
      <c r="H49" s="4"/>
      <c r="J49" s="213" t="s">
        <v>118</v>
      </c>
      <c r="K49" s="213" t="s">
        <v>7</v>
      </c>
      <c r="L49" s="209" t="s">
        <v>488</v>
      </c>
      <c r="M49" s="213" t="s">
        <v>401</v>
      </c>
      <c r="N49" s="294"/>
      <c r="O49" s="85" t="s">
        <v>118</v>
      </c>
      <c r="P49" s="85" t="s">
        <v>349</v>
      </c>
      <c r="Q49" s="196" t="s">
        <v>354</v>
      </c>
      <c r="R49" s="225" t="s">
        <v>1300</v>
      </c>
    </row>
    <row r="50" spans="3:18">
      <c r="C50" s="11" t="str">
        <f t="shared" ref="C50:C78" si="8">IF(K51=0,"",K51)</f>
        <v>金石期货有限公司</v>
      </c>
      <c r="D50" s="11">
        <f t="shared" ref="D50:D76" si="9">L51</f>
        <v>11.88</v>
      </c>
      <c r="E50" s="11">
        <f t="shared" ref="E50:E76" si="10">M51/10000</f>
        <v>3</v>
      </c>
      <c r="F50" s="10">
        <f t="shared" ref="F50:F76" si="11">IFERROR(VLOOKUP(C50,P$50:R$58,2,FALSE)/10000,"")</f>
        <v>2636.2037999999998</v>
      </c>
      <c r="G50" s="10">
        <f t="shared" ref="G50:G76" si="12">IFERROR(F50*J$48/10000,"")</f>
        <v>2.9999999244</v>
      </c>
      <c r="J50" s="213"/>
      <c r="K50" s="213"/>
      <c r="L50" s="213" t="s">
        <v>1727</v>
      </c>
      <c r="M50" s="213" t="s">
        <v>1333</v>
      </c>
      <c r="N50" s="294"/>
      <c r="O50" s="168">
        <v>1</v>
      </c>
      <c r="P50" s="204" t="s">
        <v>1983</v>
      </c>
      <c r="Q50" s="275">
        <v>26362038</v>
      </c>
      <c r="R50" s="234">
        <v>299999992.44</v>
      </c>
    </row>
    <row r="51" spans="3:18">
      <c r="C51" s="11" t="str">
        <f t="shared" si="8"/>
        <v>第一创业证券股份有限公司</v>
      </c>
      <c r="D51" s="11">
        <f t="shared" si="9"/>
        <v>10.53</v>
      </c>
      <c r="E51" s="11">
        <f t="shared" si="10"/>
        <v>3.1</v>
      </c>
      <c r="F51" s="10" t="str">
        <f t="shared" si="11"/>
        <v/>
      </c>
      <c r="G51" s="10" t="str">
        <f t="shared" si="12"/>
        <v/>
      </c>
      <c r="J51" s="292">
        <v>1</v>
      </c>
      <c r="K51" s="453" t="s">
        <v>1983</v>
      </c>
      <c r="L51" s="292">
        <v>11.88</v>
      </c>
      <c r="M51" s="318">
        <v>30000</v>
      </c>
      <c r="N51" s="294"/>
      <c r="O51" s="168">
        <v>2</v>
      </c>
      <c r="P51" s="204" t="s">
        <v>1044</v>
      </c>
      <c r="Q51" s="236">
        <v>26362038</v>
      </c>
      <c r="R51" s="234">
        <v>299999992.44</v>
      </c>
    </row>
    <row r="52" spans="3:18">
      <c r="C52" s="11" t="str">
        <f t="shared" si="8"/>
        <v>九泰基金管理有限公司</v>
      </c>
      <c r="D52" s="11">
        <f t="shared" si="9"/>
        <v>10.029999999999999</v>
      </c>
      <c r="E52" s="11">
        <f t="shared" si="10"/>
        <v>3</v>
      </c>
      <c r="F52" s="10" t="str">
        <f t="shared" si="11"/>
        <v/>
      </c>
      <c r="G52" s="10" t="str">
        <f t="shared" si="12"/>
        <v/>
      </c>
      <c r="J52" s="292">
        <v>2</v>
      </c>
      <c r="K52" s="214" t="s">
        <v>127</v>
      </c>
      <c r="L52" s="292">
        <v>10.53</v>
      </c>
      <c r="M52" s="318">
        <v>31000</v>
      </c>
      <c r="N52" s="294"/>
      <c r="O52" s="296">
        <v>3</v>
      </c>
      <c r="P52" s="204" t="s">
        <v>2051</v>
      </c>
      <c r="Q52" s="275">
        <v>52724077</v>
      </c>
      <c r="R52" s="297">
        <v>599999996.25999999</v>
      </c>
    </row>
    <row r="53" spans="3:18">
      <c r="C53" s="11" t="str">
        <f t="shared" si="8"/>
        <v/>
      </c>
      <c r="D53" s="11">
        <f t="shared" si="9"/>
        <v>9.51</v>
      </c>
      <c r="E53" s="11">
        <f t="shared" si="10"/>
        <v>3.11</v>
      </c>
      <c r="F53" s="10" t="str">
        <f t="shared" si="11"/>
        <v/>
      </c>
      <c r="G53" s="10" t="str">
        <f t="shared" si="12"/>
        <v/>
      </c>
      <c r="J53" s="292">
        <v>3</v>
      </c>
      <c r="K53" s="174" t="s">
        <v>666</v>
      </c>
      <c r="L53" s="292">
        <v>10.029999999999999</v>
      </c>
      <c r="M53" s="318">
        <v>30000</v>
      </c>
      <c r="N53" s="294"/>
      <c r="O53" s="296"/>
      <c r="P53" s="204"/>
      <c r="Q53" s="275"/>
      <c r="R53" s="297"/>
    </row>
    <row r="54" spans="3:18">
      <c r="C54" s="11" t="str">
        <f t="shared" si="8"/>
        <v/>
      </c>
      <c r="D54" s="11">
        <f t="shared" si="9"/>
        <v>8.91</v>
      </c>
      <c r="E54" s="11">
        <f t="shared" si="10"/>
        <v>3.16</v>
      </c>
      <c r="F54" s="10" t="str">
        <f t="shared" si="11"/>
        <v/>
      </c>
      <c r="G54" s="10" t="str">
        <f t="shared" si="12"/>
        <v/>
      </c>
      <c r="J54" s="235"/>
      <c r="K54" s="238"/>
      <c r="L54" s="292">
        <v>9.51</v>
      </c>
      <c r="M54" s="318">
        <v>31100</v>
      </c>
      <c r="N54" s="294"/>
      <c r="O54" s="168">
        <v>4</v>
      </c>
      <c r="P54" s="204" t="s">
        <v>971</v>
      </c>
      <c r="Q54" s="236">
        <v>26362038</v>
      </c>
      <c r="R54" s="234">
        <v>299999992.44</v>
      </c>
    </row>
    <row r="55" spans="3:18">
      <c r="C55" s="11" t="str">
        <f t="shared" si="8"/>
        <v>申万菱信基金管理有限公司</v>
      </c>
      <c r="D55" s="11">
        <f t="shared" si="9"/>
        <v>10.58</v>
      </c>
      <c r="E55" s="11">
        <f t="shared" si="10"/>
        <v>3.3</v>
      </c>
      <c r="F55" s="10" t="str">
        <f t="shared" si="11"/>
        <v/>
      </c>
      <c r="G55" s="10" t="str">
        <f t="shared" si="12"/>
        <v/>
      </c>
      <c r="J55" s="25"/>
      <c r="K55" s="25"/>
      <c r="L55" s="292">
        <v>8.91</v>
      </c>
      <c r="M55" s="318">
        <v>31600</v>
      </c>
      <c r="N55" s="294"/>
      <c r="O55" s="168">
        <v>5</v>
      </c>
      <c r="P55" s="204" t="s">
        <v>115</v>
      </c>
      <c r="Q55" s="236">
        <v>27680144</v>
      </c>
      <c r="R55" s="234">
        <v>315000038.72000003</v>
      </c>
    </row>
    <row r="56" spans="3:18">
      <c r="C56" s="11" t="str">
        <f t="shared" si="8"/>
        <v/>
      </c>
      <c r="D56" s="11">
        <f t="shared" si="9"/>
        <v>9.8800000000000008</v>
      </c>
      <c r="E56" s="11">
        <f t="shared" si="10"/>
        <v>4.7699999999999996</v>
      </c>
      <c r="F56" s="10" t="str">
        <f t="shared" si="11"/>
        <v/>
      </c>
      <c r="G56" s="10" t="str">
        <f t="shared" si="12"/>
        <v/>
      </c>
      <c r="J56" s="292">
        <v>4</v>
      </c>
      <c r="K56" s="183" t="s">
        <v>121</v>
      </c>
      <c r="L56" s="292">
        <v>10.58</v>
      </c>
      <c r="M56" s="318">
        <v>33000</v>
      </c>
      <c r="N56" s="294"/>
      <c r="O56" s="168">
        <v>6</v>
      </c>
      <c r="P56" s="204" t="s">
        <v>2052</v>
      </c>
      <c r="Q56" s="236">
        <v>26362038</v>
      </c>
      <c r="R56" s="234">
        <v>299999992.44</v>
      </c>
    </row>
    <row r="57" spans="3:18">
      <c r="C57" s="11" t="str">
        <f t="shared" si="8"/>
        <v>前海开源基金管理有限公司</v>
      </c>
      <c r="D57" s="11">
        <f t="shared" si="9"/>
        <v>15</v>
      </c>
      <c r="E57" s="11">
        <f t="shared" si="10"/>
        <v>3</v>
      </c>
      <c r="F57" s="10">
        <f t="shared" si="11"/>
        <v>2636.2037999999998</v>
      </c>
      <c r="G57" s="10">
        <f t="shared" si="12"/>
        <v>2.9999999244</v>
      </c>
      <c r="J57" s="25"/>
      <c r="K57" s="25"/>
      <c r="L57" s="292">
        <v>9.8800000000000008</v>
      </c>
      <c r="M57" s="318">
        <v>47700</v>
      </c>
      <c r="N57" s="294"/>
      <c r="O57" s="168">
        <v>7</v>
      </c>
      <c r="P57" s="204" t="s">
        <v>336</v>
      </c>
      <c r="Q57" s="236">
        <v>51405975</v>
      </c>
      <c r="R57" s="234">
        <v>584999995.5</v>
      </c>
    </row>
    <row r="58" spans="3:18">
      <c r="C58" s="11" t="str">
        <f t="shared" si="8"/>
        <v>创金合信基金管理有限公司</v>
      </c>
      <c r="D58" s="11">
        <f t="shared" si="9"/>
        <v>10.86</v>
      </c>
      <c r="E58" s="11">
        <f t="shared" si="10"/>
        <v>3</v>
      </c>
      <c r="F58" s="10" t="str">
        <f t="shared" si="11"/>
        <v/>
      </c>
      <c r="G58" s="10" t="str">
        <f t="shared" si="12"/>
        <v/>
      </c>
      <c r="J58" s="292">
        <v>5</v>
      </c>
      <c r="K58" s="453" t="s">
        <v>1044</v>
      </c>
      <c r="L58" s="292">
        <v>15</v>
      </c>
      <c r="M58" s="318">
        <v>30000</v>
      </c>
      <c r="N58" s="294"/>
      <c r="O58" s="168">
        <v>8</v>
      </c>
      <c r="P58" s="204" t="s">
        <v>1070</v>
      </c>
      <c r="Q58" s="236">
        <v>26362038</v>
      </c>
      <c r="R58" s="234">
        <v>299999992.44</v>
      </c>
    </row>
    <row r="59" spans="3:18">
      <c r="C59" s="11" t="str">
        <f t="shared" si="8"/>
        <v>东吴基金管理有限公司</v>
      </c>
      <c r="D59" s="11">
        <f t="shared" si="9"/>
        <v>9.51</v>
      </c>
      <c r="E59" s="11">
        <f t="shared" si="10"/>
        <v>3.01</v>
      </c>
      <c r="F59" s="10" t="str">
        <f t="shared" si="11"/>
        <v/>
      </c>
      <c r="G59" s="10" t="str">
        <f t="shared" si="12"/>
        <v/>
      </c>
      <c r="J59" s="292">
        <v>6</v>
      </c>
      <c r="K59" s="214" t="s">
        <v>134</v>
      </c>
      <c r="L59" s="292">
        <v>10.86</v>
      </c>
      <c r="M59" s="318">
        <v>30000</v>
      </c>
      <c r="N59" s="294"/>
      <c r="O59" s="196" t="s">
        <v>1293</v>
      </c>
      <c r="P59" s="196"/>
      <c r="Q59" s="284">
        <v>263620386</v>
      </c>
      <c r="R59" s="323">
        <v>2999999992.6799998</v>
      </c>
    </row>
    <row r="60" spans="3:18">
      <c r="C60" s="11" t="str">
        <f t="shared" si="8"/>
        <v>长城国泰（舟山）产业并购重组基金合伙企业（有限合伙）</v>
      </c>
      <c r="D60" s="11">
        <f t="shared" si="9"/>
        <v>11.76</v>
      </c>
      <c r="E60" s="11">
        <f t="shared" si="10"/>
        <v>6</v>
      </c>
      <c r="F60" s="10">
        <f t="shared" si="11"/>
        <v>5272.4076999999997</v>
      </c>
      <c r="G60" s="10">
        <f t="shared" si="12"/>
        <v>5.9999999626000005</v>
      </c>
      <c r="J60" s="292">
        <v>7</v>
      </c>
      <c r="K60" s="214" t="s">
        <v>974</v>
      </c>
      <c r="L60" s="292">
        <v>9.51</v>
      </c>
      <c r="M60" s="318">
        <v>30100</v>
      </c>
      <c r="N60" s="294"/>
    </row>
    <row r="61" spans="3:18">
      <c r="C61" s="11" t="str">
        <f t="shared" si="8"/>
        <v>诺安基金管理有限公司</v>
      </c>
      <c r="D61" s="11">
        <f t="shared" si="9"/>
        <v>9.86</v>
      </c>
      <c r="E61" s="11">
        <f t="shared" si="10"/>
        <v>3</v>
      </c>
      <c r="F61" s="10" t="str">
        <f t="shared" si="11"/>
        <v/>
      </c>
      <c r="G61" s="10" t="str">
        <f t="shared" si="12"/>
        <v/>
      </c>
      <c r="J61" s="293">
        <v>8</v>
      </c>
      <c r="K61" s="455" t="s">
        <v>2051</v>
      </c>
      <c r="L61" s="293">
        <v>11.76</v>
      </c>
      <c r="M61" s="295">
        <v>60000</v>
      </c>
      <c r="N61" s="294"/>
    </row>
    <row r="62" spans="3:18">
      <c r="C62" s="11" t="str">
        <f t="shared" si="8"/>
        <v>华安基金管理有限公司</v>
      </c>
      <c r="D62" s="11">
        <f t="shared" si="9"/>
        <v>10.98</v>
      </c>
      <c r="E62" s="11">
        <f t="shared" si="10"/>
        <v>3.4</v>
      </c>
      <c r="F62" s="10" t="str">
        <f t="shared" si="11"/>
        <v/>
      </c>
      <c r="G62" s="10" t="str">
        <f t="shared" si="12"/>
        <v/>
      </c>
      <c r="J62" s="292">
        <v>9</v>
      </c>
      <c r="K62" s="214" t="s">
        <v>147</v>
      </c>
      <c r="L62" s="292">
        <v>9.86</v>
      </c>
      <c r="M62" s="318">
        <v>30000</v>
      </c>
      <c r="N62" s="294"/>
    </row>
    <row r="63" spans="3:18">
      <c r="C63" s="11" t="str">
        <f t="shared" si="8"/>
        <v/>
      </c>
      <c r="D63" s="11">
        <f t="shared" si="9"/>
        <v>10.92</v>
      </c>
      <c r="E63" s="11">
        <f t="shared" si="10"/>
        <v>3.6</v>
      </c>
      <c r="F63" s="10" t="str">
        <f t="shared" si="11"/>
        <v/>
      </c>
      <c r="G63" s="10" t="str">
        <f t="shared" si="12"/>
        <v/>
      </c>
      <c r="J63" s="132">
        <v>10</v>
      </c>
      <c r="K63" s="174" t="s">
        <v>136</v>
      </c>
      <c r="L63" s="292">
        <v>10.98</v>
      </c>
      <c r="M63" s="318">
        <v>34000</v>
      </c>
      <c r="N63" s="294"/>
    </row>
    <row r="64" spans="3:18">
      <c r="C64" s="11" t="str">
        <f t="shared" si="8"/>
        <v>华融证券股份有限公司</v>
      </c>
      <c r="D64" s="11">
        <f t="shared" si="9"/>
        <v>11.26</v>
      </c>
      <c r="E64" s="11">
        <f t="shared" si="10"/>
        <v>3</v>
      </c>
      <c r="F64" s="10" t="str">
        <f t="shared" si="11"/>
        <v/>
      </c>
      <c r="G64" s="10" t="str">
        <f t="shared" si="12"/>
        <v/>
      </c>
      <c r="J64" s="25"/>
      <c r="K64" s="25"/>
      <c r="L64" s="292">
        <v>10.92</v>
      </c>
      <c r="M64" s="318">
        <v>36000</v>
      </c>
      <c r="N64" s="294"/>
    </row>
    <row r="65" spans="1:16">
      <c r="C65" s="11" t="str">
        <f t="shared" si="8"/>
        <v>吉林敖东药业集团股份有限公司</v>
      </c>
      <c r="D65" s="11">
        <f t="shared" si="9"/>
        <v>10.029999999999999</v>
      </c>
      <c r="E65" s="11">
        <f t="shared" si="10"/>
        <v>3</v>
      </c>
      <c r="F65" s="10" t="str">
        <f t="shared" si="11"/>
        <v/>
      </c>
      <c r="G65" s="10" t="str">
        <f t="shared" si="12"/>
        <v/>
      </c>
      <c r="J65" s="292">
        <v>11</v>
      </c>
      <c r="K65" s="214" t="s">
        <v>309</v>
      </c>
      <c r="L65" s="292">
        <v>11.26</v>
      </c>
      <c r="M65" s="318">
        <v>30000</v>
      </c>
      <c r="N65" s="294"/>
    </row>
    <row r="66" spans="1:16">
      <c r="C66" s="11" t="str">
        <f t="shared" si="8"/>
        <v>安徽省铁路发展基金股份有限公司</v>
      </c>
      <c r="D66" s="11">
        <f t="shared" si="9"/>
        <v>11.87</v>
      </c>
      <c r="E66" s="11">
        <f t="shared" si="10"/>
        <v>3</v>
      </c>
      <c r="F66" s="10">
        <f t="shared" si="11"/>
        <v>2636.2037999999998</v>
      </c>
      <c r="G66" s="10">
        <f t="shared" si="12"/>
        <v>2.9999999244</v>
      </c>
      <c r="J66" s="293">
        <v>12</v>
      </c>
      <c r="K66" s="214" t="s">
        <v>2050</v>
      </c>
      <c r="L66" s="293">
        <v>10.029999999999999</v>
      </c>
      <c r="M66" s="295">
        <v>30000</v>
      </c>
      <c r="N66" s="294"/>
    </row>
    <row r="67" spans="1:16">
      <c r="C67" s="11" t="str">
        <f t="shared" si="8"/>
        <v>华泰柏瑞基金管理有限公司</v>
      </c>
      <c r="D67" s="11">
        <f t="shared" si="9"/>
        <v>10.130000000000001</v>
      </c>
      <c r="E67" s="11">
        <f t="shared" si="10"/>
        <v>3.3</v>
      </c>
      <c r="F67" s="10" t="str">
        <f t="shared" si="11"/>
        <v/>
      </c>
      <c r="G67" s="10" t="str">
        <f t="shared" si="12"/>
        <v/>
      </c>
      <c r="J67" s="293">
        <v>13</v>
      </c>
      <c r="K67" s="453" t="s">
        <v>1790</v>
      </c>
      <c r="L67" s="293">
        <v>11.87</v>
      </c>
      <c r="M67" s="295">
        <v>30000</v>
      </c>
      <c r="N67" s="294"/>
    </row>
    <row r="68" spans="1:16">
      <c r="C68" s="11" t="str">
        <f t="shared" si="8"/>
        <v/>
      </c>
      <c r="D68" s="11">
        <f t="shared" si="9"/>
        <v>8.86</v>
      </c>
      <c r="E68" s="11">
        <f t="shared" si="10"/>
        <v>5.7</v>
      </c>
      <c r="F68" s="10" t="str">
        <f t="shared" si="11"/>
        <v/>
      </c>
      <c r="G68" s="10" t="str">
        <f t="shared" si="12"/>
        <v/>
      </c>
      <c r="J68" s="132">
        <v>14</v>
      </c>
      <c r="K68" s="183" t="s">
        <v>122</v>
      </c>
      <c r="L68" s="292">
        <v>10.130000000000001</v>
      </c>
      <c r="M68" s="318">
        <v>33000</v>
      </c>
      <c r="N68" s="294"/>
    </row>
    <row r="69" spans="1:16">
      <c r="C69" s="11" t="str">
        <f t="shared" si="8"/>
        <v>财通基金管理有限公司</v>
      </c>
      <c r="D69" s="11">
        <f t="shared" si="9"/>
        <v>11.38</v>
      </c>
      <c r="E69" s="11">
        <f t="shared" si="10"/>
        <v>5.29</v>
      </c>
      <c r="F69" s="10">
        <f t="shared" si="11"/>
        <v>2768.0144</v>
      </c>
      <c r="G69" s="10">
        <f t="shared" si="12"/>
        <v>3.1500003872</v>
      </c>
      <c r="J69" s="25"/>
      <c r="K69" s="25"/>
      <c r="L69" s="292">
        <v>8.86</v>
      </c>
      <c r="M69" s="318">
        <v>57000</v>
      </c>
      <c r="N69" s="294"/>
    </row>
    <row r="70" spans="1:16">
      <c r="C70" s="11" t="str">
        <f t="shared" si="8"/>
        <v/>
      </c>
      <c r="D70" s="11">
        <f t="shared" si="9"/>
        <v>10.5</v>
      </c>
      <c r="E70" s="11">
        <f t="shared" si="10"/>
        <v>9.11</v>
      </c>
      <c r="F70" s="10" t="str">
        <f t="shared" si="11"/>
        <v/>
      </c>
      <c r="G70" s="10" t="str">
        <f t="shared" si="12"/>
        <v/>
      </c>
      <c r="J70" s="132">
        <v>15</v>
      </c>
      <c r="K70" s="456" t="s">
        <v>115</v>
      </c>
      <c r="L70" s="292">
        <v>11.38</v>
      </c>
      <c r="M70" s="318">
        <v>52900</v>
      </c>
      <c r="N70" s="294"/>
    </row>
    <row r="71" spans="1:16">
      <c r="C71" s="11" t="str">
        <f t="shared" si="8"/>
        <v/>
      </c>
      <c r="D71" s="11">
        <f t="shared" si="9"/>
        <v>9.56</v>
      </c>
      <c r="E71" s="11">
        <f t="shared" si="10"/>
        <v>9.81</v>
      </c>
      <c r="F71" s="10" t="str">
        <f t="shared" si="11"/>
        <v/>
      </c>
      <c r="G71" s="10" t="str">
        <f t="shared" si="12"/>
        <v/>
      </c>
      <c r="J71" s="235"/>
      <c r="K71" s="25"/>
      <c r="L71" s="292">
        <v>10.5</v>
      </c>
      <c r="M71" s="318">
        <v>91100</v>
      </c>
      <c r="N71" s="294"/>
    </row>
    <row r="72" spans="1:16">
      <c r="C72" s="11" t="str">
        <f t="shared" si="8"/>
        <v>阿拉山口市弘通股权投资有限合伙企业</v>
      </c>
      <c r="D72" s="11">
        <f t="shared" si="9"/>
        <v>15.5</v>
      </c>
      <c r="E72" s="11">
        <f t="shared" si="10"/>
        <v>3</v>
      </c>
      <c r="F72" s="10">
        <f t="shared" si="11"/>
        <v>2636.2037999999998</v>
      </c>
      <c r="G72" s="10">
        <f t="shared" si="12"/>
        <v>2.9999999244</v>
      </c>
      <c r="J72" s="25"/>
      <c r="K72" s="64"/>
      <c r="L72" s="292">
        <v>9.56</v>
      </c>
      <c r="M72" s="318">
        <v>98100</v>
      </c>
      <c r="N72" s="294"/>
    </row>
    <row r="73" spans="1:16">
      <c r="C73" s="11" t="str">
        <f t="shared" si="8"/>
        <v>北信瑞丰基金管理有限公司</v>
      </c>
      <c r="D73" s="11">
        <f t="shared" si="9"/>
        <v>13.1</v>
      </c>
      <c r="E73" s="11">
        <f t="shared" si="10"/>
        <v>5.85</v>
      </c>
      <c r="F73" s="10">
        <f t="shared" si="11"/>
        <v>5140.5974999999999</v>
      </c>
      <c r="G73" s="10">
        <f t="shared" si="12"/>
        <v>5.8499999550000004</v>
      </c>
      <c r="J73" s="293">
        <v>16</v>
      </c>
      <c r="K73" s="453" t="s">
        <v>2049</v>
      </c>
      <c r="L73" s="293">
        <v>15.5</v>
      </c>
      <c r="M73" s="295">
        <v>30000</v>
      </c>
      <c r="N73" s="294"/>
    </row>
    <row r="74" spans="1:16">
      <c r="C74" s="11" t="str">
        <f t="shared" si="8"/>
        <v/>
      </c>
      <c r="D74" s="11">
        <f t="shared" si="9"/>
        <v>10.5</v>
      </c>
      <c r="E74" s="11">
        <f t="shared" si="10"/>
        <v>6.35</v>
      </c>
      <c r="F74" s="10" t="str">
        <f t="shared" si="11"/>
        <v/>
      </c>
      <c r="G74" s="10" t="str">
        <f t="shared" si="12"/>
        <v/>
      </c>
      <c r="J74" s="182"/>
      <c r="K74" s="455" t="s">
        <v>336</v>
      </c>
      <c r="L74" s="292">
        <v>13.1</v>
      </c>
      <c r="M74" s="318">
        <v>58500</v>
      </c>
      <c r="N74" s="294"/>
    </row>
    <row r="75" spans="1:16">
      <c r="C75" s="11" t="str">
        <f t="shared" si="8"/>
        <v/>
      </c>
      <c r="D75" s="11">
        <f t="shared" si="9"/>
        <v>8.86</v>
      </c>
      <c r="E75" s="11">
        <f t="shared" si="10"/>
        <v>6.35</v>
      </c>
      <c r="F75" s="10" t="str">
        <f t="shared" si="11"/>
        <v/>
      </c>
      <c r="G75" s="10" t="str">
        <f t="shared" si="12"/>
        <v/>
      </c>
      <c r="J75" s="235"/>
      <c r="K75" s="25"/>
      <c r="L75" s="292">
        <v>10.5</v>
      </c>
      <c r="M75" s="318">
        <v>63500</v>
      </c>
      <c r="N75" s="294"/>
    </row>
    <row r="76" spans="1:16">
      <c r="C76" s="11" t="str">
        <f t="shared" si="8"/>
        <v>新沃基金管理有限公司</v>
      </c>
      <c r="D76" s="11">
        <f t="shared" si="9"/>
        <v>12.54</v>
      </c>
      <c r="E76" s="11">
        <f t="shared" si="10"/>
        <v>3</v>
      </c>
      <c r="F76" s="10">
        <f t="shared" si="11"/>
        <v>2636.2037999999998</v>
      </c>
      <c r="G76" s="10">
        <f t="shared" si="12"/>
        <v>2.9999999244</v>
      </c>
      <c r="J76" s="454">
        <v>17</v>
      </c>
      <c r="K76" s="64"/>
      <c r="L76" s="292">
        <v>8.86</v>
      </c>
      <c r="M76" s="318">
        <v>63500</v>
      </c>
      <c r="N76" s="294"/>
    </row>
    <row r="77" spans="1:16">
      <c r="C77" s="24" t="str">
        <f t="shared" si="8"/>
        <v/>
      </c>
      <c r="J77" s="292">
        <v>18</v>
      </c>
      <c r="K77" s="453" t="s">
        <v>1070</v>
      </c>
      <c r="L77" s="132">
        <v>12.54</v>
      </c>
      <c r="M77" s="318">
        <v>30000</v>
      </c>
      <c r="N77" s="294"/>
    </row>
    <row r="78" spans="1:16">
      <c r="C78" s="24" t="str">
        <f t="shared" si="8"/>
        <v/>
      </c>
      <c r="N78" s="294"/>
    </row>
    <row r="80" spans="1:16" s="162" customFormat="1">
      <c r="A80" s="164" t="s">
        <v>1315</v>
      </c>
      <c r="B80" s="164"/>
      <c r="C80" s="164" t="s">
        <v>107</v>
      </c>
      <c r="D80" s="164" t="s">
        <v>4</v>
      </c>
      <c r="E80" s="166" t="s">
        <v>108</v>
      </c>
      <c r="F80" s="166" t="s">
        <v>109</v>
      </c>
      <c r="G80" s="164" t="s">
        <v>1314</v>
      </c>
      <c r="H80" s="164" t="s">
        <v>1313</v>
      </c>
      <c r="I80" s="165" t="s">
        <v>1312</v>
      </c>
      <c r="J80" s="163" t="s">
        <v>1311</v>
      </c>
      <c r="K80" s="163" t="s">
        <v>110</v>
      </c>
      <c r="L80" s="163" t="s">
        <v>1310</v>
      </c>
      <c r="M80" s="164" t="s">
        <v>111</v>
      </c>
      <c r="N80" s="163" t="s">
        <v>949</v>
      </c>
      <c r="O80" s="163" t="s">
        <v>948</v>
      </c>
      <c r="P80" s="163" t="s">
        <v>129</v>
      </c>
    </row>
    <row r="81" spans="1:17">
      <c r="A81" s="24">
        <v>330</v>
      </c>
      <c r="B81" s="329" t="s">
        <v>2048</v>
      </c>
      <c r="C81" s="1" t="s">
        <v>2047</v>
      </c>
      <c r="D81" s="1" t="s">
        <v>2046</v>
      </c>
      <c r="E81" s="3">
        <v>7.19</v>
      </c>
      <c r="F81" s="3">
        <v>7.1899999776000003</v>
      </c>
      <c r="G81" s="332">
        <v>42725</v>
      </c>
      <c r="H81" s="24" t="s">
        <v>204</v>
      </c>
      <c r="I81" s="130">
        <v>18.12</v>
      </c>
      <c r="J81" s="3">
        <v>18.88</v>
      </c>
      <c r="K81" s="160">
        <v>18.27</v>
      </c>
      <c r="L81" s="271">
        <v>1.0419426048565121</v>
      </c>
      <c r="M81" s="270">
        <v>5</v>
      </c>
      <c r="N81" s="2">
        <v>42759</v>
      </c>
      <c r="O81" s="24">
        <v>16.88</v>
      </c>
      <c r="P81" s="157">
        <v>0.89925847457627117</v>
      </c>
    </row>
    <row r="82" spans="1:17">
      <c r="C82" s="16" t="s">
        <v>112</v>
      </c>
      <c r="D82" s="16" t="s">
        <v>113</v>
      </c>
      <c r="E82" s="16" t="s">
        <v>1305</v>
      </c>
      <c r="F82" s="17" t="s">
        <v>1304</v>
      </c>
      <c r="G82" s="16" t="s">
        <v>1303</v>
      </c>
      <c r="I82" s="196" t="s">
        <v>118</v>
      </c>
      <c r="J82" s="196" t="s">
        <v>1583</v>
      </c>
      <c r="K82" s="225" t="s">
        <v>488</v>
      </c>
      <c r="L82" s="225" t="s">
        <v>401</v>
      </c>
      <c r="M82" s="25"/>
      <c r="N82" s="196" t="s">
        <v>118</v>
      </c>
      <c r="O82" s="156"/>
      <c r="P82" s="156"/>
      <c r="Q82" s="85" t="s">
        <v>160</v>
      </c>
    </row>
    <row r="83" spans="1:17">
      <c r="C83" s="11" t="str">
        <f t="shared" ref="C83:C103" si="13">IF(J84=0,"",J84)</f>
        <v>财通基金管理有限公司</v>
      </c>
      <c r="D83" s="11">
        <f t="shared" ref="D83:D101" si="14">K84</f>
        <v>19.899999999999999</v>
      </c>
      <c r="E83" s="11">
        <f t="shared" ref="E83:E101" si="15">L84/10000</f>
        <v>1.67</v>
      </c>
      <c r="F83" s="10">
        <f t="shared" ref="F83:F101" si="16">IFERROR(VLOOKUP(C83,O$84:Q$92,3,FALSE)/10000,"")</f>
        <v>1324.1524999999999</v>
      </c>
      <c r="G83" s="10">
        <f t="shared" ref="G83:G101" si="17">IFERROR(F83*J$81/10000,"")</f>
        <v>2.49999992</v>
      </c>
      <c r="I83" s="196"/>
      <c r="J83" s="196"/>
      <c r="K83" s="225" t="s">
        <v>2045</v>
      </c>
      <c r="L83" s="225" t="s">
        <v>1333</v>
      </c>
      <c r="M83" s="25"/>
      <c r="N83" s="196"/>
      <c r="O83" s="85" t="s">
        <v>1583</v>
      </c>
      <c r="P83" s="225" t="s">
        <v>1346</v>
      </c>
      <c r="Q83" s="85" t="s">
        <v>1317</v>
      </c>
    </row>
    <row r="84" spans="1:17">
      <c r="C84" s="11" t="str">
        <f t="shared" si="13"/>
        <v/>
      </c>
      <c r="D84" s="11">
        <f t="shared" si="14"/>
        <v>19.05</v>
      </c>
      <c r="E84" s="11">
        <f t="shared" si="15"/>
        <v>2.5</v>
      </c>
      <c r="F84" s="10" t="str">
        <f t="shared" si="16"/>
        <v/>
      </c>
      <c r="G84" s="10" t="str">
        <f t="shared" si="17"/>
        <v/>
      </c>
      <c r="I84" s="371">
        <v>1</v>
      </c>
      <c r="J84" s="203" t="s">
        <v>115</v>
      </c>
      <c r="K84" s="370">
        <v>19.899999999999999</v>
      </c>
      <c r="L84" s="374">
        <v>16700</v>
      </c>
      <c r="M84" s="25"/>
      <c r="N84" s="370">
        <v>1</v>
      </c>
      <c r="O84" s="203" t="s">
        <v>115</v>
      </c>
      <c r="P84" s="369">
        <v>249999992</v>
      </c>
      <c r="Q84" s="374">
        <v>13241525</v>
      </c>
    </row>
    <row r="85" spans="1:17">
      <c r="C85" s="11" t="str">
        <f t="shared" si="13"/>
        <v/>
      </c>
      <c r="D85" s="11">
        <f t="shared" si="14"/>
        <v>18.3</v>
      </c>
      <c r="E85" s="11">
        <f t="shared" si="15"/>
        <v>2.65</v>
      </c>
      <c r="F85" s="10" t="str">
        <f t="shared" si="16"/>
        <v/>
      </c>
      <c r="G85" s="10" t="str">
        <f t="shared" si="17"/>
        <v/>
      </c>
      <c r="I85" s="25"/>
      <c r="J85" s="25"/>
      <c r="K85" s="370">
        <v>19.05</v>
      </c>
      <c r="L85" s="374">
        <v>25000</v>
      </c>
      <c r="M85" s="25"/>
      <c r="N85" s="370">
        <v>2</v>
      </c>
      <c r="O85" s="203" t="s">
        <v>2044</v>
      </c>
      <c r="P85" s="369">
        <v>149999995.19999999</v>
      </c>
      <c r="Q85" s="374">
        <v>7944915</v>
      </c>
    </row>
    <row r="86" spans="1:17">
      <c r="C86" s="11" t="str">
        <f t="shared" si="13"/>
        <v>兴业财富资产管理有限公司</v>
      </c>
      <c r="D86" s="11">
        <f t="shared" si="14"/>
        <v>19.2</v>
      </c>
      <c r="E86" s="11">
        <f t="shared" si="15"/>
        <v>1.5</v>
      </c>
      <c r="F86" s="10">
        <f t="shared" si="16"/>
        <v>794.49149999999997</v>
      </c>
      <c r="G86" s="10">
        <f t="shared" si="17"/>
        <v>1.499999952</v>
      </c>
      <c r="I86" s="64"/>
      <c r="J86" s="64"/>
      <c r="K86" s="370">
        <v>18.3</v>
      </c>
      <c r="L86" s="374">
        <v>26500</v>
      </c>
      <c r="M86" s="25"/>
      <c r="N86" s="227"/>
      <c r="O86" s="203"/>
      <c r="P86" s="227"/>
      <c r="Q86" s="227"/>
    </row>
    <row r="87" spans="1:17">
      <c r="C87" s="11" t="str">
        <f t="shared" si="13"/>
        <v/>
      </c>
      <c r="D87" s="11">
        <f t="shared" si="14"/>
        <v>18.600000000000001</v>
      </c>
      <c r="E87" s="11">
        <f t="shared" si="15"/>
        <v>1.5</v>
      </c>
      <c r="F87" s="10" t="str">
        <f t="shared" si="16"/>
        <v/>
      </c>
      <c r="G87" s="10" t="str">
        <f t="shared" si="17"/>
        <v/>
      </c>
      <c r="I87" s="371">
        <v>2</v>
      </c>
      <c r="J87" s="203" t="s">
        <v>352</v>
      </c>
      <c r="K87" s="370">
        <v>19.2</v>
      </c>
      <c r="L87" s="374">
        <v>15000</v>
      </c>
      <c r="M87" s="25"/>
      <c r="N87" s="324"/>
      <c r="O87" s="25"/>
      <c r="P87" s="324"/>
      <c r="Q87" s="324"/>
    </row>
    <row r="88" spans="1:17">
      <c r="C88" s="11" t="str">
        <f t="shared" si="13"/>
        <v/>
      </c>
      <c r="D88" s="11">
        <f t="shared" si="14"/>
        <v>18.37</v>
      </c>
      <c r="E88" s="11">
        <f t="shared" si="15"/>
        <v>1.5</v>
      </c>
      <c r="F88" s="10" t="str">
        <f t="shared" si="16"/>
        <v/>
      </c>
      <c r="G88" s="10" t="str">
        <f t="shared" si="17"/>
        <v/>
      </c>
      <c r="I88" s="25"/>
      <c r="J88" s="25"/>
      <c r="K88" s="370">
        <v>18.600000000000001</v>
      </c>
      <c r="L88" s="374">
        <v>15000</v>
      </c>
      <c r="M88" s="25"/>
      <c r="N88" s="370">
        <v>3</v>
      </c>
      <c r="O88" s="203" t="s">
        <v>1347</v>
      </c>
      <c r="P88" s="369">
        <v>149999995.19999999</v>
      </c>
      <c r="Q88" s="374">
        <v>7944915</v>
      </c>
    </row>
    <row r="89" spans="1:17">
      <c r="C89" s="11" t="str">
        <f t="shared" si="13"/>
        <v>渤海汇金证券资产管理有限公司</v>
      </c>
      <c r="D89" s="11">
        <f t="shared" si="14"/>
        <v>19</v>
      </c>
      <c r="E89" s="11">
        <f t="shared" si="15"/>
        <v>1.5</v>
      </c>
      <c r="F89" s="10">
        <f t="shared" si="16"/>
        <v>794.49149999999997</v>
      </c>
      <c r="G89" s="10">
        <f t="shared" si="17"/>
        <v>1.499999952</v>
      </c>
      <c r="I89" s="64"/>
      <c r="J89" s="64"/>
      <c r="K89" s="370">
        <v>18.37</v>
      </c>
      <c r="L89" s="374">
        <v>15000</v>
      </c>
      <c r="M89" s="25"/>
      <c r="N89" s="149"/>
      <c r="O89" s="25"/>
      <c r="P89" s="149"/>
      <c r="Q89" s="149"/>
    </row>
    <row r="90" spans="1:17">
      <c r="C90" s="11" t="str">
        <f t="shared" si="13"/>
        <v/>
      </c>
      <c r="D90" s="11">
        <f t="shared" si="14"/>
        <v>18.53</v>
      </c>
      <c r="E90" s="11">
        <f t="shared" si="15"/>
        <v>1.6</v>
      </c>
      <c r="F90" s="10" t="str">
        <f t="shared" si="16"/>
        <v/>
      </c>
      <c r="G90" s="10" t="str">
        <f t="shared" si="17"/>
        <v/>
      </c>
      <c r="I90" s="371">
        <v>3</v>
      </c>
      <c r="J90" s="203" t="s">
        <v>1345</v>
      </c>
      <c r="K90" s="370">
        <v>19</v>
      </c>
      <c r="L90" s="374">
        <v>15000</v>
      </c>
      <c r="M90" s="25"/>
      <c r="N90" s="370">
        <v>4</v>
      </c>
      <c r="O90" s="203" t="s">
        <v>2043</v>
      </c>
      <c r="P90" s="369">
        <v>149999995.19999999</v>
      </c>
      <c r="Q90" s="374">
        <v>7944915</v>
      </c>
    </row>
    <row r="91" spans="1:17">
      <c r="C91" s="11" t="str">
        <f t="shared" si="13"/>
        <v/>
      </c>
      <c r="D91" s="11">
        <f t="shared" si="14"/>
        <v>18.329999999999998</v>
      </c>
      <c r="E91" s="11">
        <f t="shared" si="15"/>
        <v>1.7</v>
      </c>
      <c r="F91" s="10" t="str">
        <f t="shared" si="16"/>
        <v/>
      </c>
      <c r="G91" s="10" t="str">
        <f t="shared" si="17"/>
        <v/>
      </c>
      <c r="I91" s="25"/>
      <c r="J91" s="25"/>
      <c r="K91" s="370">
        <v>18.53</v>
      </c>
      <c r="L91" s="374">
        <v>16000</v>
      </c>
      <c r="M91" s="25"/>
      <c r="N91" s="149"/>
      <c r="O91" s="25"/>
      <c r="P91" s="149"/>
      <c r="Q91" s="149"/>
    </row>
    <row r="92" spans="1:17">
      <c r="C92" s="11" t="str">
        <f t="shared" si="13"/>
        <v>新华基金管理股份有限公司</v>
      </c>
      <c r="D92" s="11">
        <f t="shared" si="14"/>
        <v>19</v>
      </c>
      <c r="E92" s="11">
        <f t="shared" si="15"/>
        <v>1.5</v>
      </c>
      <c r="F92" s="10">
        <f t="shared" si="16"/>
        <v>794.49149999999997</v>
      </c>
      <c r="G92" s="10">
        <f t="shared" si="17"/>
        <v>1.499999952</v>
      </c>
      <c r="I92" s="64"/>
      <c r="J92" s="64"/>
      <c r="K92" s="370">
        <v>18.329999999999998</v>
      </c>
      <c r="L92" s="374">
        <v>17000</v>
      </c>
      <c r="M92" s="25"/>
      <c r="N92" s="370">
        <v>5</v>
      </c>
      <c r="O92" s="203" t="s">
        <v>2042</v>
      </c>
      <c r="P92" s="369">
        <v>19000020.16</v>
      </c>
      <c r="Q92" s="374">
        <v>1006357</v>
      </c>
    </row>
    <row r="93" spans="1:17">
      <c r="C93" s="11" t="str">
        <f t="shared" si="13"/>
        <v>苏州市历史文化名城发展集团创业投资有限公司</v>
      </c>
      <c r="D93" s="11">
        <f t="shared" si="14"/>
        <v>18.88</v>
      </c>
      <c r="E93" s="11">
        <f t="shared" si="15"/>
        <v>1.5</v>
      </c>
      <c r="F93" s="10">
        <f t="shared" si="16"/>
        <v>100.6357</v>
      </c>
      <c r="G93" s="10">
        <f t="shared" si="17"/>
        <v>0.1900002016</v>
      </c>
      <c r="I93" s="371">
        <v>4</v>
      </c>
      <c r="J93" s="203" t="s">
        <v>564</v>
      </c>
      <c r="K93" s="370">
        <v>19</v>
      </c>
      <c r="L93" s="374">
        <v>15000</v>
      </c>
      <c r="M93" s="25"/>
      <c r="N93" s="25"/>
      <c r="O93" s="25"/>
      <c r="P93" s="25"/>
      <c r="Q93" s="25"/>
    </row>
    <row r="94" spans="1:17">
      <c r="C94" s="11" t="str">
        <f t="shared" si="13"/>
        <v/>
      </c>
      <c r="D94" s="11">
        <f t="shared" si="14"/>
        <v>18.78</v>
      </c>
      <c r="E94" s="11">
        <f t="shared" si="15"/>
        <v>1.5</v>
      </c>
      <c r="F94" s="10" t="str">
        <f t="shared" si="16"/>
        <v/>
      </c>
      <c r="G94" s="10" t="str">
        <f t="shared" si="17"/>
        <v/>
      </c>
      <c r="I94" s="371">
        <v>5</v>
      </c>
      <c r="J94" s="203" t="s">
        <v>2041</v>
      </c>
      <c r="K94" s="370">
        <v>18.88</v>
      </c>
      <c r="L94" s="374">
        <v>15000</v>
      </c>
      <c r="M94" s="25"/>
      <c r="N94" s="25"/>
      <c r="O94" s="25"/>
      <c r="P94" s="25"/>
      <c r="Q94" s="25"/>
    </row>
    <row r="95" spans="1:17">
      <c r="C95" s="11" t="str">
        <f t="shared" si="13"/>
        <v/>
      </c>
      <c r="D95" s="11">
        <f t="shared" si="14"/>
        <v>18.68</v>
      </c>
      <c r="E95" s="11">
        <f t="shared" si="15"/>
        <v>1.5</v>
      </c>
      <c r="F95" s="10" t="str">
        <f t="shared" si="16"/>
        <v/>
      </c>
      <c r="G95" s="10" t="str">
        <f t="shared" si="17"/>
        <v/>
      </c>
      <c r="I95" s="25"/>
      <c r="J95" s="25"/>
      <c r="K95" s="370">
        <v>18.78</v>
      </c>
      <c r="L95" s="374">
        <v>15000</v>
      </c>
      <c r="M95" s="25"/>
      <c r="N95" s="25"/>
      <c r="O95" s="25"/>
      <c r="P95" s="25"/>
      <c r="Q95" s="25"/>
    </row>
    <row r="96" spans="1:17">
      <c r="C96" s="11" t="str">
        <f t="shared" si="13"/>
        <v>中国银河证券股份有限公司</v>
      </c>
      <c r="D96" s="11">
        <f t="shared" si="14"/>
        <v>18.329999999999998</v>
      </c>
      <c r="E96" s="11">
        <f t="shared" si="15"/>
        <v>1.6</v>
      </c>
      <c r="F96" s="10" t="str">
        <f t="shared" si="16"/>
        <v/>
      </c>
      <c r="G96" s="10" t="str">
        <f t="shared" si="17"/>
        <v/>
      </c>
      <c r="I96" s="64"/>
      <c r="J96" s="64"/>
      <c r="K96" s="370">
        <v>18.68</v>
      </c>
      <c r="L96" s="374">
        <v>15000</v>
      </c>
      <c r="M96" s="25"/>
      <c r="N96" s="25"/>
      <c r="O96" s="25"/>
      <c r="P96" s="25"/>
      <c r="Q96" s="25"/>
    </row>
    <row r="97" spans="1:20">
      <c r="C97" s="11" t="str">
        <f t="shared" si="13"/>
        <v>汇添富基金管理有限公司</v>
      </c>
      <c r="D97" s="11">
        <f t="shared" si="14"/>
        <v>18.3</v>
      </c>
      <c r="E97" s="11">
        <f t="shared" si="15"/>
        <v>1.51</v>
      </c>
      <c r="F97" s="10" t="str">
        <f t="shared" si="16"/>
        <v/>
      </c>
      <c r="G97" s="10" t="str">
        <f t="shared" si="17"/>
        <v/>
      </c>
      <c r="I97" s="371">
        <v>6</v>
      </c>
      <c r="J97" s="203" t="s">
        <v>13</v>
      </c>
      <c r="K97" s="370">
        <v>18.329999999999998</v>
      </c>
      <c r="L97" s="374">
        <v>16000</v>
      </c>
      <c r="M97" s="25"/>
      <c r="N97" s="25"/>
      <c r="O97" s="25"/>
      <c r="P97" s="25"/>
      <c r="Q97" s="25"/>
    </row>
    <row r="98" spans="1:20">
      <c r="C98" s="11" t="str">
        <f t="shared" si="13"/>
        <v>金石期货有限公司</v>
      </c>
      <c r="D98" s="11">
        <f t="shared" si="14"/>
        <v>18.48</v>
      </c>
      <c r="E98" s="11">
        <f t="shared" si="15"/>
        <v>1.51</v>
      </c>
      <c r="F98" s="10" t="str">
        <f t="shared" si="16"/>
        <v/>
      </c>
      <c r="G98" s="10" t="str">
        <f t="shared" si="17"/>
        <v/>
      </c>
      <c r="I98" s="371">
        <v>7</v>
      </c>
      <c r="J98" s="203" t="s">
        <v>2040</v>
      </c>
      <c r="K98" s="370">
        <v>18.3</v>
      </c>
      <c r="L98" s="374">
        <v>15100</v>
      </c>
      <c r="M98" s="25"/>
      <c r="N98" s="25"/>
      <c r="O98" s="25"/>
      <c r="P98" s="25"/>
      <c r="Q98" s="25"/>
    </row>
    <row r="99" spans="1:20">
      <c r="C99" s="11" t="str">
        <f t="shared" si="13"/>
        <v>中信证券股份有限公司</v>
      </c>
      <c r="D99" s="11">
        <f t="shared" si="14"/>
        <v>18.28</v>
      </c>
      <c r="E99" s="11">
        <f t="shared" si="15"/>
        <v>1.5</v>
      </c>
      <c r="F99" s="10" t="str">
        <f t="shared" si="16"/>
        <v/>
      </c>
      <c r="G99" s="10" t="str">
        <f t="shared" si="17"/>
        <v/>
      </c>
      <c r="I99" s="371">
        <v>8</v>
      </c>
      <c r="J99" s="203" t="s">
        <v>1983</v>
      </c>
      <c r="K99" s="370">
        <v>18.48</v>
      </c>
      <c r="L99" s="374">
        <v>15100</v>
      </c>
      <c r="M99" s="25"/>
      <c r="N99" s="25"/>
      <c r="O99" s="25"/>
      <c r="P99" s="25"/>
      <c r="Q99" s="25"/>
    </row>
    <row r="100" spans="1:20">
      <c r="C100" s="11" t="str">
        <f t="shared" si="13"/>
        <v>招商财富资产管理有限公司</v>
      </c>
      <c r="D100" s="11">
        <f t="shared" si="14"/>
        <v>18.649999999999999</v>
      </c>
      <c r="E100" s="11">
        <f t="shared" si="15"/>
        <v>1.53</v>
      </c>
      <c r="F100" s="10" t="str">
        <f t="shared" si="16"/>
        <v/>
      </c>
      <c r="G100" s="10" t="str">
        <f t="shared" si="17"/>
        <v/>
      </c>
      <c r="I100" s="371">
        <v>9</v>
      </c>
      <c r="J100" s="203" t="s">
        <v>316</v>
      </c>
      <c r="K100" s="370">
        <v>18.28</v>
      </c>
      <c r="L100" s="374">
        <v>15000</v>
      </c>
      <c r="M100" s="25"/>
      <c r="N100" s="25"/>
      <c r="O100" s="25"/>
      <c r="P100" s="25"/>
      <c r="Q100" s="25"/>
    </row>
    <row r="101" spans="1:20">
      <c r="C101" s="11" t="str">
        <f t="shared" si="13"/>
        <v/>
      </c>
      <c r="D101" s="11">
        <f t="shared" si="14"/>
        <v>18.27</v>
      </c>
      <c r="E101" s="11">
        <f t="shared" si="15"/>
        <v>1.53</v>
      </c>
      <c r="F101" s="10" t="str">
        <f t="shared" si="16"/>
        <v/>
      </c>
      <c r="G101" s="10" t="str">
        <f t="shared" si="17"/>
        <v/>
      </c>
      <c r="I101" s="428">
        <v>10</v>
      </c>
      <c r="J101" s="203" t="s">
        <v>142</v>
      </c>
      <c r="K101" s="370">
        <v>18.649999999999999</v>
      </c>
      <c r="L101" s="374">
        <v>15300</v>
      </c>
      <c r="M101" s="25"/>
      <c r="N101" s="25"/>
      <c r="O101" s="25"/>
      <c r="P101" s="25"/>
      <c r="Q101" s="25"/>
    </row>
    <row r="102" spans="1:20">
      <c r="C102" s="24" t="str">
        <f t="shared" si="13"/>
        <v/>
      </c>
      <c r="I102" s="25"/>
      <c r="J102" s="25"/>
      <c r="K102" s="370">
        <v>18.27</v>
      </c>
      <c r="L102" s="374">
        <v>15300</v>
      </c>
      <c r="M102" s="25"/>
      <c r="N102" s="25"/>
      <c r="O102" s="25"/>
      <c r="P102" s="25"/>
      <c r="Q102" s="25"/>
    </row>
    <row r="103" spans="1:20">
      <c r="C103" s="24" t="str">
        <f t="shared" si="13"/>
        <v/>
      </c>
      <c r="I103" s="196" t="s">
        <v>1293</v>
      </c>
      <c r="J103" s="196"/>
      <c r="K103" s="196"/>
      <c r="L103" s="196"/>
      <c r="M103" s="25"/>
      <c r="N103" s="25"/>
      <c r="O103" s="25"/>
      <c r="P103" s="25"/>
      <c r="Q103" s="25"/>
    </row>
    <row r="105" spans="1:20" s="162" customFormat="1">
      <c r="A105" s="164" t="s">
        <v>1315</v>
      </c>
      <c r="B105" s="164"/>
      <c r="C105" s="164" t="s">
        <v>107</v>
      </c>
      <c r="D105" s="164" t="s">
        <v>4</v>
      </c>
      <c r="E105" s="166" t="s">
        <v>108</v>
      </c>
      <c r="F105" s="166" t="s">
        <v>109</v>
      </c>
      <c r="G105" s="164" t="s">
        <v>1314</v>
      </c>
      <c r="H105" s="164" t="s">
        <v>1313</v>
      </c>
      <c r="I105" s="165" t="s">
        <v>1312</v>
      </c>
      <c r="J105" s="163" t="s">
        <v>1311</v>
      </c>
      <c r="K105" s="163" t="s">
        <v>110</v>
      </c>
      <c r="L105" s="163" t="s">
        <v>1310</v>
      </c>
      <c r="M105" s="164" t="s">
        <v>111</v>
      </c>
      <c r="N105" s="163" t="s">
        <v>949</v>
      </c>
      <c r="O105" s="163" t="s">
        <v>948</v>
      </c>
      <c r="P105" s="163" t="s">
        <v>129</v>
      </c>
    </row>
    <row r="106" spans="1:20">
      <c r="A106" s="24">
        <v>331</v>
      </c>
      <c r="B106" s="329" t="s">
        <v>2039</v>
      </c>
      <c r="C106" s="1" t="s">
        <v>2038</v>
      </c>
      <c r="D106" s="1" t="s">
        <v>2037</v>
      </c>
      <c r="E106" s="3">
        <v>1.25</v>
      </c>
      <c r="F106" s="3">
        <v>1.2499999475000001</v>
      </c>
      <c r="G106" s="332">
        <v>42727</v>
      </c>
      <c r="H106" s="24" t="s">
        <v>151</v>
      </c>
      <c r="I106" s="130">
        <v>26.75</v>
      </c>
      <c r="J106" s="3">
        <v>26.75</v>
      </c>
      <c r="K106" s="160">
        <v>23.74</v>
      </c>
      <c r="L106" s="271">
        <v>1</v>
      </c>
      <c r="M106" s="270">
        <v>3</v>
      </c>
      <c r="N106" s="2">
        <v>42760</v>
      </c>
      <c r="O106" s="24">
        <v>23.26</v>
      </c>
      <c r="P106" s="157">
        <v>0.8702803738317757</v>
      </c>
    </row>
    <row r="107" spans="1:20">
      <c r="C107" s="16" t="s">
        <v>112</v>
      </c>
      <c r="D107" s="16" t="s">
        <v>113</v>
      </c>
      <c r="E107" s="16" t="s">
        <v>1305</v>
      </c>
      <c r="F107" s="17" t="s">
        <v>1304</v>
      </c>
      <c r="G107" s="16" t="s">
        <v>1303</v>
      </c>
      <c r="I107" s="213" t="s">
        <v>2036</v>
      </c>
      <c r="J107" s="213" t="s">
        <v>347</v>
      </c>
      <c r="K107" s="209" t="s">
        <v>488</v>
      </c>
      <c r="L107" s="213" t="s">
        <v>475</v>
      </c>
      <c r="M107" s="213" t="s">
        <v>2035</v>
      </c>
      <c r="N107" s="25"/>
      <c r="O107" s="213" t="s">
        <v>118</v>
      </c>
      <c r="P107" s="213" t="s">
        <v>7</v>
      </c>
      <c r="Q107" s="212" t="s">
        <v>2034</v>
      </c>
      <c r="R107" s="224" t="s">
        <v>1903</v>
      </c>
      <c r="S107" s="213" t="s">
        <v>1298</v>
      </c>
      <c r="T107" s="213" t="s">
        <v>1335</v>
      </c>
    </row>
    <row r="108" spans="1:20">
      <c r="C108" s="11" t="str">
        <f t="shared" ref="C108:C125" si="18">IF(J109=0,"",J109)</f>
        <v>首誉光控资产管理有限公司</v>
      </c>
      <c r="D108" s="11">
        <f t="shared" ref="D108:D125" si="19">K109</f>
        <v>29.02</v>
      </c>
      <c r="E108" s="11">
        <f t="shared" ref="E108:E125" si="20">L109/100000000</f>
        <v>0.36</v>
      </c>
      <c r="F108" s="10">
        <f t="shared" ref="F108:F126" si="21">IFERROR(VLOOKUP(C108,P$109:S$113,3,FALSE)/10000,"")</f>
        <v>134.57939999999999</v>
      </c>
      <c r="G108" s="10">
        <f t="shared" ref="G108:G113" si="22">IFERROR(F108*J$106/10000,"")</f>
        <v>0.35999989499999996</v>
      </c>
      <c r="I108" s="213"/>
      <c r="J108" s="213"/>
      <c r="K108" s="209" t="s">
        <v>1316</v>
      </c>
      <c r="L108" s="213"/>
      <c r="M108" s="213"/>
      <c r="N108" s="25"/>
      <c r="O108" s="213"/>
      <c r="P108" s="213"/>
      <c r="Q108" s="212" t="s">
        <v>2033</v>
      </c>
      <c r="R108" s="224" t="s">
        <v>1317</v>
      </c>
      <c r="S108" s="213"/>
      <c r="T108" s="213"/>
    </row>
    <row r="109" spans="1:20" ht="17">
      <c r="C109" s="11" t="str">
        <f t="shared" si="18"/>
        <v/>
      </c>
      <c r="D109" s="11">
        <f t="shared" si="19"/>
        <v>28.09</v>
      </c>
      <c r="E109" s="11">
        <f t="shared" si="20"/>
        <v>0.36</v>
      </c>
      <c r="F109" s="10" t="str">
        <f t="shared" si="21"/>
        <v/>
      </c>
      <c r="G109" s="10" t="str">
        <f t="shared" si="22"/>
        <v/>
      </c>
      <c r="I109" s="445">
        <v>1</v>
      </c>
      <c r="J109" s="183" t="s">
        <v>1203</v>
      </c>
      <c r="K109" s="444">
        <v>29.02</v>
      </c>
      <c r="L109" s="443">
        <v>36000000</v>
      </c>
      <c r="M109" s="221"/>
      <c r="N109" s="25"/>
      <c r="O109" s="452">
        <v>1</v>
      </c>
      <c r="P109" s="183" t="s">
        <v>2032</v>
      </c>
      <c r="Q109" s="218"/>
      <c r="R109" s="451">
        <v>1345794</v>
      </c>
      <c r="S109" s="450">
        <v>35999989.5</v>
      </c>
      <c r="T109" s="218"/>
    </row>
    <row r="110" spans="1:20">
      <c r="C110" s="11" t="str">
        <f t="shared" si="18"/>
        <v/>
      </c>
      <c r="D110" s="11">
        <f t="shared" si="19"/>
        <v>27.02</v>
      </c>
      <c r="E110" s="11">
        <f t="shared" si="20"/>
        <v>0.36</v>
      </c>
      <c r="F110" s="10" t="str">
        <f t="shared" si="21"/>
        <v/>
      </c>
      <c r="G110" s="10" t="str">
        <f t="shared" si="22"/>
        <v/>
      </c>
      <c r="I110" s="25"/>
      <c r="J110" s="25"/>
      <c r="K110" s="444">
        <v>28.09</v>
      </c>
      <c r="L110" s="443">
        <v>36000000</v>
      </c>
      <c r="M110" s="214" t="s">
        <v>378</v>
      </c>
      <c r="N110" s="25"/>
      <c r="O110" s="452"/>
      <c r="P110" s="183"/>
      <c r="Q110" s="214" t="s">
        <v>1917</v>
      </c>
      <c r="R110" s="451"/>
      <c r="S110" s="450"/>
      <c r="T110" s="214" t="s">
        <v>1160</v>
      </c>
    </row>
    <row r="111" spans="1:20">
      <c r="C111" s="11" t="str">
        <f t="shared" si="18"/>
        <v>上海云毅衷投资管理中心（有限合伙）</v>
      </c>
      <c r="D111" s="11">
        <f t="shared" si="19"/>
        <v>27.88</v>
      </c>
      <c r="E111" s="11">
        <f t="shared" si="20"/>
        <v>0.28000000000000003</v>
      </c>
      <c r="F111" s="10">
        <f t="shared" si="21"/>
        <v>104.6728</v>
      </c>
      <c r="G111" s="10">
        <f t="shared" si="22"/>
        <v>0.27999974</v>
      </c>
      <c r="I111" s="64"/>
      <c r="J111" s="64"/>
      <c r="K111" s="444">
        <v>27.02</v>
      </c>
      <c r="L111" s="443">
        <v>36000000</v>
      </c>
      <c r="M111" s="64"/>
      <c r="N111" s="25"/>
      <c r="O111" s="452">
        <v>2</v>
      </c>
      <c r="P111" s="183" t="s">
        <v>2031</v>
      </c>
      <c r="Q111" s="218"/>
      <c r="R111" s="451">
        <v>1046728</v>
      </c>
      <c r="S111" s="450">
        <v>27999974</v>
      </c>
      <c r="T111" s="218"/>
    </row>
    <row r="112" spans="1:20">
      <c r="C112" s="11" t="str">
        <f t="shared" si="18"/>
        <v/>
      </c>
      <c r="D112" s="11">
        <f t="shared" si="19"/>
        <v>26.99</v>
      </c>
      <c r="E112" s="11">
        <f t="shared" si="20"/>
        <v>0.28000000000000003</v>
      </c>
      <c r="F112" s="10" t="str">
        <f t="shared" si="21"/>
        <v/>
      </c>
      <c r="G112" s="10" t="str">
        <f t="shared" si="22"/>
        <v/>
      </c>
      <c r="I112" s="445">
        <v>2</v>
      </c>
      <c r="J112" s="183" t="s">
        <v>2030</v>
      </c>
      <c r="K112" s="444">
        <v>27.88</v>
      </c>
      <c r="L112" s="443">
        <v>28000000</v>
      </c>
      <c r="M112" s="218"/>
      <c r="N112" s="25"/>
      <c r="O112" s="452"/>
      <c r="P112" s="183"/>
      <c r="Q112" s="214" t="s">
        <v>1917</v>
      </c>
      <c r="R112" s="451"/>
      <c r="S112" s="450"/>
      <c r="T112" s="214" t="s">
        <v>1160</v>
      </c>
    </row>
    <row r="113" spans="3:20">
      <c r="C113" s="11" t="str">
        <f t="shared" si="18"/>
        <v>九泰基金管理有限公司</v>
      </c>
      <c r="D113" s="11">
        <f t="shared" si="19"/>
        <v>26.75</v>
      </c>
      <c r="E113" s="11">
        <f t="shared" si="20"/>
        <v>0.63500000000000001</v>
      </c>
      <c r="F113" s="10">
        <f t="shared" si="21"/>
        <v>228.03749999999999</v>
      </c>
      <c r="G113" s="10">
        <f t="shared" si="22"/>
        <v>0.61000031249999997</v>
      </c>
      <c r="I113" s="25"/>
      <c r="J113" s="25"/>
      <c r="K113" s="444">
        <v>26.99</v>
      </c>
      <c r="L113" s="443">
        <v>28000000</v>
      </c>
      <c r="M113" s="214" t="s">
        <v>378</v>
      </c>
      <c r="N113" s="25"/>
      <c r="O113" s="445">
        <v>3</v>
      </c>
      <c r="P113" s="183" t="s">
        <v>666</v>
      </c>
      <c r="Q113" s="214" t="s">
        <v>1556</v>
      </c>
      <c r="R113" s="449">
        <v>2280375</v>
      </c>
      <c r="S113" s="443">
        <v>61000031.25</v>
      </c>
      <c r="T113" s="214" t="s">
        <v>1160</v>
      </c>
    </row>
    <row r="114" spans="3:20" ht="17">
      <c r="C114" s="11" t="str">
        <f t="shared" si="18"/>
        <v/>
      </c>
      <c r="D114" s="11">
        <f t="shared" si="19"/>
        <v>24.31</v>
      </c>
      <c r="E114" s="11">
        <f t="shared" si="20"/>
        <v>0.73350000000000004</v>
      </c>
      <c r="F114" s="10" t="str">
        <f t="shared" si="21"/>
        <v/>
      </c>
      <c r="G114" s="11"/>
      <c r="I114" s="445">
        <v>3</v>
      </c>
      <c r="J114" s="183" t="s">
        <v>666</v>
      </c>
      <c r="K114" s="444">
        <v>26.75</v>
      </c>
      <c r="L114" s="443">
        <v>63500000</v>
      </c>
      <c r="M114" s="221"/>
      <c r="N114" s="25"/>
      <c r="O114" s="213" t="s">
        <v>1293</v>
      </c>
      <c r="P114" s="213"/>
      <c r="Q114" s="213"/>
      <c r="R114" s="448">
        <v>4672897</v>
      </c>
      <c r="S114" s="447">
        <v>124999994.75</v>
      </c>
      <c r="T114" s="446" t="s">
        <v>294</v>
      </c>
    </row>
    <row r="115" spans="3:20">
      <c r="C115" s="11" t="str">
        <f t="shared" si="18"/>
        <v/>
      </c>
      <c r="D115" s="11">
        <f t="shared" si="19"/>
        <v>23.81</v>
      </c>
      <c r="E115" s="11">
        <f t="shared" si="20"/>
        <v>0.83840000000000003</v>
      </c>
      <c r="F115" s="10" t="str">
        <f t="shared" si="21"/>
        <v/>
      </c>
      <c r="G115" s="11"/>
      <c r="I115" s="25"/>
      <c r="J115" s="25"/>
      <c r="K115" s="444">
        <v>24.31</v>
      </c>
      <c r="L115" s="443">
        <v>73350000</v>
      </c>
      <c r="M115" s="214" t="s">
        <v>378</v>
      </c>
      <c r="N115" s="25"/>
    </row>
    <row r="116" spans="3:20">
      <c r="C116" s="11" t="str">
        <f t="shared" si="18"/>
        <v>财通基金管理有限公司</v>
      </c>
      <c r="D116" s="11">
        <f t="shared" si="19"/>
        <v>26.75</v>
      </c>
      <c r="E116" s="11">
        <f t="shared" si="20"/>
        <v>0.627</v>
      </c>
      <c r="F116" s="10" t="str">
        <f t="shared" si="21"/>
        <v/>
      </c>
      <c r="G116" s="11"/>
      <c r="I116" s="64"/>
      <c r="J116" s="64"/>
      <c r="K116" s="444">
        <v>23.81</v>
      </c>
      <c r="L116" s="443">
        <v>83840000</v>
      </c>
      <c r="M116" s="64"/>
      <c r="N116" s="25"/>
    </row>
    <row r="117" spans="3:20" ht="17">
      <c r="C117" s="11" t="str">
        <f t="shared" si="18"/>
        <v/>
      </c>
      <c r="D117" s="11">
        <f t="shared" si="19"/>
        <v>24.33</v>
      </c>
      <c r="E117" s="11">
        <f t="shared" si="20"/>
        <v>1.25</v>
      </c>
      <c r="F117" s="10" t="str">
        <f t="shared" si="21"/>
        <v/>
      </c>
      <c r="G117" s="11"/>
      <c r="I117" s="445">
        <v>4</v>
      </c>
      <c r="J117" s="183" t="s">
        <v>115</v>
      </c>
      <c r="K117" s="444">
        <v>26.75</v>
      </c>
      <c r="L117" s="443">
        <v>62700000</v>
      </c>
      <c r="M117" s="221"/>
      <c r="N117" s="25"/>
    </row>
    <row r="118" spans="3:20">
      <c r="C118" s="11" t="str">
        <f t="shared" si="18"/>
        <v/>
      </c>
      <c r="D118" s="11">
        <f t="shared" si="19"/>
        <v>23.74</v>
      </c>
      <c r="E118" s="11">
        <f t="shared" si="20"/>
        <v>1.25</v>
      </c>
      <c r="F118" s="10" t="str">
        <f t="shared" si="21"/>
        <v/>
      </c>
      <c r="G118" s="11"/>
      <c r="I118" s="25"/>
      <c r="J118" s="25"/>
      <c r="K118" s="444">
        <v>24.33</v>
      </c>
      <c r="L118" s="443">
        <v>125000000</v>
      </c>
      <c r="M118" s="214" t="s">
        <v>378</v>
      </c>
      <c r="N118" s="25"/>
    </row>
    <row r="119" spans="3:20">
      <c r="C119" s="11" t="str">
        <f t="shared" si="18"/>
        <v>广州市玄元投资管理有限公司</v>
      </c>
      <c r="D119" s="11">
        <f t="shared" si="19"/>
        <v>26.71</v>
      </c>
      <c r="E119" s="11">
        <f t="shared" si="20"/>
        <v>0.25</v>
      </c>
      <c r="F119" s="10" t="str">
        <f t="shared" si="21"/>
        <v/>
      </c>
      <c r="G119" s="11"/>
      <c r="I119" s="64"/>
      <c r="J119" s="64"/>
      <c r="K119" s="444">
        <v>23.74</v>
      </c>
      <c r="L119" s="443">
        <v>125000000</v>
      </c>
      <c r="M119" s="64"/>
      <c r="N119" s="25"/>
    </row>
    <row r="120" spans="3:20">
      <c r="C120" s="11" t="str">
        <f t="shared" si="18"/>
        <v>建信基金管理有限责任公司</v>
      </c>
      <c r="D120" s="11">
        <f t="shared" si="19"/>
        <v>26.6</v>
      </c>
      <c r="E120" s="11">
        <f t="shared" si="20"/>
        <v>0.25</v>
      </c>
      <c r="F120" s="10" t="str">
        <f t="shared" si="21"/>
        <v/>
      </c>
      <c r="G120" s="11"/>
      <c r="I120" s="445">
        <v>5</v>
      </c>
      <c r="J120" s="183" t="s">
        <v>1099</v>
      </c>
      <c r="K120" s="444">
        <v>26.71</v>
      </c>
      <c r="L120" s="443">
        <v>25000000</v>
      </c>
      <c r="M120" s="214" t="s">
        <v>378</v>
      </c>
      <c r="N120" s="25"/>
    </row>
    <row r="121" spans="3:20">
      <c r="C121" s="11" t="str">
        <f t="shared" si="18"/>
        <v>银华基金管理股份有限公司</v>
      </c>
      <c r="D121" s="11">
        <f t="shared" si="19"/>
        <v>26.22</v>
      </c>
      <c r="E121" s="11">
        <f t="shared" si="20"/>
        <v>0.3</v>
      </c>
      <c r="F121" s="10" t="str">
        <f t="shared" si="21"/>
        <v/>
      </c>
      <c r="G121" s="11"/>
      <c r="I121" s="445">
        <v>6</v>
      </c>
      <c r="J121" s="183" t="s">
        <v>130</v>
      </c>
      <c r="K121" s="444">
        <v>26.6</v>
      </c>
      <c r="L121" s="443">
        <v>25000000</v>
      </c>
      <c r="M121" s="214" t="s">
        <v>378</v>
      </c>
      <c r="N121" s="25"/>
    </row>
    <row r="122" spans="3:20">
      <c r="C122" s="11" t="str">
        <f t="shared" si="18"/>
        <v/>
      </c>
      <c r="D122" s="11">
        <f t="shared" si="19"/>
        <v>25.42</v>
      </c>
      <c r="E122" s="11">
        <f t="shared" si="20"/>
        <v>0.5</v>
      </c>
      <c r="F122" s="10" t="str">
        <f t="shared" si="21"/>
        <v/>
      </c>
      <c r="G122" s="11"/>
      <c r="I122" s="445">
        <v>7</v>
      </c>
      <c r="J122" s="183" t="s">
        <v>982</v>
      </c>
      <c r="K122" s="444">
        <v>26.22</v>
      </c>
      <c r="L122" s="443">
        <v>30000000</v>
      </c>
      <c r="M122" s="218"/>
      <c r="N122" s="25"/>
    </row>
    <row r="123" spans="3:20">
      <c r="C123" s="11" t="str">
        <f t="shared" si="18"/>
        <v>大成基金管理有限公司</v>
      </c>
      <c r="D123" s="11">
        <f t="shared" si="19"/>
        <v>25.74</v>
      </c>
      <c r="E123" s="11">
        <f t="shared" si="20"/>
        <v>0.255</v>
      </c>
      <c r="F123" s="10" t="str">
        <f t="shared" si="21"/>
        <v/>
      </c>
      <c r="G123" s="11"/>
      <c r="I123" s="25"/>
      <c r="J123" s="25"/>
      <c r="K123" s="444">
        <v>25.42</v>
      </c>
      <c r="L123" s="443">
        <v>50000000</v>
      </c>
      <c r="M123" s="214" t="s">
        <v>378</v>
      </c>
      <c r="N123" s="25"/>
    </row>
    <row r="124" spans="3:20">
      <c r="C124" s="11" t="str">
        <f t="shared" si="18"/>
        <v>嘉实基金管理有限公司</v>
      </c>
      <c r="D124" s="11">
        <f t="shared" si="19"/>
        <v>25</v>
      </c>
      <c r="E124" s="11">
        <f t="shared" si="20"/>
        <v>0.25</v>
      </c>
      <c r="F124" s="10" t="str">
        <f t="shared" si="21"/>
        <v/>
      </c>
      <c r="G124" s="11"/>
      <c r="I124" s="445">
        <v>8</v>
      </c>
      <c r="J124" s="183" t="s">
        <v>1127</v>
      </c>
      <c r="K124" s="444">
        <v>25.74</v>
      </c>
      <c r="L124" s="443">
        <v>25500000</v>
      </c>
      <c r="M124" s="214" t="s">
        <v>378</v>
      </c>
      <c r="N124" s="25"/>
    </row>
    <row r="125" spans="3:20">
      <c r="C125" s="11" t="str">
        <f t="shared" si="18"/>
        <v>泰达宏利基金管理有限公司</v>
      </c>
      <c r="D125" s="11">
        <f t="shared" si="19"/>
        <v>23.74</v>
      </c>
      <c r="E125" s="11">
        <f t="shared" si="20"/>
        <v>0.5</v>
      </c>
      <c r="F125" s="10" t="str">
        <f t="shared" si="21"/>
        <v/>
      </c>
      <c r="G125" s="11"/>
      <c r="I125" s="445">
        <v>9</v>
      </c>
      <c r="J125" s="183" t="s">
        <v>228</v>
      </c>
      <c r="K125" s="444">
        <v>25</v>
      </c>
      <c r="L125" s="443">
        <v>25000000</v>
      </c>
      <c r="M125" s="214" t="s">
        <v>378</v>
      </c>
      <c r="N125" s="25"/>
    </row>
    <row r="126" spans="3:20">
      <c r="F126" s="5" t="str">
        <f t="shared" si="21"/>
        <v/>
      </c>
      <c r="I126" s="445">
        <v>10</v>
      </c>
      <c r="J126" s="183" t="s">
        <v>148</v>
      </c>
      <c r="K126" s="444">
        <v>23.74</v>
      </c>
      <c r="L126" s="443">
        <v>50000000</v>
      </c>
      <c r="M126" s="214" t="s">
        <v>378</v>
      </c>
      <c r="N126" s="25"/>
    </row>
    <row r="129" spans="1:20" s="162" customFormat="1">
      <c r="A129" s="164" t="s">
        <v>1315</v>
      </c>
      <c r="B129" s="164"/>
      <c r="C129" s="164" t="s">
        <v>107</v>
      </c>
      <c r="D129" s="164" t="s">
        <v>4</v>
      </c>
      <c r="E129" s="166" t="s">
        <v>108</v>
      </c>
      <c r="F129" s="166" t="s">
        <v>109</v>
      </c>
      <c r="G129" s="164" t="s">
        <v>1314</v>
      </c>
      <c r="H129" s="164" t="s">
        <v>1313</v>
      </c>
      <c r="I129" s="165" t="s">
        <v>1312</v>
      </c>
      <c r="J129" s="163" t="s">
        <v>1311</v>
      </c>
      <c r="K129" s="163" t="s">
        <v>110</v>
      </c>
      <c r="L129" s="163" t="s">
        <v>1310</v>
      </c>
      <c r="M129" s="164" t="s">
        <v>111</v>
      </c>
      <c r="N129" s="163" t="s">
        <v>949</v>
      </c>
      <c r="O129" s="163" t="s">
        <v>948</v>
      </c>
      <c r="P129" s="163" t="s">
        <v>129</v>
      </c>
    </row>
    <row r="130" spans="1:20">
      <c r="A130" s="24">
        <v>332</v>
      </c>
      <c r="B130" s="329" t="s">
        <v>2029</v>
      </c>
      <c r="C130" s="1" t="s">
        <v>2028</v>
      </c>
      <c r="D130" s="1" t="s">
        <v>2027</v>
      </c>
      <c r="E130" s="3">
        <v>20.475926999999999</v>
      </c>
      <c r="F130" s="3">
        <v>20.475926898200001</v>
      </c>
      <c r="G130" s="2">
        <v>42727</v>
      </c>
      <c r="H130" s="24" t="s">
        <v>151</v>
      </c>
      <c r="I130" s="130">
        <v>14.74</v>
      </c>
      <c r="J130" s="3">
        <v>12.13</v>
      </c>
      <c r="K130" s="160">
        <v>10.18</v>
      </c>
      <c r="L130" s="271">
        <v>0.82293080054274093</v>
      </c>
      <c r="M130" s="270">
        <v>8</v>
      </c>
      <c r="N130" s="2">
        <v>43131</v>
      </c>
      <c r="O130" s="24">
        <v>8.07</v>
      </c>
      <c r="P130" s="157">
        <v>0.66529266281945587</v>
      </c>
    </row>
    <row r="131" spans="1:20">
      <c r="C131" s="16" t="s">
        <v>112</v>
      </c>
      <c r="D131" s="16" t="s">
        <v>113</v>
      </c>
      <c r="E131" s="16" t="s">
        <v>1305</v>
      </c>
      <c r="F131" s="17" t="s">
        <v>1304</v>
      </c>
      <c r="G131" s="16" t="s">
        <v>1303</v>
      </c>
      <c r="H131" s="16" t="s">
        <v>1747</v>
      </c>
      <c r="I131" s="196" t="s">
        <v>118</v>
      </c>
      <c r="J131" s="196" t="s">
        <v>296</v>
      </c>
      <c r="K131" s="196" t="s">
        <v>1350</v>
      </c>
      <c r="L131" s="225" t="s">
        <v>1542</v>
      </c>
      <c r="M131" s="196" t="s">
        <v>1348</v>
      </c>
      <c r="O131" s="85" t="s">
        <v>118</v>
      </c>
      <c r="P131" s="225" t="s">
        <v>296</v>
      </c>
      <c r="Q131" s="196" t="s">
        <v>323</v>
      </c>
      <c r="R131" s="225" t="s">
        <v>1346</v>
      </c>
      <c r="S131" s="196" t="s">
        <v>1335</v>
      </c>
      <c r="T131" s="25"/>
    </row>
    <row r="132" spans="1:20">
      <c r="C132" s="11" t="str">
        <f t="shared" ref="C132:C150" si="23">IF(J133=0,"",J133)</f>
        <v>上海大策创业投资合伙企业（有限合伙）</v>
      </c>
      <c r="D132" s="11">
        <f t="shared" ref="D132:D150" si="24">K133</f>
        <v>13.31</v>
      </c>
      <c r="E132" s="10">
        <f t="shared" ref="E132:E150" si="25">M133/10000</f>
        <v>2.59545</v>
      </c>
      <c r="F132" s="10">
        <f t="shared" ref="F132:F150" si="26">IFERROR(VLOOKUP(C132,P$132:R$140,2,FALSE)/10000,"")</f>
        <v>2139.8557000000001</v>
      </c>
      <c r="G132" s="10">
        <f t="shared" ref="G132:G150" si="27">IFERROR(F132*J$130/10000,"")</f>
        <v>2.5956449641000003</v>
      </c>
      <c r="H132" s="11">
        <f t="shared" ref="H132:H150" si="28">IFERROR(VLOOKUP(C132,P$132:S$140,4,FALSE),"")</f>
        <v>12</v>
      </c>
      <c r="I132" s="196"/>
      <c r="J132" s="196"/>
      <c r="K132" s="196"/>
      <c r="L132" s="225" t="s">
        <v>1812</v>
      </c>
      <c r="M132" s="196"/>
      <c r="O132" s="371">
        <v>1</v>
      </c>
      <c r="P132" s="192" t="s">
        <v>2026</v>
      </c>
      <c r="Q132" s="442">
        <v>8244023</v>
      </c>
      <c r="R132" s="369">
        <v>99999998.989999995</v>
      </c>
      <c r="S132" s="371">
        <v>36</v>
      </c>
      <c r="T132" s="25"/>
    </row>
    <row r="133" spans="1:20">
      <c r="C133" s="11" t="str">
        <f t="shared" si="23"/>
        <v/>
      </c>
      <c r="D133" s="11">
        <f t="shared" si="24"/>
        <v>13.05</v>
      </c>
      <c r="E133" s="10">
        <f t="shared" si="25"/>
        <v>2.5956450000000002</v>
      </c>
      <c r="F133" s="10" t="str">
        <f t="shared" si="26"/>
        <v/>
      </c>
      <c r="G133" s="10" t="str">
        <f t="shared" si="27"/>
        <v/>
      </c>
      <c r="H133" s="11" t="str">
        <f t="shared" si="28"/>
        <v/>
      </c>
      <c r="I133" s="371">
        <v>1</v>
      </c>
      <c r="J133" s="192" t="s">
        <v>2025</v>
      </c>
      <c r="K133" s="371">
        <v>13.31</v>
      </c>
      <c r="L133" s="374">
        <v>1950</v>
      </c>
      <c r="M133" s="426">
        <v>25954.5</v>
      </c>
      <c r="O133" s="371">
        <v>2</v>
      </c>
      <c r="P133" s="192" t="s">
        <v>2019</v>
      </c>
      <c r="Q133" s="442">
        <v>8244023</v>
      </c>
      <c r="R133" s="369">
        <v>99999998.989999995</v>
      </c>
      <c r="S133" s="371">
        <v>36</v>
      </c>
      <c r="T133" s="25"/>
    </row>
    <row r="134" spans="1:20">
      <c r="C134" s="11" t="str">
        <f t="shared" si="23"/>
        <v/>
      </c>
      <c r="D134" s="11">
        <f t="shared" si="24"/>
        <v>12.81</v>
      </c>
      <c r="E134" s="10">
        <f t="shared" si="25"/>
        <v>2.5953060000000003</v>
      </c>
      <c r="F134" s="10" t="str">
        <f t="shared" si="26"/>
        <v/>
      </c>
      <c r="G134" s="10" t="str">
        <f t="shared" si="27"/>
        <v/>
      </c>
      <c r="H134" s="11" t="str">
        <f t="shared" si="28"/>
        <v/>
      </c>
      <c r="I134" s="25"/>
      <c r="J134" s="25"/>
      <c r="K134" s="371">
        <v>13.05</v>
      </c>
      <c r="L134" s="374">
        <v>1989</v>
      </c>
      <c r="M134" s="426">
        <v>25956.45</v>
      </c>
      <c r="O134" s="427">
        <v>3</v>
      </c>
      <c r="P134" s="192" t="s">
        <v>2025</v>
      </c>
      <c r="Q134" s="440">
        <v>21398557</v>
      </c>
      <c r="R134" s="429">
        <v>259564496.41</v>
      </c>
      <c r="S134" s="427">
        <v>12</v>
      </c>
      <c r="T134" s="25"/>
    </row>
    <row r="135" spans="1:20">
      <c r="C135" s="11" t="str">
        <f t="shared" si="23"/>
        <v>嘉实基金</v>
      </c>
      <c r="D135" s="11">
        <f t="shared" si="24"/>
        <v>12</v>
      </c>
      <c r="E135" s="10">
        <f t="shared" si="25"/>
        <v>2.9159999999999999</v>
      </c>
      <c r="F135" s="10" t="str">
        <f t="shared" si="26"/>
        <v/>
      </c>
      <c r="G135" s="10" t="str">
        <f t="shared" si="27"/>
        <v/>
      </c>
      <c r="H135" s="11" t="str">
        <f t="shared" si="28"/>
        <v/>
      </c>
      <c r="I135" s="64"/>
      <c r="J135" s="192"/>
      <c r="K135" s="371">
        <v>12.81</v>
      </c>
      <c r="L135" s="374">
        <v>2026</v>
      </c>
      <c r="M135" s="426">
        <v>25953.06</v>
      </c>
      <c r="O135" s="427"/>
      <c r="P135" s="192"/>
      <c r="Q135" s="440"/>
      <c r="R135" s="429"/>
      <c r="S135" s="427"/>
      <c r="T135" s="25"/>
    </row>
    <row r="136" spans="1:20">
      <c r="C136" s="11" t="str">
        <f t="shared" si="23"/>
        <v/>
      </c>
      <c r="D136" s="11">
        <f t="shared" si="24"/>
        <v>11.2</v>
      </c>
      <c r="E136" s="10">
        <f t="shared" si="25"/>
        <v>2.5760000000000001</v>
      </c>
      <c r="F136" s="10" t="str">
        <f t="shared" si="26"/>
        <v/>
      </c>
      <c r="G136" s="10" t="str">
        <f t="shared" si="27"/>
        <v/>
      </c>
      <c r="H136" s="11" t="str">
        <f t="shared" si="28"/>
        <v/>
      </c>
      <c r="I136" s="371">
        <v>2</v>
      </c>
      <c r="J136" s="192" t="s">
        <v>2024</v>
      </c>
      <c r="K136" s="371">
        <v>12</v>
      </c>
      <c r="L136" s="374">
        <v>2430</v>
      </c>
      <c r="M136" s="426">
        <v>29160</v>
      </c>
      <c r="O136" s="371">
        <v>4</v>
      </c>
      <c r="P136" s="192" t="s">
        <v>173</v>
      </c>
      <c r="Q136" s="442">
        <v>19141887</v>
      </c>
      <c r="R136" s="369">
        <v>232191089.31</v>
      </c>
      <c r="S136" s="371">
        <v>12</v>
      </c>
      <c r="T136" s="25"/>
    </row>
    <row r="137" spans="1:20">
      <c r="C137" s="11" t="str">
        <f t="shared" si="23"/>
        <v>民生通惠资产管理有限公司</v>
      </c>
      <c r="D137" s="11">
        <f t="shared" si="24"/>
        <v>11.5</v>
      </c>
      <c r="E137" s="10">
        <f t="shared" si="25"/>
        <v>2.3115000000000001</v>
      </c>
      <c r="F137" s="10" t="str">
        <f t="shared" si="26"/>
        <v/>
      </c>
      <c r="G137" s="10" t="str">
        <f t="shared" si="27"/>
        <v/>
      </c>
      <c r="H137" s="11" t="str">
        <f t="shared" si="28"/>
        <v/>
      </c>
      <c r="I137" s="25"/>
      <c r="J137" s="25"/>
      <c r="K137" s="371">
        <v>11.2</v>
      </c>
      <c r="L137" s="374">
        <v>2300</v>
      </c>
      <c r="M137" s="426">
        <v>25760</v>
      </c>
      <c r="O137" s="371">
        <v>5</v>
      </c>
      <c r="P137" s="192" t="s">
        <v>666</v>
      </c>
      <c r="Q137" s="442">
        <v>19845655</v>
      </c>
      <c r="R137" s="369">
        <v>240727795.15000001</v>
      </c>
      <c r="S137" s="371">
        <v>12</v>
      </c>
      <c r="T137" s="25"/>
    </row>
    <row r="138" spans="1:20">
      <c r="C138" s="11" t="str">
        <f t="shared" si="23"/>
        <v>博时基金管理有限公司</v>
      </c>
      <c r="D138" s="11">
        <f t="shared" si="24"/>
        <v>12.41</v>
      </c>
      <c r="E138" s="10">
        <f t="shared" si="25"/>
        <v>2.3219110000000001</v>
      </c>
      <c r="F138" s="10">
        <f t="shared" si="26"/>
        <v>1914.1886999999999</v>
      </c>
      <c r="G138" s="10">
        <f t="shared" si="27"/>
        <v>2.3219108931000001</v>
      </c>
      <c r="H138" s="11">
        <f t="shared" si="28"/>
        <v>12</v>
      </c>
      <c r="I138" s="371">
        <v>3</v>
      </c>
      <c r="J138" s="192" t="s">
        <v>351</v>
      </c>
      <c r="K138" s="371">
        <v>11.5</v>
      </c>
      <c r="L138" s="374">
        <v>2010</v>
      </c>
      <c r="M138" s="426">
        <v>23115</v>
      </c>
      <c r="O138" s="371">
        <v>6</v>
      </c>
      <c r="P138" s="192" t="s">
        <v>336</v>
      </c>
      <c r="Q138" s="442">
        <v>25885045</v>
      </c>
      <c r="R138" s="369">
        <v>313985595.85000002</v>
      </c>
      <c r="S138" s="371">
        <v>12</v>
      </c>
      <c r="T138" s="25"/>
    </row>
    <row r="139" spans="1:20">
      <c r="C139" s="11" t="str">
        <f t="shared" si="23"/>
        <v/>
      </c>
      <c r="D139" s="11">
        <f t="shared" si="24"/>
        <v>11.68</v>
      </c>
      <c r="E139" s="10">
        <f t="shared" si="25"/>
        <v>2.5894560000000002</v>
      </c>
      <c r="F139" s="10" t="str">
        <f t="shared" si="26"/>
        <v/>
      </c>
      <c r="G139" s="10" t="str">
        <f t="shared" si="27"/>
        <v/>
      </c>
      <c r="H139" s="11" t="str">
        <f t="shared" si="28"/>
        <v/>
      </c>
      <c r="I139" s="371">
        <v>4</v>
      </c>
      <c r="J139" s="192" t="s">
        <v>173</v>
      </c>
      <c r="K139" s="371">
        <v>12.41</v>
      </c>
      <c r="L139" s="374">
        <v>1871</v>
      </c>
      <c r="M139" s="426">
        <v>23219.11</v>
      </c>
      <c r="O139" s="371">
        <v>7</v>
      </c>
      <c r="P139" s="192" t="s">
        <v>115</v>
      </c>
      <c r="Q139" s="442">
        <v>57322258</v>
      </c>
      <c r="R139" s="369">
        <v>695318989.53999996</v>
      </c>
      <c r="S139" s="371">
        <v>12</v>
      </c>
      <c r="T139" s="25"/>
    </row>
    <row r="140" spans="1:20">
      <c r="C140" s="11" t="str">
        <f t="shared" si="23"/>
        <v>九泰基金管理有限公司</v>
      </c>
      <c r="D140" s="11">
        <f t="shared" si="24"/>
        <v>12.63</v>
      </c>
      <c r="E140" s="10">
        <f t="shared" si="25"/>
        <v>2.4072779999999998</v>
      </c>
      <c r="F140" s="10">
        <f t="shared" si="26"/>
        <v>1984.5654999999999</v>
      </c>
      <c r="G140" s="10">
        <f t="shared" si="27"/>
        <v>2.4072779515000002</v>
      </c>
      <c r="H140" s="11">
        <f t="shared" si="28"/>
        <v>12</v>
      </c>
      <c r="I140" s="25"/>
      <c r="J140" s="25"/>
      <c r="K140" s="371">
        <v>11.68</v>
      </c>
      <c r="L140" s="374">
        <v>2217</v>
      </c>
      <c r="M140" s="426">
        <v>25894.560000000001</v>
      </c>
      <c r="O140" s="371">
        <v>8</v>
      </c>
      <c r="P140" s="192" t="s">
        <v>122</v>
      </c>
      <c r="Q140" s="442">
        <v>8722566</v>
      </c>
      <c r="R140" s="369">
        <v>105804725.58</v>
      </c>
      <c r="S140" s="371">
        <v>12</v>
      </c>
      <c r="T140" s="25"/>
    </row>
    <row r="141" spans="1:20" ht="15">
      <c r="C141" s="11" t="str">
        <f t="shared" si="23"/>
        <v/>
      </c>
      <c r="D141" s="11">
        <f t="shared" si="24"/>
        <v>11.86</v>
      </c>
      <c r="E141" s="10">
        <f t="shared" si="25"/>
        <v>2.481112</v>
      </c>
      <c r="F141" s="10" t="str">
        <f t="shared" si="26"/>
        <v/>
      </c>
      <c r="G141" s="10" t="str">
        <f t="shared" si="27"/>
        <v/>
      </c>
      <c r="H141" s="11" t="str">
        <f t="shared" si="28"/>
        <v/>
      </c>
      <c r="I141" s="305"/>
      <c r="J141" s="192" t="s">
        <v>666</v>
      </c>
      <c r="K141" s="371">
        <v>12.63</v>
      </c>
      <c r="L141" s="374">
        <v>1906</v>
      </c>
      <c r="M141" s="426">
        <v>24072.78</v>
      </c>
      <c r="O141" s="196" t="s">
        <v>1293</v>
      </c>
      <c r="P141" s="196"/>
      <c r="Q141" s="441">
        <v>168804014</v>
      </c>
      <c r="R141" s="372">
        <v>2047592689.8199999</v>
      </c>
      <c r="S141" s="278"/>
      <c r="T141" s="25"/>
    </row>
    <row r="142" spans="1:20">
      <c r="C142" s="11" t="str">
        <f t="shared" si="23"/>
        <v/>
      </c>
      <c r="D142" s="11">
        <f t="shared" si="24"/>
        <v>11.23</v>
      </c>
      <c r="E142" s="10">
        <f t="shared" si="25"/>
        <v>2.6019909999999999</v>
      </c>
      <c r="F142" s="10" t="str">
        <f t="shared" si="26"/>
        <v/>
      </c>
      <c r="G142" s="10" t="str">
        <f t="shared" si="27"/>
        <v/>
      </c>
      <c r="H142" s="11" t="str">
        <f t="shared" si="28"/>
        <v/>
      </c>
      <c r="I142" s="371">
        <v>5</v>
      </c>
      <c r="J142" s="238"/>
      <c r="K142" s="371">
        <v>11.86</v>
      </c>
      <c r="L142" s="374">
        <v>2092</v>
      </c>
      <c r="M142" s="426">
        <v>24811.119999999999</v>
      </c>
      <c r="O142" s="25"/>
      <c r="P142" s="25"/>
      <c r="Q142" s="25"/>
      <c r="R142" s="25"/>
      <c r="S142" s="25"/>
      <c r="T142" s="25"/>
    </row>
    <row r="143" spans="1:20">
      <c r="C143" s="11" t="str">
        <f t="shared" si="23"/>
        <v>北信瑞丰基金管理有限公司</v>
      </c>
      <c r="D143" s="11">
        <f t="shared" si="24"/>
        <v>14.59</v>
      </c>
      <c r="E143" s="10">
        <f t="shared" si="25"/>
        <v>2.4088090000000002</v>
      </c>
      <c r="F143" s="10">
        <f t="shared" si="26"/>
        <v>2588.5045</v>
      </c>
      <c r="G143" s="10">
        <f t="shared" si="27"/>
        <v>3.1398559585000001</v>
      </c>
      <c r="H143" s="11">
        <f t="shared" si="28"/>
        <v>12</v>
      </c>
      <c r="I143" s="64"/>
      <c r="J143" s="25"/>
      <c r="K143" s="371">
        <v>11.23</v>
      </c>
      <c r="L143" s="374">
        <v>2317</v>
      </c>
      <c r="M143" s="426">
        <v>26019.91</v>
      </c>
    </row>
    <row r="144" spans="1:20" ht="15">
      <c r="C144" s="11" t="str">
        <f t="shared" si="23"/>
        <v/>
      </c>
      <c r="D144" s="11">
        <f t="shared" si="24"/>
        <v>13.15</v>
      </c>
      <c r="E144" s="10">
        <f t="shared" si="25"/>
        <v>2.50902</v>
      </c>
      <c r="F144" s="10" t="str">
        <f t="shared" si="26"/>
        <v/>
      </c>
      <c r="G144" s="10" t="str">
        <f t="shared" si="27"/>
        <v/>
      </c>
      <c r="H144" s="11" t="str">
        <f t="shared" si="28"/>
        <v/>
      </c>
      <c r="I144" s="305"/>
      <c r="J144" s="192" t="s">
        <v>336</v>
      </c>
      <c r="K144" s="371">
        <v>14.59</v>
      </c>
      <c r="L144" s="374">
        <v>1651</v>
      </c>
      <c r="M144" s="426">
        <v>24088.09</v>
      </c>
    </row>
    <row r="145" spans="1:20">
      <c r="C145" s="11" t="str">
        <f t="shared" si="23"/>
        <v/>
      </c>
      <c r="D145" s="11">
        <f t="shared" si="24"/>
        <v>12.44</v>
      </c>
      <c r="E145" s="10">
        <f t="shared" si="25"/>
        <v>3.139856</v>
      </c>
      <c r="F145" s="10" t="str">
        <f t="shared" si="26"/>
        <v/>
      </c>
      <c r="G145" s="10" t="str">
        <f t="shared" si="27"/>
        <v/>
      </c>
      <c r="H145" s="11" t="str">
        <f t="shared" si="28"/>
        <v/>
      </c>
      <c r="I145" s="371">
        <v>6</v>
      </c>
      <c r="J145" s="238"/>
      <c r="K145" s="371">
        <v>13.15</v>
      </c>
      <c r="L145" s="374">
        <v>1908</v>
      </c>
      <c r="M145" s="426">
        <v>25090.2</v>
      </c>
    </row>
    <row r="146" spans="1:20">
      <c r="C146" s="11" t="str">
        <f t="shared" si="23"/>
        <v>诺安基金管理有限公司</v>
      </c>
      <c r="D146" s="11">
        <f t="shared" si="24"/>
        <v>10.88</v>
      </c>
      <c r="E146" s="10">
        <f t="shared" si="25"/>
        <v>2.3098240000000003</v>
      </c>
      <c r="F146" s="10" t="str">
        <f t="shared" si="26"/>
        <v/>
      </c>
      <c r="G146" s="10" t="str">
        <f t="shared" si="27"/>
        <v/>
      </c>
      <c r="H146" s="11" t="str">
        <f t="shared" si="28"/>
        <v/>
      </c>
      <c r="I146" s="64"/>
      <c r="J146" s="25"/>
      <c r="K146" s="371">
        <v>12.44</v>
      </c>
      <c r="L146" s="374">
        <v>2524</v>
      </c>
      <c r="M146" s="426">
        <v>31398.560000000001</v>
      </c>
    </row>
    <row r="147" spans="1:20">
      <c r="C147" s="11" t="str">
        <f t="shared" si="23"/>
        <v>财通基金管理有限公司</v>
      </c>
      <c r="D147" s="11">
        <f t="shared" si="24"/>
        <v>13.62</v>
      </c>
      <c r="E147" s="10">
        <f t="shared" si="25"/>
        <v>3.3341760000000003</v>
      </c>
      <c r="F147" s="10">
        <f t="shared" si="26"/>
        <v>5732.2258000000002</v>
      </c>
      <c r="G147" s="10">
        <f t="shared" si="27"/>
        <v>6.9531898954000004</v>
      </c>
      <c r="H147" s="11">
        <f t="shared" si="28"/>
        <v>12</v>
      </c>
      <c r="I147" s="371">
        <v>7</v>
      </c>
      <c r="J147" s="192" t="s">
        <v>147</v>
      </c>
      <c r="K147" s="371">
        <v>10.88</v>
      </c>
      <c r="L147" s="374">
        <v>2123</v>
      </c>
      <c r="M147" s="426">
        <v>23098.240000000002</v>
      </c>
    </row>
    <row r="148" spans="1:20" ht="15">
      <c r="C148" s="11" t="str">
        <f t="shared" si="23"/>
        <v/>
      </c>
      <c r="D148" s="11">
        <f t="shared" si="24"/>
        <v>12.83</v>
      </c>
      <c r="E148" s="10">
        <f t="shared" si="25"/>
        <v>5.8799890000000001</v>
      </c>
      <c r="F148" s="10" t="str">
        <f t="shared" si="26"/>
        <v/>
      </c>
      <c r="G148" s="10" t="str">
        <f t="shared" si="27"/>
        <v/>
      </c>
      <c r="H148" s="11" t="str">
        <f t="shared" si="28"/>
        <v/>
      </c>
      <c r="I148" s="305"/>
      <c r="J148" s="192" t="s">
        <v>115</v>
      </c>
      <c r="K148" s="371">
        <v>13.62</v>
      </c>
      <c r="L148" s="374">
        <v>2448</v>
      </c>
      <c r="M148" s="426">
        <v>33341.760000000002</v>
      </c>
    </row>
    <row r="149" spans="1:20">
      <c r="C149" s="11" t="str">
        <f t="shared" si="23"/>
        <v/>
      </c>
      <c r="D149" s="11">
        <f t="shared" si="24"/>
        <v>12.3</v>
      </c>
      <c r="E149" s="10">
        <f t="shared" si="25"/>
        <v>6.9531899999999993</v>
      </c>
      <c r="F149" s="10" t="str">
        <f t="shared" si="26"/>
        <v/>
      </c>
      <c r="G149" s="10" t="str">
        <f t="shared" si="27"/>
        <v/>
      </c>
      <c r="H149" s="11" t="str">
        <f t="shared" si="28"/>
        <v/>
      </c>
      <c r="I149" s="371">
        <v>8</v>
      </c>
      <c r="J149" s="238"/>
      <c r="K149" s="371">
        <v>12.83</v>
      </c>
      <c r="L149" s="374">
        <v>4583</v>
      </c>
      <c r="M149" s="426">
        <v>58799.89</v>
      </c>
    </row>
    <row r="150" spans="1:20">
      <c r="C150" s="11" t="str">
        <f t="shared" si="23"/>
        <v>华泰柏瑞基金管理有限公司</v>
      </c>
      <c r="D150" s="11">
        <f t="shared" si="24"/>
        <v>12.13</v>
      </c>
      <c r="E150" s="10">
        <f t="shared" si="25"/>
        <v>2.7898999999999998</v>
      </c>
      <c r="F150" s="10">
        <f t="shared" si="26"/>
        <v>872.25660000000005</v>
      </c>
      <c r="G150" s="10">
        <f t="shared" si="27"/>
        <v>1.0580472558</v>
      </c>
      <c r="H150" s="11">
        <f t="shared" si="28"/>
        <v>12</v>
      </c>
      <c r="I150" s="64"/>
      <c r="J150" s="25"/>
      <c r="K150" s="371">
        <v>12.3</v>
      </c>
      <c r="L150" s="374">
        <v>5653</v>
      </c>
      <c r="M150" s="426">
        <v>69531.899999999994</v>
      </c>
    </row>
    <row r="151" spans="1:20">
      <c r="C151" s="16" t="s">
        <v>2013</v>
      </c>
      <c r="D151" s="1686" t="str">
        <f>IFERROR(VLOOKUP(C151,P$132:R$140,2,FALSE)/10000,"")</f>
        <v/>
      </c>
      <c r="E151" s="1687"/>
      <c r="F151" s="1687"/>
      <c r="G151" s="1687"/>
      <c r="H151" s="1688"/>
      <c r="I151" s="371">
        <v>9</v>
      </c>
      <c r="J151" s="192" t="s">
        <v>122</v>
      </c>
      <c r="K151" s="371">
        <v>12.13</v>
      </c>
      <c r="L151" s="374">
        <v>2300</v>
      </c>
      <c r="M151" s="426">
        <v>27899</v>
      </c>
    </row>
    <row r="152" spans="1:20">
      <c r="C152" s="11" t="str">
        <f>P132</f>
        <v>豫西工业集团有限公司</v>
      </c>
      <c r="D152" s="11"/>
      <c r="E152" s="11"/>
      <c r="F152" s="10">
        <f>IFERROR(VLOOKUP(C152,P$132:R$140,2,FALSE)/10000,"")</f>
        <v>824.40229999999997</v>
      </c>
      <c r="G152" s="10">
        <f>IFERROR(F152*J$130/10000,"")</f>
        <v>0.99999998990000005</v>
      </c>
      <c r="H152" s="11">
        <f>IFERROR(VLOOKUP(C152,P$132:S$140,4,FALSE),"")</f>
        <v>36</v>
      </c>
    </row>
    <row r="153" spans="1:20">
      <c r="C153" s="11" t="str">
        <f>P133</f>
        <v>中兵投资管理有限责任公司</v>
      </c>
      <c r="D153" s="11"/>
      <c r="E153" s="11"/>
      <c r="F153" s="10">
        <f>IFERROR(VLOOKUP(C153,P$132:R$140,2,FALSE)/10000,"")</f>
        <v>824.40229999999997</v>
      </c>
      <c r="G153" s="10">
        <f>IFERROR(F153*J$130/10000,"")</f>
        <v>0.99999998990000005</v>
      </c>
      <c r="H153" s="11">
        <f>IFERROR(VLOOKUP(C153,P$132:S$140,4,FALSE),"")</f>
        <v>36</v>
      </c>
    </row>
    <row r="157" spans="1:20" s="162" customFormat="1">
      <c r="A157" s="164" t="s">
        <v>1315</v>
      </c>
      <c r="B157" s="164"/>
      <c r="C157" s="164" t="s">
        <v>107</v>
      </c>
      <c r="D157" s="164" t="s">
        <v>4</v>
      </c>
      <c r="E157" s="166" t="s">
        <v>108</v>
      </c>
      <c r="F157" s="166" t="s">
        <v>109</v>
      </c>
      <c r="G157" s="164" t="s">
        <v>1314</v>
      </c>
      <c r="H157" s="164" t="s">
        <v>1313</v>
      </c>
      <c r="I157" s="165" t="s">
        <v>1312</v>
      </c>
      <c r="J157" s="163" t="s">
        <v>1311</v>
      </c>
      <c r="K157" s="163" t="s">
        <v>110</v>
      </c>
      <c r="L157" s="163" t="s">
        <v>1310</v>
      </c>
      <c r="M157" s="164" t="s">
        <v>111</v>
      </c>
      <c r="N157" s="163" t="s">
        <v>949</v>
      </c>
      <c r="O157" s="163" t="s">
        <v>948</v>
      </c>
      <c r="P157" s="163" t="s">
        <v>129</v>
      </c>
    </row>
    <row r="158" spans="1:20">
      <c r="A158" s="24">
        <v>333</v>
      </c>
      <c r="B158" s="329" t="s">
        <v>2023</v>
      </c>
      <c r="C158" s="1" t="s">
        <v>2022</v>
      </c>
      <c r="D158" s="1" t="s">
        <v>2021</v>
      </c>
      <c r="E158" s="3">
        <v>19.5</v>
      </c>
      <c r="F158" s="3">
        <v>19.499999980399998</v>
      </c>
      <c r="G158" s="2">
        <v>42724</v>
      </c>
      <c r="H158" s="24" t="s">
        <v>151</v>
      </c>
      <c r="I158" s="130">
        <v>13.02</v>
      </c>
      <c r="J158" s="3">
        <v>13.22</v>
      </c>
      <c r="K158" s="160">
        <v>10.33</v>
      </c>
      <c r="L158" s="271">
        <v>1.0153609831029187</v>
      </c>
      <c r="M158" s="270">
        <v>8</v>
      </c>
      <c r="N158" s="2">
        <v>43140</v>
      </c>
      <c r="O158" s="24">
        <v>10.9</v>
      </c>
      <c r="P158" s="157">
        <v>0.82677760968229952</v>
      </c>
      <c r="Q158" s="25"/>
      <c r="R158" s="25"/>
      <c r="S158" s="25"/>
      <c r="T158" s="25"/>
    </row>
    <row r="159" spans="1:20">
      <c r="C159" s="16" t="s">
        <v>112</v>
      </c>
      <c r="D159" s="16" t="s">
        <v>113</v>
      </c>
      <c r="E159" s="16" t="s">
        <v>1305</v>
      </c>
      <c r="F159" s="17" t="s">
        <v>1304</v>
      </c>
      <c r="G159" s="16" t="s">
        <v>1303</v>
      </c>
      <c r="H159" s="16" t="s">
        <v>1747</v>
      </c>
      <c r="J159" s="330" t="s">
        <v>2020</v>
      </c>
      <c r="K159" s="330" t="s">
        <v>296</v>
      </c>
      <c r="L159" s="330" t="s">
        <v>1350</v>
      </c>
      <c r="M159" s="344" t="s">
        <v>1542</v>
      </c>
      <c r="N159" s="330" t="s">
        <v>1348</v>
      </c>
      <c r="P159" s="333"/>
      <c r="Q159" s="333"/>
      <c r="R159" s="225" t="s">
        <v>160</v>
      </c>
      <c r="S159" s="333"/>
      <c r="T159" s="333"/>
    </row>
    <row r="160" spans="1:20">
      <c r="C160" s="11" t="str">
        <f t="shared" ref="C160:C196" si="29">IF(K161=0,"",K161)</f>
        <v>嘉实基金管理有限公司</v>
      </c>
      <c r="D160" s="11">
        <f t="shared" ref="D160:D196" si="30">L161</f>
        <v>12.5</v>
      </c>
      <c r="E160" s="11">
        <f t="shared" ref="E160:E196" si="31">N161/10000</f>
        <v>2.75</v>
      </c>
      <c r="F160" s="11" t="str">
        <f t="shared" ref="F160:F196" si="32">IFERROR(VLOOKUP(C160,Q$161:T$168,2,FALSE)/10000,"")</f>
        <v/>
      </c>
      <c r="G160" s="11"/>
      <c r="H160" s="11"/>
      <c r="J160" s="330"/>
      <c r="K160" s="330"/>
      <c r="L160" s="330"/>
      <c r="M160" s="344" t="s">
        <v>1812</v>
      </c>
      <c r="N160" s="330"/>
      <c r="P160" s="85" t="s">
        <v>118</v>
      </c>
      <c r="Q160" s="85" t="s">
        <v>296</v>
      </c>
      <c r="R160" s="225" t="s">
        <v>1317</v>
      </c>
      <c r="S160" s="84" t="s">
        <v>1346</v>
      </c>
      <c r="T160" s="225" t="s">
        <v>1335</v>
      </c>
    </row>
    <row r="161" spans="3:20">
      <c r="C161" s="11" t="str">
        <f t="shared" si="29"/>
        <v/>
      </c>
      <c r="D161" s="11">
        <f t="shared" si="30"/>
        <v>11.5</v>
      </c>
      <c r="E161" s="11">
        <f t="shared" si="31"/>
        <v>3.7949999999999999</v>
      </c>
      <c r="F161" s="11" t="str">
        <f t="shared" si="32"/>
        <v/>
      </c>
      <c r="G161" s="11"/>
      <c r="H161" s="11"/>
      <c r="J161" s="427">
        <v>1</v>
      </c>
      <c r="K161" s="203" t="s">
        <v>228</v>
      </c>
      <c r="L161" s="370">
        <v>12.5</v>
      </c>
      <c r="M161" s="374">
        <v>2200</v>
      </c>
      <c r="N161" s="437">
        <v>27500</v>
      </c>
      <c r="P161" s="371">
        <v>1</v>
      </c>
      <c r="Q161" s="203" t="s">
        <v>2019</v>
      </c>
      <c r="R161" s="374">
        <v>7564296</v>
      </c>
      <c r="S161" s="369">
        <v>99999993.120000005</v>
      </c>
      <c r="T161" s="370">
        <v>36</v>
      </c>
    </row>
    <row r="162" spans="3:20">
      <c r="C162" s="11" t="str">
        <f t="shared" si="29"/>
        <v>金石期货有限公司</v>
      </c>
      <c r="D162" s="11">
        <f t="shared" si="30"/>
        <v>13.22</v>
      </c>
      <c r="E162" s="11">
        <f t="shared" si="31"/>
        <v>2.3491939999999998</v>
      </c>
      <c r="F162" s="11" t="str">
        <f t="shared" si="32"/>
        <v/>
      </c>
      <c r="G162" s="11"/>
      <c r="H162" s="11"/>
      <c r="J162" s="427"/>
      <c r="K162" s="25"/>
      <c r="L162" s="370">
        <v>11.5</v>
      </c>
      <c r="M162" s="374">
        <v>3300</v>
      </c>
      <c r="N162" s="437">
        <v>37950</v>
      </c>
      <c r="P162" s="371">
        <v>2</v>
      </c>
      <c r="Q162" s="203" t="s">
        <v>2018</v>
      </c>
      <c r="R162" s="374">
        <v>2269288</v>
      </c>
      <c r="S162" s="369">
        <v>29999987.359999999</v>
      </c>
      <c r="T162" s="370">
        <v>36</v>
      </c>
    </row>
    <row r="163" spans="3:20">
      <c r="C163" s="11" t="str">
        <f t="shared" si="29"/>
        <v>泰康资产管理有限责任公司</v>
      </c>
      <c r="D163" s="11">
        <f t="shared" si="30"/>
        <v>12.22</v>
      </c>
      <c r="E163" s="11">
        <f t="shared" si="31"/>
        <v>2.3010259999999998</v>
      </c>
      <c r="F163" s="11" t="str">
        <f t="shared" si="32"/>
        <v/>
      </c>
      <c r="G163" s="11"/>
      <c r="H163" s="11"/>
      <c r="J163" s="371">
        <v>2</v>
      </c>
      <c r="K163" s="203" t="s">
        <v>1983</v>
      </c>
      <c r="L163" s="370">
        <v>13.22</v>
      </c>
      <c r="M163" s="374">
        <v>1777</v>
      </c>
      <c r="N163" s="437">
        <v>23491.94</v>
      </c>
      <c r="P163" s="371">
        <v>3</v>
      </c>
      <c r="Q163" s="203" t="s">
        <v>2014</v>
      </c>
      <c r="R163" s="374">
        <v>17781376</v>
      </c>
      <c r="S163" s="426">
        <v>235069790.72</v>
      </c>
      <c r="T163" s="370">
        <v>12</v>
      </c>
    </row>
    <row r="164" spans="3:20">
      <c r="C164" s="11" t="str">
        <f t="shared" si="29"/>
        <v>民生通惠资产管理有限公司</v>
      </c>
      <c r="D164" s="11">
        <f t="shared" si="30"/>
        <v>10.52</v>
      </c>
      <c r="E164" s="11">
        <f t="shared" si="31"/>
        <v>2.3007240000000002</v>
      </c>
      <c r="F164" s="11" t="str">
        <f t="shared" si="32"/>
        <v/>
      </c>
      <c r="G164" s="11"/>
      <c r="H164" s="11"/>
      <c r="J164" s="371">
        <v>3</v>
      </c>
      <c r="K164" s="203" t="s">
        <v>124</v>
      </c>
      <c r="L164" s="370">
        <v>12.22</v>
      </c>
      <c r="M164" s="374">
        <v>1883</v>
      </c>
      <c r="N164" s="437">
        <v>23010.26</v>
      </c>
      <c r="P164" s="371">
        <v>4</v>
      </c>
      <c r="Q164" s="203" t="s">
        <v>1653</v>
      </c>
      <c r="R164" s="374">
        <v>17400907</v>
      </c>
      <c r="S164" s="426">
        <v>230039990.53999999</v>
      </c>
      <c r="T164" s="370">
        <v>12</v>
      </c>
    </row>
    <row r="165" spans="3:20">
      <c r="C165" s="11" t="str">
        <f t="shared" si="29"/>
        <v>上海梦元投资管理中心（有限合伙）</v>
      </c>
      <c r="D165" s="11">
        <f t="shared" si="30"/>
        <v>10.33</v>
      </c>
      <c r="E165" s="11">
        <f t="shared" si="31"/>
        <v>2.3004910000000001</v>
      </c>
      <c r="F165" s="11" t="str">
        <f t="shared" si="32"/>
        <v/>
      </c>
      <c r="G165" s="11"/>
      <c r="H165" s="11"/>
      <c r="J165" s="371">
        <v>4</v>
      </c>
      <c r="K165" s="203" t="s">
        <v>351</v>
      </c>
      <c r="L165" s="370">
        <v>10.52</v>
      </c>
      <c r="M165" s="374">
        <v>2187</v>
      </c>
      <c r="N165" s="437">
        <v>23007.24</v>
      </c>
      <c r="P165" s="371">
        <v>5</v>
      </c>
      <c r="Q165" s="203" t="s">
        <v>2015</v>
      </c>
      <c r="R165" s="374">
        <v>17400907</v>
      </c>
      <c r="S165" s="426">
        <v>230039990.53999999</v>
      </c>
      <c r="T165" s="370">
        <v>12</v>
      </c>
    </row>
    <row r="166" spans="3:20">
      <c r="C166" s="11" t="str">
        <f t="shared" si="29"/>
        <v>中融基金管理有限公司</v>
      </c>
      <c r="D166" s="11">
        <f t="shared" si="30"/>
        <v>10.57</v>
      </c>
      <c r="E166" s="11">
        <f t="shared" si="31"/>
        <v>2.3106019999999998</v>
      </c>
      <c r="F166" s="11" t="str">
        <f t="shared" si="32"/>
        <v/>
      </c>
      <c r="G166" s="11"/>
      <c r="H166" s="11"/>
      <c r="J166" s="427">
        <v>5</v>
      </c>
      <c r="K166" s="203" t="s">
        <v>2017</v>
      </c>
      <c r="L166" s="427">
        <v>10.33</v>
      </c>
      <c r="M166" s="440">
        <v>2227</v>
      </c>
      <c r="N166" s="429">
        <v>23004.91</v>
      </c>
      <c r="P166" s="371">
        <v>6</v>
      </c>
      <c r="Q166" s="203" t="s">
        <v>1650</v>
      </c>
      <c r="R166" s="374">
        <v>45380000</v>
      </c>
      <c r="S166" s="426">
        <v>599923600</v>
      </c>
      <c r="T166" s="370">
        <v>12</v>
      </c>
    </row>
    <row r="167" spans="3:20">
      <c r="C167" s="11" t="str">
        <f t="shared" si="29"/>
        <v>广西铁路发展二期投资基金合伙企业（有限合伙）</v>
      </c>
      <c r="D167" s="11">
        <f t="shared" si="30"/>
        <v>12.39</v>
      </c>
      <c r="E167" s="11">
        <f t="shared" si="31"/>
        <v>2.3008229999999998</v>
      </c>
      <c r="F167" s="11" t="str">
        <f t="shared" si="32"/>
        <v/>
      </c>
      <c r="G167" s="11"/>
      <c r="H167" s="11"/>
      <c r="J167" s="371">
        <v>6</v>
      </c>
      <c r="K167" s="203" t="s">
        <v>629</v>
      </c>
      <c r="L167" s="370">
        <v>10.57</v>
      </c>
      <c r="M167" s="374">
        <v>2186</v>
      </c>
      <c r="N167" s="437">
        <v>23106.02</v>
      </c>
      <c r="P167" s="371">
        <v>7</v>
      </c>
      <c r="Q167" s="203" t="s">
        <v>560</v>
      </c>
      <c r="R167" s="374">
        <v>34800000</v>
      </c>
      <c r="S167" s="426">
        <v>460056000</v>
      </c>
      <c r="T167" s="370">
        <v>12</v>
      </c>
    </row>
    <row r="168" spans="3:20">
      <c r="C168" s="11" t="str">
        <f t="shared" si="29"/>
        <v>九泰基金管理有限公司</v>
      </c>
      <c r="D168" s="11">
        <f t="shared" si="30"/>
        <v>11.92</v>
      </c>
      <c r="E168" s="11">
        <f t="shared" si="31"/>
        <v>2.4197599999999997</v>
      </c>
      <c r="F168" s="11" t="str">
        <f t="shared" si="32"/>
        <v/>
      </c>
      <c r="G168" s="11"/>
      <c r="H168" s="11"/>
      <c r="J168" s="427">
        <v>7</v>
      </c>
      <c r="K168" s="203" t="s">
        <v>1624</v>
      </c>
      <c r="L168" s="427">
        <v>12.39</v>
      </c>
      <c r="M168" s="440">
        <v>1857</v>
      </c>
      <c r="N168" s="429">
        <v>23008.23</v>
      </c>
      <c r="P168" s="371">
        <v>8</v>
      </c>
      <c r="Q168" s="203" t="s">
        <v>336</v>
      </c>
      <c r="R168" s="374">
        <v>4907008</v>
      </c>
      <c r="S168" s="426">
        <v>64870645.759999998</v>
      </c>
      <c r="T168" s="370">
        <v>12</v>
      </c>
    </row>
    <row r="169" spans="3:20">
      <c r="C169" s="11" t="str">
        <f t="shared" si="29"/>
        <v/>
      </c>
      <c r="D169" s="11">
        <f t="shared" si="30"/>
        <v>11.19</v>
      </c>
      <c r="E169" s="11">
        <f t="shared" si="31"/>
        <v>2.7493830000000004</v>
      </c>
      <c r="F169" s="11" t="str">
        <f t="shared" si="32"/>
        <v/>
      </c>
      <c r="G169" s="11"/>
      <c r="H169" s="11"/>
      <c r="J169" s="371">
        <v>8</v>
      </c>
      <c r="K169" s="203" t="s">
        <v>666</v>
      </c>
      <c r="L169" s="370">
        <v>11.92</v>
      </c>
      <c r="M169" s="374">
        <v>2030</v>
      </c>
      <c r="N169" s="437">
        <v>24197.599999999999</v>
      </c>
      <c r="P169" s="25"/>
      <c r="Q169" s="25"/>
      <c r="R169" s="25"/>
      <c r="S169" s="25"/>
      <c r="T169" s="25"/>
    </row>
    <row r="170" spans="3:20">
      <c r="C170" s="11" t="str">
        <f t="shared" si="29"/>
        <v/>
      </c>
      <c r="D170" s="11">
        <f t="shared" si="30"/>
        <v>10.55</v>
      </c>
      <c r="E170" s="11">
        <f t="shared" si="31"/>
        <v>2.8094650000000003</v>
      </c>
      <c r="F170" s="11" t="str">
        <f t="shared" si="32"/>
        <v/>
      </c>
      <c r="G170" s="11"/>
      <c r="H170" s="11"/>
      <c r="J170" s="25"/>
      <c r="K170" s="25"/>
      <c r="L170" s="370">
        <v>11.19</v>
      </c>
      <c r="M170" s="374">
        <v>2457</v>
      </c>
      <c r="N170" s="437">
        <v>27493.83</v>
      </c>
    </row>
    <row r="171" spans="3:20">
      <c r="C171" s="11" t="str">
        <f t="shared" si="29"/>
        <v>博时基金管理有限公司</v>
      </c>
      <c r="D171" s="11">
        <f t="shared" si="30"/>
        <v>11.24</v>
      </c>
      <c r="E171" s="11">
        <f t="shared" si="31"/>
        <v>2.39412</v>
      </c>
      <c r="F171" s="11" t="str">
        <f t="shared" si="32"/>
        <v/>
      </c>
      <c r="G171" s="11"/>
      <c r="H171" s="11"/>
      <c r="J171" s="64"/>
      <c r="K171" s="64"/>
      <c r="L171" s="370">
        <v>10.55</v>
      </c>
      <c r="M171" s="374">
        <v>2663</v>
      </c>
      <c r="N171" s="437">
        <v>28094.65</v>
      </c>
    </row>
    <row r="172" spans="3:20">
      <c r="C172" s="11" t="str">
        <f t="shared" si="29"/>
        <v>深圳天风天成资产管理有限公司</v>
      </c>
      <c r="D172" s="11">
        <f t="shared" si="30"/>
        <v>13.22</v>
      </c>
      <c r="E172" s="11">
        <f t="shared" si="31"/>
        <v>4.6005599999999998</v>
      </c>
      <c r="F172" s="10">
        <f t="shared" si="32"/>
        <v>3480</v>
      </c>
      <c r="G172" s="10">
        <f t="shared" ref="G172:G196" si="33">IFERROR(F172*J$158/10000,"")</f>
        <v>4.6005600000000006</v>
      </c>
      <c r="H172" s="11">
        <f t="shared" ref="H172:H196" si="34">IFERROR(VLOOKUP(C172,Q$161:T$168,4,FALSE),"")</f>
        <v>12</v>
      </c>
      <c r="J172" s="371">
        <v>9</v>
      </c>
      <c r="K172" s="203" t="s">
        <v>173</v>
      </c>
      <c r="L172" s="370">
        <v>11.24</v>
      </c>
      <c r="M172" s="374">
        <v>2130</v>
      </c>
      <c r="N172" s="437">
        <v>23941.200000000001</v>
      </c>
    </row>
    <row r="173" spans="3:20">
      <c r="C173" s="11" t="str">
        <f t="shared" si="29"/>
        <v/>
      </c>
      <c r="D173" s="11">
        <f t="shared" si="30"/>
        <v>13.3</v>
      </c>
      <c r="E173" s="11">
        <f t="shared" si="31"/>
        <v>4.2560000000000002</v>
      </c>
      <c r="F173" s="10" t="str">
        <f t="shared" si="32"/>
        <v/>
      </c>
      <c r="G173" s="10" t="str">
        <f t="shared" si="33"/>
        <v/>
      </c>
      <c r="H173" s="11" t="str">
        <f t="shared" si="34"/>
        <v/>
      </c>
      <c r="J173" s="428">
        <v>10</v>
      </c>
      <c r="K173" s="203" t="s">
        <v>560</v>
      </c>
      <c r="L173" s="370">
        <v>13.22</v>
      </c>
      <c r="M173" s="374">
        <v>3480</v>
      </c>
      <c r="N173" s="437">
        <v>46005.599999999999</v>
      </c>
    </row>
    <row r="174" spans="3:20">
      <c r="C174" s="11" t="str">
        <f t="shared" si="29"/>
        <v/>
      </c>
      <c r="D174" s="11">
        <f t="shared" si="30"/>
        <v>12</v>
      </c>
      <c r="E174" s="11">
        <f t="shared" si="31"/>
        <v>5.0999999999999996</v>
      </c>
      <c r="F174" s="10" t="str">
        <f t="shared" si="32"/>
        <v/>
      </c>
      <c r="G174" s="10" t="str">
        <f t="shared" si="33"/>
        <v/>
      </c>
      <c r="H174" s="11" t="str">
        <f t="shared" si="34"/>
        <v/>
      </c>
      <c r="J174" s="25"/>
      <c r="K174" s="25"/>
      <c r="L174" s="370">
        <v>13.3</v>
      </c>
      <c r="M174" s="374">
        <v>3200</v>
      </c>
      <c r="N174" s="437">
        <v>42560</v>
      </c>
    </row>
    <row r="175" spans="3:20">
      <c r="C175" s="11" t="str">
        <f t="shared" si="29"/>
        <v>申万菱信（上海）资产管理有限公司</v>
      </c>
      <c r="D175" s="11">
        <f t="shared" si="30"/>
        <v>12.73</v>
      </c>
      <c r="E175" s="11">
        <f t="shared" si="31"/>
        <v>2.3041299999999998</v>
      </c>
      <c r="F175" s="10" t="str">
        <f t="shared" si="32"/>
        <v/>
      </c>
      <c r="G175" s="10" t="str">
        <f t="shared" si="33"/>
        <v/>
      </c>
      <c r="H175" s="11" t="str">
        <f t="shared" si="34"/>
        <v/>
      </c>
      <c r="J175" s="64"/>
      <c r="K175" s="64"/>
      <c r="L175" s="370">
        <v>12</v>
      </c>
      <c r="M175" s="374">
        <v>4250</v>
      </c>
      <c r="N175" s="437">
        <v>51000</v>
      </c>
    </row>
    <row r="176" spans="3:20">
      <c r="C176" s="11" t="str">
        <f t="shared" si="29"/>
        <v/>
      </c>
      <c r="D176" s="11">
        <f t="shared" si="30"/>
        <v>10.33</v>
      </c>
      <c r="E176" s="11">
        <f t="shared" si="31"/>
        <v>2.314953</v>
      </c>
      <c r="F176" s="10" t="str">
        <f t="shared" si="32"/>
        <v/>
      </c>
      <c r="G176" s="10" t="str">
        <f t="shared" si="33"/>
        <v/>
      </c>
      <c r="H176" s="11" t="str">
        <f t="shared" si="34"/>
        <v/>
      </c>
      <c r="J176" s="427">
        <v>11</v>
      </c>
      <c r="K176" s="203" t="s">
        <v>1955</v>
      </c>
      <c r="L176" s="370">
        <v>12.73</v>
      </c>
      <c r="M176" s="374">
        <v>1810</v>
      </c>
      <c r="N176" s="437">
        <v>23041.3</v>
      </c>
    </row>
    <row r="177" spans="3:14">
      <c r="C177" s="11" t="str">
        <f t="shared" si="29"/>
        <v>光大保德信基金管理有限公司</v>
      </c>
      <c r="D177" s="11">
        <f t="shared" si="30"/>
        <v>11.5</v>
      </c>
      <c r="E177" s="11">
        <f t="shared" si="31"/>
        <v>2.4977999999999998</v>
      </c>
      <c r="F177" s="10" t="str">
        <f t="shared" si="32"/>
        <v/>
      </c>
      <c r="G177" s="10" t="str">
        <f t="shared" si="33"/>
        <v/>
      </c>
      <c r="H177" s="11" t="str">
        <f t="shared" si="34"/>
        <v/>
      </c>
      <c r="J177" s="427"/>
      <c r="K177" s="203"/>
      <c r="L177" s="370">
        <v>10.33</v>
      </c>
      <c r="M177" s="374">
        <v>2241</v>
      </c>
      <c r="N177" s="437">
        <v>23149.53</v>
      </c>
    </row>
    <row r="178" spans="3:14">
      <c r="C178" s="11" t="str">
        <f t="shared" si="29"/>
        <v>中航期货有限公司</v>
      </c>
      <c r="D178" s="11">
        <f t="shared" si="30"/>
        <v>11.7</v>
      </c>
      <c r="E178" s="11">
        <f t="shared" si="31"/>
        <v>2.3002199999999999</v>
      </c>
      <c r="F178" s="10" t="str">
        <f t="shared" si="32"/>
        <v/>
      </c>
      <c r="G178" s="10" t="str">
        <f t="shared" si="33"/>
        <v/>
      </c>
      <c r="H178" s="11" t="str">
        <f t="shared" si="34"/>
        <v/>
      </c>
      <c r="J178" s="427">
        <v>12</v>
      </c>
      <c r="K178" s="203" t="s">
        <v>1794</v>
      </c>
      <c r="L178" s="427">
        <v>11.5</v>
      </c>
      <c r="M178" s="440">
        <v>2172</v>
      </c>
      <c r="N178" s="429">
        <v>24978</v>
      </c>
    </row>
    <row r="179" spans="3:14">
      <c r="C179" s="11" t="str">
        <f t="shared" si="29"/>
        <v>富国基金管理有限公司</v>
      </c>
      <c r="D179" s="11">
        <f t="shared" si="30"/>
        <v>12.95</v>
      </c>
      <c r="E179" s="11">
        <f t="shared" si="31"/>
        <v>2.301215</v>
      </c>
      <c r="F179" s="10" t="str">
        <f t="shared" si="32"/>
        <v/>
      </c>
      <c r="G179" s="10" t="str">
        <f t="shared" si="33"/>
        <v/>
      </c>
      <c r="H179" s="11" t="str">
        <f t="shared" si="34"/>
        <v/>
      </c>
      <c r="J179" s="371">
        <v>13</v>
      </c>
      <c r="K179" s="203" t="s">
        <v>2016</v>
      </c>
      <c r="L179" s="370">
        <v>11.7</v>
      </c>
      <c r="M179" s="374">
        <v>1966</v>
      </c>
      <c r="N179" s="437">
        <v>23002.2</v>
      </c>
    </row>
    <row r="180" spans="3:14">
      <c r="C180" s="11" t="str">
        <f t="shared" si="29"/>
        <v>中船投资发展有限公司</v>
      </c>
      <c r="D180" s="11">
        <f t="shared" si="30"/>
        <v>13.5</v>
      </c>
      <c r="E180" s="11">
        <f t="shared" si="31"/>
        <v>2.3003999999999998</v>
      </c>
      <c r="F180" s="10">
        <f t="shared" si="32"/>
        <v>1740.0907</v>
      </c>
      <c r="G180" s="10">
        <f t="shared" si="33"/>
        <v>2.3003999053999999</v>
      </c>
      <c r="H180" s="11">
        <f t="shared" si="34"/>
        <v>12</v>
      </c>
      <c r="J180" s="371">
        <v>14</v>
      </c>
      <c r="K180" s="203" t="s">
        <v>295</v>
      </c>
      <c r="L180" s="370">
        <v>12.95</v>
      </c>
      <c r="M180" s="374">
        <v>1777</v>
      </c>
      <c r="N180" s="437">
        <v>23012.15</v>
      </c>
    </row>
    <row r="181" spans="3:14">
      <c r="C181" s="11" t="str">
        <f t="shared" si="29"/>
        <v>诺安基金管理有限公司</v>
      </c>
      <c r="D181" s="11">
        <f t="shared" si="30"/>
        <v>11.12</v>
      </c>
      <c r="E181" s="11">
        <f t="shared" si="31"/>
        <v>2.3007279999999999</v>
      </c>
      <c r="F181" s="10" t="str">
        <f t="shared" si="32"/>
        <v/>
      </c>
      <c r="G181" s="10" t="str">
        <f t="shared" si="33"/>
        <v/>
      </c>
      <c r="H181" s="11" t="str">
        <f t="shared" si="34"/>
        <v/>
      </c>
      <c r="J181" s="370">
        <v>15</v>
      </c>
      <c r="K181" s="203" t="s">
        <v>1653</v>
      </c>
      <c r="L181" s="370">
        <v>13.5</v>
      </c>
      <c r="M181" s="374">
        <v>1704</v>
      </c>
      <c r="N181" s="369">
        <v>23004</v>
      </c>
    </row>
    <row r="182" spans="3:14">
      <c r="C182" s="11" t="str">
        <f t="shared" si="29"/>
        <v/>
      </c>
      <c r="D182" s="11">
        <f t="shared" si="30"/>
        <v>11.11</v>
      </c>
      <c r="E182" s="11">
        <f t="shared" si="31"/>
        <v>2.3564310000000002</v>
      </c>
      <c r="F182" s="10" t="str">
        <f t="shared" si="32"/>
        <v/>
      </c>
      <c r="G182" s="10" t="str">
        <f t="shared" si="33"/>
        <v/>
      </c>
      <c r="H182" s="11" t="str">
        <f t="shared" si="34"/>
        <v/>
      </c>
      <c r="J182" s="427">
        <v>16</v>
      </c>
      <c r="K182" s="203" t="s">
        <v>147</v>
      </c>
      <c r="L182" s="370">
        <v>11.12</v>
      </c>
      <c r="M182" s="374">
        <v>2069</v>
      </c>
      <c r="N182" s="369">
        <v>23007.279999999999</v>
      </c>
    </row>
    <row r="183" spans="3:14">
      <c r="C183" s="11" t="str">
        <f t="shared" si="29"/>
        <v>东鼎云投资管理有限公司</v>
      </c>
      <c r="D183" s="11">
        <f t="shared" si="30"/>
        <v>13.5</v>
      </c>
      <c r="E183" s="11">
        <f t="shared" si="31"/>
        <v>2.3003999999999998</v>
      </c>
      <c r="F183" s="10">
        <f t="shared" si="32"/>
        <v>1740.0907</v>
      </c>
      <c r="G183" s="10">
        <f t="shared" si="33"/>
        <v>2.3003999053999999</v>
      </c>
      <c r="H183" s="11">
        <f t="shared" si="34"/>
        <v>12</v>
      </c>
      <c r="J183" s="427"/>
      <c r="K183" s="25"/>
      <c r="L183" s="370">
        <v>11.11</v>
      </c>
      <c r="M183" s="374">
        <v>2121</v>
      </c>
      <c r="N183" s="369">
        <v>23564.31</v>
      </c>
    </row>
    <row r="184" spans="3:14">
      <c r="C184" s="11" t="str">
        <f t="shared" si="29"/>
        <v>北信瑞丰基金管理有限公司</v>
      </c>
      <c r="D184" s="11">
        <f t="shared" si="30"/>
        <v>13.22</v>
      </c>
      <c r="E184" s="11">
        <f t="shared" si="31"/>
        <v>2.5567479999999998</v>
      </c>
      <c r="F184" s="10">
        <f t="shared" si="32"/>
        <v>490.70080000000002</v>
      </c>
      <c r="G184" s="10">
        <f t="shared" si="33"/>
        <v>0.64870645760000012</v>
      </c>
      <c r="H184" s="11">
        <f t="shared" si="34"/>
        <v>12</v>
      </c>
      <c r="J184" s="370">
        <v>17</v>
      </c>
      <c r="K184" s="203" t="s">
        <v>2015</v>
      </c>
      <c r="L184" s="370">
        <v>13.5</v>
      </c>
      <c r="M184" s="374">
        <v>1704</v>
      </c>
      <c r="N184" s="369">
        <v>23004</v>
      </c>
    </row>
    <row r="185" spans="3:14">
      <c r="C185" s="11" t="str">
        <f t="shared" si="29"/>
        <v/>
      </c>
      <c r="D185" s="11">
        <f t="shared" si="30"/>
        <v>12.7</v>
      </c>
      <c r="E185" s="11">
        <f t="shared" si="31"/>
        <v>3.0467299999999997</v>
      </c>
      <c r="F185" s="10" t="str">
        <f t="shared" si="32"/>
        <v/>
      </c>
      <c r="G185" s="10" t="str">
        <f t="shared" si="33"/>
        <v/>
      </c>
      <c r="H185" s="11" t="str">
        <f t="shared" si="34"/>
        <v/>
      </c>
      <c r="J185" s="428">
        <v>18</v>
      </c>
      <c r="K185" s="203" t="s">
        <v>336</v>
      </c>
      <c r="L185" s="370">
        <v>13.22</v>
      </c>
      <c r="M185" s="374">
        <v>1934</v>
      </c>
      <c r="N185" s="369">
        <v>25567.48</v>
      </c>
    </row>
    <row r="186" spans="3:14">
      <c r="C186" s="11" t="str">
        <f t="shared" si="29"/>
        <v/>
      </c>
      <c r="D186" s="11">
        <f t="shared" si="30"/>
        <v>11.9</v>
      </c>
      <c r="E186" s="11">
        <f t="shared" si="31"/>
        <v>3.3343800000000003</v>
      </c>
      <c r="F186" s="10" t="str">
        <f t="shared" si="32"/>
        <v/>
      </c>
      <c r="G186" s="10" t="str">
        <f t="shared" si="33"/>
        <v/>
      </c>
      <c r="H186" s="11" t="str">
        <f t="shared" si="34"/>
        <v/>
      </c>
      <c r="J186" s="25"/>
      <c r="K186" s="25"/>
      <c r="L186" s="370">
        <v>12.7</v>
      </c>
      <c r="M186" s="374">
        <v>2399</v>
      </c>
      <c r="N186" s="369">
        <v>30467.3</v>
      </c>
    </row>
    <row r="187" spans="3:14">
      <c r="C187" s="11" t="str">
        <f t="shared" si="29"/>
        <v>财通基金管理有限公司</v>
      </c>
      <c r="D187" s="11">
        <f t="shared" si="30"/>
        <v>12.55</v>
      </c>
      <c r="E187" s="11">
        <f t="shared" si="31"/>
        <v>3.2090349999999996</v>
      </c>
      <c r="F187" s="10" t="str">
        <f t="shared" si="32"/>
        <v/>
      </c>
      <c r="G187" s="10" t="str">
        <f t="shared" si="33"/>
        <v/>
      </c>
      <c r="H187" s="11" t="str">
        <f t="shared" si="34"/>
        <v/>
      </c>
      <c r="J187" s="64"/>
      <c r="K187" s="64"/>
      <c r="L187" s="370">
        <v>11.9</v>
      </c>
      <c r="M187" s="374">
        <v>2802</v>
      </c>
      <c r="N187" s="369">
        <v>33343.800000000003</v>
      </c>
    </row>
    <row r="188" spans="3:14">
      <c r="C188" s="11" t="str">
        <f t="shared" si="29"/>
        <v/>
      </c>
      <c r="D188" s="11">
        <f t="shared" si="30"/>
        <v>11.87</v>
      </c>
      <c r="E188" s="11">
        <f t="shared" si="31"/>
        <v>6.158156</v>
      </c>
      <c r="F188" s="10" t="str">
        <f t="shared" si="32"/>
        <v/>
      </c>
      <c r="G188" s="10" t="str">
        <f t="shared" si="33"/>
        <v/>
      </c>
      <c r="H188" s="11" t="str">
        <f t="shared" si="34"/>
        <v/>
      </c>
      <c r="J188" s="428">
        <v>19</v>
      </c>
      <c r="K188" s="203" t="s">
        <v>115</v>
      </c>
      <c r="L188" s="370">
        <v>12.55</v>
      </c>
      <c r="M188" s="374">
        <v>2557</v>
      </c>
      <c r="N188" s="369">
        <v>32090.35</v>
      </c>
    </row>
    <row r="189" spans="3:14">
      <c r="C189" s="11" t="str">
        <f t="shared" si="29"/>
        <v/>
      </c>
      <c r="D189" s="11">
        <f t="shared" si="30"/>
        <v>11.23</v>
      </c>
      <c r="E189" s="11">
        <f t="shared" si="31"/>
        <v>7.6992880000000001</v>
      </c>
      <c r="F189" s="10" t="str">
        <f t="shared" si="32"/>
        <v/>
      </c>
      <c r="G189" s="10" t="str">
        <f t="shared" si="33"/>
        <v/>
      </c>
      <c r="H189" s="11" t="str">
        <f t="shared" si="34"/>
        <v/>
      </c>
      <c r="J189" s="25"/>
      <c r="K189" s="25"/>
      <c r="L189" s="370">
        <v>11.87</v>
      </c>
      <c r="M189" s="374">
        <v>5188</v>
      </c>
      <c r="N189" s="369">
        <v>61581.56</v>
      </c>
    </row>
    <row r="190" spans="3:14">
      <c r="C190" s="11" t="str">
        <f t="shared" si="29"/>
        <v>申万菱信基金管理有限公司</v>
      </c>
      <c r="D190" s="11">
        <f t="shared" si="30"/>
        <v>12.56</v>
      </c>
      <c r="E190" s="11">
        <f t="shared" si="31"/>
        <v>2.6740240000000002</v>
      </c>
      <c r="F190" s="10" t="str">
        <f t="shared" si="32"/>
        <v/>
      </c>
      <c r="G190" s="10" t="str">
        <f t="shared" si="33"/>
        <v/>
      </c>
      <c r="H190" s="11" t="str">
        <f t="shared" si="34"/>
        <v/>
      </c>
      <c r="J190" s="64"/>
      <c r="K190" s="64"/>
      <c r="L190" s="370">
        <v>11.23</v>
      </c>
      <c r="M190" s="374">
        <v>6856</v>
      </c>
      <c r="N190" s="369">
        <v>76992.88</v>
      </c>
    </row>
    <row r="191" spans="3:14">
      <c r="C191" s="11" t="str">
        <f t="shared" si="29"/>
        <v/>
      </c>
      <c r="D191" s="11">
        <f t="shared" si="30"/>
        <v>10.38</v>
      </c>
      <c r="E191" s="11">
        <f t="shared" si="31"/>
        <v>4.973058</v>
      </c>
      <c r="F191" s="10" t="str">
        <f t="shared" si="32"/>
        <v/>
      </c>
      <c r="G191" s="10" t="str">
        <f t="shared" si="33"/>
        <v/>
      </c>
      <c r="H191" s="11" t="str">
        <f t="shared" si="34"/>
        <v/>
      </c>
      <c r="J191" s="427">
        <v>20</v>
      </c>
      <c r="K191" s="203" t="s">
        <v>121</v>
      </c>
      <c r="L191" s="370">
        <v>12.56</v>
      </c>
      <c r="M191" s="374">
        <v>2129</v>
      </c>
      <c r="N191" s="369">
        <v>26740.240000000002</v>
      </c>
    </row>
    <row r="192" spans="3:14">
      <c r="C192" s="11" t="str">
        <f t="shared" si="29"/>
        <v>兴业财富资产管理有限公司</v>
      </c>
      <c r="D192" s="11">
        <f t="shared" si="30"/>
        <v>12.7</v>
      </c>
      <c r="E192" s="11">
        <f t="shared" si="31"/>
        <v>2.30124</v>
      </c>
      <c r="F192" s="10" t="str">
        <f t="shared" si="32"/>
        <v/>
      </c>
      <c r="G192" s="10" t="str">
        <f t="shared" si="33"/>
        <v/>
      </c>
      <c r="H192" s="11" t="str">
        <f t="shared" si="34"/>
        <v/>
      </c>
      <c r="J192" s="427"/>
      <c r="K192" s="25"/>
      <c r="L192" s="370">
        <v>10.38</v>
      </c>
      <c r="M192" s="374">
        <v>4791</v>
      </c>
      <c r="N192" s="369">
        <v>49730.58</v>
      </c>
    </row>
    <row r="193" spans="3:14">
      <c r="C193" s="11" t="str">
        <f t="shared" si="29"/>
        <v/>
      </c>
      <c r="D193" s="11">
        <f t="shared" si="30"/>
        <v>11.89</v>
      </c>
      <c r="E193" s="11">
        <f t="shared" si="31"/>
        <v>2.3007150000000003</v>
      </c>
      <c r="F193" s="10" t="str">
        <f t="shared" si="32"/>
        <v/>
      </c>
      <c r="G193" s="10" t="str">
        <f t="shared" si="33"/>
        <v/>
      </c>
      <c r="H193" s="11" t="str">
        <f t="shared" si="34"/>
        <v/>
      </c>
      <c r="J193" s="428">
        <v>21</v>
      </c>
      <c r="K193" s="203" t="s">
        <v>352</v>
      </c>
      <c r="L193" s="370">
        <v>12.7</v>
      </c>
      <c r="M193" s="374">
        <v>1812</v>
      </c>
      <c r="N193" s="369">
        <v>23012.400000000001</v>
      </c>
    </row>
    <row r="194" spans="3:14">
      <c r="C194" s="11" t="str">
        <f t="shared" si="29"/>
        <v/>
      </c>
      <c r="D194" s="11">
        <f t="shared" si="30"/>
        <v>11.3</v>
      </c>
      <c r="E194" s="11">
        <f t="shared" si="31"/>
        <v>2.3006799999999998</v>
      </c>
      <c r="F194" s="10" t="str">
        <f t="shared" si="32"/>
        <v/>
      </c>
      <c r="G194" s="10" t="str">
        <f t="shared" si="33"/>
        <v/>
      </c>
      <c r="H194" s="11" t="str">
        <f t="shared" si="34"/>
        <v/>
      </c>
      <c r="J194" s="25"/>
      <c r="K194" s="25"/>
      <c r="L194" s="370">
        <v>11.89</v>
      </c>
      <c r="M194" s="374">
        <v>1935</v>
      </c>
      <c r="N194" s="369">
        <v>23007.15</v>
      </c>
    </row>
    <row r="195" spans="3:14">
      <c r="C195" s="11" t="str">
        <f t="shared" si="29"/>
        <v>深圳红土创新基金管理有限公司</v>
      </c>
      <c r="D195" s="11">
        <f t="shared" si="30"/>
        <v>13.58</v>
      </c>
      <c r="E195" s="11">
        <f t="shared" si="31"/>
        <v>2.350698</v>
      </c>
      <c r="F195" s="10">
        <f t="shared" si="32"/>
        <v>1778.1376</v>
      </c>
      <c r="G195" s="10">
        <f t="shared" si="33"/>
        <v>2.3506979072000003</v>
      </c>
      <c r="H195" s="11">
        <f t="shared" si="34"/>
        <v>12</v>
      </c>
      <c r="J195" s="64"/>
      <c r="K195" s="64"/>
      <c r="L195" s="370">
        <v>11.3</v>
      </c>
      <c r="M195" s="374">
        <v>2036</v>
      </c>
      <c r="N195" s="369">
        <v>23006.799999999999</v>
      </c>
    </row>
    <row r="196" spans="3:14">
      <c r="C196" s="11" t="str">
        <f t="shared" si="29"/>
        <v>鹏华资产管理有限公司</v>
      </c>
      <c r="D196" s="11">
        <f t="shared" si="30"/>
        <v>13.22</v>
      </c>
      <c r="E196" s="11">
        <f t="shared" si="31"/>
        <v>5.9992359999999998</v>
      </c>
      <c r="F196" s="10">
        <f t="shared" si="32"/>
        <v>4538</v>
      </c>
      <c r="G196" s="10">
        <f t="shared" si="33"/>
        <v>5.9992359999999998</v>
      </c>
      <c r="H196" s="11">
        <f t="shared" si="34"/>
        <v>12</v>
      </c>
      <c r="J196" s="427">
        <v>22</v>
      </c>
      <c r="K196" s="203" t="s">
        <v>2014</v>
      </c>
      <c r="L196" s="427">
        <v>13.58</v>
      </c>
      <c r="M196" s="440">
        <v>1731</v>
      </c>
      <c r="N196" s="429">
        <v>23506.98</v>
      </c>
    </row>
    <row r="197" spans="3:14">
      <c r="C197" s="16" t="s">
        <v>2013</v>
      </c>
      <c r="D197" s="1686" t="str">
        <f>IFERROR(VLOOKUP(C197,Q$161:T$168,2,FALSE)/10000,"")</f>
        <v/>
      </c>
      <c r="E197" s="1687"/>
      <c r="F197" s="1687"/>
      <c r="G197" s="1687"/>
      <c r="H197" s="1688"/>
      <c r="J197" s="370">
        <v>23</v>
      </c>
      <c r="K197" s="203" t="s">
        <v>1650</v>
      </c>
      <c r="L197" s="370">
        <v>13.22</v>
      </c>
      <c r="M197" s="374">
        <v>4538</v>
      </c>
      <c r="N197" s="369">
        <v>59992.36</v>
      </c>
    </row>
    <row r="198" spans="3:14">
      <c r="C198" s="11" t="str">
        <f>Q161</f>
        <v>中兵投资管理有限责任公司</v>
      </c>
      <c r="D198" s="11"/>
      <c r="E198" s="11"/>
      <c r="F198" s="10">
        <f>IFERROR(VLOOKUP(C198,Q$161:T$168,2,FALSE)/10000,"")</f>
        <v>756.42960000000005</v>
      </c>
      <c r="G198" s="10">
        <f>IFERROR(F198*J$158/10000,"")</f>
        <v>0.99999993120000019</v>
      </c>
      <c r="H198" s="11">
        <f>IFERROR(VLOOKUP(C198,Q$161:T$168,4,FALSE),"")</f>
        <v>36</v>
      </c>
      <c r="J198" s="25"/>
      <c r="K198" s="25"/>
      <c r="L198" s="25"/>
      <c r="M198" s="25"/>
      <c r="N198" s="25"/>
    </row>
    <row r="199" spans="3:14">
      <c r="C199" s="11" t="str">
        <f>Q162</f>
        <v>北方置业集团有限公司</v>
      </c>
      <c r="D199" s="11"/>
      <c r="E199" s="11"/>
      <c r="F199" s="10">
        <f>IFERROR(VLOOKUP(C199,Q$161:T$168,2,FALSE)/10000,"")</f>
        <v>226.9288</v>
      </c>
      <c r="G199" s="10">
        <f>IFERROR(F199*J$158/10000,"")</f>
        <v>0.29999987360000002</v>
      </c>
      <c r="H199" s="11">
        <f>IFERROR(VLOOKUP(C199,Q$161:T$168,4,FALSE),"")</f>
        <v>36</v>
      </c>
    </row>
    <row r="200" spans="3:14">
      <c r="C200" s="24" t="str">
        <f>IF(K201=0,"",K201)</f>
        <v/>
      </c>
      <c r="F200" s="24" t="str">
        <f>IFERROR(VLOOKUP(C200,Q$161:T$168,2,FALSE)/10000,"")</f>
        <v/>
      </c>
    </row>
    <row r="201" spans="3:14">
      <c r="C201" s="24" t="str">
        <f>IF(K202=0,"",K202)</f>
        <v/>
      </c>
      <c r="F201" s="24" t="str">
        <f>IFERROR(VLOOKUP(C201,Q$161:T$168,2,FALSE)/10000,"")</f>
        <v/>
      </c>
    </row>
  </sheetData>
  <mergeCells count="2">
    <mergeCell ref="D197:H197"/>
    <mergeCell ref="D151:H151"/>
  </mergeCells>
  <phoneticPr fontId="139" type="noConversion"/>
  <hyperlinks>
    <hyperlink ref="B4" r:id="rId1" xr:uid="{00000000-0004-0000-1500-000000000000}"/>
    <hyperlink ref="B35" r:id="rId2" xr:uid="{00000000-0004-0000-1500-000001000000}"/>
    <hyperlink ref="B48" r:id="rId3" xr:uid="{00000000-0004-0000-1500-000002000000}"/>
    <hyperlink ref="B81" r:id="rId4" xr:uid="{00000000-0004-0000-1500-000003000000}"/>
    <hyperlink ref="B106" r:id="rId5" xr:uid="{00000000-0004-0000-1500-000004000000}"/>
    <hyperlink ref="B130" r:id="rId6" xr:uid="{00000000-0004-0000-1500-000005000000}"/>
    <hyperlink ref="B158" r:id="rId7" xr:uid="{00000000-0004-0000-1500-000006000000}"/>
  </hyperlinks>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
  <sheetViews>
    <sheetView workbookViewId="0"/>
  </sheetViews>
  <sheetFormatPr defaultColWidth="10.6640625" defaultRowHeight="14"/>
  <sheetData/>
  <phoneticPr fontId="13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2016 统一格式</vt:lpstr>
      <vt:lpstr>原始总表</vt:lpstr>
      <vt:lpstr>1-10</vt:lpstr>
      <vt:lpstr>11-20</vt:lpstr>
      <vt:lpstr>21-30</vt:lpstr>
      <vt:lpstr>31-40</vt:lpstr>
      <vt:lpstr>41-50</vt:lpstr>
      <vt:lpstr>51-202</vt:lpstr>
      <vt:lpstr>203-212</vt:lpstr>
      <vt:lpstr>213-222</vt:lpstr>
      <vt:lpstr>223-232</vt:lpstr>
      <vt:lpstr>233-242</vt:lpstr>
      <vt:lpstr>243-252</vt:lpstr>
      <vt:lpstr>253-262</vt:lpstr>
      <vt:lpstr>263-267</vt:lpstr>
      <vt:lpstr>268-277</vt:lpstr>
      <vt:lpstr>278-286</vt:lpstr>
      <vt:lpstr>287-296</vt:lpstr>
      <vt:lpstr>297-306</vt:lpstr>
      <vt:lpstr>307-316</vt:lpstr>
      <vt:lpstr>317-326</vt:lpstr>
      <vt:lpstr>327-333</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林茂政</cp:lastModifiedBy>
  <dcterms:created xsi:type="dcterms:W3CDTF">2020-02-10T16:14:35Z</dcterms:created>
  <dcterms:modified xsi:type="dcterms:W3CDTF">2022-02-21T06:48:00Z</dcterms:modified>
</cp:coreProperties>
</file>