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\MATLAB\anew\Experimental validation\"/>
    </mc:Choice>
  </mc:AlternateContent>
  <bookViews>
    <workbookView xWindow="480" yWindow="72" windowWidth="10380" windowHeight="5772"/>
  </bookViews>
  <sheets>
    <sheet name="Tension" sheetId="3584" r:id="rId1"/>
    <sheet name="Torsion" sheetId="1" r:id="rId2"/>
    <sheet name="Chg_Moyenne" sheetId="2" r:id="rId3"/>
    <sheet name="Chg_VR" sheetId="3" r:id="rId4"/>
  </sheets>
  <definedNames>
    <definedName name="genehunt_adj" localSheetId="0" hidden="1">Tension!$B$2:$B$4,Tension!$I$2</definedName>
    <definedName name="genehunt_adj" localSheetId="1" hidden="1">Torsion!$B$2:$B$4</definedName>
    <definedName name="genehunt_apr" localSheetId="0" hidden="1">75</definedName>
    <definedName name="genehunt_apr" localSheetId="1" hidden="1">75</definedName>
    <definedName name="genehunt_chc" localSheetId="0" hidden="1">1</definedName>
    <definedName name="genehunt_chc" localSheetId="1" hidden="1">1</definedName>
    <definedName name="genehunt_chd" localSheetId="0" hidden="1">-4146</definedName>
    <definedName name="genehunt_chd" localSheetId="1" hidden="1">-4146</definedName>
    <definedName name="genehunt_che" localSheetId="0" hidden="1">1</definedName>
    <definedName name="genehunt_che" localSheetId="1" hidden="1">1</definedName>
    <definedName name="genehunt_cht" localSheetId="0" hidden="1">-4146</definedName>
    <definedName name="genehunt_cht" localSheetId="1" hidden="1">-4146</definedName>
    <definedName name="genehunt_chu" localSheetId="0" hidden="1">3</definedName>
    <definedName name="genehunt_chu" localSheetId="1" hidden="1">3</definedName>
    <definedName name="genehunt_clm" localSheetId="0" hidden="1">500</definedName>
    <definedName name="genehunt_clm" localSheetId="1" hidden="1">500</definedName>
    <definedName name="genehunt_cns1" localSheetId="0" hidden="1">0</definedName>
    <definedName name="genehunt_cns1" localSheetId="1" hidden="1">0.01</definedName>
    <definedName name="genehunt_crp" localSheetId="0" hidden="1">1</definedName>
    <definedName name="genehunt_crp" localSheetId="1" hidden="1">1</definedName>
    <definedName name="genehunt_crs" localSheetId="0">0.9</definedName>
    <definedName name="genehunt_crs" localSheetId="1">0.9</definedName>
    <definedName name="genehunt_cse" localSheetId="0" hidden="1">1</definedName>
    <definedName name="genehunt_cse" localSheetId="1" hidden="1">1</definedName>
    <definedName name="genehunt_csg" localSheetId="0" hidden="1">1</definedName>
    <definedName name="genehunt_csg" localSheetId="1" hidden="1">1</definedName>
    <definedName name="genehunt_fnc" localSheetId="0" hidden="1">0</definedName>
    <definedName name="genehunt_fnc" localSheetId="1" hidden="1">0</definedName>
    <definedName name="genehunt_ggp" localSheetId="0" hidden="1">0.98</definedName>
    <definedName name="genehunt_ggp" localSheetId="1" hidden="1">0.98</definedName>
    <definedName name="genehunt_grs" localSheetId="0" hidden="1">3</definedName>
    <definedName name="genehunt_grs" localSheetId="1" hidden="1">3</definedName>
    <definedName name="genehunt_ich" localSheetId="0" hidden="1">Empty</definedName>
    <definedName name="genehunt_ich" localSheetId="1" hidden="1">Empty</definedName>
    <definedName name="genehunt_int" localSheetId="0" hidden="1">-4146</definedName>
    <definedName name="genehunt_int" localSheetId="1" hidden="1">-4146</definedName>
    <definedName name="genehunt_ipr1" localSheetId="0" hidden="1">1</definedName>
    <definedName name="genehunt_ipr1" localSheetId="1" hidden="1">1</definedName>
    <definedName name="genehunt_mth" localSheetId="0" hidden="1">1</definedName>
    <definedName name="genehunt_mth" localSheetId="1" hidden="1">1</definedName>
    <definedName name="genehunt_mut" localSheetId="0" hidden="1">0.01</definedName>
    <definedName name="genehunt_mut" localSheetId="1" hidden="1">0.01</definedName>
    <definedName name="genehunt_ncn" localSheetId="0" hidden="1">1</definedName>
    <definedName name="genehunt_ncn" localSheetId="1" hidden="1">1</definedName>
    <definedName name="genehunt_nsc" localSheetId="0" hidden="1">1</definedName>
    <definedName name="genehunt_nsc" localSheetId="1" hidden="1">1</definedName>
    <definedName name="genehunt_nus" localSheetId="0" hidden="1">10</definedName>
    <definedName name="genehunt_nus" localSheetId="1" hidden="1">10</definedName>
    <definedName name="genehunt_psz" localSheetId="0" hidden="1">100</definedName>
    <definedName name="genehunt_psz" localSheetId="1" hidden="1">100</definedName>
    <definedName name="genehunt_rcn1" localSheetId="0" hidden="1">6</definedName>
    <definedName name="genehunt_rcn1" localSheetId="1" hidden="1">2</definedName>
    <definedName name="genehunt_rcn2" localSheetId="0" hidden="1">4</definedName>
    <definedName name="genehunt_rcn2" localSheetId="1" hidden="1">0.5</definedName>
    <definedName name="genehunt_rcn3" localSheetId="0" hidden="1">2</definedName>
    <definedName name="genehunt_rcn3" localSheetId="1" hidden="1">40000</definedName>
    <definedName name="genehunt_rcn4" localSheetId="0" hidden="1">0.95</definedName>
    <definedName name="genehunt_rcn4" localSheetId="1" hidden="1">20000</definedName>
    <definedName name="genehunt_rcn5" localSheetId="0" hidden="1">20000</definedName>
    <definedName name="genehunt_rcn5" localSheetId="1" hidden="1">4</definedName>
    <definedName name="genehunt_rcn6" localSheetId="0" hidden="1">15000</definedName>
    <definedName name="genehunt_rcn6" localSheetId="1" hidden="1">2</definedName>
    <definedName name="genehunt_rcn7" localSheetId="0" hidden="1">1.25</definedName>
    <definedName name="genehunt_rcn8" localSheetId="0" hidden="1">0.5</definedName>
    <definedName name="genehunt_ref1" localSheetId="0" hidden="1">Tension!$I$3</definedName>
    <definedName name="genehunt_ref1" localSheetId="1" hidden="1">Torsion!#REF!</definedName>
    <definedName name="genehunt_rel1" localSheetId="0" hidden="1">2</definedName>
    <definedName name="genehunt_rel1" localSheetId="1" hidden="1">1</definedName>
    <definedName name="genehunt_rnc" localSheetId="0" hidden="1">8</definedName>
    <definedName name="genehunt_rnc" localSheetId="1" hidden="1">6</definedName>
    <definedName name="genehunt_rng1" localSheetId="0" hidden="1">FALSE</definedName>
    <definedName name="genehunt_rng1" localSheetId="1" hidden="1">FALSE</definedName>
    <definedName name="genehunt_rre1" localSheetId="0" hidden="1">Tension!$B$2</definedName>
    <definedName name="genehunt_rre1" localSheetId="1" hidden="1">Torsion!$B$3</definedName>
    <definedName name="genehunt_rre2" localSheetId="0" hidden="1">Tension!$B$2</definedName>
    <definedName name="genehunt_rre2" localSheetId="1" hidden="1">Torsion!$B$3</definedName>
    <definedName name="genehunt_rre3" localSheetId="0" hidden="1">Tension!$B$3</definedName>
    <definedName name="genehunt_rre3" localSheetId="1" hidden="1">Torsion!$B$4</definedName>
    <definedName name="genehunt_rre4" localSheetId="0" hidden="1">Tension!$B$3</definedName>
    <definedName name="genehunt_rre4" localSheetId="1" hidden="1">Torsion!$B$4</definedName>
    <definedName name="genehunt_rre5" localSheetId="0" hidden="1">Tension!$B$4</definedName>
    <definedName name="genehunt_rre5" localSheetId="1" hidden="1">Torsion!$B$2</definedName>
    <definedName name="genehunt_rre6" localSheetId="0" hidden="1">Tension!$B$4</definedName>
    <definedName name="genehunt_rre6" localSheetId="1" hidden="1">Torsion!$B$2</definedName>
    <definedName name="genehunt_rre7" localSheetId="0" hidden="1">Tension!$I$2</definedName>
    <definedName name="genehunt_rre8" localSheetId="0" hidden="1">Tension!$I$2</definedName>
    <definedName name="genehunt_rrn1" localSheetId="0" hidden="1">FALSE</definedName>
    <definedName name="genehunt_rrn1" localSheetId="1" hidden="1">FALSE</definedName>
    <definedName name="genehunt_rrn2" localSheetId="0" hidden="1">FALSE</definedName>
    <definedName name="genehunt_rrn2" localSheetId="1" hidden="1">FALSE</definedName>
    <definedName name="genehunt_rrn3" localSheetId="0" hidden="1">FALSE</definedName>
    <definedName name="genehunt_rrn3" localSheetId="1" hidden="1">FALSE</definedName>
    <definedName name="genehunt_rrn4" localSheetId="0" hidden="1">FALSE</definedName>
    <definedName name="genehunt_rrn4" localSheetId="1" hidden="1">FALSE</definedName>
    <definedName name="genehunt_rrn5" localSheetId="0" hidden="1">FALSE</definedName>
    <definedName name="genehunt_rrn5" localSheetId="1" hidden="1">FALSE</definedName>
    <definedName name="genehunt_rrn6" localSheetId="0" hidden="1">FALSE</definedName>
    <definedName name="genehunt_rrn6" localSheetId="1" hidden="1">FALSE</definedName>
    <definedName name="genehunt_rrn7" localSheetId="0" hidden="1">FALSE</definedName>
    <definedName name="genehunt_rrn8" localSheetId="0" hidden="1">FALSE</definedName>
    <definedName name="genehunt_rsn1" localSheetId="0" hidden="1">1</definedName>
    <definedName name="genehunt_rsn1" localSheetId="1" hidden="1">1</definedName>
    <definedName name="genehunt_rsn2" localSheetId="0" hidden="1">2</definedName>
    <definedName name="genehunt_rsn2" localSheetId="1" hidden="1">2</definedName>
    <definedName name="genehunt_rsn3" localSheetId="0" hidden="1">1</definedName>
    <definedName name="genehunt_rsn3" localSheetId="1" hidden="1">1</definedName>
    <definedName name="genehunt_rsn4" localSheetId="0" hidden="1">2</definedName>
    <definedName name="genehunt_rsn4" localSheetId="1" hidden="1">2</definedName>
    <definedName name="genehunt_rsn5" localSheetId="0" hidden="1">1</definedName>
    <definedName name="genehunt_rsn5" localSheetId="1" hidden="1">1</definedName>
    <definedName name="genehunt_rsn6" localSheetId="0" hidden="1">2</definedName>
    <definedName name="genehunt_rsn6" localSheetId="1" hidden="1">2</definedName>
    <definedName name="genehunt_rsn7" localSheetId="0" hidden="1">1</definedName>
    <definedName name="genehunt_rsn8" localSheetId="0" hidden="1">2</definedName>
    <definedName name="genehunt_sed" localSheetId="0" hidden="1">10</definedName>
    <definedName name="genehunt_sed" localSheetId="1" hidden="1">1</definedName>
    <definedName name="genehunt_stg" localSheetId="0" hidden="1">-4146</definedName>
    <definedName name="genehunt_stg" localSheetId="1" hidden="1">-4146</definedName>
    <definedName name="genehunt_swl" localSheetId="0" hidden="1">1</definedName>
    <definedName name="genehunt_swl" localSheetId="1" hidden="1">1</definedName>
    <definedName name="genehunt_swt" localSheetId="0" hidden="1">3</definedName>
    <definedName name="genehunt_swt" localSheetId="1" hidden="1">3</definedName>
    <definedName name="genehunt_tlm" localSheetId="0" hidden="1">30</definedName>
    <definedName name="genehunt_tlm" localSheetId="1" hidden="1">30</definedName>
    <definedName name="genehunt_tol1" localSheetId="0" hidden="1">0</definedName>
    <definedName name="genehunt_tol1" localSheetId="1" hidden="1">0</definedName>
    <definedName name="genehunt_trg" localSheetId="0" hidden="1">Tension!$L$17</definedName>
    <definedName name="genehunt_trg" localSheetId="1" hidden="1">Torsion!#REF!</definedName>
    <definedName name="genehunt_typ" localSheetId="0" hidden="1">1</definedName>
    <definedName name="genehunt_typ" localSheetId="1" hidden="1">1</definedName>
    <definedName name="genehunt_val" localSheetId="0" hidden="1">0</definedName>
    <definedName name="genehunt_val" localSheetId="1" hidden="1">0</definedName>
  </definedNames>
  <calcPr calcId="162913" iterateDelta="1E-4"/>
</workbook>
</file>

<file path=xl/calcChain.xml><?xml version="1.0" encoding="utf-8"?>
<calcChain xmlns="http://schemas.openxmlformats.org/spreadsheetml/2006/main">
  <c r="K28" i="3" l="1"/>
  <c r="C8" i="2" l="1"/>
  <c r="C8" i="1"/>
  <c r="C7" i="3584"/>
  <c r="M3" i="2" l="1"/>
  <c r="N7" i="2"/>
  <c r="C7" i="2"/>
  <c r="A7" i="2"/>
  <c r="D7" i="2"/>
  <c r="E7" i="2"/>
  <c r="I7" i="2"/>
  <c r="F7" i="2"/>
  <c r="H7" i="2"/>
  <c r="N8" i="2"/>
  <c r="C9" i="2"/>
  <c r="A9" i="2"/>
  <c r="C10" i="2"/>
  <c r="A10" i="2"/>
  <c r="C11" i="2"/>
  <c r="A11" i="2"/>
  <c r="G11" i="2"/>
  <c r="C12" i="2"/>
  <c r="A12" i="2"/>
  <c r="G12" i="2"/>
  <c r="N12" i="2"/>
  <c r="C13" i="2"/>
  <c r="A13" i="2"/>
  <c r="F13" i="2"/>
  <c r="H13" i="2"/>
  <c r="J13" i="2"/>
  <c r="K13" i="2"/>
  <c r="L13" i="2"/>
  <c r="C14" i="2"/>
  <c r="A14" i="2"/>
  <c r="D14" i="2"/>
  <c r="N14" i="2"/>
  <c r="C15" i="2"/>
  <c r="C16" i="2"/>
  <c r="A16" i="2"/>
  <c r="N16" i="2"/>
  <c r="C17" i="2"/>
  <c r="F17" i="2"/>
  <c r="H17" i="2"/>
  <c r="A17" i="2"/>
  <c r="G17" i="2"/>
  <c r="J17" i="2"/>
  <c r="K17" i="2"/>
  <c r="L17" i="2"/>
  <c r="C18" i="2"/>
  <c r="A18" i="2"/>
  <c r="C19" i="2"/>
  <c r="A19" i="2"/>
  <c r="D19" i="2"/>
  <c r="E19" i="2"/>
  <c r="F19" i="2"/>
  <c r="H19" i="2"/>
  <c r="C20" i="2"/>
  <c r="A20" i="2"/>
  <c r="D20" i="2"/>
  <c r="E20" i="2"/>
  <c r="I20" i="2"/>
  <c r="N20" i="2"/>
  <c r="C21" i="2"/>
  <c r="A21" i="2"/>
  <c r="F21" i="2"/>
  <c r="H21" i="2"/>
  <c r="N21" i="2"/>
  <c r="C22" i="2"/>
  <c r="A22" i="2"/>
  <c r="G22" i="2"/>
  <c r="N22" i="2"/>
  <c r="C23" i="2"/>
  <c r="A23" i="2"/>
  <c r="G23" i="2"/>
  <c r="F23" i="2"/>
  <c r="H23" i="2"/>
  <c r="N23" i="2"/>
  <c r="C24" i="2"/>
  <c r="A24" i="2"/>
  <c r="D24" i="2"/>
  <c r="E24" i="2"/>
  <c r="N24" i="2"/>
  <c r="C25" i="2"/>
  <c r="A25" i="2"/>
  <c r="D25" i="2"/>
  <c r="E25" i="2"/>
  <c r="I25" i="2"/>
  <c r="F25" i="2"/>
  <c r="H25" i="2"/>
  <c r="N25" i="2"/>
  <c r="C26" i="2"/>
  <c r="A26" i="2"/>
  <c r="N26" i="2"/>
  <c r="C27" i="2"/>
  <c r="A27" i="2"/>
  <c r="G27" i="2"/>
  <c r="F27" i="2"/>
  <c r="H27" i="2"/>
  <c r="N27" i="2"/>
  <c r="C28" i="2"/>
  <c r="A28" i="2"/>
  <c r="N28" i="2"/>
  <c r="C29" i="2"/>
  <c r="A29" i="2"/>
  <c r="D29" i="2"/>
  <c r="E29" i="2"/>
  <c r="I29" i="2"/>
  <c r="F29" i="2"/>
  <c r="H29" i="2"/>
  <c r="N29" i="2"/>
  <c r="C30" i="2"/>
  <c r="A30" i="2"/>
  <c r="D30" i="2"/>
  <c r="E30" i="2"/>
  <c r="N30" i="2"/>
  <c r="C31" i="2"/>
  <c r="A31" i="2"/>
  <c r="G31" i="2"/>
  <c r="F31" i="2"/>
  <c r="H31" i="2"/>
  <c r="N31" i="2"/>
  <c r="C32" i="2"/>
  <c r="A32" i="2"/>
  <c r="C33" i="2"/>
  <c r="A33" i="2"/>
  <c r="F33" i="2"/>
  <c r="H33" i="2"/>
  <c r="C34" i="2"/>
  <c r="A34" i="2"/>
  <c r="F34" i="2"/>
  <c r="H34" i="2"/>
  <c r="C35" i="2"/>
  <c r="F35" i="2"/>
  <c r="H35" i="2"/>
  <c r="C36" i="2"/>
  <c r="C37" i="2"/>
  <c r="F37" i="2"/>
  <c r="C38" i="2"/>
  <c r="A38" i="2"/>
  <c r="G38" i="2"/>
  <c r="F38" i="2"/>
  <c r="D38" i="2"/>
  <c r="E38" i="2"/>
  <c r="I38" i="2"/>
  <c r="A39" i="2"/>
  <c r="G39" i="2"/>
  <c r="C39" i="2"/>
  <c r="F39" i="2"/>
  <c r="C40" i="2"/>
  <c r="C41" i="2"/>
  <c r="A41" i="2"/>
  <c r="C42" i="2"/>
  <c r="A42" i="2"/>
  <c r="F42" i="2"/>
  <c r="H42" i="2"/>
  <c r="C43" i="2"/>
  <c r="C44" i="2"/>
  <c r="A44" i="2"/>
  <c r="F44" i="2"/>
  <c r="H44" i="2"/>
  <c r="C45" i="2"/>
  <c r="A45" i="2"/>
  <c r="G45" i="2"/>
  <c r="F45" i="2"/>
  <c r="H45" i="2"/>
  <c r="A46" i="2"/>
  <c r="C46" i="2"/>
  <c r="F46" i="2"/>
  <c r="H46" i="2"/>
  <c r="G13" i="3"/>
  <c r="I13" i="3"/>
  <c r="J13" i="3"/>
  <c r="K13" i="3"/>
  <c r="L13" i="3"/>
  <c r="N13" i="3"/>
  <c r="G14" i="3"/>
  <c r="I14" i="3"/>
  <c r="J14" i="3"/>
  <c r="K14" i="3"/>
  <c r="L14" i="3"/>
  <c r="N14" i="3"/>
  <c r="G15" i="3"/>
  <c r="I15" i="3"/>
  <c r="J15" i="3"/>
  <c r="K15" i="3"/>
  <c r="L15" i="3"/>
  <c r="N15" i="3"/>
  <c r="G16" i="3"/>
  <c r="I16" i="3"/>
  <c r="J16" i="3"/>
  <c r="K16" i="3"/>
  <c r="L16" i="3"/>
  <c r="N16" i="3"/>
  <c r="G17" i="3"/>
  <c r="I17" i="3"/>
  <c r="J17" i="3"/>
  <c r="K17" i="3"/>
  <c r="L17" i="3"/>
  <c r="N17" i="3"/>
  <c r="G18" i="3"/>
  <c r="I18" i="3"/>
  <c r="J18" i="3"/>
  <c r="K18" i="3"/>
  <c r="L18" i="3"/>
  <c r="N18" i="3"/>
  <c r="G19" i="3"/>
  <c r="I19" i="3"/>
  <c r="J19" i="3"/>
  <c r="K19" i="3"/>
  <c r="L19" i="3"/>
  <c r="N19" i="3"/>
  <c r="G20" i="3"/>
  <c r="I20" i="3"/>
  <c r="J20" i="3"/>
  <c r="K20" i="3"/>
  <c r="L20" i="3"/>
  <c r="N20" i="3"/>
  <c r="G21" i="3"/>
  <c r="I21" i="3"/>
  <c r="J21" i="3"/>
  <c r="K21" i="3"/>
  <c r="L21" i="3"/>
  <c r="N21" i="3"/>
  <c r="G22" i="3"/>
  <c r="I22" i="3"/>
  <c r="J22" i="3"/>
  <c r="K22" i="3"/>
  <c r="L22" i="3"/>
  <c r="N22" i="3"/>
  <c r="G23" i="3"/>
  <c r="I23" i="3"/>
  <c r="J23" i="3"/>
  <c r="K23" i="3"/>
  <c r="L23" i="3"/>
  <c r="N23" i="3"/>
  <c r="G24" i="3"/>
  <c r="I24" i="3"/>
  <c r="J24" i="3"/>
  <c r="K24" i="3"/>
  <c r="L24" i="3"/>
  <c r="N24" i="3"/>
  <c r="G25" i="3"/>
  <c r="I25" i="3"/>
  <c r="J25" i="3"/>
  <c r="K25" i="3"/>
  <c r="L25" i="3"/>
  <c r="N25" i="3"/>
  <c r="G26" i="3"/>
  <c r="I26" i="3"/>
  <c r="J26" i="3"/>
  <c r="K26" i="3"/>
  <c r="L26" i="3"/>
  <c r="N26" i="3"/>
  <c r="G27" i="3"/>
  <c r="I27" i="3"/>
  <c r="J27" i="3"/>
  <c r="K27" i="3"/>
  <c r="L27" i="3"/>
  <c r="N27" i="3"/>
  <c r="G28" i="3"/>
  <c r="I28" i="3"/>
  <c r="J28" i="3"/>
  <c r="L28" i="3"/>
  <c r="N28" i="3"/>
  <c r="G29" i="3"/>
  <c r="I29" i="3"/>
  <c r="J29" i="3"/>
  <c r="K29" i="3"/>
  <c r="L29" i="3"/>
  <c r="N29" i="3"/>
  <c r="G30" i="3"/>
  <c r="I30" i="3"/>
  <c r="J30" i="3"/>
  <c r="K30" i="3"/>
  <c r="L30" i="3"/>
  <c r="N30" i="3"/>
  <c r="G31" i="3"/>
  <c r="I31" i="3"/>
  <c r="J31" i="3"/>
  <c r="K31" i="3"/>
  <c r="L31" i="3"/>
  <c r="N31" i="3"/>
  <c r="G32" i="3"/>
  <c r="I32" i="3"/>
  <c r="J32" i="3"/>
  <c r="K32" i="3"/>
  <c r="L32" i="3"/>
  <c r="N32" i="3"/>
  <c r="G33" i="3"/>
  <c r="I33" i="3"/>
  <c r="J33" i="3"/>
  <c r="K33" i="3"/>
  <c r="L33" i="3"/>
  <c r="N33" i="3"/>
  <c r="G34" i="3"/>
  <c r="I34" i="3"/>
  <c r="J34" i="3"/>
  <c r="K34" i="3"/>
  <c r="L34" i="3"/>
  <c r="N34" i="3"/>
  <c r="G35" i="3"/>
  <c r="I35" i="3"/>
  <c r="J35" i="3"/>
  <c r="K35" i="3"/>
  <c r="L35" i="3"/>
  <c r="N35" i="3"/>
  <c r="G36" i="3"/>
  <c r="I36" i="3"/>
  <c r="J36" i="3"/>
  <c r="K36" i="3"/>
  <c r="L36" i="3"/>
  <c r="N36" i="3"/>
  <c r="G37" i="3"/>
  <c r="I37" i="3"/>
  <c r="J37" i="3"/>
  <c r="K37" i="3"/>
  <c r="L37" i="3"/>
  <c r="N37" i="3"/>
  <c r="G38" i="3"/>
  <c r="I38" i="3"/>
  <c r="J38" i="3"/>
  <c r="K38" i="3"/>
  <c r="L38" i="3"/>
  <c r="N38" i="3"/>
  <c r="G39" i="3"/>
  <c r="I39" i="3"/>
  <c r="J39" i="3"/>
  <c r="K39" i="3"/>
  <c r="L39" i="3"/>
  <c r="N39" i="3"/>
  <c r="G40" i="3"/>
  <c r="I40" i="3"/>
  <c r="J40" i="3"/>
  <c r="K40" i="3"/>
  <c r="L40" i="3"/>
  <c r="N40" i="3"/>
  <c r="G41" i="3"/>
  <c r="I41" i="3"/>
  <c r="J41" i="3"/>
  <c r="K41" i="3"/>
  <c r="L41" i="3"/>
  <c r="N41" i="3"/>
  <c r="G42" i="3"/>
  <c r="I42" i="3"/>
  <c r="J42" i="3"/>
  <c r="K42" i="3"/>
  <c r="L42" i="3"/>
  <c r="N42" i="3"/>
  <c r="G43" i="3"/>
  <c r="I43" i="3"/>
  <c r="J43" i="3"/>
  <c r="K43" i="3"/>
  <c r="L43" i="3"/>
  <c r="N43" i="3"/>
  <c r="G44" i="3"/>
  <c r="I44" i="3"/>
  <c r="J44" i="3"/>
  <c r="K44" i="3"/>
  <c r="L44" i="3"/>
  <c r="N44" i="3"/>
  <c r="G45" i="3"/>
  <c r="I45" i="3"/>
  <c r="J45" i="3"/>
  <c r="K45" i="3"/>
  <c r="L45" i="3"/>
  <c r="N45" i="3"/>
  <c r="G46" i="3"/>
  <c r="I46" i="3"/>
  <c r="J46" i="3"/>
  <c r="K46" i="3"/>
  <c r="L46" i="3"/>
  <c r="N46" i="3"/>
  <c r="G47" i="3"/>
  <c r="I47" i="3"/>
  <c r="J47" i="3"/>
  <c r="K47" i="3"/>
  <c r="L47" i="3"/>
  <c r="N47" i="3"/>
  <c r="I3" i="3584"/>
  <c r="G7" i="3584"/>
  <c r="I7" i="3584"/>
  <c r="F7" i="3584"/>
  <c r="C8" i="3584"/>
  <c r="F8" i="3584"/>
  <c r="C9" i="3584"/>
  <c r="G9" i="3584"/>
  <c r="C10" i="3584"/>
  <c r="F10" i="3584"/>
  <c r="G10" i="3584"/>
  <c r="I10" i="3584"/>
  <c r="J10" i="3584"/>
  <c r="K10" i="3584"/>
  <c r="L10" i="3584" s="1"/>
  <c r="C11" i="3584"/>
  <c r="G11" i="3584"/>
  <c r="C12" i="3584"/>
  <c r="F12" i="3584"/>
  <c r="G12" i="3584"/>
  <c r="C13" i="3584"/>
  <c r="G13" i="3584"/>
  <c r="C14" i="3584"/>
  <c r="G14" i="3584"/>
  <c r="H14" i="3584"/>
  <c r="C15" i="3584"/>
  <c r="F15" i="3584"/>
  <c r="G15" i="3584"/>
  <c r="H15" i="3584"/>
  <c r="C16" i="3584"/>
  <c r="F16" i="3584"/>
  <c r="C7" i="1"/>
  <c r="E7" i="1" s="1"/>
  <c r="F7" i="1" s="1"/>
  <c r="G7" i="1" s="1"/>
  <c r="E8" i="1"/>
  <c r="F8" i="1" s="1"/>
  <c r="G8" i="1" s="1"/>
  <c r="C9" i="1"/>
  <c r="E9" i="1" s="1"/>
  <c r="F9" i="1" s="1"/>
  <c r="G9" i="1" s="1"/>
  <c r="C10" i="1"/>
  <c r="E10" i="1" s="1"/>
  <c r="F10" i="1" s="1"/>
  <c r="G10" i="1" s="1"/>
  <c r="C11" i="1"/>
  <c r="E11" i="1"/>
  <c r="F11" i="1"/>
  <c r="G11" i="1" s="1"/>
  <c r="C12" i="1"/>
  <c r="E12" i="1" s="1"/>
  <c r="F12" i="1" s="1"/>
  <c r="G12" i="1" s="1"/>
  <c r="C13" i="1"/>
  <c r="E13" i="1" s="1"/>
  <c r="F13" i="1" s="1"/>
  <c r="G13" i="1" s="1"/>
  <c r="C14" i="1"/>
  <c r="E14" i="1"/>
  <c r="F14" i="1"/>
  <c r="G14" i="1"/>
  <c r="C15" i="1"/>
  <c r="E15" i="1" s="1"/>
  <c r="F15" i="1" s="1"/>
  <c r="G15" i="1" s="1"/>
  <c r="C16" i="1"/>
  <c r="E16" i="1" s="1"/>
  <c r="F16" i="1" s="1"/>
  <c r="G16" i="1" s="1"/>
  <c r="G21" i="2"/>
  <c r="D21" i="2"/>
  <c r="E21" i="2"/>
  <c r="I21" i="2"/>
  <c r="I24" i="2"/>
  <c r="G24" i="2"/>
  <c r="J24" i="2"/>
  <c r="K24" i="2"/>
  <c r="L24" i="2"/>
  <c r="D12" i="2"/>
  <c r="E12" i="2"/>
  <c r="I12" i="2"/>
  <c r="G19" i="2"/>
  <c r="I19" i="2"/>
  <c r="I15" i="3584"/>
  <c r="I11" i="3584"/>
  <c r="H11" i="3584"/>
  <c r="J11" i="3584"/>
  <c r="K11" i="3584"/>
  <c r="L11" i="3584"/>
  <c r="I30" i="2"/>
  <c r="G30" i="2"/>
  <c r="G25" i="2"/>
  <c r="D22" i="2"/>
  <c r="E22" i="2"/>
  <c r="I22" i="2"/>
  <c r="G13" i="2"/>
  <c r="D13" i="2"/>
  <c r="E13" i="2"/>
  <c r="I13" i="2"/>
  <c r="J38" i="2"/>
  <c r="K38" i="2"/>
  <c r="L38" i="2"/>
  <c r="I13" i="3584"/>
  <c r="H13" i="3584"/>
  <c r="J13" i="3584" s="1"/>
  <c r="K13" i="3584" s="1"/>
  <c r="L13" i="3584" s="1"/>
  <c r="G29" i="2"/>
  <c r="J29" i="2"/>
  <c r="K29" i="2"/>
  <c r="L29" i="2"/>
  <c r="D45" i="2"/>
  <c r="E45" i="2"/>
  <c r="I45" i="2"/>
  <c r="G7" i="2"/>
  <c r="J7" i="2"/>
  <c r="K7" i="2"/>
  <c r="L7" i="2"/>
  <c r="D31" i="2"/>
  <c r="E31" i="2"/>
  <c r="I31" i="2"/>
  <c r="D23" i="2"/>
  <c r="E23" i="2"/>
  <c r="I23" i="2"/>
  <c r="G20" i="2"/>
  <c r="D17" i="2"/>
  <c r="E17" i="2"/>
  <c r="I17" i="2"/>
  <c r="D41" i="2"/>
  <c r="E41" i="2"/>
  <c r="I41" i="2"/>
  <c r="G41" i="2"/>
  <c r="D34" i="2"/>
  <c r="E34" i="2"/>
  <c r="I34" i="2"/>
  <c r="J34" i="2"/>
  <c r="K34" i="2"/>
  <c r="L34" i="2"/>
  <c r="G34" i="2"/>
  <c r="E14" i="2"/>
  <c r="I14" i="2"/>
  <c r="J14" i="2"/>
  <c r="K14" i="2"/>
  <c r="L14" i="2"/>
  <c r="G14" i="2"/>
  <c r="D11" i="2"/>
  <c r="E11" i="2"/>
  <c r="I11" i="2"/>
  <c r="J39" i="2"/>
  <c r="K39" i="2"/>
  <c r="L39" i="2"/>
  <c r="D26" i="2"/>
  <c r="E26" i="2"/>
  <c r="I26" i="2"/>
  <c r="G26" i="2"/>
  <c r="F11" i="3584"/>
  <c r="H10" i="3584"/>
  <c r="E10" i="3584" s="1"/>
  <c r="F41" i="2"/>
  <c r="H41" i="2"/>
  <c r="F32" i="2"/>
  <c r="H32" i="2"/>
  <c r="F30" i="2"/>
  <c r="H30" i="2"/>
  <c r="F28" i="2"/>
  <c r="H28" i="2"/>
  <c r="F26" i="2"/>
  <c r="H26" i="2"/>
  <c r="F24" i="2"/>
  <c r="H24" i="2"/>
  <c r="F22" i="2"/>
  <c r="H22" i="2"/>
  <c r="F20" i="2"/>
  <c r="H20" i="2"/>
  <c r="F18" i="2"/>
  <c r="H18" i="2"/>
  <c r="F16" i="2"/>
  <c r="H16" i="2"/>
  <c r="F14" i="2"/>
  <c r="H14" i="2"/>
  <c r="F12" i="2"/>
  <c r="H12" i="2"/>
  <c r="F13" i="3584"/>
  <c r="D39" i="2"/>
  <c r="E39" i="2"/>
  <c r="I39" i="2"/>
  <c r="N19" i="2"/>
  <c r="N17" i="2"/>
  <c r="N15" i="2"/>
  <c r="N13" i="2"/>
  <c r="N11" i="2"/>
  <c r="N9" i="2"/>
  <c r="E11" i="3584"/>
  <c r="J12" i="2"/>
  <c r="K12" i="2"/>
  <c r="L12" i="2"/>
  <c r="J21" i="2"/>
  <c r="K21" i="2"/>
  <c r="L21" i="2"/>
  <c r="J30" i="2"/>
  <c r="K30" i="2"/>
  <c r="L30" i="2"/>
  <c r="D10" i="2"/>
  <c r="E10" i="2"/>
  <c r="I10" i="2"/>
  <c r="G10" i="2"/>
  <c r="J10" i="2"/>
  <c r="K10" i="2"/>
  <c r="L10" i="2"/>
  <c r="D33" i="2"/>
  <c r="E33" i="2"/>
  <c r="I33" i="2"/>
  <c r="G33" i="2"/>
  <c r="F10" i="2"/>
  <c r="H10" i="2"/>
  <c r="G44" i="2"/>
  <c r="D44" i="2"/>
  <c r="E44" i="2"/>
  <c r="I44" i="2"/>
  <c r="G32" i="2"/>
  <c r="J32" i="2"/>
  <c r="K32" i="2"/>
  <c r="L32" i="2"/>
  <c r="D32" i="2"/>
  <c r="E32" i="2"/>
  <c r="I32" i="2"/>
  <c r="J23" i="2"/>
  <c r="K23" i="2"/>
  <c r="L23" i="2"/>
  <c r="G9" i="2"/>
  <c r="J9" i="2"/>
  <c r="K9" i="2"/>
  <c r="L9" i="2"/>
  <c r="D9" i="2"/>
  <c r="E9" i="2"/>
  <c r="I9" i="2"/>
  <c r="F43" i="2"/>
  <c r="H43" i="2"/>
  <c r="A43" i="2"/>
  <c r="J20" i="2"/>
  <c r="K20" i="2"/>
  <c r="L20" i="2"/>
  <c r="D46" i="2"/>
  <c r="E46" i="2"/>
  <c r="I46" i="2"/>
  <c r="G46" i="2"/>
  <c r="J46" i="2"/>
  <c r="K46" i="2"/>
  <c r="L46" i="2"/>
  <c r="D16" i="2"/>
  <c r="E16" i="2"/>
  <c r="I16" i="2"/>
  <c r="G16" i="2"/>
  <c r="J22" i="2"/>
  <c r="K22" i="2"/>
  <c r="L22" i="2"/>
  <c r="F15" i="2"/>
  <c r="H15" i="2"/>
  <c r="A15" i="2"/>
  <c r="E13" i="3584"/>
  <c r="I12" i="3584"/>
  <c r="H12" i="3584"/>
  <c r="J12" i="3584" s="1"/>
  <c r="K12" i="3584" s="1"/>
  <c r="L12" i="3584" s="1"/>
  <c r="F40" i="2"/>
  <c r="H40" i="2"/>
  <c r="A40" i="2"/>
  <c r="F8" i="2"/>
  <c r="H8" i="2"/>
  <c r="A8" i="2"/>
  <c r="J41" i="2"/>
  <c r="K41" i="2"/>
  <c r="L41" i="2"/>
  <c r="J19" i="2"/>
  <c r="K19" i="2"/>
  <c r="L19" i="2"/>
  <c r="J26" i="2"/>
  <c r="K26" i="2"/>
  <c r="L26" i="2"/>
  <c r="H7" i="3584"/>
  <c r="E7" i="3584" s="1"/>
  <c r="I14" i="3584"/>
  <c r="E14" i="3584" s="1"/>
  <c r="I9" i="3584"/>
  <c r="H9" i="3584"/>
  <c r="E9" i="3584" s="1"/>
  <c r="G42" i="2"/>
  <c r="D42" i="2"/>
  <c r="E42" i="2"/>
  <c r="I42" i="2"/>
  <c r="F36" i="2"/>
  <c r="H36" i="2"/>
  <c r="A36" i="2"/>
  <c r="J31" i="2"/>
  <c r="K31" i="2"/>
  <c r="L31" i="2"/>
  <c r="J25" i="2"/>
  <c r="K25" i="2"/>
  <c r="L25" i="2"/>
  <c r="G8" i="3584"/>
  <c r="J45" i="2"/>
  <c r="K45" i="2"/>
  <c r="L45" i="2"/>
  <c r="J11" i="2"/>
  <c r="K11" i="2"/>
  <c r="L11" i="2"/>
  <c r="F14" i="3584"/>
  <c r="J14" i="3584"/>
  <c r="K14" i="3584"/>
  <c r="L14" i="3584" s="1"/>
  <c r="G28" i="2"/>
  <c r="D28" i="2"/>
  <c r="E28" i="2"/>
  <c r="I28" i="2"/>
  <c r="D18" i="2"/>
  <c r="E18" i="2"/>
  <c r="I18" i="2"/>
  <c r="G18" i="2"/>
  <c r="J18" i="2"/>
  <c r="K18" i="2"/>
  <c r="L18" i="2"/>
  <c r="D27" i="2"/>
  <c r="E27" i="2"/>
  <c r="I27" i="2"/>
  <c r="J27" i="2"/>
  <c r="K27" i="2"/>
  <c r="L27" i="2"/>
  <c r="N10" i="2"/>
  <c r="A35" i="2"/>
  <c r="N18" i="2"/>
  <c r="F9" i="2"/>
  <c r="H9" i="2"/>
  <c r="G16" i="3584"/>
  <c r="F9" i="3584"/>
  <c r="A37" i="2"/>
  <c r="F11" i="2"/>
  <c r="H11" i="2"/>
  <c r="G35" i="2"/>
  <c r="J35" i="2"/>
  <c r="K35" i="2"/>
  <c r="L35" i="2"/>
  <c r="D35" i="2"/>
  <c r="E35" i="2"/>
  <c r="I35" i="2"/>
  <c r="J42" i="2"/>
  <c r="K42" i="2"/>
  <c r="L42" i="2"/>
  <c r="G8" i="2"/>
  <c r="D8" i="2"/>
  <c r="E8" i="2"/>
  <c r="I8" i="2"/>
  <c r="G15" i="2"/>
  <c r="J15" i="2"/>
  <c r="K15" i="2"/>
  <c r="L15" i="2"/>
  <c r="D15" i="2"/>
  <c r="E15" i="2"/>
  <c r="I15" i="2"/>
  <c r="I8" i="3584"/>
  <c r="H8" i="3584"/>
  <c r="J8" i="3584" s="1"/>
  <c r="K8" i="3584" s="1"/>
  <c r="L8" i="3584" s="1"/>
  <c r="G43" i="2"/>
  <c r="D43" i="2"/>
  <c r="E43" i="2"/>
  <c r="I43" i="2"/>
  <c r="G37" i="2"/>
  <c r="D37" i="2"/>
  <c r="E37" i="2"/>
  <c r="I37" i="2"/>
  <c r="G40" i="2"/>
  <c r="D40" i="2"/>
  <c r="E40" i="2"/>
  <c r="I40" i="2"/>
  <c r="J16" i="2"/>
  <c r="K16" i="2"/>
  <c r="L16" i="2"/>
  <c r="J33" i="2"/>
  <c r="K33" i="2"/>
  <c r="L33" i="2"/>
  <c r="J7" i="3584"/>
  <c r="K7" i="3584"/>
  <c r="L7" i="3584"/>
  <c r="J28" i="2"/>
  <c r="K28" i="2"/>
  <c r="L28" i="2"/>
  <c r="G36" i="2"/>
  <c r="D36" i="2"/>
  <c r="E36" i="2"/>
  <c r="I36" i="2"/>
  <c r="H16" i="3584"/>
  <c r="E16" i="3584" s="1"/>
  <c r="I16" i="3584"/>
  <c r="J44" i="2"/>
  <c r="K44" i="2"/>
  <c r="L44" i="2"/>
  <c r="J36" i="2"/>
  <c r="K36" i="2"/>
  <c r="L36" i="2"/>
  <c r="J40" i="2"/>
  <c r="K40" i="2"/>
  <c r="L40" i="2"/>
  <c r="J37" i="2"/>
  <c r="K37" i="2"/>
  <c r="L37" i="2"/>
  <c r="J8" i="2"/>
  <c r="K8" i="2"/>
  <c r="L8" i="2"/>
  <c r="J43" i="2"/>
  <c r="K43" i="2"/>
  <c r="L43" i="2"/>
  <c r="E12" i="3584" l="1"/>
  <c r="E15" i="3584"/>
  <c r="E8" i="3584"/>
  <c r="J16" i="3584"/>
  <c r="K16" i="3584" s="1"/>
  <c r="L16" i="3584" s="1"/>
  <c r="L18" i="3584" s="1"/>
  <c r="J9" i="3584"/>
  <c r="K9" i="3584" s="1"/>
  <c r="L9" i="3584" s="1"/>
  <c r="J15" i="3584"/>
  <c r="K15" i="3584" s="1"/>
  <c r="L15" i="3584" s="1"/>
  <c r="L17" i="3584" l="1"/>
</calcChain>
</file>

<file path=xl/sharedStrings.xml><?xml version="1.0" encoding="utf-8"?>
<sst xmlns="http://schemas.openxmlformats.org/spreadsheetml/2006/main" count="178" uniqueCount="87">
  <si>
    <t>t_-1</t>
  </si>
  <si>
    <t>Depc</t>
  </si>
  <si>
    <t>Sum</t>
  </si>
  <si>
    <t>Max</t>
  </si>
  <si>
    <t>µ</t>
  </si>
  <si>
    <t>Ncyc_sim</t>
  </si>
  <si>
    <t>droite</t>
  </si>
  <si>
    <t>f_-1</t>
  </si>
  <si>
    <t>Ncyc</t>
  </si>
  <si>
    <t>Erreur</t>
  </si>
  <si>
    <t>Numéro</t>
  </si>
  <si>
    <t>b</t>
  </si>
  <si>
    <t>a</t>
  </si>
  <si>
    <t>A</t>
  </si>
  <si>
    <t>Ta</t>
  </si>
  <si>
    <t>Droite</t>
  </si>
  <si>
    <t>Sa</t>
  </si>
  <si>
    <t>B</t>
  </si>
  <si>
    <t>Sm</t>
  </si>
  <si>
    <t>Pmax</t>
  </si>
  <si>
    <t>Smax</t>
  </si>
  <si>
    <t>k*</t>
  </si>
  <si>
    <t>N_sim</t>
  </si>
  <si>
    <t>Y=X</t>
  </si>
  <si>
    <t>X=1.0E+05</t>
  </si>
  <si>
    <t>X=1.0E+06</t>
  </si>
  <si>
    <t>Pa</t>
  </si>
  <si>
    <t>k1</t>
  </si>
  <si>
    <t>k2</t>
  </si>
  <si>
    <t>Smin</t>
  </si>
  <si>
    <t>Pmin</t>
  </si>
  <si>
    <t>k1+k2</t>
  </si>
  <si>
    <t>P(t)</t>
  </si>
  <si>
    <t>klim</t>
  </si>
  <si>
    <t>Alfa</t>
  </si>
  <si>
    <t>Chg</t>
  </si>
  <si>
    <t>n° ESSAI</t>
  </si>
  <si>
    <t>dSij</t>
  </si>
  <si>
    <t>d</t>
  </si>
  <si>
    <t>D</t>
  </si>
  <si>
    <t>Nblock</t>
  </si>
  <si>
    <t>ERP</t>
  </si>
  <si>
    <t>Life (s)</t>
  </si>
  <si>
    <t>B+T (VR)</t>
  </si>
  <si>
    <t>Life_Exp</t>
  </si>
  <si>
    <t>T</t>
  </si>
  <si>
    <t>Life_cal (s)</t>
  </si>
  <si>
    <t>ldpi4_1</t>
  </si>
  <si>
    <t>ldpi4_2</t>
  </si>
  <si>
    <t>ldpi4_3</t>
  </si>
  <si>
    <t>ldpi4_4</t>
  </si>
  <si>
    <t>ldpi4_5</t>
  </si>
  <si>
    <t>ldpi4_6</t>
  </si>
  <si>
    <t>ldpi4_7</t>
  </si>
  <si>
    <t>ldpi4_8</t>
  </si>
  <si>
    <t>ldpi4_9</t>
  </si>
  <si>
    <t>ldpi4_10</t>
  </si>
  <si>
    <t>ldpi4_11</t>
  </si>
  <si>
    <t>ldpi4_12</t>
  </si>
  <si>
    <t>ldpi4_13</t>
  </si>
  <si>
    <t>ldpi4_14</t>
  </si>
  <si>
    <t>ldpi8_1</t>
  </si>
  <si>
    <t>ldpi8_2</t>
  </si>
  <si>
    <t>ldpi8_3</t>
  </si>
  <si>
    <t>ldpi8_8</t>
  </si>
  <si>
    <t>ldpi8_5</t>
  </si>
  <si>
    <t>ldpi8_6</t>
  </si>
  <si>
    <t>ldpi8_7</t>
  </si>
  <si>
    <t>ldpi8_9</t>
  </si>
  <si>
    <t>ldpi8_10</t>
  </si>
  <si>
    <t>ldpi8_11</t>
  </si>
  <si>
    <t>ldpi8_12</t>
  </si>
  <si>
    <t>ldpi8_13</t>
  </si>
  <si>
    <t>ldpi8_18</t>
  </si>
  <si>
    <t>ldpi8_4</t>
  </si>
  <si>
    <t>ldpi8_14</t>
  </si>
  <si>
    <t>ldpi8_15</t>
  </si>
  <si>
    <t>ldpi8_16</t>
  </si>
  <si>
    <t>ldpi8_17</t>
  </si>
  <si>
    <t>ldpi8_19</t>
  </si>
  <si>
    <t>ldpi8_20</t>
  </si>
  <si>
    <t>ldpi8_21</t>
  </si>
  <si>
    <t>Spagnoli</t>
  </si>
  <si>
    <t>Gamma</t>
  </si>
  <si>
    <t>Ref</t>
  </si>
  <si>
    <t>Y=2X</t>
  </si>
  <si>
    <t>Y=0.5X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</si>
</sst>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"/>
    <numFmt numFmtId="166" formatCode="0.00000"/>
    <numFmt numFmtId="167" formatCode="0.0000000000"/>
    <numFmt numFmtId="168" formatCode="0.E+00"/>
    <numFmt numFmtId="169" formatCode="0.000000"/>
    <numFmt numFmtId="170" formatCode="0.0"/>
    <numFmt numFmtId="171" formatCode="0.00000000000000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10"/>
      <name val="Times New Roman"/>
      <family val="1"/>
    </font>
    <font>
      <sz val="9.75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10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68" fontId="2" fillId="0" borderId="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2" fillId="0" borderId="1" xfId="0" applyFont="1" applyBorder="1"/>
    <xf numFmtId="10" fontId="2" fillId="0" borderId="2" xfId="0" applyNumberFormat="1" applyFont="1" applyBorder="1" applyAlignment="1">
      <alignment horizontal="center"/>
    </xf>
    <xf numFmtId="0" fontId="2" fillId="0" borderId="6" xfId="0" applyFont="1" applyBorder="1"/>
    <xf numFmtId="10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1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3" borderId="12" xfId="0" applyFont="1" applyFill="1" applyBorder="1"/>
    <xf numFmtId="0" fontId="2" fillId="3" borderId="10" xfId="0" applyFont="1" applyFill="1" applyBorder="1"/>
    <xf numFmtId="0" fontId="2" fillId="5" borderId="0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1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0" fontId="2" fillId="0" borderId="10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5" borderId="0" xfId="0" applyNumberFormat="1" applyFont="1" applyFill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1" fontId="2" fillId="0" borderId="6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10" xfId="0" applyNumberFormat="1" applyFont="1" applyBorder="1" applyAlignment="1">
      <alignment horizontal="center"/>
    </xf>
    <xf numFmtId="169" fontId="2" fillId="0" borderId="0" xfId="0" applyNumberFormat="1" applyFont="1" applyFill="1" applyAlignment="1">
      <alignment horizontal="center"/>
    </xf>
    <xf numFmtId="169" fontId="2" fillId="0" borderId="11" xfId="0" applyNumberFormat="1" applyFont="1" applyFill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11" fontId="2" fillId="0" borderId="1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10" fontId="2" fillId="0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167" fontId="2" fillId="0" borderId="0" xfId="0" applyNumberFormat="1" applyFont="1"/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11" fontId="2" fillId="0" borderId="0" xfId="1" applyNumberFormat="1" applyFon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6" borderId="10" xfId="0" applyNumberFormat="1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1" fontId="2" fillId="6" borderId="10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0" fontId="2" fillId="6" borderId="10" xfId="0" applyNumberFormat="1" applyFont="1" applyFill="1" applyBorder="1" applyAlignment="1">
      <alignment horizontal="center"/>
    </xf>
  </cellXfs>
  <cellStyles count="3">
    <cellStyle name="Normal_Chg_Moyenne" xfId="1"/>
    <cellStyle name="Normal_Torsion" xfId="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92905254879122"/>
          <c:y val="8.4656303365532412E-2"/>
          <c:w val="0.61309664416947884"/>
          <c:h val="0.76126409269863993"/>
        </c:manualLayout>
      </c:layout>
      <c:scatterChart>
        <c:scatterStyle val="lineMarker"/>
        <c:varyColors val="0"/>
        <c:ser>
          <c:idx val="0"/>
          <c:order val="0"/>
          <c:tx>
            <c:v>Ncyc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Tension!$B$7:$B$16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Tension!$K$7:$K$16</c:f>
              <c:numCache>
                <c:formatCode>0.00E+00</c:formatCode>
                <c:ptCount val="10"/>
                <c:pt idx="0">
                  <c:v>131020.58178589218</c:v>
                </c:pt>
                <c:pt idx="1">
                  <c:v>199968.54824949888</c:v>
                </c:pt>
                <c:pt idx="2">
                  <c:v>270508.40287880506</c:v>
                </c:pt>
                <c:pt idx="3">
                  <c:v>347848.51902713528</c:v>
                </c:pt>
                <c:pt idx="4">
                  <c:v>435474.80122709466</c:v>
                </c:pt>
                <c:pt idx="5">
                  <c:v>536937.16657764534</c:v>
                </c:pt>
                <c:pt idx="6">
                  <c:v>656518.33074463403</c:v>
                </c:pt>
                <c:pt idx="7">
                  <c:v>799804.20537911053</c:v>
                </c:pt>
                <c:pt idx="8">
                  <c:v>974425.53925131785</c:v>
                </c:pt>
                <c:pt idx="9">
                  <c:v>1191194.1059062809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9EC-BEF2-260DCD0986CA}"/>
            </c:ext>
          </c:extLst>
        </c:ser>
        <c:ser>
          <c:idx val="1"/>
          <c:order val="1"/>
          <c:tx>
            <c:v>droite</c:v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Tension!$A$19:$A$20</c:f>
              <c:numCache>
                <c:formatCode>0.00E+00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xVal>
          <c:yVal>
            <c:numRef>
              <c:f>Tension!$B$19:$B$20</c:f>
              <c:numCache>
                <c:formatCode>0.00E+00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EF-49EC-BEF2-260DCD0986CA}"/>
            </c:ext>
          </c:extLst>
        </c:ser>
        <c:ser>
          <c:idx val="2"/>
          <c:order val="2"/>
          <c:tx>
            <c:v>D+2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Tension!$A$22:$A$23</c:f>
              <c:numCache>
                <c:formatCode>0.00E+00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xVal>
          <c:yVal>
            <c:numRef>
              <c:f>Tension!$B$22:$B$23</c:f>
              <c:numCache>
                <c:formatCode>0.00E+00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F-49EC-BEF2-260DCD0986CA}"/>
            </c:ext>
          </c:extLst>
        </c:ser>
        <c:ser>
          <c:idx val="3"/>
          <c:order val="3"/>
          <c:tx>
            <c:v>D_2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Tension!$A$25:$A$26</c:f>
              <c:numCache>
                <c:formatCode>0.00E+00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xVal>
          <c:yVal>
            <c:numRef>
              <c:f>Tension!$B$25:$B$26</c:f>
              <c:numCache>
                <c:formatCode>0.00E+00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F-49EC-BEF2-260DCD0986CA}"/>
            </c:ext>
          </c:extLst>
        </c:ser>
        <c:ser>
          <c:idx val="4"/>
          <c:order val="4"/>
          <c:tx>
            <c:v>D+3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Tension!$B$29:$B$30</c:f>
              <c:numCache>
                <c:formatCode>0.00E+00</c:formatCode>
                <c:ptCount val="2"/>
              </c:numCache>
            </c:numRef>
          </c:xVal>
          <c:yVal>
            <c:numRef>
              <c:f>Tension!$C$29:$C$30</c:f>
              <c:numCache>
                <c:formatCode>0.00E+00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F-49EC-BEF2-260DCD09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9792"/>
        <c:axId val="1"/>
      </c:scatterChart>
      <c:valAx>
        <c:axId val="229569792"/>
        <c:scaling>
          <c:logBase val="10"/>
          <c:orientation val="minMax"/>
          <c:min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Exp</a:t>
                </a:r>
              </a:p>
            </c:rich>
          </c:tx>
          <c:layout>
            <c:manualLayout>
              <c:xMode val="edge"/>
              <c:yMode val="edge"/>
              <c:x val="0.444048790776153"/>
              <c:y val="0.9067182653304698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10000"/>
        <c:crossBetween val="midCat"/>
      </c:valAx>
      <c:valAx>
        <c:axId val="1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Ident</a:t>
                </a:r>
              </a:p>
            </c:rich>
          </c:tx>
          <c:layout>
            <c:manualLayout>
              <c:xMode val="edge"/>
              <c:yMode val="edge"/>
              <c:x val="3.3928571428571433E-2"/>
              <c:y val="0.3862444277798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9569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71639482564672"/>
          <c:y val="0.2777784721354275"/>
          <c:w val="0.17142904011998505"/>
          <c:h val="0.30687900123595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5760277816831"/>
          <c:y val="7.6719774925013751E-2"/>
          <c:w val="0.76923324572859852"/>
          <c:h val="0.7962983535320392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Torsion!#REF!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Torsion!#REF!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F-4656-B1A5-7910B41E1715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Torsion!$A$19:$A$20</c:f>
              <c:numCache>
                <c:formatCode>0.E+00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xVal>
          <c:yVal>
            <c:numRef>
              <c:f>Torsion!$B$19:$B$20</c:f>
              <c:numCache>
                <c:formatCode>0.E+00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F-4656-B1A5-7910B41E1715}"/>
            </c:ext>
          </c:extLst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Torsion!$A$22:$A$23</c:f>
              <c:numCache>
                <c:formatCode>0.E+00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xVal>
          <c:yVal>
            <c:numRef>
              <c:f>Torsion!$B$22:$B$23</c:f>
              <c:numCache>
                <c:formatCode>0.E+00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F-4656-B1A5-7910B41E1715}"/>
            </c:ext>
          </c:extLst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Torsion!$A$25:$A$26</c:f>
              <c:numCache>
                <c:formatCode>0.E+00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xVal>
          <c:yVal>
            <c:numRef>
              <c:f>Torsion!$B$25:$B$26</c:f>
              <c:numCache>
                <c:formatCode>0.E+00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AF-4656-B1A5-7910B41E1715}"/>
            </c:ext>
          </c:extLst>
        </c:ser>
        <c:ser>
          <c:idx val="4"/>
          <c:order val="4"/>
          <c:tx>
            <c:v>Torsion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Torsion!$B$7:$B$16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Torsion!$F$7:$F$16</c:f>
              <c:numCache>
                <c:formatCode>0.00E+00</c:formatCode>
                <c:ptCount val="10"/>
                <c:pt idx="0">
                  <c:v>101390.82938565029</c:v>
                </c:pt>
                <c:pt idx="1">
                  <c:v>146785.28907518424</c:v>
                </c:pt>
                <c:pt idx="2">
                  <c:v>192559.27221114771</c:v>
                </c:pt>
                <c:pt idx="3">
                  <c:v>242288.58425314425</c:v>
                </c:pt>
                <c:pt idx="4">
                  <c:v>298252.4217151159</c:v>
                </c:pt>
                <c:pt idx="5">
                  <c:v>362703.77272891789</c:v>
                </c:pt>
                <c:pt idx="6">
                  <c:v>438319.97195666702</c:v>
                </c:pt>
                <c:pt idx="7">
                  <c:v>528565.99779454374</c:v>
                </c:pt>
                <c:pt idx="8">
                  <c:v>638153.95963295503</c:v>
                </c:pt>
                <c:pt idx="9">
                  <c:v>773739.60696384031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F-4656-B1A5-7910B41E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35424"/>
        <c:axId val="1"/>
      </c:scatterChart>
      <c:valAx>
        <c:axId val="232935424"/>
        <c:scaling>
          <c:logBase val="10"/>
          <c:orientation val="minMax"/>
          <c:max val="10000000"/>
          <c:min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9354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1405984260757E-2"/>
          <c:y val="3.5108263000404739E-2"/>
          <c:w val="0.73604468856978333"/>
          <c:h val="0.84577724779612673"/>
        </c:manualLayout>
      </c:layout>
      <c:scatterChart>
        <c:scatterStyle val="lineMarker"/>
        <c:varyColors val="0"/>
        <c:ser>
          <c:idx val="1"/>
          <c:order val="0"/>
          <c:tx>
            <c:v>Droite_Y=X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Chg_Moyenne!$A$54:$A$55</c:f>
              <c:numCache>
                <c:formatCode>0.00E+00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xVal>
          <c:yVal>
            <c:numRef>
              <c:f>Chg_Moyenne!$B$54:$B$55</c:f>
              <c:numCache>
                <c:formatCode>0.00E+00</c:formatCode>
                <c:ptCount val="2"/>
                <c:pt idx="0">
                  <c:v>10000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2-4583-9E28-ED334462980E}"/>
            </c:ext>
          </c:extLst>
        </c:ser>
        <c:ser>
          <c:idx val="2"/>
          <c:order val="1"/>
          <c:tx>
            <c:v>D+2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Chg_Moyenne!$A$57:$A$58</c:f>
              <c:numCache>
                <c:formatCode>0.00E+00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xVal>
          <c:yVal>
            <c:numRef>
              <c:f>Chg_Moyenne!$B$57:$B$58</c:f>
              <c:numCache>
                <c:formatCode>0.00E+00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2-4583-9E28-ED334462980E}"/>
            </c:ext>
          </c:extLst>
        </c:ser>
        <c:ser>
          <c:idx val="3"/>
          <c:order val="2"/>
          <c:tx>
            <c:v>D_2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Chg_Moyenne!$A$60:$A$61</c:f>
              <c:numCache>
                <c:formatCode>0.00E+00</c:formatCode>
                <c:ptCount val="2"/>
                <c:pt idx="0">
                  <c:v>20000</c:v>
                </c:pt>
                <c:pt idx="1">
                  <c:v>10000000</c:v>
                </c:pt>
              </c:numCache>
            </c:numRef>
          </c:xVal>
          <c:yVal>
            <c:numRef>
              <c:f>Chg_Moyenne!$B$60:$B$61</c:f>
              <c:numCache>
                <c:formatCode>0.00E+00</c:formatCode>
                <c:ptCount val="2"/>
                <c:pt idx="0">
                  <c:v>10000</c:v>
                </c:pt>
                <c:pt idx="1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2-4583-9E28-ED334462980E}"/>
            </c:ext>
          </c:extLst>
        </c:ser>
        <c:ser>
          <c:idx val="0"/>
          <c:order val="3"/>
          <c:tx>
            <c:v>Sm_75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Chg_Moyenne!$O$7:$O$16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Chg_Moyenne!$K$7:$K$16</c:f>
              <c:numCache>
                <c:formatCode>0.00E+00</c:formatCode>
                <c:ptCount val="10"/>
                <c:pt idx="0">
                  <c:v>125595.62001180815</c:v>
                </c:pt>
                <c:pt idx="1">
                  <c:v>187647.347718145</c:v>
                </c:pt>
                <c:pt idx="2">
                  <c:v>253544.44582515824</c:v>
                </c:pt>
                <c:pt idx="3">
                  <c:v>328881.38129839976</c:v>
                </c:pt>
                <c:pt idx="4">
                  <c:v>418351.22738675453</c:v>
                </c:pt>
                <c:pt idx="5">
                  <c:v>527649.78643528325</c:v>
                </c:pt>
                <c:pt idx="6">
                  <c:v>664686.59677950828</c:v>
                </c:pt>
                <c:pt idx="7">
                  <c:v>841247.31589937804</c:v>
                </c:pt>
                <c:pt idx="8">
                  <c:v>1075906.7838879954</c:v>
                </c:pt>
                <c:pt idx="9">
                  <c:v>1399715.1616097072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2-4583-9E28-ED334462980E}"/>
            </c:ext>
          </c:extLst>
        </c:ser>
        <c:ser>
          <c:idx val="4"/>
          <c:order val="4"/>
          <c:tx>
            <c:v>Sm_150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Chg_Moyenne!$O$17:$O$26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Chg_Moyenne!$K$17:$K$26</c:f>
              <c:numCache>
                <c:formatCode>0.00E+00</c:formatCode>
                <c:ptCount val="10"/>
                <c:pt idx="0">
                  <c:v>152924.96692598014</c:v>
                </c:pt>
                <c:pt idx="1">
                  <c:v>205600.69823923486</c:v>
                </c:pt>
                <c:pt idx="2">
                  <c:v>252821.92208958147</c:v>
                </c:pt>
                <c:pt idx="3">
                  <c:v>298870.66183466942</c:v>
                </c:pt>
                <c:pt idx="4">
                  <c:v>345450.66115467943</c:v>
                </c:pt>
                <c:pt idx="5">
                  <c:v>393548.65650383406</c:v>
                </c:pt>
                <c:pt idx="6">
                  <c:v>443884.11828313686</c:v>
                </c:pt>
                <c:pt idx="7">
                  <c:v>497071.40557481634</c:v>
                </c:pt>
                <c:pt idx="8">
                  <c:v>553694.75563635374</c:v>
                </c:pt>
                <c:pt idx="9">
                  <c:v>614350.99598943163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82-4583-9E28-ED334462980E}"/>
            </c:ext>
          </c:extLst>
        </c:ser>
        <c:ser>
          <c:idx val="6"/>
          <c:order val="5"/>
          <c:tx>
            <c:v>Sm_300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Chg_Moyenne!$O$37:$O$46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Chg_Moyenne!$K$37:$K$46</c:f>
              <c:numCache>
                <c:formatCode>0.00E+00</c:formatCode>
                <c:ptCount val="10"/>
                <c:pt idx="0">
                  <c:v>138790.81801207931</c:v>
                </c:pt>
                <c:pt idx="1">
                  <c:v>181532.78474017631</c:v>
                </c:pt>
                <c:pt idx="2">
                  <c:v>218256.84059748895</c:v>
                </c:pt>
                <c:pt idx="3">
                  <c:v>259807.1062254741</c:v>
                </c:pt>
                <c:pt idx="4">
                  <c:v>314367.09649890172</c:v>
                </c:pt>
                <c:pt idx="5">
                  <c:v>375326.55322672334</c:v>
                </c:pt>
                <c:pt idx="6">
                  <c:v>444538.08251417481</c:v>
                </c:pt>
                <c:pt idx="7">
                  <c:v>524205.36198589316</c:v>
                </c:pt>
                <c:pt idx="8">
                  <c:v>617102.25628965872</c:v>
                </c:pt>
                <c:pt idx="9">
                  <c:v>726849.90311190009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82-4583-9E28-ED334462980E}"/>
            </c:ext>
          </c:extLst>
        </c:ser>
        <c:ser>
          <c:idx val="5"/>
          <c:order val="6"/>
          <c:tx>
            <c:v>Sm_225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Chg_Moyenne!$O$27:$O$36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Chg_Moyenne!$K$27:$K$36</c:f>
              <c:numCache>
                <c:formatCode>0.00E+00</c:formatCode>
                <c:ptCount val="10"/>
                <c:pt idx="0">
                  <c:v>170744.71109909978</c:v>
                </c:pt>
                <c:pt idx="1">
                  <c:v>241228.66800203302</c:v>
                </c:pt>
                <c:pt idx="2">
                  <c:v>309555.59237096563</c:v>
                </c:pt>
                <c:pt idx="3">
                  <c:v>381065.39389601228</c:v>
                </c:pt>
                <c:pt idx="4">
                  <c:v>445734.32290309994</c:v>
                </c:pt>
                <c:pt idx="5">
                  <c:v>505554.46920357435</c:v>
                </c:pt>
                <c:pt idx="6">
                  <c:v>567686.87744910293</c:v>
                </c:pt>
                <c:pt idx="7">
                  <c:v>632840.4857562813</c:v>
                </c:pt>
                <c:pt idx="8">
                  <c:v>701664.36004471395</c:v>
                </c:pt>
                <c:pt idx="9">
                  <c:v>774799.77130888042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82-4583-9E28-ED334462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4800"/>
        <c:axId val="1"/>
      </c:scatterChart>
      <c:valAx>
        <c:axId val="229564800"/>
        <c:scaling>
          <c:logBase val="10"/>
          <c:orientation val="minMax"/>
          <c:max val="1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35488989309092683"/>
              <c:y val="0.91197302627247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</a:t>
                </a:r>
              </a:p>
            </c:rich>
          </c:tx>
          <c:layout>
            <c:manualLayout>
              <c:xMode val="edge"/>
              <c:yMode val="edge"/>
              <c:x val="3.3216778328807435E-2"/>
              <c:y val="0.3865560698042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0401589062074"/>
          <c:y val="0.27469910294866651"/>
          <c:w val="0.10919526861915478"/>
          <c:h val="0.4334971443989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0614115757357"/>
          <c:y val="8.2153059731866915E-2"/>
          <c:w val="0.81562016500450285"/>
          <c:h val="0.71104889629995172"/>
        </c:manualLayout>
      </c:layout>
      <c:scatterChart>
        <c:scatterStyle val="lineMarker"/>
        <c:varyColors val="0"/>
        <c:ser>
          <c:idx val="0"/>
          <c:order val="0"/>
          <c:tx>
            <c:v>D_</c:v>
          </c:tx>
          <c:spPr>
            <a:ln w="12700">
              <a:solidFill>
                <a:srgbClr val="0066CC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Chg_Moyenne!$M$7:$M$19</c:f>
              <c:numCache>
                <c:formatCode>General</c:formatCode>
                <c:ptCount val="13"/>
                <c:pt idx="0">
                  <c:v>-240</c:v>
                </c:pt>
                <c:pt idx="1">
                  <c:v>-220</c:v>
                </c:pt>
                <c:pt idx="2">
                  <c:v>-200</c:v>
                </c:pt>
                <c:pt idx="3">
                  <c:v>-180</c:v>
                </c:pt>
                <c:pt idx="4">
                  <c:v>-160</c:v>
                </c:pt>
                <c:pt idx="5">
                  <c:v>-140</c:v>
                </c:pt>
                <c:pt idx="6">
                  <c:v>-120</c:v>
                </c:pt>
                <c:pt idx="7">
                  <c:v>-100</c:v>
                </c:pt>
                <c:pt idx="8">
                  <c:v>-80</c:v>
                </c:pt>
                <c:pt idx="9">
                  <c:v>-60</c:v>
                </c:pt>
                <c:pt idx="10">
                  <c:v>-40</c:v>
                </c:pt>
                <c:pt idx="11">
                  <c:v>-20</c:v>
                </c:pt>
                <c:pt idx="12">
                  <c:v>0</c:v>
                </c:pt>
              </c:numCache>
            </c:numRef>
          </c:xVal>
          <c:yVal>
            <c:numRef>
              <c:f>Chg_Moyenne!$N$7:$N$19</c:f>
              <c:numCache>
                <c:formatCode>0.00</c:formatCode>
                <c:ptCount val="13"/>
                <c:pt idx="0">
                  <c:v>182.74438763306108</c:v>
                </c:pt>
                <c:pt idx="1">
                  <c:v>182.682355330306</c:v>
                </c:pt>
                <c:pt idx="2">
                  <c:v>182.62032302755091</c:v>
                </c:pt>
                <c:pt idx="3">
                  <c:v>182.55829072479582</c:v>
                </c:pt>
                <c:pt idx="4">
                  <c:v>182.49625842204074</c:v>
                </c:pt>
                <c:pt idx="5">
                  <c:v>182.43422611928563</c:v>
                </c:pt>
                <c:pt idx="6">
                  <c:v>182.37219381653054</c:v>
                </c:pt>
                <c:pt idx="7">
                  <c:v>182.31016151377545</c:v>
                </c:pt>
                <c:pt idx="8">
                  <c:v>182.24812921102037</c:v>
                </c:pt>
                <c:pt idx="9">
                  <c:v>182.18609690826528</c:v>
                </c:pt>
                <c:pt idx="10">
                  <c:v>182.12406460551017</c:v>
                </c:pt>
                <c:pt idx="11">
                  <c:v>182.06203230275509</c:v>
                </c:pt>
                <c:pt idx="12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8-4D7A-8731-801917E766EF}"/>
            </c:ext>
          </c:extLst>
        </c:ser>
        <c:ser>
          <c:idx val="1"/>
          <c:order val="1"/>
          <c:tx>
            <c:v>D+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Chg_Moyenne!$M$19:$M$31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xVal>
          <c:yVal>
            <c:numRef>
              <c:f>Chg_Moyenne!$N$19:$N$31</c:f>
              <c:numCache>
                <c:formatCode>0.00</c:formatCode>
                <c:ptCount val="13"/>
                <c:pt idx="0">
                  <c:v>182</c:v>
                </c:pt>
                <c:pt idx="1">
                  <c:v>160.22</c:v>
                </c:pt>
                <c:pt idx="2">
                  <c:v>138.44</c:v>
                </c:pt>
                <c:pt idx="3">
                  <c:v>116.66</c:v>
                </c:pt>
                <c:pt idx="4">
                  <c:v>94.88</c:v>
                </c:pt>
                <c:pt idx="5">
                  <c:v>73.100000000000009</c:v>
                </c:pt>
                <c:pt idx="6">
                  <c:v>51.319999999999993</c:v>
                </c:pt>
                <c:pt idx="7">
                  <c:v>29.539999999999992</c:v>
                </c:pt>
                <c:pt idx="8">
                  <c:v>7.7599999999999909</c:v>
                </c:pt>
                <c:pt idx="9">
                  <c:v>-14.019999999999982</c:v>
                </c:pt>
                <c:pt idx="10">
                  <c:v>-35.799999999999983</c:v>
                </c:pt>
                <c:pt idx="11">
                  <c:v>-57.579999999999984</c:v>
                </c:pt>
                <c:pt idx="12">
                  <c:v>-79.360000000000014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8-4D7A-8731-801917E7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6048"/>
        <c:axId val="1"/>
      </c:scatterChart>
      <c:valAx>
        <c:axId val="2295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p(t)</a:t>
                </a:r>
              </a:p>
            </c:rich>
          </c:tx>
          <c:layout>
            <c:manualLayout>
              <c:xMode val="edge"/>
              <c:yMode val="edge"/>
              <c:x val="0.50108585653597426"/>
              <c:y val="0.88102072270036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100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Klim</a:t>
                </a:r>
              </a:p>
            </c:rich>
          </c:tx>
          <c:layout>
            <c:manualLayout>
              <c:xMode val="edge"/>
              <c:yMode val="edge"/>
              <c:x val="4.1214654869172279E-2"/>
              <c:y val="0.396600897271561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9566048"/>
        <c:crosses val="autoZero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1395123051968"/>
          <c:y val="7.8431667551708259E-2"/>
          <c:w val="0.58835118804380704"/>
          <c:h val="0.77311215158112423"/>
        </c:manualLayout>
      </c:layout>
      <c:scatterChart>
        <c:scatterStyle val="lineMarker"/>
        <c:varyColors val="0"/>
        <c:ser>
          <c:idx val="0"/>
          <c:order val="0"/>
          <c:tx>
            <c:v>Jabbado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Chg_VR!$D$13:$D$26</c:f>
              <c:numCache>
                <c:formatCode>General</c:formatCode>
                <c:ptCount val="14"/>
                <c:pt idx="0">
                  <c:v>15379.4</c:v>
                </c:pt>
                <c:pt idx="1">
                  <c:v>21465.7</c:v>
                </c:pt>
                <c:pt idx="2">
                  <c:v>25350.400000000001</c:v>
                </c:pt>
                <c:pt idx="3">
                  <c:v>45949</c:v>
                </c:pt>
                <c:pt idx="4">
                  <c:v>62434.8</c:v>
                </c:pt>
                <c:pt idx="5">
                  <c:v>75225.7</c:v>
                </c:pt>
                <c:pt idx="6">
                  <c:v>115009</c:v>
                </c:pt>
                <c:pt idx="7">
                  <c:v>136794</c:v>
                </c:pt>
                <c:pt idx="8">
                  <c:v>203365</c:v>
                </c:pt>
                <c:pt idx="9">
                  <c:v>221370</c:v>
                </c:pt>
                <c:pt idx="10">
                  <c:v>244757</c:v>
                </c:pt>
                <c:pt idx="11">
                  <c:v>251723</c:v>
                </c:pt>
                <c:pt idx="12">
                  <c:v>288080</c:v>
                </c:pt>
                <c:pt idx="13">
                  <c:v>405444</c:v>
                </c:pt>
              </c:numCache>
            </c:numRef>
          </c:xVal>
          <c:yVal>
            <c:numRef>
              <c:f>Chg_VR!$K$13:$K$26</c:f>
              <c:numCache>
                <c:formatCode>0</c:formatCode>
                <c:ptCount val="14"/>
                <c:pt idx="0">
                  <c:v>16089.709213513217</c:v>
                </c:pt>
                <c:pt idx="1">
                  <c:v>19923.6226902784</c:v>
                </c:pt>
                <c:pt idx="2">
                  <c:v>24099.298254376725</c:v>
                </c:pt>
                <c:pt idx="3">
                  <c:v>28045.32167743535</c:v>
                </c:pt>
                <c:pt idx="4">
                  <c:v>36696.642892652548</c:v>
                </c:pt>
                <c:pt idx="5">
                  <c:v>46482.866627149371</c:v>
                </c:pt>
                <c:pt idx="6">
                  <c:v>137509.49829657652</c:v>
                </c:pt>
                <c:pt idx="7">
                  <c:v>163267.9056255873</c:v>
                </c:pt>
                <c:pt idx="8">
                  <c:v>1866819.0678446114</c:v>
                </c:pt>
                <c:pt idx="9">
                  <c:v>184596.10753009273</c:v>
                </c:pt>
                <c:pt idx="10">
                  <c:v>179468.5359541458</c:v>
                </c:pt>
                <c:pt idx="11">
                  <c:v>3259076.42368533</c:v>
                </c:pt>
                <c:pt idx="12">
                  <c:v>1477714.7660208747</c:v>
                </c:pt>
                <c:pt idx="13">
                  <c:v>1041820.1761485514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0-425D-B3B5-852460E91D7C}"/>
            </c:ext>
          </c:extLst>
        </c:ser>
        <c:ser>
          <c:idx val="1"/>
          <c:order val="1"/>
          <c:tx>
            <c:v>Y=X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Chg_VR!$I$3:$I$4</c:f>
              <c:numCache>
                <c:formatCode>0.00E+00</c:formatCode>
                <c:ptCount val="2"/>
                <c:pt idx="0">
                  <c:v>1000</c:v>
                </c:pt>
                <c:pt idx="1">
                  <c:v>10000000</c:v>
                </c:pt>
              </c:numCache>
            </c:numRef>
          </c:xVal>
          <c:yVal>
            <c:numRef>
              <c:f>Chg_VR!$J$3:$J$4</c:f>
              <c:numCache>
                <c:formatCode>0.00E+00</c:formatCode>
                <c:ptCount val="2"/>
                <c:pt idx="0">
                  <c:v>1000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0-425D-B3B5-852460E91D7C}"/>
            </c:ext>
          </c:extLst>
        </c:ser>
        <c:ser>
          <c:idx val="2"/>
          <c:order val="2"/>
          <c:tx>
            <c:v>D+2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Chg_VR!$I$6:$I$7</c:f>
              <c:numCache>
                <c:formatCode>0.00E+00</c:formatCode>
                <c:ptCount val="2"/>
                <c:pt idx="0">
                  <c:v>1000</c:v>
                </c:pt>
                <c:pt idx="1">
                  <c:v>5000000</c:v>
                </c:pt>
              </c:numCache>
            </c:numRef>
          </c:xVal>
          <c:yVal>
            <c:numRef>
              <c:f>Chg_VR!$J$6:$J$7</c:f>
              <c:numCache>
                <c:formatCode>0.00E+00</c:formatCode>
                <c:ptCount val="2"/>
                <c:pt idx="0">
                  <c:v>2000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80-425D-B3B5-852460E91D7C}"/>
            </c:ext>
          </c:extLst>
        </c:ser>
        <c:ser>
          <c:idx val="3"/>
          <c:order val="3"/>
          <c:tx>
            <c:v>D_2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Chg_VR!$I$9:$I$10</c:f>
              <c:numCache>
                <c:formatCode>0.00E+00</c:formatCode>
                <c:ptCount val="2"/>
                <c:pt idx="0">
                  <c:v>2000</c:v>
                </c:pt>
                <c:pt idx="1">
                  <c:v>10000000</c:v>
                </c:pt>
              </c:numCache>
            </c:numRef>
          </c:xVal>
          <c:yVal>
            <c:numRef>
              <c:f>Chg_VR!$J$9:$J$10</c:f>
              <c:numCache>
                <c:formatCode>0.00E+00</c:formatCode>
                <c:ptCount val="2"/>
                <c:pt idx="0">
                  <c:v>1000</c:v>
                </c:pt>
                <c:pt idx="1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0-425D-B3B5-852460E91D7C}"/>
            </c:ext>
          </c:extLst>
        </c:ser>
        <c:ser>
          <c:idx val="4"/>
          <c:order val="4"/>
          <c:tx>
            <c:v>Spagnoli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Chg_VR!$D$13:$D$26</c:f>
              <c:numCache>
                <c:formatCode>General</c:formatCode>
                <c:ptCount val="14"/>
                <c:pt idx="0">
                  <c:v>15379.4</c:v>
                </c:pt>
                <c:pt idx="1">
                  <c:v>21465.7</c:v>
                </c:pt>
                <c:pt idx="2">
                  <c:v>25350.400000000001</c:v>
                </c:pt>
                <c:pt idx="3">
                  <c:v>45949</c:v>
                </c:pt>
                <c:pt idx="4">
                  <c:v>62434.8</c:v>
                </c:pt>
                <c:pt idx="5">
                  <c:v>75225.7</c:v>
                </c:pt>
                <c:pt idx="6">
                  <c:v>115009</c:v>
                </c:pt>
                <c:pt idx="7">
                  <c:v>136794</c:v>
                </c:pt>
                <c:pt idx="8">
                  <c:v>203365</c:v>
                </c:pt>
                <c:pt idx="9">
                  <c:v>221370</c:v>
                </c:pt>
                <c:pt idx="10">
                  <c:v>244757</c:v>
                </c:pt>
                <c:pt idx="11">
                  <c:v>251723</c:v>
                </c:pt>
                <c:pt idx="12">
                  <c:v>288080</c:v>
                </c:pt>
                <c:pt idx="13">
                  <c:v>405444</c:v>
                </c:pt>
              </c:numCache>
            </c:numRef>
          </c:xVal>
          <c:yVal>
            <c:numRef>
              <c:f>Chg_VR!$M$13:$M$26</c:f>
              <c:numCache>
                <c:formatCode>General</c:formatCode>
                <c:ptCount val="14"/>
                <c:pt idx="0">
                  <c:v>27267</c:v>
                </c:pt>
                <c:pt idx="1">
                  <c:v>34874</c:v>
                </c:pt>
                <c:pt idx="2">
                  <c:v>41535</c:v>
                </c:pt>
                <c:pt idx="3">
                  <c:v>48045</c:v>
                </c:pt>
                <c:pt idx="4">
                  <c:v>59063</c:v>
                </c:pt>
                <c:pt idx="5">
                  <c:v>69183</c:v>
                </c:pt>
                <c:pt idx="6">
                  <c:v>121050</c:v>
                </c:pt>
                <c:pt idx="7">
                  <c:v>127660</c:v>
                </c:pt>
                <c:pt idx="8">
                  <c:v>255870</c:v>
                </c:pt>
                <c:pt idx="9">
                  <c:v>134700</c:v>
                </c:pt>
                <c:pt idx="10">
                  <c:v>133540</c:v>
                </c:pt>
                <c:pt idx="11">
                  <c:v>282260</c:v>
                </c:pt>
                <c:pt idx="12">
                  <c:v>243020</c:v>
                </c:pt>
                <c:pt idx="13">
                  <c:v>223020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0-425D-B3B5-852460E9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7296"/>
        <c:axId val="1"/>
      </c:scatterChart>
      <c:valAx>
        <c:axId val="229567296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03141854216337"/>
          <c:y val="8.4745908827112623E-2"/>
          <c:w val="0.58527325624583337"/>
          <c:h val="0.76836290669915441"/>
        </c:manualLayout>
      </c:layout>
      <c:scatterChart>
        <c:scatterStyle val="lineMarker"/>
        <c:varyColors val="0"/>
        <c:ser>
          <c:idx val="0"/>
          <c:order val="0"/>
          <c:tx>
            <c:v>Jabbado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Chg_VR!$D$27:$D$47</c:f>
              <c:numCache>
                <c:formatCode>General</c:formatCode>
                <c:ptCount val="21"/>
                <c:pt idx="0">
                  <c:v>16843.2</c:v>
                </c:pt>
                <c:pt idx="1">
                  <c:v>17780.099999999999</c:v>
                </c:pt>
                <c:pt idx="2">
                  <c:v>24416.5</c:v>
                </c:pt>
                <c:pt idx="3">
                  <c:v>24858.2</c:v>
                </c:pt>
                <c:pt idx="4">
                  <c:v>26518.3</c:v>
                </c:pt>
                <c:pt idx="5">
                  <c:v>36162.300000000003</c:v>
                </c:pt>
                <c:pt idx="6">
                  <c:v>47600.4</c:v>
                </c:pt>
                <c:pt idx="7">
                  <c:v>57993.9</c:v>
                </c:pt>
                <c:pt idx="8">
                  <c:v>60428</c:v>
                </c:pt>
                <c:pt idx="9">
                  <c:v>73373.3</c:v>
                </c:pt>
                <c:pt idx="10">
                  <c:v>87609.1</c:v>
                </c:pt>
                <c:pt idx="11">
                  <c:v>89185.2</c:v>
                </c:pt>
                <c:pt idx="12">
                  <c:v>106900</c:v>
                </c:pt>
                <c:pt idx="13">
                  <c:v>117358</c:v>
                </c:pt>
                <c:pt idx="14">
                  <c:v>118902</c:v>
                </c:pt>
                <c:pt idx="15">
                  <c:v>132448</c:v>
                </c:pt>
                <c:pt idx="16">
                  <c:v>170571</c:v>
                </c:pt>
                <c:pt idx="17">
                  <c:v>178215</c:v>
                </c:pt>
                <c:pt idx="18">
                  <c:v>225288</c:v>
                </c:pt>
                <c:pt idx="19">
                  <c:v>352635</c:v>
                </c:pt>
                <c:pt idx="20">
                  <c:v>355720</c:v>
                </c:pt>
              </c:numCache>
            </c:numRef>
          </c:xVal>
          <c:yVal>
            <c:numRef>
              <c:f>Chg_VR!$K$27:$K$47</c:f>
              <c:numCache>
                <c:formatCode>0</c:formatCode>
                <c:ptCount val="21"/>
                <c:pt idx="0">
                  <c:v>9110.7233423910493</c:v>
                </c:pt>
                <c:pt idx="1">
                  <c:v>12804.052042909325</c:v>
                </c:pt>
                <c:pt idx="2">
                  <c:v>19283.199873439826</c:v>
                </c:pt>
                <c:pt idx="3">
                  <c:v>13068.838968006015</c:v>
                </c:pt>
                <c:pt idx="4">
                  <c:v>11202.702494710846</c:v>
                </c:pt>
                <c:pt idx="5">
                  <c:v>13828.515280527999</c:v>
                </c:pt>
                <c:pt idx="6">
                  <c:v>20042.068159569215</c:v>
                </c:pt>
                <c:pt idx="7">
                  <c:v>31272.438453035855</c:v>
                </c:pt>
                <c:pt idx="8">
                  <c:v>23858.45653149765</c:v>
                </c:pt>
                <c:pt idx="9">
                  <c:v>51274.82003358478</c:v>
                </c:pt>
                <c:pt idx="10">
                  <c:v>51800.943744545599</c:v>
                </c:pt>
                <c:pt idx="11">
                  <c:v>38171.457901613554</c:v>
                </c:pt>
                <c:pt idx="12">
                  <c:v>59734.24190136118</c:v>
                </c:pt>
                <c:pt idx="13">
                  <c:v>76762.859291259912</c:v>
                </c:pt>
                <c:pt idx="14">
                  <c:v>44648.210771280224</c:v>
                </c:pt>
                <c:pt idx="15">
                  <c:v>103957.3392979085</c:v>
                </c:pt>
                <c:pt idx="16">
                  <c:v>211988.49986121224</c:v>
                </c:pt>
                <c:pt idx="17">
                  <c:v>43712.768398481479</c:v>
                </c:pt>
                <c:pt idx="18">
                  <c:v>141025.43376656965</c:v>
                </c:pt>
                <c:pt idx="19">
                  <c:v>196023.07450448643</c:v>
                </c:pt>
                <c:pt idx="20">
                  <c:v>555224.20404035575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FEB-A7D2-5D8331158CEF}"/>
            </c:ext>
          </c:extLst>
        </c:ser>
        <c:ser>
          <c:idx val="1"/>
          <c:order val="1"/>
          <c:tx>
            <c:v>Spagnoli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Chg_VR!$D$27:$D$47</c:f>
              <c:numCache>
                <c:formatCode>General</c:formatCode>
                <c:ptCount val="21"/>
                <c:pt idx="0">
                  <c:v>16843.2</c:v>
                </c:pt>
                <c:pt idx="1">
                  <c:v>17780.099999999999</c:v>
                </c:pt>
                <c:pt idx="2">
                  <c:v>24416.5</c:v>
                </c:pt>
                <c:pt idx="3">
                  <c:v>24858.2</c:v>
                </c:pt>
                <c:pt idx="4">
                  <c:v>26518.3</c:v>
                </c:pt>
                <c:pt idx="5">
                  <c:v>36162.300000000003</c:v>
                </c:pt>
                <c:pt idx="6">
                  <c:v>47600.4</c:v>
                </c:pt>
                <c:pt idx="7">
                  <c:v>57993.9</c:v>
                </c:pt>
                <c:pt idx="8">
                  <c:v>60428</c:v>
                </c:pt>
                <c:pt idx="9">
                  <c:v>73373.3</c:v>
                </c:pt>
                <c:pt idx="10">
                  <c:v>87609.1</c:v>
                </c:pt>
                <c:pt idx="11">
                  <c:v>89185.2</c:v>
                </c:pt>
                <c:pt idx="12">
                  <c:v>106900</c:v>
                </c:pt>
                <c:pt idx="13">
                  <c:v>117358</c:v>
                </c:pt>
                <c:pt idx="14">
                  <c:v>118902</c:v>
                </c:pt>
                <c:pt idx="15">
                  <c:v>132448</c:v>
                </c:pt>
                <c:pt idx="16">
                  <c:v>170571</c:v>
                </c:pt>
                <c:pt idx="17">
                  <c:v>178215</c:v>
                </c:pt>
                <c:pt idx="18">
                  <c:v>225288</c:v>
                </c:pt>
                <c:pt idx="19">
                  <c:v>352635</c:v>
                </c:pt>
                <c:pt idx="20">
                  <c:v>355720</c:v>
                </c:pt>
              </c:numCache>
            </c:numRef>
          </c:xVal>
          <c:yVal>
            <c:numRef>
              <c:f>Chg_VR!$M$27:$M$47</c:f>
              <c:numCache>
                <c:formatCode>General</c:formatCode>
                <c:ptCount val="21"/>
                <c:pt idx="0">
                  <c:v>6860.5</c:v>
                </c:pt>
                <c:pt idx="1">
                  <c:v>12282</c:v>
                </c:pt>
                <c:pt idx="2">
                  <c:v>21765</c:v>
                </c:pt>
                <c:pt idx="3">
                  <c:v>12764</c:v>
                </c:pt>
                <c:pt idx="4">
                  <c:v>9812.7999999999993</c:v>
                </c:pt>
                <c:pt idx="5">
                  <c:v>14118</c:v>
                </c:pt>
                <c:pt idx="6">
                  <c:v>22765</c:v>
                </c:pt>
                <c:pt idx="7">
                  <c:v>35476</c:v>
                </c:pt>
                <c:pt idx="8">
                  <c:v>27580</c:v>
                </c:pt>
                <c:pt idx="9">
                  <c:v>51590</c:v>
                </c:pt>
                <c:pt idx="10">
                  <c:v>52653</c:v>
                </c:pt>
                <c:pt idx="11">
                  <c:v>42024</c:v>
                </c:pt>
                <c:pt idx="12">
                  <c:v>57367</c:v>
                </c:pt>
                <c:pt idx="13">
                  <c:v>66058</c:v>
                </c:pt>
                <c:pt idx="14">
                  <c:v>47128</c:v>
                </c:pt>
                <c:pt idx="15">
                  <c:v>77289</c:v>
                </c:pt>
                <c:pt idx="16">
                  <c:v>103170</c:v>
                </c:pt>
                <c:pt idx="17">
                  <c:v>46377</c:v>
                </c:pt>
                <c:pt idx="18">
                  <c:v>87624</c:v>
                </c:pt>
                <c:pt idx="19">
                  <c:v>100490</c:v>
                </c:pt>
                <c:pt idx="20">
                  <c:v>139320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F-4FEB-A7D2-5D8331158CEF}"/>
            </c:ext>
          </c:extLst>
        </c:ser>
        <c:ser>
          <c:idx val="2"/>
          <c:order val="2"/>
          <c:tx>
            <c:v>Y=X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90F-4FEB-A7D2-5D8331158CEF}"/>
              </c:ext>
            </c:extLst>
          </c:dPt>
          <c:xVal>
            <c:numRef>
              <c:f>Chg_VR!$I$3:$I$4</c:f>
              <c:numCache>
                <c:formatCode>0.00E+00</c:formatCode>
                <c:ptCount val="2"/>
                <c:pt idx="0">
                  <c:v>1000</c:v>
                </c:pt>
                <c:pt idx="1">
                  <c:v>10000000</c:v>
                </c:pt>
              </c:numCache>
            </c:numRef>
          </c:xVal>
          <c:yVal>
            <c:numRef>
              <c:f>Chg_VR!$J$3:$J$4</c:f>
              <c:numCache>
                <c:formatCode>0.00E+00</c:formatCode>
                <c:ptCount val="2"/>
                <c:pt idx="0">
                  <c:v>1000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0F-4FEB-A7D2-5D8331158CEF}"/>
            </c:ext>
          </c:extLst>
        </c:ser>
        <c:ser>
          <c:idx val="3"/>
          <c:order val="3"/>
          <c:tx>
            <c:v>D+2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Chg_VR!$I$6:$I$7</c:f>
              <c:numCache>
                <c:formatCode>0.00E+00</c:formatCode>
                <c:ptCount val="2"/>
                <c:pt idx="0">
                  <c:v>1000</c:v>
                </c:pt>
                <c:pt idx="1">
                  <c:v>5000000</c:v>
                </c:pt>
              </c:numCache>
            </c:numRef>
          </c:xVal>
          <c:yVal>
            <c:numRef>
              <c:f>Chg_VR!$J$6:$J$7</c:f>
              <c:numCache>
                <c:formatCode>0.00E+00</c:formatCode>
                <c:ptCount val="2"/>
                <c:pt idx="0">
                  <c:v>2000</c:v>
                </c:pt>
                <c:pt idx="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0F-4FEB-A7D2-5D8331158CEF}"/>
            </c:ext>
          </c:extLst>
        </c:ser>
        <c:ser>
          <c:idx val="4"/>
          <c:order val="4"/>
          <c:tx>
            <c:v>D_2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Chg_VR!$I$9:$I$10</c:f>
              <c:numCache>
                <c:formatCode>0.00E+00</c:formatCode>
                <c:ptCount val="2"/>
                <c:pt idx="0">
                  <c:v>2000</c:v>
                </c:pt>
                <c:pt idx="1">
                  <c:v>10000000</c:v>
                </c:pt>
              </c:numCache>
            </c:numRef>
          </c:xVal>
          <c:yVal>
            <c:numRef>
              <c:f>Chg_VR!$J$9:$J$10</c:f>
              <c:numCache>
                <c:formatCode>0.00E+00</c:formatCode>
                <c:ptCount val="2"/>
                <c:pt idx="0">
                  <c:v>1000</c:v>
                </c:pt>
                <c:pt idx="1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0F-4FEB-A7D2-5D833115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8544"/>
        <c:axId val="1"/>
      </c:scatterChart>
      <c:valAx>
        <c:axId val="229568544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17</xdr:row>
      <xdr:rowOff>167640</xdr:rowOff>
    </xdr:from>
    <xdr:to>
      <xdr:col>9</xdr:col>
      <xdr:colOff>441960</xdr:colOff>
      <xdr:row>33</xdr:row>
      <xdr:rowOff>121920</xdr:rowOff>
    </xdr:to>
    <xdr:graphicFrame macro="">
      <xdr:nvGraphicFramePr>
        <xdr:cNvPr id="8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16</xdr:row>
      <xdr:rowOff>7620</xdr:rowOff>
    </xdr:from>
    <xdr:to>
      <xdr:col>7</xdr:col>
      <xdr:colOff>739140</xdr:colOff>
      <xdr:row>31</xdr:row>
      <xdr:rowOff>144780</xdr:rowOff>
    </xdr:to>
    <xdr:graphicFrame macro="">
      <xdr:nvGraphicFramePr>
        <xdr:cNvPr id="7263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419099</xdr:colOff>
      <xdr:row>4</xdr:row>
      <xdr:rowOff>137160</xdr:rowOff>
    </xdr:from>
    <xdr:to>
      <xdr:col>32</xdr:col>
      <xdr:colOff>138544</xdr:colOff>
      <xdr:row>57</xdr:row>
      <xdr:rowOff>96981</xdr:rowOff>
    </xdr:to>
    <xdr:graphicFrame macro="">
      <xdr:nvGraphicFramePr>
        <xdr:cNvPr id="153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60</xdr:row>
      <xdr:rowOff>167640</xdr:rowOff>
    </xdr:from>
    <xdr:to>
      <xdr:col>8</xdr:col>
      <xdr:colOff>0</xdr:colOff>
      <xdr:row>77</xdr:row>
      <xdr:rowOff>0</xdr:rowOff>
    </xdr:to>
    <xdr:graphicFrame macro="">
      <xdr:nvGraphicFramePr>
        <xdr:cNvPr id="1540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0</xdr:row>
      <xdr:rowOff>174170</xdr:rowOff>
    </xdr:from>
    <xdr:to>
      <xdr:col>23</xdr:col>
      <xdr:colOff>685800</xdr:colOff>
      <xdr:row>25</xdr:row>
      <xdr:rowOff>108856</xdr:rowOff>
    </xdr:to>
    <xdr:graphicFrame macro="">
      <xdr:nvGraphicFramePr>
        <xdr:cNvPr id="174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160020</xdr:rowOff>
    </xdr:from>
    <xdr:to>
      <xdr:col>23</xdr:col>
      <xdr:colOff>664028</xdr:colOff>
      <xdr:row>50</xdr:row>
      <xdr:rowOff>130628</xdr:rowOff>
    </xdr:to>
    <xdr:graphicFrame macro="">
      <xdr:nvGraphicFramePr>
        <xdr:cNvPr id="174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C7" sqref="C7:C16"/>
    </sheetView>
  </sheetViews>
  <sheetFormatPr defaultColWidth="9.109375" defaultRowHeight="13.2" x14ac:dyDescent="0.25"/>
  <cols>
    <col min="1" max="1" width="11.44140625" style="1" customWidth="1"/>
    <col min="2" max="2" width="10.5546875" style="1" customWidth="1"/>
    <col min="3" max="10" width="12.44140625" style="1" customWidth="1"/>
    <col min="11" max="11" width="10.109375" style="1" customWidth="1"/>
    <col min="12" max="12" width="10.44140625" style="1" customWidth="1"/>
    <col min="13" max="16384" width="9.109375" style="1"/>
  </cols>
  <sheetData>
    <row r="1" spans="1:19" ht="13.8" thickBot="1" x14ac:dyDescent="0.3"/>
    <row r="2" spans="1:19" x14ac:dyDescent="0.25">
      <c r="A2" s="8" t="s">
        <v>12</v>
      </c>
      <c r="B2" s="8">
        <v>4.9053000000000004</v>
      </c>
      <c r="C2" s="7"/>
      <c r="D2" s="82" t="s">
        <v>13</v>
      </c>
      <c r="E2" s="51">
        <v>68.361000000000004</v>
      </c>
      <c r="F2" s="7"/>
      <c r="G2" s="72"/>
      <c r="H2" s="7" t="s">
        <v>34</v>
      </c>
      <c r="I2" s="97">
        <v>1.089</v>
      </c>
      <c r="J2" s="58" t="s">
        <v>7</v>
      </c>
      <c r="K2" s="13">
        <v>240</v>
      </c>
      <c r="L2" s="6">
        <v>252</v>
      </c>
      <c r="P2" s="6"/>
      <c r="R2" s="6"/>
      <c r="S2" s="27"/>
    </row>
    <row r="3" spans="1:19" ht="13.8" thickBot="1" x14ac:dyDescent="0.3">
      <c r="A3" s="8" t="s">
        <v>11</v>
      </c>
      <c r="B3" s="8">
        <v>1.4244000000000001</v>
      </c>
      <c r="C3" s="7"/>
      <c r="D3" s="83" t="s">
        <v>17</v>
      </c>
      <c r="E3" s="52">
        <v>9.82</v>
      </c>
      <c r="F3" s="7"/>
      <c r="G3" s="7"/>
      <c r="H3" s="7" t="s">
        <v>83</v>
      </c>
      <c r="I3" s="97">
        <f>$I$2-2*(3*$K$3/$K$2-SQRT(3))</f>
        <v>3.101615137754532E-3</v>
      </c>
      <c r="J3" s="60" t="s">
        <v>0</v>
      </c>
      <c r="K3" s="14">
        <v>182</v>
      </c>
      <c r="P3" s="6"/>
    </row>
    <row r="4" spans="1:19" x14ac:dyDescent="0.25">
      <c r="A4" s="8" t="s">
        <v>4</v>
      </c>
      <c r="B4" s="8">
        <v>16439</v>
      </c>
      <c r="C4" s="7"/>
      <c r="H4" s="6"/>
      <c r="I4" s="6"/>
      <c r="J4" s="4"/>
      <c r="K4" s="10"/>
      <c r="L4" s="31"/>
      <c r="M4" s="7"/>
      <c r="P4" s="6"/>
    </row>
    <row r="5" spans="1:19" ht="13.8" thickBot="1" x14ac:dyDescent="0.3">
      <c r="L5" s="32"/>
      <c r="M5" s="5"/>
    </row>
    <row r="6" spans="1:19" ht="13.8" thickBot="1" x14ac:dyDescent="0.3">
      <c r="A6" s="8" t="s">
        <v>10</v>
      </c>
      <c r="B6" s="8" t="s">
        <v>8</v>
      </c>
      <c r="C6" s="8" t="s">
        <v>16</v>
      </c>
      <c r="D6" s="7"/>
      <c r="E6" s="71" t="s">
        <v>31</v>
      </c>
      <c r="F6" s="71" t="s">
        <v>21</v>
      </c>
      <c r="G6" s="71" t="s">
        <v>26</v>
      </c>
      <c r="H6" s="71" t="s">
        <v>27</v>
      </c>
      <c r="I6" s="71" t="s">
        <v>28</v>
      </c>
      <c r="J6" s="33" t="s">
        <v>1</v>
      </c>
      <c r="K6" s="34" t="s">
        <v>5</v>
      </c>
      <c r="L6" s="35" t="s">
        <v>9</v>
      </c>
    </row>
    <row r="7" spans="1:19" x14ac:dyDescent="0.25">
      <c r="A7" s="8">
        <v>1</v>
      </c>
      <c r="B7" s="36">
        <v>100000</v>
      </c>
      <c r="C7" s="37">
        <f>EXP(($E$2-LN(B7))/$E$3)</f>
        <v>326.68931975635957</v>
      </c>
      <c r="D7" s="66"/>
      <c r="E7" s="10">
        <f>H7+I7</f>
        <v>245.74953177494115</v>
      </c>
      <c r="F7" s="38">
        <f t="shared" ref="F7:F16" si="0">C7/SQRT(3)</f>
        <v>188.61416670270992</v>
      </c>
      <c r="G7" s="38">
        <f t="shared" ref="G7:G16" si="1">C7/3</f>
        <v>108.89643991878653</v>
      </c>
      <c r="H7" s="38">
        <f t="shared" ref="H7:H16" si="2">$K$3-$I$2*G7</f>
        <v>63.411776928441469</v>
      </c>
      <c r="I7" s="38">
        <f t="shared" ref="I7:I16" si="3">$K$3+$I$3*G7</f>
        <v>182.33775484649968</v>
      </c>
      <c r="J7" s="39">
        <f t="shared" ref="J7:J16" si="4">(2*F7-H7-I7)/$B$4</f>
        <v>7.9979805116174134E-3</v>
      </c>
      <c r="K7" s="40">
        <f t="shared" ref="K7:K16" si="5">EXP($B$2)/POWER(J7,$B$3)</f>
        <v>131020.58178589218</v>
      </c>
      <c r="L7" s="41">
        <f t="shared" ref="L7:L16" si="6">ABS(B7-K7)/B7</f>
        <v>0.31020581785892182</v>
      </c>
    </row>
    <row r="8" spans="1:19" x14ac:dyDescent="0.25">
      <c r="A8" s="8">
        <v>2</v>
      </c>
      <c r="B8" s="36">
        <v>200000</v>
      </c>
      <c r="C8" s="37">
        <f t="shared" ref="C8:C16" si="7">EXP(($E$2-LN(B8))/$E$3)</f>
        <v>304.4248851676216</v>
      </c>
      <c r="D8" s="66"/>
      <c r="E8" s="10">
        <f t="shared" ref="E8:E16" si="8">H8+I8</f>
        <v>253.80850296153505</v>
      </c>
      <c r="F8" s="38">
        <f t="shared" si="0"/>
        <v>175.75978939954726</v>
      </c>
      <c r="G8" s="38">
        <f t="shared" si="1"/>
        <v>101.47496172254053</v>
      </c>
      <c r="H8" s="38">
        <f t="shared" si="2"/>
        <v>71.493766684153371</v>
      </c>
      <c r="I8" s="38">
        <f t="shared" si="3"/>
        <v>182.31473627738168</v>
      </c>
      <c r="J8" s="39">
        <f t="shared" si="4"/>
        <v>5.9438576456937427E-3</v>
      </c>
      <c r="K8" s="40">
        <f t="shared" si="5"/>
        <v>199968.54824949888</v>
      </c>
      <c r="L8" s="41">
        <f t="shared" si="6"/>
        <v>1.5725875250558602E-4</v>
      </c>
    </row>
    <row r="9" spans="1:19" x14ac:dyDescent="0.25">
      <c r="A9" s="8">
        <v>3</v>
      </c>
      <c r="B9" s="36">
        <v>300000</v>
      </c>
      <c r="C9" s="37">
        <f t="shared" si="7"/>
        <v>292.11122822198627</v>
      </c>
      <c r="D9" s="66"/>
      <c r="E9" s="10">
        <f t="shared" si="8"/>
        <v>258.26562969120613</v>
      </c>
      <c r="F9" s="38">
        <f t="shared" si="0"/>
        <v>168.65049624727598</v>
      </c>
      <c r="G9" s="38">
        <f t="shared" si="1"/>
        <v>97.370409407328751</v>
      </c>
      <c r="H9" s="38">
        <f t="shared" si="2"/>
        <v>75.963624155418998</v>
      </c>
      <c r="I9" s="38">
        <f t="shared" si="3"/>
        <v>182.30200553578712</v>
      </c>
      <c r="J9" s="39">
        <f t="shared" si="4"/>
        <v>4.8077962651831537E-3</v>
      </c>
      <c r="K9" s="40">
        <f t="shared" si="5"/>
        <v>270508.40287880506</v>
      </c>
      <c r="L9" s="41">
        <f t="shared" si="6"/>
        <v>9.8305323737316458E-2</v>
      </c>
    </row>
    <row r="10" spans="1:19" x14ac:dyDescent="0.25">
      <c r="A10" s="8">
        <v>4</v>
      </c>
      <c r="B10" s="36">
        <v>400000</v>
      </c>
      <c r="C10" s="37">
        <f t="shared" si="7"/>
        <v>283.67780978709362</v>
      </c>
      <c r="D10" s="66"/>
      <c r="E10" s="10">
        <f t="shared" si="8"/>
        <v>261.31824151031191</v>
      </c>
      <c r="F10" s="38">
        <f t="shared" si="0"/>
        <v>163.78145984370195</v>
      </c>
      <c r="G10" s="38">
        <f t="shared" si="1"/>
        <v>94.559269929031203</v>
      </c>
      <c r="H10" s="38">
        <f t="shared" si="2"/>
        <v>79.024955047285019</v>
      </c>
      <c r="I10" s="38">
        <f t="shared" si="3"/>
        <v>182.2932864630269</v>
      </c>
      <c r="J10" s="39">
        <f t="shared" si="4"/>
        <v>4.029726758141736E-3</v>
      </c>
      <c r="K10" s="40">
        <f t="shared" si="5"/>
        <v>347848.51902713528</v>
      </c>
      <c r="L10" s="41">
        <f t="shared" si="6"/>
        <v>0.13037870243216182</v>
      </c>
    </row>
    <row r="11" spans="1:19" x14ac:dyDescent="0.25">
      <c r="A11" s="8">
        <v>5</v>
      </c>
      <c r="B11" s="36">
        <v>500000</v>
      </c>
      <c r="C11" s="37">
        <f t="shared" si="7"/>
        <v>277.30437945015046</v>
      </c>
      <c r="D11" s="66"/>
      <c r="E11" s="10">
        <f t="shared" si="8"/>
        <v>263.62520741328478</v>
      </c>
      <c r="F11" s="38">
        <f t="shared" si="0"/>
        <v>160.1017581230065</v>
      </c>
      <c r="G11" s="38">
        <f t="shared" si="1"/>
        <v>92.434793150050155</v>
      </c>
      <c r="H11" s="38">
        <f t="shared" si="2"/>
        <v>81.338510259595381</v>
      </c>
      <c r="I11" s="38">
        <f t="shared" si="3"/>
        <v>182.2866971536894</v>
      </c>
      <c r="J11" s="39">
        <f t="shared" si="4"/>
        <v>3.4417123202584235E-3</v>
      </c>
      <c r="K11" s="40">
        <f t="shared" si="5"/>
        <v>435474.80122709466</v>
      </c>
      <c r="L11" s="41">
        <f t="shared" si="6"/>
        <v>0.12905039754581069</v>
      </c>
    </row>
    <row r="12" spans="1:19" x14ac:dyDescent="0.25">
      <c r="A12" s="8">
        <v>6</v>
      </c>
      <c r="B12" s="36">
        <v>600000</v>
      </c>
      <c r="C12" s="37">
        <f t="shared" si="7"/>
        <v>272.20334957375042</v>
      </c>
      <c r="D12" s="66"/>
      <c r="E12" s="10">
        <f t="shared" si="8"/>
        <v>265.47160744792376</v>
      </c>
      <c r="F12" s="38">
        <f t="shared" si="0"/>
        <v>157.15667715072263</v>
      </c>
      <c r="G12" s="38">
        <f t="shared" si="1"/>
        <v>90.7344498579168</v>
      </c>
      <c r="H12" s="38">
        <f t="shared" si="2"/>
        <v>83.190184104728601</v>
      </c>
      <c r="I12" s="38">
        <f t="shared" si="3"/>
        <v>182.28142334319514</v>
      </c>
      <c r="J12" s="39">
        <f t="shared" si="4"/>
        <v>2.9710898992348395E-3</v>
      </c>
      <c r="K12" s="40">
        <f t="shared" si="5"/>
        <v>536937.16657764534</v>
      </c>
      <c r="L12" s="41">
        <f t="shared" si="6"/>
        <v>0.1051047223705911</v>
      </c>
    </row>
    <row r="13" spans="1:19" x14ac:dyDescent="0.25">
      <c r="A13" s="8">
        <v>7</v>
      </c>
      <c r="B13" s="36">
        <v>700000</v>
      </c>
      <c r="C13" s="37">
        <f t="shared" si="7"/>
        <v>267.96376615757794</v>
      </c>
      <c r="D13" s="66"/>
      <c r="E13" s="10">
        <f t="shared" si="8"/>
        <v>267.00619304262722</v>
      </c>
      <c r="F13" s="38">
        <f t="shared" si="0"/>
        <v>154.70895252414357</v>
      </c>
      <c r="G13" s="38">
        <f t="shared" si="1"/>
        <v>89.321255385859317</v>
      </c>
      <c r="H13" s="38">
        <f t="shared" si="2"/>
        <v>84.729152884799205</v>
      </c>
      <c r="I13" s="38">
        <f t="shared" si="3"/>
        <v>182.27704015782803</v>
      </c>
      <c r="J13" s="39">
        <f t="shared" si="4"/>
        <v>2.5799447658409833E-3</v>
      </c>
      <c r="K13" s="40">
        <f t="shared" si="5"/>
        <v>656518.33074463403</v>
      </c>
      <c r="L13" s="41">
        <f t="shared" si="6"/>
        <v>6.2116670364808522E-2</v>
      </c>
    </row>
    <row r="14" spans="1:19" x14ac:dyDescent="0.25">
      <c r="A14" s="8">
        <v>8</v>
      </c>
      <c r="B14" s="36">
        <v>800000</v>
      </c>
      <c r="C14" s="37">
        <f t="shared" si="7"/>
        <v>264.34468299558563</v>
      </c>
      <c r="D14" s="66"/>
      <c r="E14" s="10">
        <f t="shared" si="8"/>
        <v>268.31617856272374</v>
      </c>
      <c r="F14" s="38">
        <f t="shared" si="0"/>
        <v>152.61947388634766</v>
      </c>
      <c r="G14" s="38">
        <f t="shared" si="1"/>
        <v>88.114894331861876</v>
      </c>
      <c r="H14" s="38">
        <f t="shared" si="2"/>
        <v>86.042880072602415</v>
      </c>
      <c r="I14" s="38">
        <f t="shared" si="3"/>
        <v>182.27329849012133</v>
      </c>
      <c r="J14" s="39">
        <f t="shared" si="4"/>
        <v>2.2460471567596302E-3</v>
      </c>
      <c r="K14" s="40">
        <f t="shared" si="5"/>
        <v>799804.20537911053</v>
      </c>
      <c r="L14" s="41">
        <f t="shared" si="6"/>
        <v>2.4474327611183978E-4</v>
      </c>
    </row>
    <row r="15" spans="1:19" x14ac:dyDescent="0.25">
      <c r="A15" s="8">
        <v>9</v>
      </c>
      <c r="B15" s="36">
        <v>900000</v>
      </c>
      <c r="C15" s="37">
        <f t="shared" si="7"/>
        <v>261.19301885043114</v>
      </c>
      <c r="D15" s="66"/>
      <c r="E15" s="10">
        <f t="shared" si="8"/>
        <v>269.45697423100762</v>
      </c>
      <c r="F15" s="38">
        <f t="shared" si="0"/>
        <v>150.79985974374742</v>
      </c>
      <c r="G15" s="38">
        <f t="shared" si="1"/>
        <v>87.064339616810386</v>
      </c>
      <c r="H15" s="38">
        <f t="shared" si="2"/>
        <v>87.186934157293493</v>
      </c>
      <c r="I15" s="38">
        <f t="shared" si="3"/>
        <v>182.27004007371411</v>
      </c>
      <c r="J15" s="39">
        <f t="shared" si="4"/>
        <v>1.9552737548809078E-3</v>
      </c>
      <c r="K15" s="40">
        <f t="shared" si="5"/>
        <v>974425.53925131785</v>
      </c>
      <c r="L15" s="41">
        <f t="shared" si="6"/>
        <v>8.2695043612575389E-2</v>
      </c>
    </row>
    <row r="16" spans="1:19" ht="13.8" thickBot="1" x14ac:dyDescent="0.3">
      <c r="A16" s="8">
        <v>10</v>
      </c>
      <c r="B16" s="36">
        <v>1000000</v>
      </c>
      <c r="C16" s="37">
        <f t="shared" si="7"/>
        <v>258.40561281142789</v>
      </c>
      <c r="D16" s="66"/>
      <c r="E16" s="10">
        <f t="shared" si="8"/>
        <v>270.46592080291055</v>
      </c>
      <c r="F16" s="38">
        <f t="shared" si="0"/>
        <v>149.1905501167881</v>
      </c>
      <c r="G16" s="38">
        <f t="shared" si="1"/>
        <v>86.135204270475967</v>
      </c>
      <c r="H16" s="38">
        <f t="shared" si="2"/>
        <v>88.198762549451672</v>
      </c>
      <c r="I16" s="38">
        <f t="shared" si="3"/>
        <v>182.26715825345889</v>
      </c>
      <c r="J16" s="39">
        <f t="shared" si="4"/>
        <v>1.6981069061783357E-3</v>
      </c>
      <c r="K16" s="40">
        <f t="shared" si="5"/>
        <v>1191194.1059062809</v>
      </c>
      <c r="L16" s="41">
        <f t="shared" si="6"/>
        <v>0.19119410590628091</v>
      </c>
    </row>
    <row r="17" spans="1:12" ht="13.8" thickBot="1" x14ac:dyDescent="0.3">
      <c r="A17" s="7"/>
      <c r="B17" s="54"/>
      <c r="D17" s="4"/>
      <c r="E17" s="28"/>
      <c r="K17" s="42" t="s">
        <v>2</v>
      </c>
      <c r="L17" s="43">
        <f>SUM(L7:L16)</f>
        <v>1.109452785857084</v>
      </c>
    </row>
    <row r="18" spans="1:12" ht="13.8" thickBot="1" x14ac:dyDescent="0.3">
      <c r="A18" s="16" t="s">
        <v>6</v>
      </c>
      <c r="B18" s="30"/>
      <c r="D18" s="4"/>
      <c r="E18" s="28"/>
      <c r="F18" s="4"/>
      <c r="G18" s="4"/>
      <c r="H18" s="4"/>
      <c r="I18" s="4"/>
      <c r="K18" s="44" t="s">
        <v>3</v>
      </c>
      <c r="L18" s="45">
        <f>MAX(L7:L16)</f>
        <v>0.31020581785892182</v>
      </c>
    </row>
    <row r="19" spans="1:12" x14ac:dyDescent="0.25">
      <c r="A19" s="46">
        <v>10000</v>
      </c>
      <c r="B19" s="47">
        <v>10000</v>
      </c>
      <c r="D19" s="48"/>
      <c r="E19" s="48"/>
      <c r="F19" s="48"/>
      <c r="G19" s="48"/>
      <c r="H19" s="48"/>
      <c r="I19" s="48"/>
      <c r="J19" s="48"/>
    </row>
    <row r="20" spans="1:12" ht="13.8" thickBot="1" x14ac:dyDescent="0.3">
      <c r="A20" s="49">
        <v>10000000</v>
      </c>
      <c r="B20" s="50">
        <v>10000000</v>
      </c>
      <c r="D20" s="48"/>
      <c r="E20" s="48"/>
      <c r="F20" s="48"/>
      <c r="G20" s="10"/>
      <c r="H20" s="28"/>
      <c r="I20" s="48"/>
      <c r="J20" s="48"/>
    </row>
    <row r="21" spans="1:12" ht="13.8" thickBot="1" x14ac:dyDescent="0.3">
      <c r="A21" s="3" t="s">
        <v>85</v>
      </c>
      <c r="B21" s="22"/>
      <c r="G21" s="38"/>
      <c r="H21" s="29"/>
    </row>
    <row r="22" spans="1:12" x14ac:dyDescent="0.25">
      <c r="A22" s="62">
        <v>10000</v>
      </c>
      <c r="B22" s="63">
        <v>20000</v>
      </c>
      <c r="G22" s="38"/>
      <c r="H22" s="29"/>
    </row>
    <row r="23" spans="1:12" ht="13.8" thickBot="1" x14ac:dyDescent="0.3">
      <c r="A23" s="49">
        <v>5000000</v>
      </c>
      <c r="B23" s="50">
        <v>10000000</v>
      </c>
      <c r="D23" s="48"/>
      <c r="E23" s="48"/>
      <c r="F23" s="48"/>
      <c r="G23" s="10"/>
      <c r="H23" s="28"/>
      <c r="I23" s="48"/>
      <c r="J23" s="48"/>
    </row>
    <row r="24" spans="1:12" ht="13.8" thickBot="1" x14ac:dyDescent="0.3">
      <c r="A24" s="3" t="s">
        <v>86</v>
      </c>
      <c r="B24" s="22"/>
      <c r="D24" s="48"/>
      <c r="E24" s="48"/>
      <c r="F24" s="48"/>
      <c r="G24" s="10"/>
      <c r="H24" s="28"/>
      <c r="I24" s="48"/>
      <c r="J24" s="48"/>
    </row>
    <row r="25" spans="1:12" x14ac:dyDescent="0.25">
      <c r="A25" s="62">
        <v>20000</v>
      </c>
      <c r="B25" s="63">
        <v>10000</v>
      </c>
      <c r="G25" s="38"/>
      <c r="H25" s="29"/>
    </row>
    <row r="26" spans="1:12" ht="13.8" thickBot="1" x14ac:dyDescent="0.3">
      <c r="A26" s="49">
        <v>10000000</v>
      </c>
      <c r="B26" s="50">
        <v>5000000</v>
      </c>
      <c r="D26" s="48"/>
      <c r="E26" s="48"/>
      <c r="F26" s="48"/>
      <c r="G26" s="10"/>
      <c r="H26" s="28"/>
      <c r="I26" s="48"/>
      <c r="J26" s="48"/>
    </row>
    <row r="27" spans="1:12" x14ac:dyDescent="0.25">
      <c r="D27" s="48"/>
      <c r="E27" s="48"/>
      <c r="F27" s="48"/>
      <c r="G27" s="10"/>
      <c r="H27" s="28"/>
      <c r="I27" s="48"/>
      <c r="J27" s="48"/>
    </row>
    <row r="28" spans="1:12" x14ac:dyDescent="0.25">
      <c r="G28" s="38"/>
      <c r="H28" s="29"/>
    </row>
    <row r="29" spans="1:12" x14ac:dyDescent="0.25">
      <c r="B29" s="48"/>
      <c r="C29" s="48"/>
      <c r="G29" s="38"/>
      <c r="H29" s="29"/>
    </row>
    <row r="30" spans="1:12" x14ac:dyDescent="0.25">
      <c r="B30" s="48"/>
      <c r="C30" s="48"/>
    </row>
  </sheetData>
  <phoneticPr fontId="0" type="noConversion"/>
  <conditionalFormatting sqref="L7:L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{8A2AD418-5BF4-4602-97F5-33AB2CFEF357}</x14:id>
        </ext>
      </extLst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2AD418-5BF4-4602-97F5-33AB2CFEF357}">
            <x14:dataBar minLength="0" maxLength="100" gradient="0" negativeBarColorSameAsPositive="1" axisPosition="none">
              <x14:cfvo type="min"/>
              <x14:cfvo type="max"/>
            </x14:dataBar>
          </x14:cfRule>
          <xm:sqref>L7:L16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C7" sqref="C7:C16"/>
    </sheetView>
  </sheetViews>
  <sheetFormatPr defaultColWidth="9.109375" defaultRowHeight="13.2" x14ac:dyDescent="0.25"/>
  <cols>
    <col min="1" max="1" width="11.44140625" style="1" customWidth="1"/>
    <col min="2" max="2" width="10" style="1" customWidth="1"/>
    <col min="3" max="3" width="14.6640625" style="1" customWidth="1"/>
    <col min="4" max="4" width="12.33203125" style="1" customWidth="1"/>
    <col min="5" max="5" width="12.109375" style="1" customWidth="1"/>
    <col min="6" max="6" width="12.6640625" style="1" customWidth="1"/>
    <col min="7" max="7" width="10.5546875" style="1" customWidth="1"/>
    <col min="8" max="8" width="11.88671875" style="1" customWidth="1"/>
    <col min="9" max="9" width="11.109375" style="1" customWidth="1"/>
    <col min="10" max="16384" width="9.109375" style="1"/>
  </cols>
  <sheetData>
    <row r="1" spans="1:12" ht="13.8" thickBot="1" x14ac:dyDescent="0.3">
      <c r="F1" s="8" t="s">
        <v>0</v>
      </c>
      <c r="G1" s="8">
        <v>182</v>
      </c>
      <c r="H1" s="7"/>
      <c r="K1" s="6"/>
    </row>
    <row r="2" spans="1:12" x14ac:dyDescent="0.25">
      <c r="A2" s="2" t="s">
        <v>12</v>
      </c>
      <c r="B2" s="8">
        <v>4.9053000000000004</v>
      </c>
      <c r="D2" s="23" t="s">
        <v>13</v>
      </c>
      <c r="E2" s="24">
        <v>21.55</v>
      </c>
      <c r="G2" s="4"/>
      <c r="H2" s="7"/>
      <c r="K2" s="6"/>
    </row>
    <row r="3" spans="1:12" ht="13.8" thickBot="1" x14ac:dyDescent="0.3">
      <c r="A3" s="2" t="s">
        <v>11</v>
      </c>
      <c r="B3" s="8">
        <v>1.4244000000000001</v>
      </c>
      <c r="D3" s="25" t="s">
        <v>17</v>
      </c>
      <c r="E3" s="26">
        <v>3.85E-2</v>
      </c>
      <c r="G3" s="4"/>
      <c r="H3" s="7"/>
      <c r="K3" s="6"/>
    </row>
    <row r="4" spans="1:12" x14ac:dyDescent="0.25">
      <c r="A4" s="2" t="s">
        <v>4</v>
      </c>
      <c r="B4" s="8">
        <v>16439</v>
      </c>
      <c r="D4" s="5"/>
      <c r="G4" s="4"/>
      <c r="J4" s="6"/>
    </row>
    <row r="5" spans="1:12" x14ac:dyDescent="0.25">
      <c r="D5" s="5"/>
    </row>
    <row r="6" spans="1:12" x14ac:dyDescent="0.25">
      <c r="A6" s="7" t="s">
        <v>10</v>
      </c>
      <c r="B6" s="7" t="s">
        <v>8</v>
      </c>
      <c r="C6" s="7" t="s">
        <v>14</v>
      </c>
      <c r="D6" s="29"/>
      <c r="E6" s="6" t="s">
        <v>1</v>
      </c>
      <c r="F6" s="6" t="s">
        <v>22</v>
      </c>
      <c r="G6" s="12" t="s">
        <v>9</v>
      </c>
      <c r="I6" s="11"/>
      <c r="J6" s="5"/>
      <c r="L6" s="29"/>
    </row>
    <row r="7" spans="1:12" x14ac:dyDescent="0.25">
      <c r="A7" s="6">
        <v>1</v>
      </c>
      <c r="B7" s="27">
        <v>100000</v>
      </c>
      <c r="C7" s="38">
        <f t="shared" ref="C7:C16" si="0">($E$2-LN(B7))/$E$3</f>
        <v>260.70323467609796</v>
      </c>
      <c r="D7" s="129"/>
      <c r="E7" s="55">
        <f t="shared" ref="E7:E16" si="1">2*(C7-$G$1)/$B$4</f>
        <v>9.5751851908386105E-3</v>
      </c>
      <c r="F7" s="27">
        <f t="shared" ref="F7:F16" si="2">EXP($B$2)/POWER(E7,$B$3)</f>
        <v>101390.82938565029</v>
      </c>
      <c r="G7" s="12">
        <f>(B7-F7)/B7</f>
        <v>-1.390829385650286E-2</v>
      </c>
      <c r="I7" s="11"/>
      <c r="J7" s="5"/>
      <c r="L7" s="29"/>
    </row>
    <row r="8" spans="1:12" x14ac:dyDescent="0.25">
      <c r="A8" s="6">
        <v>2</v>
      </c>
      <c r="B8" s="27">
        <v>200000</v>
      </c>
      <c r="C8" s="38">
        <f>($E$2-LN(B8))/$E$3</f>
        <v>242.69941180441108</v>
      </c>
      <c r="D8" s="29"/>
      <c r="E8" s="55">
        <f t="shared" si="1"/>
        <v>7.3848058646403172E-3</v>
      </c>
      <c r="F8" s="27">
        <f t="shared" si="2"/>
        <v>146785.28907518424</v>
      </c>
      <c r="G8" s="12">
        <f t="shared" ref="G8:G16" si="3">(B8-F8)/B8</f>
        <v>0.26607355462407883</v>
      </c>
      <c r="I8" s="11"/>
      <c r="J8" s="5"/>
      <c r="L8" s="29"/>
    </row>
    <row r="9" spans="1:12" x14ac:dyDescent="0.25">
      <c r="A9" s="6">
        <v>3</v>
      </c>
      <c r="B9" s="27">
        <v>300000</v>
      </c>
      <c r="C9" s="38">
        <f t="shared" si="0"/>
        <v>232.1678505548484</v>
      </c>
      <c r="D9" s="29"/>
      <c r="E9" s="55">
        <f t="shared" si="1"/>
        <v>6.1035160964594444E-3</v>
      </c>
      <c r="F9" s="27">
        <f t="shared" si="2"/>
        <v>192559.27221114771</v>
      </c>
      <c r="G9" s="12">
        <f t="shared" si="3"/>
        <v>0.35813575929617431</v>
      </c>
      <c r="I9" s="11"/>
      <c r="J9" s="5"/>
      <c r="L9" s="29"/>
    </row>
    <row r="10" spans="1:12" x14ac:dyDescent="0.25">
      <c r="A10" s="6">
        <v>4</v>
      </c>
      <c r="B10" s="27">
        <v>400000</v>
      </c>
      <c r="C10" s="38">
        <f t="shared" si="0"/>
        <v>224.69558893272421</v>
      </c>
      <c r="D10" s="29"/>
      <c r="E10" s="55">
        <f t="shared" si="1"/>
        <v>5.194426538442023E-3</v>
      </c>
      <c r="F10" s="27">
        <f t="shared" si="2"/>
        <v>242288.58425314425</v>
      </c>
      <c r="G10" s="12">
        <f t="shared" si="3"/>
        <v>0.39427853936713936</v>
      </c>
      <c r="I10" s="11"/>
      <c r="J10" s="5"/>
      <c r="L10" s="29"/>
    </row>
    <row r="11" spans="1:12" x14ac:dyDescent="0.25">
      <c r="A11" s="6">
        <v>5</v>
      </c>
      <c r="B11" s="27">
        <v>500000</v>
      </c>
      <c r="C11" s="38">
        <f t="shared" si="0"/>
        <v>218.89965253495254</v>
      </c>
      <c r="D11" s="29"/>
      <c r="E11" s="55">
        <f t="shared" si="1"/>
        <v>4.4892818948783428E-3</v>
      </c>
      <c r="F11" s="27">
        <f t="shared" si="2"/>
        <v>298252.4217151159</v>
      </c>
      <c r="G11" s="12">
        <f t="shared" si="3"/>
        <v>0.4034951565697682</v>
      </c>
      <c r="I11" s="11"/>
      <c r="J11" s="5"/>
      <c r="L11" s="29"/>
    </row>
    <row r="12" spans="1:12" x14ac:dyDescent="0.25">
      <c r="A12" s="6">
        <v>6</v>
      </c>
      <c r="B12" s="27">
        <v>600000</v>
      </c>
      <c r="C12" s="38">
        <f t="shared" si="0"/>
        <v>214.16402768316149</v>
      </c>
      <c r="D12" s="55"/>
      <c r="E12" s="55">
        <f t="shared" si="1"/>
        <v>3.9131367702611468E-3</v>
      </c>
      <c r="F12" s="27">
        <f t="shared" si="2"/>
        <v>362703.77272891789</v>
      </c>
      <c r="G12" s="12">
        <f t="shared" si="3"/>
        <v>0.39549371211847018</v>
      </c>
      <c r="I12" s="11"/>
      <c r="J12" s="5"/>
      <c r="L12" s="29"/>
    </row>
    <row r="13" spans="1:12" x14ac:dyDescent="0.25">
      <c r="A13" s="6">
        <v>7</v>
      </c>
      <c r="B13" s="27">
        <v>700000</v>
      </c>
      <c r="C13" s="38">
        <f t="shared" si="0"/>
        <v>210.16011392141451</v>
      </c>
      <c r="D13" s="29"/>
      <c r="E13" s="55">
        <f t="shared" si="1"/>
        <v>3.4260130082626079E-3</v>
      </c>
      <c r="F13" s="27">
        <f t="shared" si="2"/>
        <v>438319.97195666702</v>
      </c>
      <c r="G13" s="12">
        <f t="shared" si="3"/>
        <v>0.37382861149047569</v>
      </c>
      <c r="I13" s="11"/>
      <c r="J13" s="5"/>
      <c r="L13" s="29"/>
    </row>
    <row r="14" spans="1:12" x14ac:dyDescent="0.25">
      <c r="A14" s="6">
        <v>8</v>
      </c>
      <c r="B14" s="27">
        <v>800000</v>
      </c>
      <c r="C14" s="38">
        <f t="shared" si="0"/>
        <v>206.6917660610373</v>
      </c>
      <c r="D14" s="29"/>
      <c r="E14" s="55">
        <f t="shared" si="1"/>
        <v>3.0040472122437253E-3</v>
      </c>
      <c r="F14" s="27">
        <f t="shared" si="2"/>
        <v>528565.99779454374</v>
      </c>
      <c r="G14" s="12">
        <f t="shared" si="3"/>
        <v>0.33929250275682032</v>
      </c>
      <c r="I14" s="11"/>
      <c r="J14" s="5"/>
      <c r="L14" s="29"/>
    </row>
    <row r="15" spans="1:12" x14ac:dyDescent="0.25">
      <c r="A15" s="6">
        <v>9</v>
      </c>
      <c r="B15" s="27">
        <v>900000</v>
      </c>
      <c r="C15" s="38">
        <f t="shared" si="0"/>
        <v>203.63246643359875</v>
      </c>
      <c r="D15" s="29"/>
      <c r="E15" s="55">
        <f t="shared" si="1"/>
        <v>2.6318470020802666E-3</v>
      </c>
      <c r="F15" s="27">
        <f t="shared" si="2"/>
        <v>638153.95963295503</v>
      </c>
      <c r="G15" s="12">
        <f t="shared" si="3"/>
        <v>0.29094004485227221</v>
      </c>
      <c r="I15" s="11"/>
      <c r="J15" s="5"/>
      <c r="L15" s="29"/>
    </row>
    <row r="16" spans="1:12" x14ac:dyDescent="0.25">
      <c r="A16" s="6">
        <v>10</v>
      </c>
      <c r="B16" s="27">
        <v>1000000</v>
      </c>
      <c r="C16" s="38">
        <f t="shared" si="0"/>
        <v>200.89582966326563</v>
      </c>
      <c r="D16" s="29"/>
      <c r="E16" s="55">
        <f t="shared" si="1"/>
        <v>2.2989025686800451E-3</v>
      </c>
      <c r="F16" s="27">
        <f t="shared" si="2"/>
        <v>773739.60696384031</v>
      </c>
      <c r="G16" s="12">
        <f t="shared" si="3"/>
        <v>0.22626039303615969</v>
      </c>
      <c r="I16" s="11"/>
      <c r="J16" s="5"/>
      <c r="L16" s="29"/>
    </row>
    <row r="17" spans="1:12" ht="13.8" thickBot="1" x14ac:dyDescent="0.3">
      <c r="B17" s="6"/>
      <c r="C17" s="6"/>
      <c r="D17" s="55"/>
      <c r="G17" s="12"/>
      <c r="I17" s="11"/>
      <c r="J17" s="5"/>
      <c r="L17" s="29"/>
    </row>
    <row r="18" spans="1:12" x14ac:dyDescent="0.25">
      <c r="A18" s="16" t="s">
        <v>15</v>
      </c>
      <c r="B18" s="17"/>
      <c r="C18" s="6"/>
      <c r="D18" s="29"/>
      <c r="G18" s="12"/>
      <c r="I18" s="11"/>
      <c r="J18" s="5"/>
      <c r="L18" s="29"/>
    </row>
    <row r="19" spans="1:12" x14ac:dyDescent="0.25">
      <c r="A19" s="18">
        <v>10000</v>
      </c>
      <c r="B19" s="19">
        <v>10000</v>
      </c>
      <c r="C19" s="6"/>
      <c r="D19" s="29"/>
      <c r="G19" s="12"/>
      <c r="I19" s="11"/>
      <c r="J19" s="5"/>
      <c r="L19" s="29"/>
    </row>
    <row r="20" spans="1:12" ht="13.8" thickBot="1" x14ac:dyDescent="0.3">
      <c r="A20" s="20">
        <v>10000000</v>
      </c>
      <c r="B20" s="21">
        <v>10000000</v>
      </c>
    </row>
    <row r="21" spans="1:12" x14ac:dyDescent="0.25">
      <c r="A21" s="3" t="s">
        <v>85</v>
      </c>
      <c r="B21" s="22"/>
      <c r="D21" s="130"/>
      <c r="E21" s="9"/>
    </row>
    <row r="22" spans="1:12" x14ac:dyDescent="0.25">
      <c r="A22" s="18">
        <v>10000</v>
      </c>
      <c r="B22" s="19">
        <v>20000</v>
      </c>
      <c r="E22" s="7"/>
      <c r="F22" s="29"/>
    </row>
    <row r="23" spans="1:12" ht="13.8" thickBot="1" x14ac:dyDescent="0.3">
      <c r="A23" s="20">
        <v>5000000</v>
      </c>
      <c r="B23" s="21">
        <v>10000000</v>
      </c>
      <c r="D23" s="27"/>
      <c r="E23" s="64"/>
      <c r="F23" s="29"/>
    </row>
    <row r="24" spans="1:12" x14ac:dyDescent="0.25">
      <c r="A24" s="3" t="s">
        <v>86</v>
      </c>
      <c r="B24" s="22"/>
      <c r="D24" s="27"/>
      <c r="E24" s="27"/>
      <c r="F24" s="29"/>
    </row>
    <row r="25" spans="1:12" x14ac:dyDescent="0.25">
      <c r="A25" s="18">
        <v>20000</v>
      </c>
      <c r="B25" s="19">
        <v>10000</v>
      </c>
      <c r="D25" s="27"/>
      <c r="E25" s="27"/>
      <c r="F25" s="29"/>
    </row>
    <row r="26" spans="1:12" ht="13.8" thickBot="1" x14ac:dyDescent="0.3">
      <c r="A26" s="20">
        <v>10000000</v>
      </c>
      <c r="B26" s="21">
        <v>5000000</v>
      </c>
      <c r="D26" s="6"/>
      <c r="E26" s="29"/>
      <c r="F26" s="29"/>
    </row>
    <row r="27" spans="1:12" x14ac:dyDescent="0.25">
      <c r="E27" s="27"/>
      <c r="F27" s="29"/>
    </row>
    <row r="28" spans="1:12" x14ac:dyDescent="0.25">
      <c r="E28" s="6"/>
      <c r="F28" s="29"/>
    </row>
    <row r="29" spans="1:12" x14ac:dyDescent="0.25">
      <c r="E29" s="6"/>
      <c r="F29" s="29"/>
    </row>
  </sheetData>
  <phoneticPr fontId="0" type="noConversion"/>
  <conditionalFormatting sqref="G7:G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{0C25A302-00A4-4773-8D85-401709955660}</x14:id>
        </ext>
      </extLst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5A302-00A4-4773-8D85-401709955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8" zoomScale="70" zoomScaleNormal="70" workbookViewId="0">
      <selection activeCell="G55" sqref="G55"/>
    </sheetView>
  </sheetViews>
  <sheetFormatPr defaultColWidth="9.109375" defaultRowHeight="13.2" x14ac:dyDescent="0.25"/>
  <cols>
    <col min="1" max="2" width="9.109375" style="6"/>
    <col min="3" max="3" width="13.6640625" style="38" customWidth="1"/>
    <col min="4" max="4" width="12.44140625" style="38" customWidth="1"/>
    <col min="5" max="5" width="9.33203125" style="38" bestFit="1" customWidth="1"/>
    <col min="6" max="6" width="12.44140625" style="38" bestFit="1" customWidth="1"/>
    <col min="7" max="7" width="10.44140625" style="38" bestFit="1" customWidth="1"/>
    <col min="8" max="9" width="9.33203125" style="65" bestFit="1" customWidth="1"/>
    <col min="10" max="10" width="9.109375" style="103"/>
    <col min="11" max="11" width="9.109375" style="27"/>
    <col min="12" max="12" width="9.109375" style="29"/>
    <col min="13" max="14" width="9.109375" style="6"/>
    <col min="15" max="15" width="10" style="32" bestFit="1" customWidth="1"/>
    <col min="16" max="16" width="9.109375" style="32"/>
    <col min="17" max="16384" width="9.109375" style="6"/>
  </cols>
  <sheetData>
    <row r="1" spans="1:19" ht="13.8" thickBot="1" x14ac:dyDescent="0.3"/>
    <row r="2" spans="1:19" x14ac:dyDescent="0.25">
      <c r="A2" s="8" t="s">
        <v>12</v>
      </c>
      <c r="B2" s="8">
        <v>4.9053000000000004</v>
      </c>
      <c r="C2" s="131"/>
      <c r="D2" s="132"/>
      <c r="F2" s="112" t="s">
        <v>7</v>
      </c>
      <c r="G2" s="113">
        <v>240</v>
      </c>
      <c r="H2" s="66">
        <v>252</v>
      </c>
      <c r="I2" s="66"/>
      <c r="L2" s="109" t="s">
        <v>34</v>
      </c>
      <c r="M2" s="99">
        <v>1.089</v>
      </c>
      <c r="N2" s="72"/>
      <c r="O2" s="72"/>
      <c r="P2" s="72"/>
    </row>
    <row r="3" spans="1:19" ht="13.8" thickBot="1" x14ac:dyDescent="0.3">
      <c r="A3" s="8" t="s">
        <v>11</v>
      </c>
      <c r="B3" s="8">
        <v>1.4244000000000001</v>
      </c>
      <c r="D3" s="66"/>
      <c r="F3" s="114" t="s">
        <v>0</v>
      </c>
      <c r="G3" s="77">
        <v>182</v>
      </c>
      <c r="H3" s="66"/>
      <c r="I3" s="66"/>
      <c r="J3" s="133"/>
      <c r="L3" s="110" t="s">
        <v>83</v>
      </c>
      <c r="M3" s="100">
        <f>$M$2-2*(3*$G$3/$G$2-SQRT(3))</f>
        <v>3.101615137754532E-3</v>
      </c>
    </row>
    <row r="4" spans="1:19" x14ac:dyDescent="0.25">
      <c r="A4" s="8" t="s">
        <v>4</v>
      </c>
      <c r="B4" s="8">
        <v>16439</v>
      </c>
      <c r="D4" s="66"/>
      <c r="K4" s="64"/>
      <c r="L4" s="12"/>
      <c r="M4" s="66"/>
      <c r="N4" s="73"/>
      <c r="O4" s="72"/>
      <c r="P4" s="72"/>
    </row>
    <row r="5" spans="1:19" ht="13.8" thickBot="1" x14ac:dyDescent="0.3"/>
    <row r="6" spans="1:19" ht="13.8" thickBot="1" x14ac:dyDescent="0.3">
      <c r="A6" s="78" t="s">
        <v>16</v>
      </c>
      <c r="B6" s="79" t="s">
        <v>18</v>
      </c>
      <c r="C6" s="115" t="s">
        <v>20</v>
      </c>
      <c r="D6" s="115" t="s">
        <v>29</v>
      </c>
      <c r="E6" s="115" t="s">
        <v>30</v>
      </c>
      <c r="F6" s="115" t="s">
        <v>19</v>
      </c>
      <c r="G6" s="115" t="s">
        <v>21</v>
      </c>
      <c r="H6" s="115" t="s">
        <v>27</v>
      </c>
      <c r="I6" s="115" t="s">
        <v>28</v>
      </c>
      <c r="J6" s="106" t="s">
        <v>1</v>
      </c>
      <c r="K6" s="108" t="s">
        <v>22</v>
      </c>
      <c r="L6" s="126" t="s">
        <v>9</v>
      </c>
      <c r="M6" s="58" t="s">
        <v>32</v>
      </c>
      <c r="N6" s="13" t="s">
        <v>33</v>
      </c>
      <c r="O6" s="7" t="s">
        <v>84</v>
      </c>
      <c r="P6" s="7" t="s">
        <v>13</v>
      </c>
      <c r="Q6" s="6" t="s">
        <v>17</v>
      </c>
    </row>
    <row r="7" spans="1:19" x14ac:dyDescent="0.25">
      <c r="A7" s="38">
        <f>C7-B7</f>
        <v>311.29982705790411</v>
      </c>
      <c r="B7" s="6">
        <v>75</v>
      </c>
      <c r="C7" s="38">
        <f>(P7-LN(O7))/Q7</f>
        <v>386.29982705790411</v>
      </c>
      <c r="D7" s="38">
        <f>-A7+B7</f>
        <v>-236.29982705790411</v>
      </c>
      <c r="E7" s="38">
        <f>D7/3</f>
        <v>-78.76660901930137</v>
      </c>
      <c r="F7" s="38">
        <f>C7/3</f>
        <v>128.76660901930137</v>
      </c>
      <c r="G7" s="38">
        <f>A7/SQRT(3)</f>
        <v>179.7290389505649</v>
      </c>
      <c r="H7" s="65">
        <f>$G$3-$M$2*F7</f>
        <v>41.773162777980815</v>
      </c>
      <c r="I7" s="65">
        <f>$G$3-$M$3*E7</f>
        <v>182.24430370688387</v>
      </c>
      <c r="J7" s="103">
        <f>(2*G7-H7-I7)/$B$4</f>
        <v>8.2389811677270591E-3</v>
      </c>
      <c r="K7" s="27">
        <f>EXP($B$2)/POWER(J7,$B$3)</f>
        <v>125595.62001180815</v>
      </c>
      <c r="L7" s="29">
        <f>(O7-K7)/O7</f>
        <v>-0.25595620011808146</v>
      </c>
      <c r="M7" s="59">
        <v>-240</v>
      </c>
      <c r="N7" s="76">
        <f>$G$3-$M$3*M7</f>
        <v>182.74438763306108</v>
      </c>
      <c r="O7" s="64">
        <v>100000</v>
      </c>
      <c r="P7" s="66">
        <v>23.72</v>
      </c>
      <c r="Q7" s="55">
        <v>3.1600000000000003E-2</v>
      </c>
      <c r="R7" s="55"/>
      <c r="S7" s="55"/>
    </row>
    <row r="8" spans="1:19" x14ac:dyDescent="0.25">
      <c r="A8" s="38">
        <f t="shared" ref="A8:A46" si="0">C8-B8</f>
        <v>289.36478969841215</v>
      </c>
      <c r="B8" s="6">
        <v>75</v>
      </c>
      <c r="C8" s="38">
        <f>(P8-LN(O8))/Q8</f>
        <v>364.36478969841215</v>
      </c>
      <c r="D8" s="38">
        <f t="shared" ref="D8:D16" si="1">-A8+B8</f>
        <v>-214.36478969841215</v>
      </c>
      <c r="E8" s="38">
        <f t="shared" ref="E8:E46" si="2">D8/3</f>
        <v>-71.454929899470713</v>
      </c>
      <c r="F8" s="38">
        <f t="shared" ref="F8:F16" si="3">C8/3</f>
        <v>121.45492989947071</v>
      </c>
      <c r="G8" s="38">
        <f t="shared" ref="G8:G16" si="4">A8/SQRT(3)</f>
        <v>167.06483922637773</v>
      </c>
      <c r="H8" s="65">
        <f t="shared" ref="H8:H17" si="5">$G$3-$M$2*F8</f>
        <v>49.735581339476397</v>
      </c>
      <c r="I8" s="65">
        <f t="shared" ref="I8:I16" si="6">$G$3-$M$3*E8</f>
        <v>182.22162569224338</v>
      </c>
      <c r="J8" s="103">
        <f t="shared" ref="J8:J16" si="7">(2*G8-H8-I8)/$B$4</f>
        <v>6.2152485808769182E-3</v>
      </c>
      <c r="K8" s="27">
        <f t="shared" ref="K8:K46" si="8">EXP($B$2)/POWER(J8,$B$3)</f>
        <v>187647.347718145</v>
      </c>
      <c r="L8" s="29">
        <f t="shared" ref="L8:L16" si="9">(O8-K8)/O8</f>
        <v>6.1763261409275003E-2</v>
      </c>
      <c r="M8" s="59">
        <v>-220</v>
      </c>
      <c r="N8" s="76">
        <f t="shared" ref="N8:N19" si="10">$G$3-$M$3*M8</f>
        <v>182.682355330306</v>
      </c>
      <c r="O8" s="64">
        <v>200000</v>
      </c>
      <c r="P8" s="66">
        <v>23.72</v>
      </c>
      <c r="Q8" s="55">
        <v>3.1600000000000003E-2</v>
      </c>
      <c r="R8" s="55"/>
      <c r="S8" s="55"/>
    </row>
    <row r="9" spans="1:19" x14ac:dyDescent="0.25">
      <c r="A9" s="38">
        <f t="shared" si="0"/>
        <v>276.5336153911918</v>
      </c>
      <c r="B9" s="6">
        <v>75</v>
      </c>
      <c r="C9" s="38">
        <f t="shared" ref="C9:C16" si="11">(P9-LN(O9))/Q9</f>
        <v>351.5336153911918</v>
      </c>
      <c r="D9" s="38">
        <f t="shared" si="1"/>
        <v>-201.5336153911918</v>
      </c>
      <c r="E9" s="38">
        <f t="shared" si="2"/>
        <v>-67.177871797063929</v>
      </c>
      <c r="F9" s="38">
        <f t="shared" si="3"/>
        <v>117.17787179706393</v>
      </c>
      <c r="G9" s="38">
        <f t="shared" si="4"/>
        <v>159.65675728608502</v>
      </c>
      <c r="H9" s="65">
        <f t="shared" si="5"/>
        <v>54.393297612997387</v>
      </c>
      <c r="I9" s="65">
        <f t="shared" si="6"/>
        <v>182.2083599040879</v>
      </c>
      <c r="J9" s="103">
        <f t="shared" si="7"/>
        <v>5.0314409060821675E-3</v>
      </c>
      <c r="K9" s="27">
        <f t="shared" si="8"/>
        <v>253544.44582515824</v>
      </c>
      <c r="L9" s="29">
        <f t="shared" si="9"/>
        <v>0.15485184724947254</v>
      </c>
      <c r="M9" s="59">
        <v>-200</v>
      </c>
      <c r="N9" s="76">
        <f t="shared" si="10"/>
        <v>182.62032302755091</v>
      </c>
      <c r="O9" s="64">
        <v>300000</v>
      </c>
      <c r="P9" s="66">
        <v>23.72</v>
      </c>
      <c r="Q9" s="55">
        <v>3.1600000000000003E-2</v>
      </c>
      <c r="R9" s="55"/>
      <c r="S9" s="55"/>
    </row>
    <row r="10" spans="1:19" x14ac:dyDescent="0.25">
      <c r="A10" s="38">
        <f t="shared" si="0"/>
        <v>267.4297523389202</v>
      </c>
      <c r="B10" s="6">
        <v>75</v>
      </c>
      <c r="C10" s="38">
        <f t="shared" si="11"/>
        <v>342.4297523389202</v>
      </c>
      <c r="D10" s="38">
        <f t="shared" si="1"/>
        <v>-192.4297523389202</v>
      </c>
      <c r="E10" s="38">
        <f t="shared" si="2"/>
        <v>-64.14325077964007</v>
      </c>
      <c r="F10" s="38">
        <f t="shared" si="3"/>
        <v>114.14325077964007</v>
      </c>
      <c r="G10" s="38">
        <f t="shared" si="4"/>
        <v>154.40063950219053</v>
      </c>
      <c r="H10" s="65">
        <f t="shared" si="5"/>
        <v>57.697999900971965</v>
      </c>
      <c r="I10" s="65">
        <f t="shared" si="6"/>
        <v>182.19894767760292</v>
      </c>
      <c r="J10" s="103">
        <f t="shared" si="7"/>
        <v>4.1915159940267756E-3</v>
      </c>
      <c r="K10" s="27">
        <f t="shared" si="8"/>
        <v>328881.38129839976</v>
      </c>
      <c r="L10" s="29">
        <f t="shared" si="9"/>
        <v>0.17779654675400058</v>
      </c>
      <c r="M10" s="59">
        <v>-180</v>
      </c>
      <c r="N10" s="76">
        <f t="shared" si="10"/>
        <v>182.55829072479582</v>
      </c>
      <c r="O10" s="64">
        <v>400000</v>
      </c>
      <c r="P10" s="66">
        <v>23.72</v>
      </c>
      <c r="Q10" s="55">
        <v>3.1600000000000003E-2</v>
      </c>
      <c r="R10" s="55"/>
      <c r="S10" s="55"/>
    </row>
    <row r="11" spans="1:19" x14ac:dyDescent="0.25">
      <c r="A11" s="38">
        <f t="shared" si="0"/>
        <v>260.36824755049588</v>
      </c>
      <c r="B11" s="6">
        <v>75</v>
      </c>
      <c r="C11" s="38">
        <f t="shared" si="11"/>
        <v>335.36824755049588</v>
      </c>
      <c r="D11" s="38">
        <f t="shared" si="1"/>
        <v>-185.36824755049588</v>
      </c>
      <c r="E11" s="38">
        <f t="shared" si="2"/>
        <v>-61.789415850165291</v>
      </c>
      <c r="F11" s="38">
        <f t="shared" si="3"/>
        <v>111.7894158501653</v>
      </c>
      <c r="G11" s="38">
        <f t="shared" si="4"/>
        <v>150.32367781170993</v>
      </c>
      <c r="H11" s="65">
        <f t="shared" si="5"/>
        <v>60.261326139169995</v>
      </c>
      <c r="I11" s="65">
        <f t="shared" si="6"/>
        <v>182.1916469875539</v>
      </c>
      <c r="J11" s="103">
        <f t="shared" si="7"/>
        <v>3.5400196177806415E-3</v>
      </c>
      <c r="K11" s="27">
        <f t="shared" si="8"/>
        <v>418351.22738675453</v>
      </c>
      <c r="L11" s="29">
        <f t="shared" si="9"/>
        <v>0.16329754522649095</v>
      </c>
      <c r="M11" s="59">
        <v>-160</v>
      </c>
      <c r="N11" s="76">
        <f t="shared" si="10"/>
        <v>182.49625842204074</v>
      </c>
      <c r="O11" s="64">
        <v>500000</v>
      </c>
      <c r="P11" s="66">
        <v>23.72</v>
      </c>
      <c r="Q11" s="55">
        <v>3.1600000000000003E-2</v>
      </c>
      <c r="R11" s="55"/>
      <c r="S11" s="55"/>
    </row>
    <row r="12" spans="1:19" x14ac:dyDescent="0.25">
      <c r="A12" s="38">
        <f t="shared" si="0"/>
        <v>254.59857803169984</v>
      </c>
      <c r="B12" s="6">
        <v>75</v>
      </c>
      <c r="C12" s="38">
        <f t="shared" si="11"/>
        <v>329.59857803169984</v>
      </c>
      <c r="D12" s="38">
        <f t="shared" si="1"/>
        <v>-179.59857803169984</v>
      </c>
      <c r="E12" s="38">
        <f t="shared" si="2"/>
        <v>-59.866192677233279</v>
      </c>
      <c r="F12" s="38">
        <f t="shared" si="3"/>
        <v>109.86619267723329</v>
      </c>
      <c r="G12" s="38">
        <f t="shared" si="4"/>
        <v>146.99255756189785</v>
      </c>
      <c r="H12" s="65">
        <f t="shared" si="5"/>
        <v>62.355716174492954</v>
      </c>
      <c r="I12" s="65">
        <f t="shared" si="6"/>
        <v>182.18568188944744</v>
      </c>
      <c r="J12" s="103">
        <f t="shared" si="7"/>
        <v>3.0077083192320284E-3</v>
      </c>
      <c r="K12" s="27">
        <f t="shared" si="8"/>
        <v>527649.78643528325</v>
      </c>
      <c r="L12" s="29">
        <f t="shared" si="9"/>
        <v>0.12058368927452791</v>
      </c>
      <c r="M12" s="59">
        <v>-140</v>
      </c>
      <c r="N12" s="76">
        <f t="shared" si="10"/>
        <v>182.43422611928563</v>
      </c>
      <c r="O12" s="64">
        <v>600000</v>
      </c>
      <c r="P12" s="66">
        <v>23.72</v>
      </c>
      <c r="Q12" s="55">
        <v>3.1600000000000003E-2</v>
      </c>
      <c r="R12" s="55"/>
      <c r="S12" s="55"/>
    </row>
    <row r="13" spans="1:19" x14ac:dyDescent="0.25">
      <c r="A13" s="38">
        <f t="shared" si="0"/>
        <v>249.72039196121693</v>
      </c>
      <c r="B13" s="6">
        <v>75</v>
      </c>
      <c r="C13" s="38">
        <f t="shared" si="11"/>
        <v>324.72039196121693</v>
      </c>
      <c r="D13" s="38">
        <f t="shared" si="1"/>
        <v>-174.72039196121693</v>
      </c>
      <c r="E13" s="38">
        <f t="shared" si="2"/>
        <v>-58.24013065373898</v>
      </c>
      <c r="F13" s="38">
        <f t="shared" si="3"/>
        <v>108.24013065373897</v>
      </c>
      <c r="G13" s="38">
        <f t="shared" si="4"/>
        <v>144.17613552094747</v>
      </c>
      <c r="H13" s="65">
        <f t="shared" si="5"/>
        <v>64.126497718078255</v>
      </c>
      <c r="I13" s="65">
        <f t="shared" si="6"/>
        <v>182.18063847086043</v>
      </c>
      <c r="J13" s="103">
        <f t="shared" si="7"/>
        <v>2.5576455291049477E-3</v>
      </c>
      <c r="K13" s="27">
        <f t="shared" si="8"/>
        <v>664686.59677950828</v>
      </c>
      <c r="L13" s="29">
        <f t="shared" si="9"/>
        <v>5.0447718886416741E-2</v>
      </c>
      <c r="M13" s="59">
        <v>-120</v>
      </c>
      <c r="N13" s="76">
        <f t="shared" si="10"/>
        <v>182.37219381653054</v>
      </c>
      <c r="O13" s="64">
        <v>700000</v>
      </c>
      <c r="P13" s="66">
        <v>23.72</v>
      </c>
      <c r="Q13" s="55">
        <v>3.1600000000000003E-2</v>
      </c>
      <c r="R13" s="55"/>
      <c r="S13" s="55"/>
    </row>
    <row r="14" spans="1:19" x14ac:dyDescent="0.25">
      <c r="A14" s="38">
        <f t="shared" si="0"/>
        <v>245.49471497942824</v>
      </c>
      <c r="B14" s="6">
        <v>75</v>
      </c>
      <c r="C14" s="38">
        <f t="shared" si="11"/>
        <v>320.49471497942824</v>
      </c>
      <c r="D14" s="38">
        <f t="shared" si="1"/>
        <v>-170.49471497942824</v>
      </c>
      <c r="E14" s="38">
        <f t="shared" si="2"/>
        <v>-56.831571659809413</v>
      </c>
      <c r="F14" s="38">
        <f t="shared" si="3"/>
        <v>106.83157165980941</v>
      </c>
      <c r="G14" s="38">
        <f t="shared" si="4"/>
        <v>141.73643977800336</v>
      </c>
      <c r="H14" s="65">
        <f t="shared" si="5"/>
        <v>65.660418462467547</v>
      </c>
      <c r="I14" s="65">
        <f t="shared" si="6"/>
        <v>182.17626966296245</v>
      </c>
      <c r="J14" s="103">
        <f t="shared" si="7"/>
        <v>2.1677834071766365E-3</v>
      </c>
      <c r="K14" s="27">
        <f t="shared" si="8"/>
        <v>841247.31589937804</v>
      </c>
      <c r="L14" s="29">
        <f t="shared" si="9"/>
        <v>-5.155914487422255E-2</v>
      </c>
      <c r="M14" s="59">
        <v>-100</v>
      </c>
      <c r="N14" s="76">
        <f t="shared" si="10"/>
        <v>182.31016151377545</v>
      </c>
      <c r="O14" s="64">
        <v>800000</v>
      </c>
      <c r="P14" s="66">
        <v>23.72</v>
      </c>
      <c r="Q14" s="55">
        <v>3.1600000000000003E-2</v>
      </c>
      <c r="R14" s="55"/>
      <c r="S14" s="55"/>
    </row>
    <row r="15" spans="1:19" x14ac:dyDescent="0.25">
      <c r="A15" s="38">
        <f t="shared" si="0"/>
        <v>241.76740372447938</v>
      </c>
      <c r="B15" s="6">
        <v>75</v>
      </c>
      <c r="C15" s="38">
        <f t="shared" si="11"/>
        <v>316.76740372447938</v>
      </c>
      <c r="D15" s="38">
        <f t="shared" si="1"/>
        <v>-166.76740372447938</v>
      </c>
      <c r="E15" s="38">
        <f t="shared" si="2"/>
        <v>-55.58913457482646</v>
      </c>
      <c r="F15" s="38">
        <f t="shared" si="3"/>
        <v>105.58913457482646</v>
      </c>
      <c r="G15" s="38">
        <f t="shared" si="4"/>
        <v>139.58447562160512</v>
      </c>
      <c r="H15" s="65">
        <f t="shared" si="5"/>
        <v>67.013432448013987</v>
      </c>
      <c r="I15" s="65">
        <f t="shared" si="6"/>
        <v>182.17241610129196</v>
      </c>
      <c r="J15" s="103">
        <f t="shared" si="7"/>
        <v>1.8239006444372712E-3</v>
      </c>
      <c r="K15" s="27">
        <f t="shared" si="8"/>
        <v>1075906.7838879954</v>
      </c>
      <c r="L15" s="29">
        <f t="shared" si="9"/>
        <v>-0.19545198209777268</v>
      </c>
      <c r="M15" s="59">
        <v>-80</v>
      </c>
      <c r="N15" s="76">
        <f t="shared" si="10"/>
        <v>182.24812921102037</v>
      </c>
      <c r="O15" s="64">
        <v>900000</v>
      </c>
      <c r="P15" s="66">
        <v>23.72</v>
      </c>
      <c r="Q15" s="55">
        <v>3.1600000000000003E-2</v>
      </c>
      <c r="R15" s="55"/>
      <c r="S15" s="55"/>
    </row>
    <row r="16" spans="1:19" ht="13.8" thickBot="1" x14ac:dyDescent="0.3">
      <c r="A16" s="68">
        <f t="shared" si="0"/>
        <v>238.43321019100392</v>
      </c>
      <c r="B16" s="56">
        <v>75</v>
      </c>
      <c r="C16" s="68">
        <f t="shared" si="11"/>
        <v>313.43321019100392</v>
      </c>
      <c r="D16" s="68">
        <f t="shared" si="1"/>
        <v>-163.43321019100392</v>
      </c>
      <c r="E16" s="67">
        <f t="shared" si="2"/>
        <v>-54.477736730334641</v>
      </c>
      <c r="F16" s="67">
        <f t="shared" si="3"/>
        <v>104.47773673033464</v>
      </c>
      <c r="G16" s="67">
        <f t="shared" si="4"/>
        <v>137.65947808752276</v>
      </c>
      <c r="H16" s="67">
        <f t="shared" si="5"/>
        <v>68.223744700665577</v>
      </c>
      <c r="I16" s="67">
        <f t="shared" si="6"/>
        <v>182.1689689729134</v>
      </c>
      <c r="J16" s="104">
        <f t="shared" si="7"/>
        <v>1.5162870309305026E-3</v>
      </c>
      <c r="K16" s="57">
        <f t="shared" si="8"/>
        <v>1399715.1616097072</v>
      </c>
      <c r="L16" s="93">
        <f t="shared" si="9"/>
        <v>-0.39971516160970716</v>
      </c>
      <c r="M16" s="59">
        <v>-60</v>
      </c>
      <c r="N16" s="76">
        <f t="shared" si="10"/>
        <v>182.18609690826528</v>
      </c>
      <c r="O16" s="98">
        <v>1000000</v>
      </c>
      <c r="P16" s="67">
        <v>23.72</v>
      </c>
      <c r="Q16" s="92">
        <v>3.1600000000000003E-2</v>
      </c>
      <c r="R16" s="128"/>
      <c r="S16" s="128"/>
    </row>
    <row r="17" spans="1:19" x14ac:dyDescent="0.25">
      <c r="A17" s="65">
        <f>C17-B17</f>
        <v>281.76999021115302</v>
      </c>
      <c r="B17" s="15">
        <v>150</v>
      </c>
      <c r="C17" s="65">
        <f>(P17-LN(O17))/Q17</f>
        <v>431.76999021115302</v>
      </c>
      <c r="D17" s="65">
        <f>-A17+B17</f>
        <v>-131.76999021115302</v>
      </c>
      <c r="E17" s="65">
        <f t="shared" si="2"/>
        <v>-43.923330070384338</v>
      </c>
      <c r="F17" s="65">
        <f>C17/3</f>
        <v>143.92333007038434</v>
      </c>
      <c r="G17" s="65">
        <f>A17/SQRT(3)</f>
        <v>162.67997969796741</v>
      </c>
      <c r="H17" s="65">
        <f t="shared" si="5"/>
        <v>25.267493553351471</v>
      </c>
      <c r="I17" s="65">
        <f>$G$3-$M$3*E17</f>
        <v>182.13623326544689</v>
      </c>
      <c r="J17" s="105">
        <f>(2*G17-H17-I17)/$B$4</f>
        <v>7.1753897790094567E-3</v>
      </c>
      <c r="K17" s="70">
        <f t="shared" si="8"/>
        <v>152924.96692598014</v>
      </c>
      <c r="L17" s="11">
        <f>(O17-K17)/O17</f>
        <v>-0.52924966925980144</v>
      </c>
      <c r="M17" s="59">
        <v>-40</v>
      </c>
      <c r="N17" s="76">
        <f t="shared" si="10"/>
        <v>182.12406460551017</v>
      </c>
      <c r="O17" s="64">
        <v>100000</v>
      </c>
      <c r="P17" s="66">
        <v>32.021999999999998</v>
      </c>
      <c r="Q17" s="55">
        <v>4.7500000000000001E-2</v>
      </c>
      <c r="R17" s="55"/>
      <c r="S17" s="55"/>
    </row>
    <row r="18" spans="1:19" x14ac:dyDescent="0.25">
      <c r="A18" s="38">
        <f t="shared" si="0"/>
        <v>267.17741798883839</v>
      </c>
      <c r="B18" s="55">
        <v>150</v>
      </c>
      <c r="C18" s="38">
        <f t="shared" ref="C18:C46" si="12">(P18-LN(O18))/Q18</f>
        <v>417.17741798883839</v>
      </c>
      <c r="D18" s="38">
        <f t="shared" ref="D18:D27" si="13">-A18+B18</f>
        <v>-117.17741798883839</v>
      </c>
      <c r="E18" s="38">
        <f t="shared" si="2"/>
        <v>-39.059139329612798</v>
      </c>
      <c r="F18" s="38">
        <f t="shared" ref="F18:F27" si="14">C18/3</f>
        <v>139.0591393296128</v>
      </c>
      <c r="G18" s="38">
        <f t="shared" ref="G18:G27" si="15">A18/SQRT(3)</f>
        <v>154.25495419724501</v>
      </c>
      <c r="H18" s="65">
        <f t="shared" ref="H18:H27" si="16">$G$3-$M$2*F18</f>
        <v>30.56459727005165</v>
      </c>
      <c r="I18" s="65">
        <f t="shared" ref="I18:I27" si="17">$G$3-$M$3*E18</f>
        <v>182.12114641781238</v>
      </c>
      <c r="J18" s="103">
        <f t="shared" ref="J18:J27" si="18">(2*G18-H18-I18)/$B$4</f>
        <v>5.8290750475470526E-3</v>
      </c>
      <c r="K18" s="27">
        <f t="shared" si="8"/>
        <v>205600.69823923486</v>
      </c>
      <c r="L18" s="29">
        <f t="shared" ref="L18:L27" si="19">(O18-K18)/O18</f>
        <v>-2.8003491196174291E-2</v>
      </c>
      <c r="M18" s="59">
        <v>-20</v>
      </c>
      <c r="N18" s="76">
        <f t="shared" si="10"/>
        <v>182.06203230275509</v>
      </c>
      <c r="O18" s="64">
        <v>200000</v>
      </c>
      <c r="P18" s="66">
        <v>32.021999999999998</v>
      </c>
      <c r="Q18" s="55">
        <v>4.7500000000000001E-2</v>
      </c>
      <c r="R18" s="55"/>
      <c r="S18" s="55"/>
    </row>
    <row r="19" spans="1:19" x14ac:dyDescent="0.25">
      <c r="A19" s="65">
        <f t="shared" si="0"/>
        <v>258.64131044971919</v>
      </c>
      <c r="B19" s="15">
        <v>150</v>
      </c>
      <c r="C19" s="65">
        <f t="shared" si="12"/>
        <v>408.64131044971919</v>
      </c>
      <c r="D19" s="65">
        <f t="shared" si="13"/>
        <v>-108.64131044971919</v>
      </c>
      <c r="E19" s="65">
        <f t="shared" si="2"/>
        <v>-36.213770149906395</v>
      </c>
      <c r="F19" s="65">
        <f t="shared" si="14"/>
        <v>136.2137701499064</v>
      </c>
      <c r="G19" s="65">
        <f t="shared" si="15"/>
        <v>149.32663021170293</v>
      </c>
      <c r="H19" s="65">
        <f t="shared" si="16"/>
        <v>33.663204306751936</v>
      </c>
      <c r="I19" s="65">
        <f t="shared" si="17"/>
        <v>182.11232117769211</v>
      </c>
      <c r="J19" s="105">
        <f t="shared" si="18"/>
        <v>5.0415314154730719E-3</v>
      </c>
      <c r="K19" s="70">
        <f t="shared" si="8"/>
        <v>252821.92208958147</v>
      </c>
      <c r="L19" s="11">
        <f t="shared" si="19"/>
        <v>0.15726025970139512</v>
      </c>
      <c r="M19" s="59">
        <v>0</v>
      </c>
      <c r="N19" s="76">
        <f t="shared" si="10"/>
        <v>182</v>
      </c>
      <c r="O19" s="64">
        <v>300000</v>
      </c>
      <c r="P19" s="66">
        <v>32.021999999999998</v>
      </c>
      <c r="Q19" s="55">
        <v>4.7500000000000001E-2</v>
      </c>
      <c r="R19" s="55"/>
      <c r="S19" s="55"/>
    </row>
    <row r="20" spans="1:19" x14ac:dyDescent="0.25">
      <c r="A20" s="65">
        <f t="shared" si="0"/>
        <v>252.58484576652381</v>
      </c>
      <c r="B20" s="15">
        <v>150</v>
      </c>
      <c r="C20" s="65">
        <f t="shared" si="12"/>
        <v>402.58484576652381</v>
      </c>
      <c r="D20" s="65">
        <f t="shared" si="13"/>
        <v>-102.58484576652381</v>
      </c>
      <c r="E20" s="65">
        <f t="shared" si="2"/>
        <v>-34.194948588841271</v>
      </c>
      <c r="F20" s="65">
        <f t="shared" si="14"/>
        <v>134.19494858884127</v>
      </c>
      <c r="G20" s="65">
        <f t="shared" si="15"/>
        <v>145.82992869652264</v>
      </c>
      <c r="H20" s="65">
        <f t="shared" si="16"/>
        <v>35.861700986751856</v>
      </c>
      <c r="I20" s="65">
        <f t="shared" si="17"/>
        <v>182.10605957017788</v>
      </c>
      <c r="J20" s="105">
        <f t="shared" si="18"/>
        <v>4.4827603160846495E-3</v>
      </c>
      <c r="K20" s="70">
        <f t="shared" si="8"/>
        <v>298870.66183466942</v>
      </c>
      <c r="L20" s="11">
        <f t="shared" si="19"/>
        <v>0.25282334541332646</v>
      </c>
      <c r="M20" s="59">
        <v>20</v>
      </c>
      <c r="N20" s="76">
        <f t="shared" ref="N20:N31" si="20">$G$3-$M$2*M20</f>
        <v>160.22</v>
      </c>
      <c r="O20" s="64">
        <v>400000</v>
      </c>
      <c r="P20" s="66">
        <v>32.021999999999998</v>
      </c>
      <c r="Q20" s="55">
        <v>4.7500000000000001E-2</v>
      </c>
      <c r="R20" s="55"/>
      <c r="S20" s="55"/>
    </row>
    <row r="21" spans="1:19" x14ac:dyDescent="0.25">
      <c r="A21" s="38">
        <f t="shared" si="0"/>
        <v>247.88708679148783</v>
      </c>
      <c r="B21" s="55">
        <v>150</v>
      </c>
      <c r="C21" s="38">
        <f t="shared" si="12"/>
        <v>397.88708679148783</v>
      </c>
      <c r="D21" s="38">
        <f t="shared" si="13"/>
        <v>-97.887086791487832</v>
      </c>
      <c r="E21" s="38">
        <f t="shared" si="2"/>
        <v>-32.629028930495942</v>
      </c>
      <c r="F21" s="38">
        <f t="shared" si="14"/>
        <v>132.62902893049593</v>
      </c>
      <c r="G21" s="38">
        <f t="shared" si="15"/>
        <v>143.11767628769763</v>
      </c>
      <c r="H21" s="65">
        <f t="shared" si="16"/>
        <v>37.566987494689926</v>
      </c>
      <c r="I21" s="65">
        <f t="shared" si="17"/>
        <v>182.10120269006106</v>
      </c>
      <c r="J21" s="103">
        <f t="shared" si="18"/>
        <v>4.0493437794661647E-3</v>
      </c>
      <c r="K21" s="27">
        <f t="shared" si="8"/>
        <v>345450.66115467943</v>
      </c>
      <c r="L21" s="29">
        <f t="shared" si="19"/>
        <v>0.30909867769064114</v>
      </c>
      <c r="M21" s="59">
        <v>40</v>
      </c>
      <c r="N21" s="76">
        <f t="shared" si="20"/>
        <v>138.44</v>
      </c>
      <c r="O21" s="64">
        <v>500000</v>
      </c>
      <c r="P21" s="66">
        <v>32.021999999999998</v>
      </c>
      <c r="Q21" s="55">
        <v>4.7500000000000001E-2</v>
      </c>
      <c r="R21" s="55"/>
      <c r="S21" s="55"/>
    </row>
    <row r="22" spans="1:19" x14ac:dyDescent="0.25">
      <c r="A22" s="38">
        <f t="shared" si="0"/>
        <v>244.0487382274045</v>
      </c>
      <c r="B22" s="55">
        <v>150</v>
      </c>
      <c r="C22" s="38">
        <f t="shared" si="12"/>
        <v>394.0487382274045</v>
      </c>
      <c r="D22" s="38">
        <f t="shared" si="13"/>
        <v>-94.048738227404499</v>
      </c>
      <c r="E22" s="38">
        <f t="shared" si="2"/>
        <v>-31.349579409134833</v>
      </c>
      <c r="F22" s="38">
        <f t="shared" si="14"/>
        <v>131.34957940913483</v>
      </c>
      <c r="G22" s="38">
        <f t="shared" si="15"/>
        <v>140.90160471098051</v>
      </c>
      <c r="H22" s="65">
        <f t="shared" si="16"/>
        <v>38.960308023452171</v>
      </c>
      <c r="I22" s="65">
        <f t="shared" si="17"/>
        <v>182.0972343300576</v>
      </c>
      <c r="J22" s="103">
        <f t="shared" si="18"/>
        <v>3.69521668401066E-3</v>
      </c>
      <c r="K22" s="27">
        <f t="shared" si="8"/>
        <v>393548.65650383406</v>
      </c>
      <c r="L22" s="29">
        <f t="shared" si="19"/>
        <v>0.34408557249360988</v>
      </c>
      <c r="M22" s="59">
        <v>60</v>
      </c>
      <c r="N22" s="76">
        <f t="shared" si="20"/>
        <v>116.66</v>
      </c>
      <c r="O22" s="64">
        <v>600000</v>
      </c>
      <c r="P22" s="66">
        <v>32.021999999999998</v>
      </c>
      <c r="Q22" s="55">
        <v>4.7500000000000001E-2</v>
      </c>
      <c r="R22" s="55"/>
      <c r="S22" s="55"/>
    </row>
    <row r="23" spans="1:19" x14ac:dyDescent="0.25">
      <c r="A23" s="38">
        <f t="shared" si="0"/>
        <v>240.80346075735696</v>
      </c>
      <c r="B23" s="55">
        <v>150</v>
      </c>
      <c r="C23" s="38">
        <f t="shared" si="12"/>
        <v>390.80346075735696</v>
      </c>
      <c r="D23" s="38">
        <f t="shared" si="13"/>
        <v>-90.803460757356959</v>
      </c>
      <c r="E23" s="38">
        <f t="shared" si="2"/>
        <v>-30.267820252452321</v>
      </c>
      <c r="F23" s="38">
        <f t="shared" si="14"/>
        <v>130.26782025245231</v>
      </c>
      <c r="G23" s="38">
        <f t="shared" si="15"/>
        <v>139.02794289005354</v>
      </c>
      <c r="H23" s="65">
        <f t="shared" si="16"/>
        <v>40.138343745079425</v>
      </c>
      <c r="I23" s="65">
        <f t="shared" si="17"/>
        <v>182.09387912948185</v>
      </c>
      <c r="J23" s="103">
        <f t="shared" si="18"/>
        <v>3.3958064909998054E-3</v>
      </c>
      <c r="K23" s="27">
        <f t="shared" si="8"/>
        <v>443884.11828313686</v>
      </c>
      <c r="L23" s="29">
        <f t="shared" si="19"/>
        <v>0.36587983102409022</v>
      </c>
      <c r="M23" s="59">
        <v>80</v>
      </c>
      <c r="N23" s="76">
        <f t="shared" si="20"/>
        <v>94.88</v>
      </c>
      <c r="O23" s="64">
        <v>700000</v>
      </c>
      <c r="P23" s="66">
        <v>32.021999999999998</v>
      </c>
      <c r="Q23" s="55">
        <v>4.7500000000000001E-2</v>
      </c>
      <c r="R23" s="55"/>
      <c r="S23" s="55"/>
    </row>
    <row r="24" spans="1:19" x14ac:dyDescent="0.25">
      <c r="A24" s="38">
        <f t="shared" si="0"/>
        <v>237.99227354420913</v>
      </c>
      <c r="B24" s="55">
        <v>150</v>
      </c>
      <c r="C24" s="38">
        <f t="shared" si="12"/>
        <v>387.99227354420913</v>
      </c>
      <c r="D24" s="38">
        <f t="shared" si="13"/>
        <v>-87.992273544209127</v>
      </c>
      <c r="E24" s="38">
        <f t="shared" si="2"/>
        <v>-29.330757848069709</v>
      </c>
      <c r="F24" s="38">
        <f t="shared" si="14"/>
        <v>129.33075784806971</v>
      </c>
      <c r="G24" s="38">
        <f t="shared" si="15"/>
        <v>137.40490319580019</v>
      </c>
      <c r="H24" s="65">
        <f t="shared" si="16"/>
        <v>41.158804703452091</v>
      </c>
      <c r="I24" s="65">
        <f t="shared" si="17"/>
        <v>182.0909727225434</v>
      </c>
      <c r="J24" s="103">
        <f t="shared" si="18"/>
        <v>3.1364455846222329E-3</v>
      </c>
      <c r="K24" s="27">
        <f t="shared" si="8"/>
        <v>497071.40557481634</v>
      </c>
      <c r="L24" s="29">
        <f t="shared" si="19"/>
        <v>0.37866074303147956</v>
      </c>
      <c r="M24" s="59">
        <v>100</v>
      </c>
      <c r="N24" s="76">
        <f t="shared" si="20"/>
        <v>73.100000000000009</v>
      </c>
      <c r="O24" s="64">
        <v>800000</v>
      </c>
      <c r="P24" s="66">
        <v>32.021999999999998</v>
      </c>
      <c r="Q24" s="55">
        <v>4.7500000000000001E-2</v>
      </c>
      <c r="R24" s="55"/>
      <c r="S24" s="55"/>
    </row>
    <row r="25" spans="1:19" x14ac:dyDescent="0.25">
      <c r="A25" s="38">
        <f t="shared" si="0"/>
        <v>235.51263068828524</v>
      </c>
      <c r="B25" s="55">
        <v>150</v>
      </c>
      <c r="C25" s="38">
        <f t="shared" si="12"/>
        <v>385.51263068828524</v>
      </c>
      <c r="D25" s="38">
        <f t="shared" si="13"/>
        <v>-85.512630688285242</v>
      </c>
      <c r="E25" s="38">
        <f t="shared" si="2"/>
        <v>-28.504210229428413</v>
      </c>
      <c r="F25" s="38">
        <f t="shared" si="14"/>
        <v>128.50421022942842</v>
      </c>
      <c r="G25" s="38">
        <f t="shared" si="15"/>
        <v>135.9732807254384</v>
      </c>
      <c r="H25" s="65">
        <f t="shared" si="16"/>
        <v>42.058915060152458</v>
      </c>
      <c r="I25" s="65">
        <f t="shared" si="17"/>
        <v>182.08840908993733</v>
      </c>
      <c r="J25" s="103">
        <f t="shared" si="18"/>
        <v>2.9076730519366758E-3</v>
      </c>
      <c r="K25" s="27">
        <f t="shared" si="8"/>
        <v>553694.75563635374</v>
      </c>
      <c r="L25" s="29">
        <f t="shared" si="19"/>
        <v>0.38478360484849583</v>
      </c>
      <c r="M25" s="59">
        <v>120</v>
      </c>
      <c r="N25" s="76">
        <f t="shared" si="20"/>
        <v>51.319999999999993</v>
      </c>
      <c r="O25" s="64">
        <v>900000</v>
      </c>
      <c r="P25" s="66">
        <v>32.021999999999998</v>
      </c>
      <c r="Q25" s="55">
        <v>4.7500000000000001E-2</v>
      </c>
      <c r="R25" s="55"/>
      <c r="S25" s="55"/>
    </row>
    <row r="26" spans="1:19" ht="13.8" thickBot="1" x14ac:dyDescent="0.3">
      <c r="A26" s="68">
        <f t="shared" si="0"/>
        <v>233.29451456917315</v>
      </c>
      <c r="B26" s="92">
        <v>150</v>
      </c>
      <c r="C26" s="68">
        <f t="shared" si="12"/>
        <v>383.29451456917315</v>
      </c>
      <c r="D26" s="68">
        <f t="shared" si="13"/>
        <v>-83.294514569173145</v>
      </c>
      <c r="E26" s="68">
        <f t="shared" si="2"/>
        <v>-27.764838189724383</v>
      </c>
      <c r="F26" s="68">
        <f t="shared" si="14"/>
        <v>127.76483818972439</v>
      </c>
      <c r="G26" s="68">
        <f t="shared" si="15"/>
        <v>134.69265078697521</v>
      </c>
      <c r="H26" s="67">
        <f t="shared" si="16"/>
        <v>42.864091211390161</v>
      </c>
      <c r="I26" s="67">
        <f t="shared" si="17"/>
        <v>182.08611584242655</v>
      </c>
      <c r="J26" s="104">
        <f t="shared" si="18"/>
        <v>2.7030290480037533E-3</v>
      </c>
      <c r="K26" s="57">
        <f t="shared" si="8"/>
        <v>614350.99598943163</v>
      </c>
      <c r="L26" s="93">
        <f t="shared" si="19"/>
        <v>0.3856490040105684</v>
      </c>
      <c r="M26" s="59">
        <v>140</v>
      </c>
      <c r="N26" s="76">
        <f t="shared" si="20"/>
        <v>29.539999999999992</v>
      </c>
      <c r="O26" s="98">
        <v>1000000</v>
      </c>
      <c r="P26" s="67">
        <v>32.021999999999998</v>
      </c>
      <c r="Q26" s="92">
        <v>4.7500000000000001E-2</v>
      </c>
      <c r="R26" s="128"/>
      <c r="S26" s="128"/>
    </row>
    <row r="27" spans="1:19" x14ac:dyDescent="0.25">
      <c r="A27" s="38">
        <f t="shared" si="0"/>
        <v>257.97705894921182</v>
      </c>
      <c r="B27" s="6">
        <v>225</v>
      </c>
      <c r="C27" s="38">
        <f t="shared" si="12"/>
        <v>482.97705894921182</v>
      </c>
      <c r="D27" s="38">
        <f t="shared" si="13"/>
        <v>-32.977058949211823</v>
      </c>
      <c r="E27" s="38">
        <f t="shared" si="2"/>
        <v>-10.992352983070608</v>
      </c>
      <c r="F27" s="38">
        <f t="shared" si="14"/>
        <v>160.99235298307062</v>
      </c>
      <c r="G27" s="38">
        <f t="shared" si="15"/>
        <v>148.9431244290754</v>
      </c>
      <c r="H27" s="65">
        <f t="shared" si="16"/>
        <v>6.679327601436114</v>
      </c>
      <c r="I27" s="65">
        <f t="shared" si="17"/>
        <v>182.03409404841184</v>
      </c>
      <c r="J27" s="103">
        <f t="shared" si="18"/>
        <v>6.641086879268984E-3</v>
      </c>
      <c r="K27" s="27">
        <f t="shared" si="8"/>
        <v>170744.71109909978</v>
      </c>
      <c r="L27" s="29">
        <f t="shared" si="19"/>
        <v>-0.70744711099099777</v>
      </c>
      <c r="M27" s="59">
        <v>160</v>
      </c>
      <c r="N27" s="76">
        <f t="shared" si="20"/>
        <v>7.7599999999999909</v>
      </c>
      <c r="O27" s="64">
        <v>100000</v>
      </c>
      <c r="P27" s="66">
        <v>33.101999999999997</v>
      </c>
      <c r="Q27" s="6">
        <v>4.4699999999999997E-2</v>
      </c>
    </row>
    <row r="28" spans="1:19" x14ac:dyDescent="0.25">
      <c r="A28" s="38">
        <f t="shared" si="0"/>
        <v>242.47041061453746</v>
      </c>
      <c r="B28" s="6">
        <v>225</v>
      </c>
      <c r="C28" s="38">
        <f t="shared" si="12"/>
        <v>467.47041061453746</v>
      </c>
      <c r="D28" s="38">
        <f t="shared" ref="D28:D46" si="21">-A28+B28</f>
        <v>-17.470410614537457</v>
      </c>
      <c r="E28" s="38">
        <f t="shared" si="2"/>
        <v>-5.8234702048458189</v>
      </c>
      <c r="F28" s="38">
        <f t="shared" ref="F28:F46" si="22">C28/3</f>
        <v>155.82347020484582</v>
      </c>
      <c r="G28" s="38">
        <f t="shared" ref="G28:G46" si="23">A28/SQRT(3)</f>
        <v>139.99035683882229</v>
      </c>
      <c r="H28" s="65">
        <f t="shared" ref="H28:H46" si="24">$G$3-$M$2*F28</f>
        <v>12.308240946922922</v>
      </c>
      <c r="I28" s="65">
        <f>$G$3-$M$3*E28</f>
        <v>182.01806216334163</v>
      </c>
      <c r="J28" s="103">
        <f t="shared" ref="J28:J37" si="25">(2*G28-H28-I28)/$B$4</f>
        <v>5.210439233978955E-3</v>
      </c>
      <c r="K28" s="27">
        <f t="shared" si="8"/>
        <v>241228.66800203302</v>
      </c>
      <c r="L28" s="29">
        <f t="shared" ref="L28:L37" si="26">(O28-K28)/O28</f>
        <v>-0.20614334001016513</v>
      </c>
      <c r="M28" s="59">
        <v>180</v>
      </c>
      <c r="N28" s="76">
        <f t="shared" si="20"/>
        <v>-14.019999999999982</v>
      </c>
      <c r="O28" s="64">
        <v>200000</v>
      </c>
      <c r="P28" s="66">
        <v>33.101999999999997</v>
      </c>
      <c r="Q28" s="6">
        <v>4.4699999999999997E-2</v>
      </c>
    </row>
    <row r="29" spans="1:19" x14ac:dyDescent="0.25">
      <c r="A29" s="38">
        <f t="shared" si="0"/>
        <v>233.39960282688281</v>
      </c>
      <c r="B29" s="6">
        <v>225</v>
      </c>
      <c r="C29" s="38">
        <f t="shared" si="12"/>
        <v>458.39960282688281</v>
      </c>
      <c r="D29" s="38">
        <f t="shared" si="21"/>
        <v>-8.3996028268828127</v>
      </c>
      <c r="E29" s="38">
        <f t="shared" si="2"/>
        <v>-2.7998676089609376</v>
      </c>
      <c r="F29" s="38">
        <f t="shared" si="22"/>
        <v>152.79986760896094</v>
      </c>
      <c r="G29" s="38">
        <f t="shared" si="23"/>
        <v>134.75332352085255</v>
      </c>
      <c r="H29" s="65">
        <f t="shared" si="24"/>
        <v>15.600944173841555</v>
      </c>
      <c r="I29" s="65">
        <f>$G$3-$M$3*E29</f>
        <v>182.00868411175966</v>
      </c>
      <c r="J29" s="103">
        <f t="shared" si="25"/>
        <v>4.3735640097392709E-3</v>
      </c>
      <c r="K29" s="27">
        <f t="shared" si="8"/>
        <v>309555.59237096563</v>
      </c>
      <c r="L29" s="29">
        <f t="shared" si="26"/>
        <v>-3.185197456988545E-2</v>
      </c>
      <c r="M29" s="59">
        <v>200</v>
      </c>
      <c r="N29" s="76">
        <f t="shared" si="20"/>
        <v>-35.799999999999983</v>
      </c>
      <c r="O29" s="64">
        <v>300000</v>
      </c>
      <c r="P29" s="66">
        <v>33.101999999999997</v>
      </c>
      <c r="Q29" s="6">
        <v>4.4699999999999997E-2</v>
      </c>
    </row>
    <row r="30" spans="1:19" x14ac:dyDescent="0.25">
      <c r="A30" s="38">
        <f t="shared" si="0"/>
        <v>226.96376227986309</v>
      </c>
      <c r="B30" s="6">
        <v>225</v>
      </c>
      <c r="C30" s="38">
        <f t="shared" si="12"/>
        <v>451.96376227986309</v>
      </c>
      <c r="D30" s="38">
        <f t="shared" si="21"/>
        <v>-1.96376227986309</v>
      </c>
      <c r="E30" s="38">
        <f t="shared" si="2"/>
        <v>-0.65458742662102998</v>
      </c>
      <c r="F30" s="38">
        <f t="shared" si="22"/>
        <v>150.65458742662102</v>
      </c>
      <c r="G30" s="38">
        <f t="shared" si="23"/>
        <v>131.03758924856919</v>
      </c>
      <c r="H30" s="65">
        <f t="shared" si="24"/>
        <v>17.937154292409701</v>
      </c>
      <c r="I30" s="65">
        <f>$G$3-$M$3*E30</f>
        <v>182.00203027827141</v>
      </c>
      <c r="J30" s="103">
        <f t="shared" si="25"/>
        <v>3.7797915886889273E-3</v>
      </c>
      <c r="K30" s="27">
        <f t="shared" si="8"/>
        <v>381065.39389601228</v>
      </c>
      <c r="L30" s="29">
        <f t="shared" si="26"/>
        <v>4.7336515259969313E-2</v>
      </c>
      <c r="M30" s="59">
        <v>220</v>
      </c>
      <c r="N30" s="76">
        <f t="shared" si="20"/>
        <v>-57.579999999999984</v>
      </c>
      <c r="O30" s="64">
        <v>400000</v>
      </c>
      <c r="P30" s="66">
        <v>33.101999999999997</v>
      </c>
      <c r="Q30" s="6">
        <v>4.4699999999999997E-2</v>
      </c>
    </row>
    <row r="31" spans="1:19" x14ac:dyDescent="0.25">
      <c r="A31" s="38">
        <f t="shared" si="0"/>
        <v>221.97173652339313</v>
      </c>
      <c r="B31" s="6">
        <v>225</v>
      </c>
      <c r="C31" s="38">
        <f t="shared" si="12"/>
        <v>446.97173652339313</v>
      </c>
      <c r="D31" s="122">
        <f t="shared" si="21"/>
        <v>3.0282634766068668</v>
      </c>
      <c r="E31" s="122">
        <f t="shared" si="2"/>
        <v>1.0094211588689557</v>
      </c>
      <c r="F31" s="38">
        <f t="shared" si="22"/>
        <v>148.99057884113105</v>
      </c>
      <c r="G31" s="38">
        <f t="shared" si="23"/>
        <v>128.15544183426971</v>
      </c>
      <c r="H31" s="65">
        <f t="shared" si="24"/>
        <v>19.749259642008298</v>
      </c>
      <c r="I31" s="123">
        <f>$G$3-$M$2*E31</f>
        <v>180.90074035799171</v>
      </c>
      <c r="J31" s="103">
        <f t="shared" si="25"/>
        <v>3.3859044752442007E-3</v>
      </c>
      <c r="K31" s="27">
        <f t="shared" si="8"/>
        <v>445734.32290309994</v>
      </c>
      <c r="L31" s="29">
        <f t="shared" si="26"/>
        <v>0.10853135419380013</v>
      </c>
      <c r="M31" s="59">
        <v>240</v>
      </c>
      <c r="N31" s="76">
        <f t="shared" si="20"/>
        <v>-79.360000000000014</v>
      </c>
      <c r="O31" s="64">
        <v>500000</v>
      </c>
      <c r="P31" s="66">
        <v>33.101999999999997</v>
      </c>
      <c r="Q31" s="6">
        <v>4.4699999999999997E-2</v>
      </c>
    </row>
    <row r="32" spans="1:19" x14ac:dyDescent="0.25">
      <c r="A32" s="38">
        <f t="shared" si="0"/>
        <v>217.89295449220833</v>
      </c>
      <c r="B32" s="6">
        <v>225</v>
      </c>
      <c r="C32" s="38">
        <f t="shared" si="12"/>
        <v>442.89295449220833</v>
      </c>
      <c r="D32" s="122">
        <f t="shared" si="21"/>
        <v>7.1070455077916677</v>
      </c>
      <c r="E32" s="122">
        <f t="shared" si="2"/>
        <v>2.3690151692638892</v>
      </c>
      <c r="F32" s="38">
        <f t="shared" si="22"/>
        <v>147.63098483073611</v>
      </c>
      <c r="G32" s="38">
        <f t="shared" si="23"/>
        <v>125.80055593059936</v>
      </c>
      <c r="H32" s="65">
        <f t="shared" si="24"/>
        <v>21.229857519328391</v>
      </c>
      <c r="I32" s="123">
        <f t="shared" ref="I32:I46" si="27">$G$3-$M$2*E32</f>
        <v>179.42014248067161</v>
      </c>
      <c r="J32" s="103">
        <f t="shared" si="25"/>
        <v>3.0994045782102748E-3</v>
      </c>
      <c r="K32" s="27">
        <f t="shared" si="8"/>
        <v>505554.46920357435</v>
      </c>
      <c r="L32" s="29">
        <f t="shared" si="26"/>
        <v>0.15740921799404275</v>
      </c>
      <c r="M32" s="59"/>
      <c r="N32" s="76"/>
      <c r="O32" s="64">
        <v>600000</v>
      </c>
      <c r="P32" s="66">
        <v>33.101999999999997</v>
      </c>
      <c r="Q32" s="6">
        <v>4.4699999999999997E-2</v>
      </c>
    </row>
    <row r="33" spans="1:19" x14ac:dyDescent="0.25">
      <c r="A33" s="38">
        <f t="shared" si="0"/>
        <v>214.44439342224734</v>
      </c>
      <c r="B33" s="6">
        <v>225</v>
      </c>
      <c r="C33" s="38">
        <f t="shared" si="12"/>
        <v>439.44439342224734</v>
      </c>
      <c r="D33" s="122">
        <f t="shared" si="21"/>
        <v>10.555606577752656</v>
      </c>
      <c r="E33" s="122">
        <f t="shared" si="2"/>
        <v>3.5185355259175517</v>
      </c>
      <c r="F33" s="38">
        <f t="shared" si="22"/>
        <v>146.48146447408246</v>
      </c>
      <c r="G33" s="38">
        <f t="shared" si="23"/>
        <v>123.80952826854052</v>
      </c>
      <c r="H33" s="65">
        <f t="shared" si="24"/>
        <v>22.481685187724196</v>
      </c>
      <c r="I33" s="123">
        <f t="shared" si="27"/>
        <v>178.16831481227578</v>
      </c>
      <c r="J33" s="103">
        <f t="shared" si="25"/>
        <v>2.8571723667547332E-3</v>
      </c>
      <c r="K33" s="27">
        <f t="shared" si="8"/>
        <v>567686.87744910293</v>
      </c>
      <c r="L33" s="29">
        <f t="shared" si="26"/>
        <v>0.18901874650128153</v>
      </c>
      <c r="M33" s="59"/>
      <c r="N33" s="76"/>
      <c r="O33" s="64">
        <v>700000</v>
      </c>
      <c r="P33" s="66">
        <v>33.101999999999997</v>
      </c>
      <c r="Q33" s="6">
        <v>4.4699999999999997E-2</v>
      </c>
    </row>
    <row r="34" spans="1:19" x14ac:dyDescent="0.25">
      <c r="A34" s="38">
        <f t="shared" si="0"/>
        <v>211.45711394518867</v>
      </c>
      <c r="B34" s="6">
        <v>225</v>
      </c>
      <c r="C34" s="38">
        <f t="shared" si="12"/>
        <v>436.45711394518867</v>
      </c>
      <c r="D34" s="122">
        <f t="shared" si="21"/>
        <v>13.542886054811333</v>
      </c>
      <c r="E34" s="122">
        <f t="shared" si="2"/>
        <v>4.5142953516037778</v>
      </c>
      <c r="F34" s="38">
        <f t="shared" si="22"/>
        <v>145.48570464839622</v>
      </c>
      <c r="G34" s="38">
        <f t="shared" si="23"/>
        <v>122.08482165831605</v>
      </c>
      <c r="H34" s="65">
        <f t="shared" si="24"/>
        <v>23.566067637896509</v>
      </c>
      <c r="I34" s="123">
        <f t="shared" si="27"/>
        <v>177.0839323621035</v>
      </c>
      <c r="J34" s="103">
        <f t="shared" si="25"/>
        <v>2.6473412808949502E-3</v>
      </c>
      <c r="K34" s="27">
        <f t="shared" si="8"/>
        <v>632840.4857562813</v>
      </c>
      <c r="L34" s="29">
        <f t="shared" si="26"/>
        <v>0.20894939280464839</v>
      </c>
      <c r="M34" s="59"/>
      <c r="N34" s="76"/>
      <c r="O34" s="64">
        <v>800000</v>
      </c>
      <c r="P34" s="66">
        <v>33.101999999999997</v>
      </c>
      <c r="Q34" s="6">
        <v>4.4699999999999997E-2</v>
      </c>
    </row>
    <row r="35" spans="1:19" x14ac:dyDescent="0.25">
      <c r="A35" s="38">
        <f t="shared" si="0"/>
        <v>208.82214670455369</v>
      </c>
      <c r="B35" s="6">
        <v>225</v>
      </c>
      <c r="C35" s="38">
        <f t="shared" si="12"/>
        <v>433.82214670455369</v>
      </c>
      <c r="D35" s="122">
        <f t="shared" si="21"/>
        <v>16.177853295446312</v>
      </c>
      <c r="E35" s="122">
        <f t="shared" si="2"/>
        <v>5.3926177651487706</v>
      </c>
      <c r="F35" s="38">
        <f t="shared" si="22"/>
        <v>144.60738223485123</v>
      </c>
      <c r="G35" s="38">
        <f t="shared" si="23"/>
        <v>120.5635226126296</v>
      </c>
      <c r="H35" s="65">
        <f t="shared" si="24"/>
        <v>24.522560746247024</v>
      </c>
      <c r="I35" s="123">
        <f t="shared" si="27"/>
        <v>176.12743925375298</v>
      </c>
      <c r="J35" s="103">
        <f t="shared" si="25"/>
        <v>2.4622571461317107E-3</v>
      </c>
      <c r="K35" s="27">
        <f t="shared" si="8"/>
        <v>701664.36004471395</v>
      </c>
      <c r="L35" s="29">
        <f t="shared" si="26"/>
        <v>0.22037293328365118</v>
      </c>
      <c r="M35" s="59"/>
      <c r="N35" s="76"/>
      <c r="O35" s="64">
        <v>900000</v>
      </c>
      <c r="P35" s="66">
        <v>33.101999999999997</v>
      </c>
      <c r="Q35" s="6">
        <v>4.4699999999999997E-2</v>
      </c>
    </row>
    <row r="36" spans="1:19" ht="13.8" thickBot="1" x14ac:dyDescent="0.3">
      <c r="A36" s="68">
        <f t="shared" si="0"/>
        <v>206.46508818871865</v>
      </c>
      <c r="B36" s="56">
        <v>225</v>
      </c>
      <c r="C36" s="68">
        <f t="shared" si="12"/>
        <v>431.46508818871865</v>
      </c>
      <c r="D36" s="124">
        <f t="shared" si="21"/>
        <v>18.534911811281347</v>
      </c>
      <c r="E36" s="124">
        <f t="shared" si="2"/>
        <v>6.1783039370937827</v>
      </c>
      <c r="F36" s="68">
        <f t="shared" si="22"/>
        <v>143.82169606290623</v>
      </c>
      <c r="G36" s="68">
        <f t="shared" si="23"/>
        <v>119.20267424401655</v>
      </c>
      <c r="H36" s="67">
        <f t="shared" si="24"/>
        <v>25.378172987495134</v>
      </c>
      <c r="I36" s="125">
        <f t="shared" si="27"/>
        <v>175.27182701250487</v>
      </c>
      <c r="J36" s="104">
        <f t="shared" si="25"/>
        <v>2.2966937458503006E-3</v>
      </c>
      <c r="K36" s="57">
        <f t="shared" si="8"/>
        <v>774799.77130888042</v>
      </c>
      <c r="L36" s="93">
        <f t="shared" si="26"/>
        <v>0.22520022869111958</v>
      </c>
      <c r="M36" s="59"/>
      <c r="N36" s="76"/>
      <c r="O36" s="98">
        <v>1000000</v>
      </c>
      <c r="P36" s="67">
        <v>33.101999999999997</v>
      </c>
      <c r="Q36" s="56">
        <v>4.4699999999999997E-2</v>
      </c>
      <c r="R36" s="4"/>
      <c r="S36" s="4"/>
    </row>
    <row r="37" spans="1:19" x14ac:dyDescent="0.25">
      <c r="A37" s="38">
        <f>C37-B37</f>
        <v>251.82112786678942</v>
      </c>
      <c r="B37" s="6">
        <v>300</v>
      </c>
      <c r="C37" s="38">
        <f>(P37-LN(O37))/Q37</f>
        <v>551.82112786678942</v>
      </c>
      <c r="D37" s="122">
        <f t="shared" si="21"/>
        <v>48.178872133210575</v>
      </c>
      <c r="E37" s="122">
        <f t="shared" si="2"/>
        <v>16.059624044403524</v>
      </c>
      <c r="F37" s="38">
        <f>C37/3</f>
        <v>183.94037595559647</v>
      </c>
      <c r="G37" s="38">
        <f t="shared" si="23"/>
        <v>145.38899596152606</v>
      </c>
      <c r="H37" s="127">
        <v>0</v>
      </c>
      <c r="I37" s="123">
        <f t="shared" si="27"/>
        <v>164.51106941564456</v>
      </c>
      <c r="J37" s="103">
        <f t="shared" si="25"/>
        <v>7.6809369491701177E-3</v>
      </c>
      <c r="K37" s="27">
        <f t="shared" si="8"/>
        <v>138790.81801207931</v>
      </c>
      <c r="L37" s="29">
        <f t="shared" si="26"/>
        <v>-0.38790818012079309</v>
      </c>
      <c r="M37" s="59"/>
      <c r="N37" s="76"/>
      <c r="O37" s="64">
        <v>100000</v>
      </c>
      <c r="P37" s="66">
        <v>25.474</v>
      </c>
      <c r="Q37" s="6">
        <v>2.53E-2</v>
      </c>
    </row>
    <row r="38" spans="1:19" x14ac:dyDescent="0.25">
      <c r="A38" s="38">
        <f t="shared" si="0"/>
        <v>224.4240061055267</v>
      </c>
      <c r="B38" s="6">
        <v>300</v>
      </c>
      <c r="C38" s="38">
        <f t="shared" si="12"/>
        <v>524.4240061055267</v>
      </c>
      <c r="D38" s="122">
        <f t="shared" si="21"/>
        <v>75.575993894473299</v>
      </c>
      <c r="E38" s="122">
        <f t="shared" si="2"/>
        <v>25.191997964824434</v>
      </c>
      <c r="F38" s="38">
        <f t="shared" si="22"/>
        <v>174.80800203517558</v>
      </c>
      <c r="G38" s="38">
        <f t="shared" si="23"/>
        <v>129.57126033764007</v>
      </c>
      <c r="H38" s="127">
        <v>0</v>
      </c>
      <c r="I38" s="123">
        <f t="shared" si="27"/>
        <v>154.5659142163062</v>
      </c>
      <c r="J38" s="103">
        <f t="shared" ref="J38:J46" si="28">(2*G38-H38-I38)/$B$4</f>
        <v>6.3614944010568731E-3</v>
      </c>
      <c r="K38" s="27">
        <f t="shared" si="8"/>
        <v>181532.78474017631</v>
      </c>
      <c r="L38" s="29">
        <f t="shared" ref="L38:L46" si="29">(O38-K38)/O38</f>
        <v>9.2336076299118428E-2</v>
      </c>
      <c r="M38" s="59"/>
      <c r="N38" s="76"/>
      <c r="O38" s="64">
        <v>200000</v>
      </c>
      <c r="P38" s="66">
        <v>25.474</v>
      </c>
      <c r="Q38" s="6">
        <v>2.53E-2</v>
      </c>
    </row>
    <row r="39" spans="1:19" x14ac:dyDescent="0.25">
      <c r="A39" s="38">
        <f t="shared" si="0"/>
        <v>208.39771724749653</v>
      </c>
      <c r="B39" s="6">
        <v>300</v>
      </c>
      <c r="C39" s="38">
        <f t="shared" si="12"/>
        <v>508.39771724749653</v>
      </c>
      <c r="D39" s="122">
        <f t="shared" si="21"/>
        <v>91.60228275250347</v>
      </c>
      <c r="E39" s="122">
        <f t="shared" si="2"/>
        <v>30.534094250834489</v>
      </c>
      <c r="F39" s="38">
        <f t="shared" si="22"/>
        <v>169.4659057491655</v>
      </c>
      <c r="G39" s="38">
        <f t="shared" si="23"/>
        <v>120.31847815134564</v>
      </c>
      <c r="H39" s="127">
        <v>0</v>
      </c>
      <c r="I39" s="123">
        <f t="shared" si="27"/>
        <v>148.74837136084125</v>
      </c>
      <c r="J39" s="103">
        <f t="shared" si="28"/>
        <v>5.5896699885546594E-3</v>
      </c>
      <c r="K39" s="27">
        <f t="shared" si="8"/>
        <v>218256.84059748895</v>
      </c>
      <c r="L39" s="29">
        <f t="shared" si="29"/>
        <v>0.27247719800837017</v>
      </c>
      <c r="M39" s="59"/>
      <c r="N39" s="76"/>
      <c r="O39" s="64">
        <v>300000</v>
      </c>
      <c r="P39" s="66">
        <v>25.474</v>
      </c>
      <c r="Q39" s="6">
        <v>2.53E-2</v>
      </c>
    </row>
    <row r="40" spans="1:19" x14ac:dyDescent="0.25">
      <c r="A40" s="38">
        <f t="shared" si="0"/>
        <v>197.02688434426409</v>
      </c>
      <c r="B40" s="6">
        <v>300</v>
      </c>
      <c r="C40" s="38">
        <f t="shared" si="12"/>
        <v>497.02688434426409</v>
      </c>
      <c r="D40" s="122">
        <f t="shared" si="21"/>
        <v>102.97311565573591</v>
      </c>
      <c r="E40" s="122">
        <f t="shared" si="2"/>
        <v>34.324371885245306</v>
      </c>
      <c r="F40" s="38">
        <f t="shared" si="22"/>
        <v>165.67562811475469</v>
      </c>
      <c r="G40" s="38">
        <f t="shared" si="23"/>
        <v>113.75352471375415</v>
      </c>
      <c r="H40" s="65">
        <f t="shared" si="24"/>
        <v>1.5792409830321503</v>
      </c>
      <c r="I40" s="123">
        <f t="shared" si="27"/>
        <v>144.62075901696787</v>
      </c>
      <c r="J40" s="103">
        <f t="shared" si="28"/>
        <v>4.9459851224227915E-3</v>
      </c>
      <c r="K40" s="27">
        <f t="shared" si="8"/>
        <v>259807.1062254741</v>
      </c>
      <c r="L40" s="29">
        <f t="shared" si="29"/>
        <v>0.35048223443631477</v>
      </c>
      <c r="M40" s="59"/>
      <c r="N40" s="76"/>
      <c r="O40" s="64">
        <v>400000</v>
      </c>
      <c r="P40" s="66">
        <v>25.474</v>
      </c>
      <c r="Q40" s="6">
        <v>2.53E-2</v>
      </c>
    </row>
    <row r="41" spans="1:19" x14ac:dyDescent="0.25">
      <c r="A41" s="38">
        <f t="shared" si="0"/>
        <v>188.20698113026373</v>
      </c>
      <c r="B41" s="6">
        <v>300</v>
      </c>
      <c r="C41" s="38">
        <f t="shared" si="12"/>
        <v>488.20698113026373</v>
      </c>
      <c r="D41" s="122">
        <f t="shared" si="21"/>
        <v>111.79301886973627</v>
      </c>
      <c r="E41" s="122">
        <f t="shared" si="2"/>
        <v>37.264339623245426</v>
      </c>
      <c r="F41" s="38">
        <f t="shared" si="22"/>
        <v>162.73566037675457</v>
      </c>
      <c r="G41" s="38">
        <f t="shared" si="23"/>
        <v>108.66135121892458</v>
      </c>
      <c r="H41" s="65">
        <f t="shared" si="24"/>
        <v>4.7808658497142744</v>
      </c>
      <c r="I41" s="123">
        <f t="shared" si="27"/>
        <v>141.41913415028574</v>
      </c>
      <c r="J41" s="103">
        <f t="shared" si="28"/>
        <v>4.3264616118893571E-3</v>
      </c>
      <c r="K41" s="27">
        <f t="shared" si="8"/>
        <v>314367.09649890172</v>
      </c>
      <c r="L41" s="29">
        <f t="shared" si="29"/>
        <v>0.37126580700219658</v>
      </c>
      <c r="M41" s="59"/>
      <c r="N41" s="76"/>
      <c r="O41" s="64">
        <v>500000</v>
      </c>
      <c r="P41" s="66">
        <v>25.474</v>
      </c>
      <c r="Q41" s="6">
        <v>2.53E-2</v>
      </c>
    </row>
    <row r="42" spans="1:19" x14ac:dyDescent="0.25">
      <c r="A42" s="38">
        <f t="shared" si="0"/>
        <v>181.00059548623386</v>
      </c>
      <c r="B42" s="6">
        <v>300</v>
      </c>
      <c r="C42" s="38">
        <f t="shared" si="12"/>
        <v>481.00059548623386</v>
      </c>
      <c r="D42" s="122">
        <f t="shared" si="21"/>
        <v>118.99940451376614</v>
      </c>
      <c r="E42" s="122">
        <f t="shared" si="2"/>
        <v>39.666468171255381</v>
      </c>
      <c r="F42" s="38">
        <f t="shared" si="22"/>
        <v>160.33353182874461</v>
      </c>
      <c r="G42" s="38">
        <f t="shared" si="23"/>
        <v>104.50074252745969</v>
      </c>
      <c r="H42" s="65">
        <f t="shared" si="24"/>
        <v>7.3967838384971287</v>
      </c>
      <c r="I42" s="123">
        <f t="shared" si="27"/>
        <v>138.80321616150289</v>
      </c>
      <c r="J42" s="103">
        <f t="shared" si="28"/>
        <v>3.8202740467740961E-3</v>
      </c>
      <c r="K42" s="27">
        <f t="shared" si="8"/>
        <v>375326.55322672334</v>
      </c>
      <c r="L42" s="29">
        <f t="shared" si="29"/>
        <v>0.37445574462212777</v>
      </c>
      <c r="M42" s="59"/>
      <c r="N42" s="76"/>
      <c r="O42" s="64">
        <v>600000</v>
      </c>
      <c r="P42" s="66">
        <v>25.474</v>
      </c>
      <c r="Q42" s="6">
        <v>2.53E-2</v>
      </c>
    </row>
    <row r="43" spans="1:19" x14ac:dyDescent="0.25">
      <c r="A43" s="38">
        <f t="shared" si="0"/>
        <v>174.90768324009719</v>
      </c>
      <c r="B43" s="6">
        <v>300</v>
      </c>
      <c r="C43" s="38">
        <f t="shared" si="12"/>
        <v>474.90768324009719</v>
      </c>
      <c r="D43" s="122">
        <f t="shared" si="21"/>
        <v>125.09231675990281</v>
      </c>
      <c r="E43" s="122">
        <f t="shared" si="2"/>
        <v>41.697438919967603</v>
      </c>
      <c r="F43" s="38">
        <f t="shared" si="22"/>
        <v>158.3025610800324</v>
      </c>
      <c r="G43" s="38">
        <f t="shared" si="23"/>
        <v>100.98299800200391</v>
      </c>
      <c r="H43" s="65">
        <f t="shared" si="24"/>
        <v>9.6085109838447238</v>
      </c>
      <c r="I43" s="123">
        <f t="shared" si="27"/>
        <v>136.59148901615526</v>
      </c>
      <c r="J43" s="103">
        <f t="shared" si="28"/>
        <v>3.3922985585502666E-3</v>
      </c>
      <c r="K43" s="27">
        <f t="shared" si="8"/>
        <v>444538.08251417481</v>
      </c>
      <c r="L43" s="29">
        <f t="shared" si="29"/>
        <v>0.36494559640832169</v>
      </c>
      <c r="M43" s="59"/>
      <c r="N43" s="76"/>
      <c r="O43" s="64">
        <v>700000</v>
      </c>
      <c r="P43" s="66">
        <v>25.474</v>
      </c>
      <c r="Q43" s="6">
        <v>2.53E-2</v>
      </c>
    </row>
    <row r="44" spans="1:19" x14ac:dyDescent="0.25">
      <c r="A44" s="38">
        <f t="shared" si="0"/>
        <v>169.62976258300142</v>
      </c>
      <c r="B44" s="6">
        <v>300</v>
      </c>
      <c r="C44" s="38">
        <f t="shared" si="12"/>
        <v>469.62976258300142</v>
      </c>
      <c r="D44" s="122">
        <f t="shared" si="21"/>
        <v>130.37023741699858</v>
      </c>
      <c r="E44" s="122">
        <f t="shared" si="2"/>
        <v>43.456745805666195</v>
      </c>
      <c r="F44" s="38">
        <f t="shared" si="22"/>
        <v>156.5432541943338</v>
      </c>
      <c r="G44" s="38">
        <f t="shared" si="23"/>
        <v>97.93578908986818</v>
      </c>
      <c r="H44" s="65">
        <f t="shared" si="24"/>
        <v>11.524396182370509</v>
      </c>
      <c r="I44" s="123">
        <f t="shared" si="27"/>
        <v>134.67560381762951</v>
      </c>
      <c r="J44" s="103">
        <f t="shared" si="28"/>
        <v>3.0215693278019553E-3</v>
      </c>
      <c r="K44" s="27">
        <f t="shared" si="8"/>
        <v>524205.36198589316</v>
      </c>
      <c r="L44" s="29">
        <f t="shared" si="29"/>
        <v>0.34474329751763355</v>
      </c>
      <c r="M44" s="59"/>
      <c r="N44" s="76"/>
      <c r="O44" s="64">
        <v>800000</v>
      </c>
      <c r="P44" s="66">
        <v>25.474</v>
      </c>
      <c r="Q44" s="6">
        <v>2.53E-2</v>
      </c>
    </row>
    <row r="45" spans="1:19" x14ac:dyDescent="0.25">
      <c r="A45" s="38">
        <f t="shared" si="0"/>
        <v>164.97430662820364</v>
      </c>
      <c r="B45" s="6">
        <v>300</v>
      </c>
      <c r="C45" s="38">
        <f t="shared" si="12"/>
        <v>464.97430662820364</v>
      </c>
      <c r="D45" s="122">
        <f t="shared" si="21"/>
        <v>135.02569337179636</v>
      </c>
      <c r="E45" s="122">
        <f t="shared" si="2"/>
        <v>45.008564457265457</v>
      </c>
      <c r="F45" s="38">
        <f t="shared" si="22"/>
        <v>154.99143554273454</v>
      </c>
      <c r="G45" s="38">
        <f t="shared" si="23"/>
        <v>95.247960341165239</v>
      </c>
      <c r="H45" s="65">
        <f t="shared" si="24"/>
        <v>13.214326693962107</v>
      </c>
      <c r="I45" s="123">
        <f t="shared" si="27"/>
        <v>132.98567330603791</v>
      </c>
      <c r="J45" s="103">
        <f t="shared" si="28"/>
        <v>2.6945629711254008E-3</v>
      </c>
      <c r="K45" s="27">
        <f t="shared" si="8"/>
        <v>617102.25628965872</v>
      </c>
      <c r="L45" s="29">
        <f t="shared" si="29"/>
        <v>0.31433082634482362</v>
      </c>
      <c r="M45" s="59"/>
      <c r="N45" s="76"/>
      <c r="O45" s="64">
        <v>900000</v>
      </c>
      <c r="P45" s="66">
        <v>25.474</v>
      </c>
      <c r="Q45" s="6">
        <v>2.53E-2</v>
      </c>
    </row>
    <row r="46" spans="1:19" ht="13.8" thickBot="1" x14ac:dyDescent="0.3">
      <c r="A46" s="38">
        <f t="shared" si="0"/>
        <v>160.80985936900106</v>
      </c>
      <c r="B46" s="6">
        <v>300</v>
      </c>
      <c r="C46" s="38">
        <f t="shared" si="12"/>
        <v>460.80985936900106</v>
      </c>
      <c r="D46" s="122">
        <f t="shared" si="21"/>
        <v>139.19014063099894</v>
      </c>
      <c r="E46" s="122">
        <f t="shared" si="2"/>
        <v>46.396713543666316</v>
      </c>
      <c r="F46" s="38">
        <f t="shared" si="22"/>
        <v>153.60328645633368</v>
      </c>
      <c r="G46" s="38">
        <f t="shared" si="23"/>
        <v>92.843615595038628</v>
      </c>
      <c r="H46" s="65">
        <f t="shared" si="24"/>
        <v>14.726021049052633</v>
      </c>
      <c r="I46" s="123">
        <f t="shared" si="27"/>
        <v>131.47397895094738</v>
      </c>
      <c r="J46" s="103">
        <f t="shared" si="28"/>
        <v>2.4020458172685222E-3</v>
      </c>
      <c r="K46" s="27">
        <f t="shared" si="8"/>
        <v>726849.90311190009</v>
      </c>
      <c r="L46" s="29">
        <f t="shared" si="29"/>
        <v>0.27315009688809994</v>
      </c>
      <c r="M46" s="60"/>
      <c r="N46" s="77"/>
      <c r="O46" s="102">
        <v>1000000</v>
      </c>
      <c r="P46" s="67">
        <v>25.474</v>
      </c>
      <c r="Q46" s="56">
        <v>2.53E-2</v>
      </c>
      <c r="R46" s="4"/>
      <c r="S46" s="4"/>
    </row>
    <row r="47" spans="1:19" ht="13.8" thickBot="1" x14ac:dyDescent="0.3">
      <c r="A47" s="78" t="s">
        <v>16</v>
      </c>
      <c r="B47" s="79" t="s">
        <v>18</v>
      </c>
      <c r="C47" s="115" t="s">
        <v>20</v>
      </c>
      <c r="D47" s="115" t="s">
        <v>29</v>
      </c>
      <c r="E47" s="115" t="s">
        <v>30</v>
      </c>
      <c r="F47" s="115" t="s">
        <v>19</v>
      </c>
      <c r="G47" s="115" t="s">
        <v>21</v>
      </c>
      <c r="H47" s="115" t="s">
        <v>27</v>
      </c>
      <c r="I47" s="115" t="s">
        <v>28</v>
      </c>
      <c r="J47" s="106" t="s">
        <v>1</v>
      </c>
      <c r="K47" s="108" t="s">
        <v>22</v>
      </c>
      <c r="L47" s="111" t="s">
        <v>9</v>
      </c>
      <c r="M47" s="7"/>
      <c r="N47" s="66"/>
      <c r="O47" s="66"/>
      <c r="P47" s="66"/>
    </row>
    <row r="48" spans="1:19" x14ac:dyDescent="0.25">
      <c r="M48" s="7"/>
      <c r="N48" s="66"/>
      <c r="O48" s="66"/>
      <c r="P48" s="66"/>
    </row>
    <row r="49" spans="1:16" x14ac:dyDescent="0.25">
      <c r="M49" s="7"/>
      <c r="N49" s="66"/>
      <c r="O49" s="66"/>
      <c r="P49" s="66"/>
    </row>
    <row r="50" spans="1:16" x14ac:dyDescent="0.25">
      <c r="M50" s="7"/>
      <c r="N50" s="66"/>
      <c r="O50" s="66"/>
      <c r="P50" s="66"/>
    </row>
    <row r="51" spans="1:16" x14ac:dyDescent="0.25">
      <c r="M51" s="7"/>
      <c r="N51" s="66"/>
      <c r="O51" s="66"/>
      <c r="P51" s="66"/>
    </row>
    <row r="52" spans="1:16" ht="13.8" thickBot="1" x14ac:dyDescent="0.3">
      <c r="M52" s="7"/>
      <c r="N52" s="66"/>
      <c r="O52" s="66"/>
      <c r="P52" s="66"/>
    </row>
    <row r="53" spans="1:16" x14ac:dyDescent="0.25">
      <c r="A53" s="61" t="s">
        <v>15</v>
      </c>
      <c r="B53" s="30" t="s">
        <v>23</v>
      </c>
      <c r="F53" s="116" t="s">
        <v>15</v>
      </c>
      <c r="G53" s="117" t="s">
        <v>24</v>
      </c>
      <c r="H53" s="66"/>
      <c r="I53" s="66"/>
      <c r="M53" s="7"/>
      <c r="N53" s="66"/>
      <c r="O53" s="66"/>
      <c r="P53" s="66"/>
    </row>
    <row r="54" spans="1:16" x14ac:dyDescent="0.25">
      <c r="A54" s="46">
        <v>10000</v>
      </c>
      <c r="B54" s="47">
        <v>10000</v>
      </c>
      <c r="F54" s="118">
        <v>10000</v>
      </c>
      <c r="G54" s="119">
        <v>100000</v>
      </c>
      <c r="H54" s="66"/>
      <c r="I54" s="66"/>
      <c r="M54" s="7"/>
      <c r="N54" s="66"/>
      <c r="O54" s="66"/>
      <c r="P54" s="66"/>
    </row>
    <row r="55" spans="1:16" ht="13.8" thickBot="1" x14ac:dyDescent="0.3">
      <c r="A55" s="49">
        <v>10000000</v>
      </c>
      <c r="B55" s="50">
        <v>10000000</v>
      </c>
      <c r="F55" s="120">
        <v>100000000</v>
      </c>
      <c r="G55" s="121">
        <v>100000</v>
      </c>
      <c r="H55" s="66"/>
      <c r="I55" s="66"/>
      <c r="M55" s="7"/>
      <c r="N55" s="66"/>
      <c r="O55" s="66"/>
      <c r="P55" s="66"/>
    </row>
    <row r="56" spans="1:16" ht="13.8" thickBot="1" x14ac:dyDescent="0.3">
      <c r="M56" s="7"/>
      <c r="N56" s="66"/>
      <c r="O56" s="66"/>
      <c r="P56" s="66"/>
    </row>
    <row r="57" spans="1:16" x14ac:dyDescent="0.25">
      <c r="A57" s="62">
        <v>10000</v>
      </c>
      <c r="B57" s="63">
        <v>20000</v>
      </c>
      <c r="F57" s="116" t="s">
        <v>15</v>
      </c>
      <c r="G57" s="117" t="s">
        <v>25</v>
      </c>
      <c r="H57" s="66"/>
      <c r="I57" s="66"/>
      <c r="M57" s="7"/>
      <c r="N57" s="66"/>
      <c r="O57" s="66"/>
      <c r="P57" s="66"/>
    </row>
    <row r="58" spans="1:16" ht="13.8" thickBot="1" x14ac:dyDescent="0.3">
      <c r="A58" s="49">
        <v>5000000</v>
      </c>
      <c r="B58" s="50">
        <v>10000000</v>
      </c>
      <c r="F58" s="118">
        <v>10000</v>
      </c>
      <c r="G58" s="119">
        <v>1000000</v>
      </c>
      <c r="H58" s="66"/>
      <c r="I58" s="66"/>
      <c r="M58" s="7"/>
      <c r="N58" s="66"/>
      <c r="O58" s="66"/>
      <c r="P58" s="66"/>
    </row>
    <row r="59" spans="1:16" ht="13.8" thickBot="1" x14ac:dyDescent="0.3">
      <c r="F59" s="120">
        <v>100000000</v>
      </c>
      <c r="G59" s="121">
        <v>1000000</v>
      </c>
      <c r="H59" s="66"/>
      <c r="I59" s="66"/>
      <c r="M59" s="7"/>
      <c r="N59" s="66"/>
      <c r="O59" s="66"/>
      <c r="P59" s="66"/>
    </row>
    <row r="60" spans="1:16" x14ac:dyDescent="0.25">
      <c r="A60" s="62">
        <v>20000</v>
      </c>
      <c r="B60" s="63">
        <v>10000</v>
      </c>
      <c r="M60" s="7"/>
      <c r="N60" s="66"/>
      <c r="O60" s="66"/>
      <c r="P60" s="66"/>
    </row>
    <row r="61" spans="1:16" ht="13.8" thickBot="1" x14ac:dyDescent="0.3">
      <c r="A61" s="49">
        <v>10000000</v>
      </c>
      <c r="B61" s="50">
        <v>5000000</v>
      </c>
      <c r="M61" s="7"/>
      <c r="N61" s="66"/>
      <c r="O61" s="66"/>
      <c r="P61" s="66"/>
    </row>
    <row r="63" spans="1:16" x14ac:dyDescent="0.25">
      <c r="J63" s="107"/>
      <c r="K63" s="48"/>
      <c r="L63" s="28"/>
    </row>
    <row r="64" spans="1:16" x14ac:dyDescent="0.25">
      <c r="J64" s="107"/>
      <c r="K64" s="48"/>
      <c r="L64" s="28"/>
      <c r="N64" s="38"/>
      <c r="O64" s="65"/>
      <c r="P64" s="65"/>
    </row>
  </sheetData>
  <phoneticPr fontId="0" type="noConversion"/>
  <conditionalFormatting sqref="L7:L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{04B90C80-1918-4582-8D9A-75E92185FC08}</x14:id>
        </ext>
      </extLst>
    </cfRule>
  </conditionalFormatting>
  <pageMargins left="0.78740157499999996" right="0.78740157499999996" top="0.984251969" bottom="0.984251969" header="0.5" footer="0.5"/>
  <pageSetup paperSize="9" orientation="portrait" horizontalDpi="4294967293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B90C80-1918-4582-8D9A-75E92185FC08}">
            <x14:dataBar minLength="0" maxLength="100" gradient="0" negativeBarColorSameAsPositive="1" axisPosition="none">
              <x14:cfvo type="min"/>
              <x14:cfvo type="max"/>
            </x14:dataBar>
          </x14:cfRule>
          <xm:sqref>L7:L46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zoomScale="70" zoomScaleNormal="70" workbookViewId="0">
      <selection activeCell="K28" sqref="K28"/>
    </sheetView>
  </sheetViews>
  <sheetFormatPr defaultColWidth="11.44140625" defaultRowHeight="13.2" x14ac:dyDescent="0.25"/>
  <cols>
    <col min="1" max="14" width="11.44140625" style="6"/>
    <col min="15" max="17" width="11.44140625" style="32"/>
    <col min="18" max="16384" width="11.44140625" style="6"/>
  </cols>
  <sheetData>
    <row r="1" spans="2:19" ht="13.8" thickBot="1" x14ac:dyDescent="0.3">
      <c r="Q1" s="6"/>
    </row>
    <row r="2" spans="2:19" x14ac:dyDescent="0.25">
      <c r="B2" s="8" t="s">
        <v>12</v>
      </c>
      <c r="C2" s="8">
        <v>4.9053000000000004</v>
      </c>
      <c r="D2" s="8" t="s">
        <v>7</v>
      </c>
      <c r="E2" s="8">
        <v>240</v>
      </c>
      <c r="F2" s="6" t="s">
        <v>45</v>
      </c>
      <c r="G2" s="6">
        <v>184.32</v>
      </c>
      <c r="I2" s="61" t="s">
        <v>15</v>
      </c>
      <c r="J2" s="30" t="s">
        <v>23</v>
      </c>
      <c r="Q2" s="6"/>
    </row>
    <row r="3" spans="2:19" x14ac:dyDescent="0.25">
      <c r="B3" s="8" t="s">
        <v>11</v>
      </c>
      <c r="C3" s="8">
        <v>1.4244000000000001</v>
      </c>
      <c r="D3" s="8" t="s">
        <v>0</v>
      </c>
      <c r="E3" s="8">
        <v>182</v>
      </c>
      <c r="I3" s="46">
        <v>1000</v>
      </c>
      <c r="J3" s="47">
        <v>1000</v>
      </c>
      <c r="Q3" s="6"/>
    </row>
    <row r="4" spans="2:19" ht="13.8" thickBot="1" x14ac:dyDescent="0.3">
      <c r="B4" s="8" t="s">
        <v>4</v>
      </c>
      <c r="C4" s="8">
        <v>16439</v>
      </c>
      <c r="I4" s="49">
        <v>10000000</v>
      </c>
      <c r="J4" s="50">
        <v>10000000</v>
      </c>
      <c r="Q4" s="6"/>
    </row>
    <row r="5" spans="2:19" ht="13.8" thickBot="1" x14ac:dyDescent="0.3">
      <c r="B5" s="7"/>
      <c r="C5" s="7"/>
      <c r="Q5" s="6"/>
    </row>
    <row r="6" spans="2:19" x14ac:dyDescent="0.25">
      <c r="B6" s="7"/>
      <c r="C6" s="7"/>
      <c r="I6" s="62">
        <v>1000</v>
      </c>
      <c r="J6" s="63">
        <v>2000</v>
      </c>
      <c r="Q6" s="6"/>
    </row>
    <row r="7" spans="2:19" ht="13.8" thickBot="1" x14ac:dyDescent="0.3">
      <c r="B7" s="7"/>
      <c r="C7" s="7"/>
      <c r="I7" s="49">
        <v>5000000</v>
      </c>
      <c r="J7" s="50">
        <v>10000000</v>
      </c>
      <c r="Q7" s="6"/>
    </row>
    <row r="8" spans="2:19" ht="13.8" thickBot="1" x14ac:dyDescent="0.3">
      <c r="B8" s="7"/>
      <c r="C8" s="7"/>
      <c r="Q8" s="6"/>
    </row>
    <row r="9" spans="2:19" x14ac:dyDescent="0.25">
      <c r="B9" s="7"/>
      <c r="C9" s="7"/>
      <c r="F9" s="27"/>
      <c r="G9" s="27"/>
      <c r="H9" s="27"/>
      <c r="I9" s="62">
        <v>2000</v>
      </c>
      <c r="J9" s="63">
        <v>1000</v>
      </c>
      <c r="Q9" s="6"/>
    </row>
    <row r="10" spans="2:19" ht="13.8" thickBot="1" x14ac:dyDescent="0.3">
      <c r="B10" s="7"/>
      <c r="C10" s="7"/>
      <c r="G10" s="27"/>
      <c r="I10" s="49">
        <v>10000000</v>
      </c>
      <c r="J10" s="50">
        <v>5000000</v>
      </c>
      <c r="Q10" s="6"/>
    </row>
    <row r="11" spans="2:19" x14ac:dyDescent="0.25">
      <c r="F11" s="27"/>
      <c r="G11" s="27"/>
      <c r="H11" s="27"/>
      <c r="I11" s="27"/>
      <c r="J11" s="27"/>
      <c r="K11" s="86"/>
      <c r="L11" s="29"/>
      <c r="M11" s="7" t="s">
        <v>82</v>
      </c>
      <c r="N11" s="6" t="s">
        <v>82</v>
      </c>
      <c r="Q11" s="6"/>
    </row>
    <row r="12" spans="2:19" x14ac:dyDescent="0.25">
      <c r="B12" s="6" t="s">
        <v>35</v>
      </c>
      <c r="C12" s="6" t="s">
        <v>36</v>
      </c>
      <c r="D12" s="4" t="s">
        <v>44</v>
      </c>
      <c r="E12" s="6" t="s">
        <v>21</v>
      </c>
      <c r="F12" s="27" t="s">
        <v>37</v>
      </c>
      <c r="G12" s="27" t="s">
        <v>38</v>
      </c>
      <c r="H12" s="27" t="s">
        <v>1</v>
      </c>
      <c r="I12" s="27" t="s">
        <v>39</v>
      </c>
      <c r="J12" s="74" t="s">
        <v>40</v>
      </c>
      <c r="K12" s="27" t="s">
        <v>42</v>
      </c>
      <c r="L12" s="75" t="s">
        <v>41</v>
      </c>
      <c r="M12" s="8" t="s">
        <v>46</v>
      </c>
      <c r="N12" s="8" t="s">
        <v>41</v>
      </c>
      <c r="O12" s="7" t="s">
        <v>42</v>
      </c>
      <c r="P12" s="7" t="s">
        <v>41</v>
      </c>
      <c r="Q12" s="66" t="s">
        <v>1</v>
      </c>
    </row>
    <row r="13" spans="2:19" x14ac:dyDescent="0.25">
      <c r="B13" s="6" t="s">
        <v>43</v>
      </c>
      <c r="C13" s="6" t="s">
        <v>47</v>
      </c>
      <c r="D13" s="85">
        <v>15379.4</v>
      </c>
      <c r="E13" s="38">
        <v>366.96839771110939</v>
      </c>
      <c r="F13" s="27">
        <v>1666679.5321817901</v>
      </c>
      <c r="G13" s="6">
        <f>F13/(4*E13)</f>
        <v>1135.4380530975991</v>
      </c>
      <c r="H13" s="38">
        <v>11.046698150556001</v>
      </c>
      <c r="I13" s="27">
        <f>H13^$C$3*G13^(1-$C$3)/EXP($C$2)</f>
        <v>1.1455769495522995E-2</v>
      </c>
      <c r="J13" s="27">
        <f t="shared" ref="J13:J19" si="0">1/I13</f>
        <v>87.29225918789723</v>
      </c>
      <c r="K13" s="53">
        <f t="shared" ref="K13:K19" si="1">J13*$G$2</f>
        <v>16089.709213513217</v>
      </c>
      <c r="L13" s="29">
        <f t="shared" ref="L13:L19" si="2">(D13-K13)/D13</f>
        <v>-4.6185755849592142E-2</v>
      </c>
      <c r="M13" s="84">
        <v>27267</v>
      </c>
      <c r="N13" s="80">
        <f>(D13-M13)/D13</f>
        <v>-0.77295603209488017</v>
      </c>
      <c r="O13" s="134">
        <v>20304.052451443422</v>
      </c>
      <c r="P13" s="12">
        <v>-0.32021096085955386</v>
      </c>
      <c r="Q13" s="66">
        <v>6.5261547474639503</v>
      </c>
      <c r="R13" s="29"/>
      <c r="S13" s="27"/>
    </row>
    <row r="14" spans="2:19" x14ac:dyDescent="0.25">
      <c r="B14" s="6" t="s">
        <v>43</v>
      </c>
      <c r="C14" s="6" t="s">
        <v>48</v>
      </c>
      <c r="D14" s="85">
        <v>21465.7</v>
      </c>
      <c r="E14" s="38">
        <v>350.11738638853967</v>
      </c>
      <c r="F14" s="27">
        <v>1590146.4142261799</v>
      </c>
      <c r="G14" s="6">
        <f>F14/(4*E14)</f>
        <v>1135.4380530973754</v>
      </c>
      <c r="H14" s="38">
        <v>9.5075392697679995</v>
      </c>
      <c r="I14" s="27">
        <f t="shared" ref="I14:I19" si="3">H14^$C$3*G14^(1-$C$3)/EXP($C$2)</f>
        <v>9.2513295832458084E-3</v>
      </c>
      <c r="J14" s="27">
        <f t="shared" si="0"/>
        <v>108.09257101930555</v>
      </c>
      <c r="K14" s="53">
        <f t="shared" si="1"/>
        <v>19923.6226902784</v>
      </c>
      <c r="L14" s="29">
        <f t="shared" si="2"/>
        <v>7.1839134513274686E-2</v>
      </c>
      <c r="M14" s="84">
        <v>34874</v>
      </c>
      <c r="N14" s="80">
        <f>(D14-M14)/D14</f>
        <v>-0.62463837657285803</v>
      </c>
      <c r="O14" s="134">
        <v>23384.067156792116</v>
      </c>
      <c r="P14" s="12">
        <v>-8.9368954042594262E-2</v>
      </c>
      <c r="Q14" s="66">
        <v>5.5784347572710402</v>
      </c>
      <c r="R14" s="29"/>
      <c r="S14" s="27"/>
    </row>
    <row r="15" spans="2:19" x14ac:dyDescent="0.25">
      <c r="B15" s="6" t="s">
        <v>43</v>
      </c>
      <c r="C15" s="6" t="s">
        <v>49</v>
      </c>
      <c r="D15" s="85">
        <v>25350.400000000001</v>
      </c>
      <c r="E15" s="38">
        <v>336.43673921136639</v>
      </c>
      <c r="F15" s="27">
        <v>1528012.3046427099</v>
      </c>
      <c r="G15" s="6">
        <f>F15/(4*E15)</f>
        <v>1135.4380530976555</v>
      </c>
      <c r="H15" s="38">
        <v>8.31866170984412</v>
      </c>
      <c r="I15" s="27">
        <f t="shared" si="3"/>
        <v>7.6483554854766458E-3</v>
      </c>
      <c r="J15" s="27">
        <f t="shared" si="0"/>
        <v>130.74706084188762</v>
      </c>
      <c r="K15" s="53">
        <f t="shared" si="1"/>
        <v>24099.298254376725</v>
      </c>
      <c r="L15" s="29">
        <f t="shared" si="2"/>
        <v>4.9352347324826296E-2</v>
      </c>
      <c r="M15" s="84">
        <v>41535</v>
      </c>
      <c r="N15" s="80">
        <f>(D15-M15)/D15</f>
        <v>-0.63843568543297136</v>
      </c>
      <c r="O15" s="134">
        <v>26562.913112664159</v>
      </c>
      <c r="P15" s="12">
        <v>-4.7830137302139503E-2</v>
      </c>
      <c r="Q15" s="66">
        <v>4.8418676194701504</v>
      </c>
      <c r="R15" s="29"/>
      <c r="S15" s="27"/>
    </row>
    <row r="16" spans="2:19" x14ac:dyDescent="0.25">
      <c r="B16" s="6" t="s">
        <v>43</v>
      </c>
      <c r="C16" s="6" t="s">
        <v>50</v>
      </c>
      <c r="D16" s="55">
        <v>45949</v>
      </c>
      <c r="E16" s="38">
        <v>326.43231207008745</v>
      </c>
      <c r="F16" s="27">
        <v>1482574.67554042</v>
      </c>
      <c r="G16" s="6">
        <f t="shared" ref="G16:G47" si="4">F16/(4*E16)</f>
        <v>1135.4380530978963</v>
      </c>
      <c r="H16" s="38">
        <v>7.47858164238533</v>
      </c>
      <c r="I16" s="27">
        <f t="shared" si="3"/>
        <v>6.5722191429988053E-3</v>
      </c>
      <c r="J16" s="27">
        <f t="shared" si="0"/>
        <v>152.15560805900256</v>
      </c>
      <c r="K16" s="53">
        <f t="shared" si="1"/>
        <v>28045.32167743535</v>
      </c>
      <c r="L16" s="29">
        <f t="shared" si="2"/>
        <v>0.389642393143804</v>
      </c>
      <c r="M16" s="84">
        <v>48045</v>
      </c>
      <c r="N16" s="80">
        <f t="shared" ref="N16:N47" si="5">(D16-M16)/D16</f>
        <v>-4.5615791420923195E-2</v>
      </c>
      <c r="O16" s="134">
        <v>29402.730057743694</v>
      </c>
      <c r="P16" s="12">
        <v>0.36010076263370921</v>
      </c>
      <c r="Q16" s="66">
        <v>4.32518883510126</v>
      </c>
      <c r="R16" s="29"/>
    </row>
    <row r="17" spans="2:18" x14ac:dyDescent="0.25">
      <c r="B17" s="6" t="s">
        <v>43</v>
      </c>
      <c r="C17" s="6" t="s">
        <v>51</v>
      </c>
      <c r="D17" s="55">
        <v>62434.8</v>
      </c>
      <c r="E17" s="38">
        <v>310.38516085073428</v>
      </c>
      <c r="F17" s="27">
        <v>1409692.4909870001</v>
      </c>
      <c r="G17" s="6">
        <f>F17/(4*E17)</f>
        <v>1135.4380530976221</v>
      </c>
      <c r="H17" s="38">
        <v>6.1921823007203596</v>
      </c>
      <c r="I17" s="27">
        <f t="shared" si="3"/>
        <v>5.0228027816927303E-3</v>
      </c>
      <c r="J17" s="27">
        <f t="shared" si="0"/>
        <v>199.09202958253337</v>
      </c>
      <c r="K17" s="53">
        <f t="shared" si="1"/>
        <v>36696.642892652548</v>
      </c>
      <c r="L17" s="29">
        <f t="shared" si="2"/>
        <v>0.41224056307295698</v>
      </c>
      <c r="M17" s="84">
        <v>59063</v>
      </c>
      <c r="N17" s="80">
        <f t="shared" si="5"/>
        <v>5.4005138160128689E-2</v>
      </c>
      <c r="O17" s="134">
        <v>35180.93384024236</v>
      </c>
      <c r="P17" s="12">
        <v>0.43651723333393622</v>
      </c>
      <c r="Q17" s="66">
        <v>3.5435391907001201</v>
      </c>
      <c r="R17" s="29"/>
    </row>
    <row r="18" spans="2:18" x14ac:dyDescent="0.25">
      <c r="B18" s="6" t="s">
        <v>43</v>
      </c>
      <c r="C18" s="6" t="s">
        <v>52</v>
      </c>
      <c r="D18" s="55">
        <v>75225.7</v>
      </c>
      <c r="E18" s="38">
        <v>297.7337551141282</v>
      </c>
      <c r="F18" s="27">
        <v>1352232.9409932699</v>
      </c>
      <c r="G18" s="6">
        <f t="shared" si="4"/>
        <v>1135.4380530979163</v>
      </c>
      <c r="H18" s="38">
        <v>5.2452557826576696</v>
      </c>
      <c r="I18" s="27">
        <f t="shared" si="3"/>
        <v>3.965332032520209E-3</v>
      </c>
      <c r="J18" s="27">
        <f t="shared" si="0"/>
        <v>252.18569133653088</v>
      </c>
      <c r="K18" s="53">
        <f t="shared" si="1"/>
        <v>46482.866627149371</v>
      </c>
      <c r="L18" s="29">
        <f t="shared" si="2"/>
        <v>0.38208794830557413</v>
      </c>
      <c r="M18" s="84">
        <v>69183</v>
      </c>
      <c r="N18" s="80">
        <f t="shared" si="5"/>
        <v>8.0327600806639185E-2</v>
      </c>
      <c r="O18" s="134">
        <v>41237.602629507637</v>
      </c>
      <c r="P18" s="12">
        <v>0.45181496975757435</v>
      </c>
      <c r="Q18" s="66">
        <v>2.97026086843166</v>
      </c>
      <c r="R18" s="29"/>
    </row>
    <row r="19" spans="2:18" x14ac:dyDescent="0.25">
      <c r="B19" s="6" t="s">
        <v>43</v>
      </c>
      <c r="C19" s="6" t="s">
        <v>53</v>
      </c>
      <c r="D19" s="55">
        <v>115009</v>
      </c>
      <c r="E19" s="38">
        <v>253.94216126693274</v>
      </c>
      <c r="F19" s="27">
        <v>1153342.3727529999</v>
      </c>
      <c r="G19" s="6">
        <f t="shared" si="4"/>
        <v>1135.4380530973128</v>
      </c>
      <c r="H19" s="38">
        <v>2.44947601006153</v>
      </c>
      <c r="I19" s="27">
        <f t="shared" si="3"/>
        <v>1.3404164969205541E-3</v>
      </c>
      <c r="J19" s="27">
        <f t="shared" si="0"/>
        <v>746.03677461250288</v>
      </c>
      <c r="K19" s="53">
        <f t="shared" si="1"/>
        <v>137509.49829657652</v>
      </c>
      <c r="L19" s="29">
        <f t="shared" si="2"/>
        <v>-0.19564119587664028</v>
      </c>
      <c r="M19" s="84">
        <v>121050</v>
      </c>
      <c r="N19" s="80">
        <f t="shared" si="5"/>
        <v>-5.2526324026815292E-2</v>
      </c>
      <c r="O19" s="134">
        <v>86740.028092646768</v>
      </c>
      <c r="P19" s="12">
        <v>0.24579791066223716</v>
      </c>
      <c r="Q19" s="66">
        <v>1.3002522811605699</v>
      </c>
      <c r="R19" s="29"/>
    </row>
    <row r="20" spans="2:18" x14ac:dyDescent="0.25">
      <c r="B20" s="6" t="s">
        <v>43</v>
      </c>
      <c r="C20" s="6" t="s">
        <v>54</v>
      </c>
      <c r="D20" s="55">
        <v>136794</v>
      </c>
      <c r="E20" s="38">
        <v>248.68351381913004</v>
      </c>
      <c r="F20" s="27">
        <v>1129458.89907273</v>
      </c>
      <c r="G20" s="6">
        <f t="shared" si="4"/>
        <v>1135.4380530972758</v>
      </c>
      <c r="H20" s="38">
        <v>2.1713140363243499</v>
      </c>
      <c r="I20" s="27">
        <f t="shared" ref="I20:I26" si="6">H20^$C$3*G20^(1-$C$3)/EXP($C$2)</f>
        <v>1.1289420250339354E-3</v>
      </c>
      <c r="J20" s="27">
        <f t="shared" ref="J20:J47" si="7">1/I20</f>
        <v>885.78507826382008</v>
      </c>
      <c r="K20" s="53">
        <f t="shared" ref="K20:K47" si="8">J20*$G$2</f>
        <v>163267.9056255873</v>
      </c>
      <c r="L20" s="29">
        <f t="shared" ref="L20:L26" si="9">(D20-K20)/D20</f>
        <v>-0.19353119015152201</v>
      </c>
      <c r="M20" s="84">
        <v>127660</v>
      </c>
      <c r="N20" s="80">
        <f t="shared" si="5"/>
        <v>6.6771934441569078E-2</v>
      </c>
      <c r="O20" s="134">
        <v>97485.999535396928</v>
      </c>
      <c r="P20" s="12">
        <v>0.28735178783136006</v>
      </c>
      <c r="Q20" s="66">
        <v>1.14202428912762</v>
      </c>
      <c r="R20" s="29"/>
    </row>
    <row r="21" spans="2:18" x14ac:dyDescent="0.25">
      <c r="B21" s="6" t="s">
        <v>43</v>
      </c>
      <c r="C21" s="6" t="s">
        <v>55</v>
      </c>
      <c r="D21" s="87">
        <v>203365</v>
      </c>
      <c r="E21" s="88">
        <v>201.08923596341592</v>
      </c>
      <c r="F21" s="89">
        <v>913297.48232467799</v>
      </c>
      <c r="G21" s="90">
        <f t="shared" si="4"/>
        <v>1135.4380530975236</v>
      </c>
      <c r="H21" s="88">
        <v>0.39247532459929402</v>
      </c>
      <c r="I21" s="89">
        <f t="shared" si="6"/>
        <v>9.8734796089699174E-5</v>
      </c>
      <c r="J21" s="89">
        <f t="shared" si="7"/>
        <v>10128.141644122241</v>
      </c>
      <c r="K21" s="101">
        <f t="shared" si="8"/>
        <v>1866819.0678446114</v>
      </c>
      <c r="L21" s="91">
        <f t="shared" si="9"/>
        <v>-8.1796477655673847</v>
      </c>
      <c r="M21" s="84">
        <v>255870</v>
      </c>
      <c r="N21" s="80">
        <f t="shared" si="5"/>
        <v>-0.2581811029429843</v>
      </c>
      <c r="O21" s="134">
        <v>559322.32996446604</v>
      </c>
      <c r="P21" s="12">
        <v>-1.750337225994965</v>
      </c>
      <c r="Q21" s="66">
        <v>0.16396338594108401</v>
      </c>
      <c r="R21" s="29"/>
    </row>
    <row r="22" spans="2:18" x14ac:dyDescent="0.25">
      <c r="B22" s="6" t="s">
        <v>43</v>
      </c>
      <c r="C22" s="6" t="s">
        <v>56</v>
      </c>
      <c r="D22" s="55">
        <v>221370</v>
      </c>
      <c r="E22" s="38">
        <v>245.10095225009033</v>
      </c>
      <c r="F22" s="27">
        <v>1113187.79214034</v>
      </c>
      <c r="G22" s="6">
        <f t="shared" si="4"/>
        <v>1135.4380530970884</v>
      </c>
      <c r="H22" s="38">
        <v>1.99199447224338</v>
      </c>
      <c r="I22" s="27">
        <f t="shared" si="6"/>
        <v>9.9850426136397418E-4</v>
      </c>
      <c r="J22" s="27">
        <f t="shared" si="7"/>
        <v>1001.4979792214233</v>
      </c>
      <c r="K22" s="53">
        <f t="shared" si="8"/>
        <v>184596.10753009273</v>
      </c>
      <c r="L22" s="29">
        <f t="shared" si="9"/>
        <v>0.16611958472199154</v>
      </c>
      <c r="M22" s="84">
        <v>134700</v>
      </c>
      <c r="N22" s="80">
        <f t="shared" si="5"/>
        <v>0.39151646564575143</v>
      </c>
      <c r="O22" s="134">
        <v>106011.81978690659</v>
      </c>
      <c r="P22" s="12">
        <v>0.5211102688399214</v>
      </c>
      <c r="Q22" s="66">
        <v>1.04045191194497</v>
      </c>
      <c r="R22" s="29"/>
    </row>
    <row r="23" spans="2:18" x14ac:dyDescent="0.25">
      <c r="B23" s="6" t="s">
        <v>43</v>
      </c>
      <c r="C23" s="6" t="s">
        <v>57</v>
      </c>
      <c r="D23" s="55">
        <v>244757</v>
      </c>
      <c r="E23" s="38">
        <v>245.9090695563458</v>
      </c>
      <c r="F23" s="27">
        <v>1116858.0607042301</v>
      </c>
      <c r="G23" s="6">
        <f t="shared" si="4"/>
        <v>1135.438053097429</v>
      </c>
      <c r="H23" s="38">
        <v>2.0317822515344699</v>
      </c>
      <c r="I23" s="27">
        <f t="shared" si="6"/>
        <v>1.0270323932830975E-3</v>
      </c>
      <c r="J23" s="27">
        <f t="shared" si="7"/>
        <v>973.67912301511399</v>
      </c>
      <c r="K23" s="53">
        <f t="shared" si="8"/>
        <v>179468.5359541458</v>
      </c>
      <c r="L23" s="29">
        <f t="shared" si="9"/>
        <v>0.26674809727956378</v>
      </c>
      <c r="M23" s="84">
        <v>133540</v>
      </c>
      <c r="N23" s="80">
        <f t="shared" si="5"/>
        <v>0.45439762703416042</v>
      </c>
      <c r="O23" s="134">
        <v>103986.58412998667</v>
      </c>
      <c r="P23" s="12">
        <v>0.57514357452499143</v>
      </c>
      <c r="Q23" s="66">
        <v>1.0629889040075899</v>
      </c>
      <c r="R23" s="29"/>
    </row>
    <row r="24" spans="2:18" x14ac:dyDescent="0.25">
      <c r="B24" s="6" t="s">
        <v>43</v>
      </c>
      <c r="C24" s="6" t="s">
        <v>58</v>
      </c>
      <c r="D24" s="87">
        <v>251723</v>
      </c>
      <c r="E24" s="88">
        <v>194.55267633283609</v>
      </c>
      <c r="F24" s="89">
        <v>883610.04816102097</v>
      </c>
      <c r="G24" s="90">
        <f t="shared" si="4"/>
        <v>1135.4380530974577</v>
      </c>
      <c r="H24" s="88">
        <v>0.265412672472498</v>
      </c>
      <c r="I24" s="89">
        <f t="shared" si="6"/>
        <v>5.6555899904787403E-5</v>
      </c>
      <c r="J24" s="89">
        <f t="shared" si="7"/>
        <v>17681.621222251139</v>
      </c>
      <c r="K24" s="101">
        <f t="shared" si="8"/>
        <v>3259076.42368533</v>
      </c>
      <c r="L24" s="91">
        <f t="shared" si="9"/>
        <v>-11.947074457579681</v>
      </c>
      <c r="M24" s="84">
        <v>282260</v>
      </c>
      <c r="N24" s="80">
        <f t="shared" si="5"/>
        <v>-0.12131191825935651</v>
      </c>
      <c r="O24" s="134">
        <v>840559.03402633336</v>
      </c>
      <c r="P24" s="12">
        <v>-2.3392222165886047</v>
      </c>
      <c r="Q24" s="66">
        <v>0.10428129718715</v>
      </c>
      <c r="R24" s="29"/>
    </row>
    <row r="25" spans="2:18" x14ac:dyDescent="0.25">
      <c r="B25" s="6" t="s">
        <v>43</v>
      </c>
      <c r="C25" s="6" t="s">
        <v>59</v>
      </c>
      <c r="D25" s="87">
        <v>288080</v>
      </c>
      <c r="E25" s="88">
        <v>204.12211749302867</v>
      </c>
      <c r="F25" s="89">
        <v>927072.078721717</v>
      </c>
      <c r="G25" s="90">
        <f t="shared" si="4"/>
        <v>1135.4380530975277</v>
      </c>
      <c r="H25" s="88">
        <v>0.46246469650969502</v>
      </c>
      <c r="I25" s="89">
        <f t="shared" si="6"/>
        <v>1.2473313811184873E-4</v>
      </c>
      <c r="J25" s="89">
        <f t="shared" si="7"/>
        <v>8017.1157010681145</v>
      </c>
      <c r="K25" s="101">
        <f t="shared" si="8"/>
        <v>1477714.7660208747</v>
      </c>
      <c r="L25" s="91">
        <f t="shared" si="9"/>
        <v>-4.1295291794670739</v>
      </c>
      <c r="M25" s="84">
        <v>243020</v>
      </c>
      <c r="N25" s="80">
        <f t="shared" si="5"/>
        <v>0.15641488475423493</v>
      </c>
      <c r="O25" s="134">
        <v>473414.81953702541</v>
      </c>
      <c r="P25" s="12">
        <v>-0.64334497201133511</v>
      </c>
      <c r="Q25" s="66">
        <v>0.19733537659011</v>
      </c>
      <c r="R25" s="29"/>
    </row>
    <row r="26" spans="2:18" ht="13.8" thickBot="1" x14ac:dyDescent="0.3">
      <c r="B26" s="56" t="s">
        <v>43</v>
      </c>
      <c r="C26" s="56" t="s">
        <v>60</v>
      </c>
      <c r="D26" s="135">
        <v>405444</v>
      </c>
      <c r="E26" s="136">
        <v>208.9943611591294</v>
      </c>
      <c r="F26" s="137">
        <v>949200.60217117995</v>
      </c>
      <c r="G26" s="138">
        <f t="shared" si="4"/>
        <v>1135.4380530971046</v>
      </c>
      <c r="H26" s="136">
        <v>0.59108272004130402</v>
      </c>
      <c r="I26" s="137">
        <f t="shared" si="6"/>
        <v>1.7692112729223832E-4</v>
      </c>
      <c r="J26" s="137">
        <f t="shared" si="7"/>
        <v>5652.2361987226095</v>
      </c>
      <c r="K26" s="139">
        <f t="shared" si="8"/>
        <v>1041820.1761485514</v>
      </c>
      <c r="L26" s="140">
        <f t="shared" si="9"/>
        <v>-1.5695784772953882</v>
      </c>
      <c r="M26" s="94">
        <v>223020</v>
      </c>
      <c r="N26" s="95">
        <f t="shared" si="5"/>
        <v>0.44993636605795129</v>
      </c>
      <c r="O26" s="134">
        <v>369724.14022477303</v>
      </c>
      <c r="P26" s="12">
        <v>8.8100600268414306E-2</v>
      </c>
      <c r="Q26" s="66">
        <v>0.259707848496392</v>
      </c>
      <c r="R26" s="29"/>
    </row>
    <row r="27" spans="2:18" x14ac:dyDescent="0.25">
      <c r="B27" s="6" t="s">
        <v>43</v>
      </c>
      <c r="C27" s="6" t="s">
        <v>61</v>
      </c>
      <c r="D27" s="6">
        <v>16843.2</v>
      </c>
      <c r="E27" s="38">
        <v>395.6536778793116</v>
      </c>
      <c r="F27" s="27">
        <v>1796960.9668487101</v>
      </c>
      <c r="G27" s="4">
        <f>F27/(4*E27)</f>
        <v>1135.438053097567</v>
      </c>
      <c r="H27" s="38">
        <v>16.467799074711401</v>
      </c>
      <c r="I27" s="27">
        <f>H27^$C$3*G27^(1-$C$3)/EXP($C$2)</f>
        <v>2.0231104937890303E-2</v>
      </c>
      <c r="J27" s="27">
        <f t="shared" si="7"/>
        <v>49.42883757807644</v>
      </c>
      <c r="K27" s="53">
        <f t="shared" si="8"/>
        <v>9110.7233423910493</v>
      </c>
      <c r="L27" s="11">
        <f>(D27-K27)/D27</f>
        <v>0.45908596095806919</v>
      </c>
      <c r="M27" s="96">
        <v>6860.5</v>
      </c>
      <c r="N27" s="81">
        <f t="shared" si="5"/>
        <v>0.59268428802127859</v>
      </c>
      <c r="O27" s="69">
        <v>14665.95122362712</v>
      </c>
      <c r="P27" s="11">
        <v>0.12926574382379122</v>
      </c>
      <c r="Q27" s="65">
        <v>9.3671907077436494</v>
      </c>
    </row>
    <row r="28" spans="2:18" x14ac:dyDescent="0.25">
      <c r="B28" s="6" t="s">
        <v>43</v>
      </c>
      <c r="C28" s="6" t="s">
        <v>62</v>
      </c>
      <c r="D28" s="6">
        <v>17780.099999999999</v>
      </c>
      <c r="E28" s="38">
        <v>366.7722898709269</v>
      </c>
      <c r="F28" s="27">
        <v>1665788.8589647401</v>
      </c>
      <c r="G28" s="4">
        <f t="shared" si="4"/>
        <v>1135.4380530975759</v>
      </c>
      <c r="H28" s="38">
        <v>12.9681009464546</v>
      </c>
      <c r="I28" s="27">
        <f t="shared" ref="I28:I47" si="10">H28^$C$3*G28^(1-$C$3)/EXP($C$2)</f>
        <v>1.4395442894351042E-2</v>
      </c>
      <c r="J28" s="27">
        <f t="shared" si="7"/>
        <v>69.466428184186881</v>
      </c>
      <c r="K28" s="53">
        <f>J28*$G$2</f>
        <v>12804.052042909325</v>
      </c>
      <c r="L28" s="11">
        <f t="shared" ref="L28:L47" si="11">(D28-K28)/D28</f>
        <v>0.27986614007180355</v>
      </c>
      <c r="M28" s="96">
        <v>12282</v>
      </c>
      <c r="N28" s="81">
        <f t="shared" si="5"/>
        <v>0.30922773212749077</v>
      </c>
      <c r="O28" s="69">
        <v>17988.725996723675</v>
      </c>
      <c r="P28" s="11">
        <v>-1.1733679603808557E-2</v>
      </c>
      <c r="Q28" s="65">
        <v>7.4657883972696197</v>
      </c>
    </row>
    <row r="29" spans="2:18" x14ac:dyDescent="0.25">
      <c r="B29" s="6" t="s">
        <v>43</v>
      </c>
      <c r="C29" s="6" t="s">
        <v>63</v>
      </c>
      <c r="D29" s="6">
        <v>24416.5</v>
      </c>
      <c r="E29" s="38">
        <v>335.0291215644495</v>
      </c>
      <c r="F29" s="27">
        <v>1521619.25408011</v>
      </c>
      <c r="G29" s="4">
        <f t="shared" si="4"/>
        <v>1135.438053097271</v>
      </c>
      <c r="H29" s="38">
        <v>9.7281365856880004</v>
      </c>
      <c r="I29" s="27">
        <f t="shared" si="10"/>
        <v>9.5585795516167169E-3</v>
      </c>
      <c r="J29" s="27">
        <f t="shared" si="7"/>
        <v>104.61805486892267</v>
      </c>
      <c r="K29" s="53">
        <f t="shared" si="8"/>
        <v>19283.199873439826</v>
      </c>
      <c r="L29" s="11">
        <f t="shared" si="11"/>
        <v>0.21023898292384963</v>
      </c>
      <c r="M29" s="96">
        <v>21765</v>
      </c>
      <c r="N29" s="81">
        <f t="shared" si="5"/>
        <v>0.10859459791534413</v>
      </c>
      <c r="O29" s="69">
        <v>23494.376382093422</v>
      </c>
      <c r="P29" s="11">
        <v>3.776641279080041E-2</v>
      </c>
      <c r="Q29" s="65">
        <v>5.5493439226987302</v>
      </c>
    </row>
    <row r="30" spans="2:18" x14ac:dyDescent="0.25">
      <c r="B30" s="6" t="s">
        <v>43</v>
      </c>
      <c r="C30" s="6" t="s">
        <v>74</v>
      </c>
      <c r="D30" s="6">
        <v>24858.2</v>
      </c>
      <c r="E30" s="38">
        <v>365.08785602880374</v>
      </c>
      <c r="F30" s="27">
        <v>1658138.5778351501</v>
      </c>
      <c r="G30" s="4">
        <f t="shared" si="4"/>
        <v>1135.4380530972321</v>
      </c>
      <c r="H30" s="38">
        <v>12.7830784966884</v>
      </c>
      <c r="I30" s="27">
        <f t="shared" si="10"/>
        <v>1.4103777730465271E-2</v>
      </c>
      <c r="J30" s="27">
        <f t="shared" si="7"/>
        <v>70.902989192740975</v>
      </c>
      <c r="K30" s="53">
        <f t="shared" si="8"/>
        <v>13068.838968006015</v>
      </c>
      <c r="L30" s="11">
        <f t="shared" si="11"/>
        <v>0.47426446934991212</v>
      </c>
      <c r="M30" s="96">
        <v>12764</v>
      </c>
      <c r="N30" s="81">
        <f t="shared" si="5"/>
        <v>0.48652758445905175</v>
      </c>
      <c r="O30" s="69">
        <v>18222.535399031854</v>
      </c>
      <c r="P30" s="11">
        <v>0.26694067152763057</v>
      </c>
      <c r="Q30" s="65">
        <v>7.3594408300232903</v>
      </c>
    </row>
    <row r="31" spans="2:18" x14ac:dyDescent="0.25">
      <c r="B31" s="6" t="s">
        <v>43</v>
      </c>
      <c r="C31" s="6" t="s">
        <v>65</v>
      </c>
      <c r="D31" s="6">
        <v>26518.3</v>
      </c>
      <c r="E31" s="38">
        <v>377.97841903819568</v>
      </c>
      <c r="F31" s="27">
        <v>1716684.3209019301</v>
      </c>
      <c r="G31" s="4">
        <f t="shared" si="4"/>
        <v>1135.4380530971894</v>
      </c>
      <c r="H31" s="38">
        <v>14.243363953011301</v>
      </c>
      <c r="I31" s="27">
        <f t="shared" si="10"/>
        <v>1.6453172802457564E-2</v>
      </c>
      <c r="J31" s="27">
        <f t="shared" si="7"/>
        <v>60.778550861061447</v>
      </c>
      <c r="K31" s="53">
        <f t="shared" si="8"/>
        <v>11202.702494710846</v>
      </c>
      <c r="L31" s="11">
        <f t="shared" si="11"/>
        <v>0.5775482404712653</v>
      </c>
      <c r="M31" s="96">
        <v>9812.7999999999993</v>
      </c>
      <c r="N31" s="81">
        <f t="shared" si="5"/>
        <v>0.62996119660762573</v>
      </c>
      <c r="O31" s="69">
        <v>16559.632721131922</v>
      </c>
      <c r="P31" s="11">
        <v>0.37553943046379584</v>
      </c>
      <c r="Q31" s="65">
        <v>8.1849373035253095</v>
      </c>
    </row>
    <row r="32" spans="2:18" x14ac:dyDescent="0.25">
      <c r="B32" s="6" t="s">
        <v>43</v>
      </c>
      <c r="C32" s="6" t="s">
        <v>66</v>
      </c>
      <c r="D32" s="6">
        <v>36162.300000000003</v>
      </c>
      <c r="E32" s="38">
        <v>360.43118721041583</v>
      </c>
      <c r="F32" s="27">
        <v>1636989.14192767</v>
      </c>
      <c r="G32" s="4">
        <f t="shared" si="4"/>
        <v>1135.4380530977842</v>
      </c>
      <c r="H32" s="38">
        <v>12.285933747829599</v>
      </c>
      <c r="I32" s="27">
        <f t="shared" si="10"/>
        <v>1.3328979739389804E-2</v>
      </c>
      <c r="J32" s="27">
        <f t="shared" si="7"/>
        <v>75.024496964670135</v>
      </c>
      <c r="K32" s="53">
        <f t="shared" si="8"/>
        <v>13828.515280527999</v>
      </c>
      <c r="L32" s="11">
        <f t="shared" si="11"/>
        <v>0.6175985686605111</v>
      </c>
      <c r="M32" s="96">
        <v>14118</v>
      </c>
      <c r="N32" s="81">
        <f t="shared" si="5"/>
        <v>0.6095934163479646</v>
      </c>
      <c r="O32" s="69">
        <v>18899.535550792967</v>
      </c>
      <c r="P32" s="11">
        <v>0.47736909569377595</v>
      </c>
      <c r="Q32" s="65">
        <v>7.0671479877028398</v>
      </c>
    </row>
    <row r="33" spans="2:17" x14ac:dyDescent="0.25">
      <c r="B33" s="6" t="s">
        <v>43</v>
      </c>
      <c r="C33" s="6" t="s">
        <v>67</v>
      </c>
      <c r="D33" s="6">
        <v>47600.4</v>
      </c>
      <c r="E33" s="38">
        <v>332.30289928047682</v>
      </c>
      <c r="F33" s="27">
        <v>1509237.4279899001</v>
      </c>
      <c r="G33" s="4">
        <f t="shared" si="4"/>
        <v>1135.4380530968854</v>
      </c>
      <c r="H33" s="38">
        <v>9.4680576234169198</v>
      </c>
      <c r="I33" s="27">
        <f t="shared" si="10"/>
        <v>9.1966556810652907E-3</v>
      </c>
      <c r="J33" s="27">
        <f t="shared" si="7"/>
        <v>108.73517881710728</v>
      </c>
      <c r="K33" s="53">
        <f t="shared" si="8"/>
        <v>20042.068159569215</v>
      </c>
      <c r="L33" s="11">
        <f t="shared" si="11"/>
        <v>0.57895168612933479</v>
      </c>
      <c r="M33" s="96">
        <v>22765</v>
      </c>
      <c r="N33" s="81">
        <f t="shared" si="5"/>
        <v>0.52174771640574447</v>
      </c>
      <c r="O33" s="69">
        <v>24105.143598034269</v>
      </c>
      <c r="P33" s="11">
        <v>0.49359367572469415</v>
      </c>
      <c r="Q33" s="65">
        <v>5.3933523476497003</v>
      </c>
    </row>
    <row r="34" spans="2:17" s="32" customFormat="1" x14ac:dyDescent="0.25">
      <c r="B34" s="32" t="s">
        <v>43</v>
      </c>
      <c r="C34" s="32" t="s">
        <v>64</v>
      </c>
      <c r="D34" s="32">
        <v>57993.9</v>
      </c>
      <c r="E34" s="65">
        <v>304.01395000046949</v>
      </c>
      <c r="F34" s="70">
        <v>1380756.0300124199</v>
      </c>
      <c r="G34" s="7">
        <f t="shared" si="4"/>
        <v>1135.4380530977999</v>
      </c>
      <c r="H34" s="65">
        <v>6.9280553315270197</v>
      </c>
      <c r="I34" s="70">
        <f t="shared" si="10"/>
        <v>5.8940079225611721E-3</v>
      </c>
      <c r="J34" s="70">
        <f t="shared" si="7"/>
        <v>169.66383709329349</v>
      </c>
      <c r="K34" s="69">
        <f t="shared" si="8"/>
        <v>31272.438453035855</v>
      </c>
      <c r="L34" s="11">
        <f t="shared" si="11"/>
        <v>0.4607633138479072</v>
      </c>
      <c r="M34" s="96">
        <v>35476</v>
      </c>
      <c r="N34" s="81">
        <f t="shared" si="5"/>
        <v>0.3882804915689409</v>
      </c>
      <c r="O34" s="69">
        <v>32560.119389537198</v>
      </c>
      <c r="P34" s="11">
        <v>0.43855958317103699</v>
      </c>
      <c r="Q34" s="65">
        <v>3.8618035083918101</v>
      </c>
    </row>
    <row r="35" spans="2:17" s="32" customFormat="1" x14ac:dyDescent="0.25">
      <c r="B35" s="32" t="s">
        <v>43</v>
      </c>
      <c r="C35" s="32" t="s">
        <v>68</v>
      </c>
      <c r="D35" s="32">
        <v>60428</v>
      </c>
      <c r="E35" s="65">
        <v>320.49680038404642</v>
      </c>
      <c r="F35" s="70">
        <v>1455617.05220792</v>
      </c>
      <c r="G35" s="7">
        <f t="shared" si="4"/>
        <v>1135.4380530973135</v>
      </c>
      <c r="H35" s="65">
        <v>8.37752711218074</v>
      </c>
      <c r="I35" s="70">
        <f t="shared" si="10"/>
        <v>7.7255626220691567E-3</v>
      </c>
      <c r="J35" s="70">
        <f t="shared" si="7"/>
        <v>129.44041086967042</v>
      </c>
      <c r="K35" s="69">
        <f t="shared" si="8"/>
        <v>23858.45653149765</v>
      </c>
      <c r="L35" s="11">
        <f t="shared" si="11"/>
        <v>0.60517547276928496</v>
      </c>
      <c r="M35" s="96">
        <v>27580</v>
      </c>
      <c r="N35" s="81">
        <f t="shared" si="5"/>
        <v>0.54358906467200641</v>
      </c>
      <c r="O35" s="69">
        <v>27112.264520737255</v>
      </c>
      <c r="P35" s="11">
        <v>0.5513294413063935</v>
      </c>
      <c r="Q35" s="65">
        <v>4.7329959130753201</v>
      </c>
    </row>
    <row r="36" spans="2:17" s="32" customFormat="1" x14ac:dyDescent="0.25">
      <c r="B36" s="32" t="s">
        <v>43</v>
      </c>
      <c r="C36" s="32" t="s">
        <v>69</v>
      </c>
      <c r="D36" s="32">
        <v>73373.3</v>
      </c>
      <c r="E36" s="65">
        <v>278.58929135214981</v>
      </c>
      <c r="F36" s="70">
        <v>1265283.5303467901</v>
      </c>
      <c r="G36" s="7">
        <f t="shared" si="4"/>
        <v>1135.4380530975013</v>
      </c>
      <c r="H36" s="65">
        <v>4.8961131949523002</v>
      </c>
      <c r="I36" s="70">
        <f t="shared" si="10"/>
        <v>3.5947468929051576E-3</v>
      </c>
      <c r="J36" s="70">
        <f t="shared" si="7"/>
        <v>278.18370243915354</v>
      </c>
      <c r="K36" s="69">
        <f t="shared" si="8"/>
        <v>51274.82003358478</v>
      </c>
      <c r="L36" s="11">
        <f t="shared" si="11"/>
        <v>0.30117876620535294</v>
      </c>
      <c r="M36" s="96">
        <v>51590</v>
      </c>
      <c r="N36" s="81">
        <f t="shared" si="5"/>
        <v>0.29688319865673213</v>
      </c>
      <c r="O36" s="69">
        <v>45564.139180561157</v>
      </c>
      <c r="P36" s="11">
        <v>0.37900926930421347</v>
      </c>
      <c r="Q36" s="65">
        <v>2.6586169191315698</v>
      </c>
    </row>
    <row r="37" spans="2:17" s="32" customFormat="1" x14ac:dyDescent="0.25">
      <c r="B37" s="32" t="s">
        <v>43</v>
      </c>
      <c r="C37" s="32" t="s">
        <v>70</v>
      </c>
      <c r="D37" s="32">
        <v>87609.1</v>
      </c>
      <c r="E37" s="65">
        <v>278.11985896991877</v>
      </c>
      <c r="F37" s="70">
        <v>1263151.48478628</v>
      </c>
      <c r="G37" s="7">
        <f t="shared" si="4"/>
        <v>1135.4380530975509</v>
      </c>
      <c r="H37" s="65">
        <v>4.86114854248651</v>
      </c>
      <c r="I37" s="70">
        <f t="shared" si="10"/>
        <v>3.5582363307697078E-3</v>
      </c>
      <c r="J37" s="70">
        <f t="shared" si="7"/>
        <v>281.03810625296006</v>
      </c>
      <c r="K37" s="69">
        <f t="shared" si="8"/>
        <v>51800.943744545599</v>
      </c>
      <c r="L37" s="11">
        <f t="shared" si="11"/>
        <v>0.40872644799974439</v>
      </c>
      <c r="M37" s="96">
        <v>52653</v>
      </c>
      <c r="N37" s="81">
        <f t="shared" si="5"/>
        <v>0.39900078873085104</v>
      </c>
      <c r="O37" s="69">
        <v>45883.527625834489</v>
      </c>
      <c r="P37" s="11">
        <v>0.47626984381948351</v>
      </c>
      <c r="Q37" s="65">
        <v>2.6380646744401002</v>
      </c>
    </row>
    <row r="38" spans="2:17" s="32" customFormat="1" x14ac:dyDescent="0.25">
      <c r="B38" s="32" t="s">
        <v>43</v>
      </c>
      <c r="C38" s="32" t="s">
        <v>71</v>
      </c>
      <c r="D38" s="32">
        <v>89185.2</v>
      </c>
      <c r="E38" s="65">
        <v>293.1291435333373</v>
      </c>
      <c r="F38" s="70">
        <v>1331319.9361584401</v>
      </c>
      <c r="G38" s="7">
        <f t="shared" si="4"/>
        <v>1135.4380530974313</v>
      </c>
      <c r="H38" s="65">
        <v>6.0232371836067298</v>
      </c>
      <c r="I38" s="70">
        <f t="shared" si="10"/>
        <v>4.8287388046608657E-3</v>
      </c>
      <c r="J38" s="70">
        <f t="shared" si="7"/>
        <v>207.09341309469161</v>
      </c>
      <c r="K38" s="69">
        <f t="shared" si="8"/>
        <v>38171.457901613554</v>
      </c>
      <c r="L38" s="11">
        <f t="shared" si="11"/>
        <v>0.57199784379455831</v>
      </c>
      <c r="M38" s="96">
        <v>42024</v>
      </c>
      <c r="N38" s="81">
        <f t="shared" si="5"/>
        <v>0.52880074272412914</v>
      </c>
      <c r="O38" s="69">
        <v>37234.766807233151</v>
      </c>
      <c r="P38" s="11">
        <v>0.5825006076430489</v>
      </c>
      <c r="Q38" s="65">
        <v>3.3270634820601499</v>
      </c>
    </row>
    <row r="39" spans="2:17" s="32" customFormat="1" x14ac:dyDescent="0.25">
      <c r="B39" s="32" t="s">
        <v>43</v>
      </c>
      <c r="C39" s="32" t="s">
        <v>72</v>
      </c>
      <c r="D39" s="32">
        <v>106900</v>
      </c>
      <c r="E39" s="65">
        <v>271.78628731019222</v>
      </c>
      <c r="F39" s="70">
        <v>1234385.97168821</v>
      </c>
      <c r="G39" s="7">
        <f t="shared" si="4"/>
        <v>1135.4380530973899</v>
      </c>
      <c r="H39" s="65">
        <v>4.3983729164089498</v>
      </c>
      <c r="I39" s="70">
        <f t="shared" si="10"/>
        <v>3.0856673514726542E-3</v>
      </c>
      <c r="J39" s="70">
        <f t="shared" si="7"/>
        <v>324.07900337110016</v>
      </c>
      <c r="K39" s="69">
        <f t="shared" si="8"/>
        <v>59734.24190136118</v>
      </c>
      <c r="L39" s="11">
        <f t="shared" si="11"/>
        <v>0.44121382692833322</v>
      </c>
      <c r="M39" s="96">
        <v>57367</v>
      </c>
      <c r="N39" s="81">
        <f t="shared" si="5"/>
        <v>0.46335827876520114</v>
      </c>
      <c r="O39" s="69">
        <v>50586.12847335828</v>
      </c>
      <c r="P39" s="11">
        <v>0.52679019201722843</v>
      </c>
      <c r="Q39" s="65">
        <v>2.3670516419627901</v>
      </c>
    </row>
    <row r="40" spans="2:17" s="32" customFormat="1" x14ac:dyDescent="0.25">
      <c r="B40" s="32" t="s">
        <v>43</v>
      </c>
      <c r="C40" s="7" t="s">
        <v>75</v>
      </c>
      <c r="D40" s="32">
        <v>117358</v>
      </c>
      <c r="E40" s="65">
        <v>261.51902290738536</v>
      </c>
      <c r="F40" s="70">
        <v>1187754.6008715699</v>
      </c>
      <c r="G40" s="7">
        <f t="shared" si="4"/>
        <v>1135.4380530973865</v>
      </c>
      <c r="H40" s="65">
        <v>3.6882410490512001</v>
      </c>
      <c r="I40" s="70">
        <f t="shared" si="10"/>
        <v>2.4011612087121194E-3</v>
      </c>
      <c r="J40" s="70">
        <f t="shared" si="7"/>
        <v>416.4651654256723</v>
      </c>
      <c r="K40" s="69">
        <f t="shared" si="8"/>
        <v>76762.859291259912</v>
      </c>
      <c r="L40" s="11">
        <f t="shared" si="11"/>
        <v>0.34590859343836883</v>
      </c>
      <c r="M40" s="96">
        <v>66058</v>
      </c>
      <c r="N40" s="81">
        <f t="shared" si="5"/>
        <v>0.43712401370166498</v>
      </c>
      <c r="O40" s="69">
        <v>60300.420128771497</v>
      </c>
      <c r="P40" s="11">
        <v>0.48618398295155424</v>
      </c>
      <c r="Q40" s="65">
        <v>1.94738450964027</v>
      </c>
    </row>
    <row r="41" spans="2:17" s="32" customFormat="1" x14ac:dyDescent="0.25">
      <c r="B41" s="32" t="s">
        <v>43</v>
      </c>
      <c r="C41" s="7" t="s">
        <v>76</v>
      </c>
      <c r="D41" s="32">
        <v>118902</v>
      </c>
      <c r="E41" s="65">
        <v>285.19648937371147</v>
      </c>
      <c r="F41" s="70">
        <v>1295291.7865786899</v>
      </c>
      <c r="G41" s="7">
        <f t="shared" si="4"/>
        <v>1135.4380530973026</v>
      </c>
      <c r="H41" s="65">
        <v>5.3956617185163198</v>
      </c>
      <c r="I41" s="70">
        <f t="shared" si="10"/>
        <v>4.1282729322394945E-3</v>
      </c>
      <c r="J41" s="70">
        <f t="shared" si="7"/>
        <v>242.23204628515748</v>
      </c>
      <c r="K41" s="69">
        <f t="shared" si="8"/>
        <v>44648.210771280224</v>
      </c>
      <c r="L41" s="11">
        <f t="shared" si="11"/>
        <v>0.62449571267699266</v>
      </c>
      <c r="M41" s="96">
        <v>47128</v>
      </c>
      <c r="N41" s="81">
        <f t="shared" si="5"/>
        <v>0.60363997241425715</v>
      </c>
      <c r="O41" s="69">
        <v>41423.214808367622</v>
      </c>
      <c r="P41" s="11">
        <v>0.65161885579411927</v>
      </c>
      <c r="Q41" s="65">
        <v>2.9554780122883999</v>
      </c>
    </row>
    <row r="42" spans="2:17" s="32" customFormat="1" x14ac:dyDescent="0.25">
      <c r="B42" s="32" t="s">
        <v>43</v>
      </c>
      <c r="C42" s="7" t="s">
        <v>77</v>
      </c>
      <c r="D42" s="32">
        <v>132448</v>
      </c>
      <c r="E42" s="65">
        <v>250.55714919889235</v>
      </c>
      <c r="F42" s="70">
        <v>1137968.4867043199</v>
      </c>
      <c r="G42" s="7">
        <f t="shared" si="4"/>
        <v>1135.4380530976191</v>
      </c>
      <c r="H42" s="65">
        <v>2.9809623922620601</v>
      </c>
      <c r="I42" s="70">
        <f t="shared" si="10"/>
        <v>1.7730349895912379E-3</v>
      </c>
      <c r="J42" s="70">
        <f t="shared" si="7"/>
        <v>564.00466198952097</v>
      </c>
      <c r="K42" s="69">
        <f t="shared" si="8"/>
        <v>103957.3392979085</v>
      </c>
      <c r="L42" s="11">
        <f t="shared" si="11"/>
        <v>0.21510827420641682</v>
      </c>
      <c r="M42" s="96">
        <v>77289</v>
      </c>
      <c r="N42" s="81">
        <f t="shared" si="5"/>
        <v>0.41645777965692199</v>
      </c>
      <c r="O42" s="69">
        <v>74669.925329160949</v>
      </c>
      <c r="P42" s="11">
        <v>0.43623214145052436</v>
      </c>
      <c r="Q42" s="65">
        <v>1.53576179584751</v>
      </c>
    </row>
    <row r="43" spans="2:17" s="32" customFormat="1" x14ac:dyDescent="0.25">
      <c r="B43" s="32" t="s">
        <v>43</v>
      </c>
      <c r="C43" s="7" t="s">
        <v>78</v>
      </c>
      <c r="D43" s="32">
        <v>170571</v>
      </c>
      <c r="E43" s="65">
        <v>229.66339165586015</v>
      </c>
      <c r="F43" s="70">
        <v>1043074.21715782</v>
      </c>
      <c r="G43" s="7">
        <f t="shared" si="4"/>
        <v>1135.4380530973108</v>
      </c>
      <c r="H43" s="65">
        <v>1.80759908160534</v>
      </c>
      <c r="I43" s="70">
        <f t="shared" si="10"/>
        <v>8.6948112808323723E-4</v>
      </c>
      <c r="J43" s="70">
        <f t="shared" si="7"/>
        <v>1150.1112188650839</v>
      </c>
      <c r="K43" s="69">
        <f t="shared" si="8"/>
        <v>211988.49986121224</v>
      </c>
      <c r="L43" s="11">
        <f t="shared" si="11"/>
        <v>-0.24281677343283584</v>
      </c>
      <c r="M43" s="96">
        <v>103170</v>
      </c>
      <c r="N43" s="81">
        <f t="shared" si="5"/>
        <v>0.3951492340433016</v>
      </c>
      <c r="O43" s="69">
        <v>122673.06110620973</v>
      </c>
      <c r="P43" s="11">
        <v>0.28080939253325754</v>
      </c>
      <c r="Q43" s="65">
        <v>0.88468985304686099</v>
      </c>
    </row>
    <row r="44" spans="2:17" s="32" customFormat="1" x14ac:dyDescent="0.25">
      <c r="B44" s="32" t="s">
        <v>43</v>
      </c>
      <c r="C44" s="7" t="s">
        <v>73</v>
      </c>
      <c r="D44" s="32">
        <v>178215</v>
      </c>
      <c r="E44" s="65">
        <v>286.240788149156</v>
      </c>
      <c r="F44" s="70">
        <v>1300034.73285273</v>
      </c>
      <c r="G44" s="7">
        <f t="shared" si="4"/>
        <v>1135.4380530975379</v>
      </c>
      <c r="H44" s="65">
        <v>5.4764684283626401</v>
      </c>
      <c r="I44" s="70">
        <f t="shared" si="10"/>
        <v>4.216616946329188E-3</v>
      </c>
      <c r="J44" s="70">
        <f t="shared" si="7"/>
        <v>237.15694660634483</v>
      </c>
      <c r="K44" s="69">
        <f t="shared" si="8"/>
        <v>43712.768398481479</v>
      </c>
      <c r="L44" s="11">
        <f t="shared" si="11"/>
        <v>0.75471891592468943</v>
      </c>
      <c r="M44" s="96">
        <v>46377</v>
      </c>
      <c r="N44" s="81">
        <f t="shared" si="5"/>
        <v>0.73976937968184497</v>
      </c>
      <c r="O44" s="69">
        <v>40825.371151175998</v>
      </c>
      <c r="P44" s="11">
        <v>0.77092067922915586</v>
      </c>
      <c r="Q44" s="65">
        <v>3.0036002396288799</v>
      </c>
    </row>
    <row r="45" spans="2:17" x14ac:dyDescent="0.25">
      <c r="B45" s="6" t="s">
        <v>43</v>
      </c>
      <c r="C45" s="4" t="s">
        <v>79</v>
      </c>
      <c r="D45" s="6">
        <v>225288</v>
      </c>
      <c r="E45" s="38">
        <v>240.93227916299958</v>
      </c>
      <c r="F45" s="27">
        <v>1094254.7119243799</v>
      </c>
      <c r="G45" s="4">
        <f t="shared" si="4"/>
        <v>1135.4380530971487</v>
      </c>
      <c r="H45" s="38">
        <v>2.4064419520909901</v>
      </c>
      <c r="I45" s="27">
        <f t="shared" si="10"/>
        <v>1.3069982844732323E-3</v>
      </c>
      <c r="J45" s="27">
        <f t="shared" si="7"/>
        <v>765.11194534814274</v>
      </c>
      <c r="K45" s="53">
        <f t="shared" si="8"/>
        <v>141025.43376656965</v>
      </c>
      <c r="L45" s="11">
        <f t="shared" si="11"/>
        <v>0.37402154679090921</v>
      </c>
      <c r="M45" s="96">
        <v>87624</v>
      </c>
      <c r="N45" s="81">
        <f t="shared" si="5"/>
        <v>0.61105784595717483</v>
      </c>
      <c r="O45" s="69">
        <v>92309.962534795166</v>
      </c>
      <c r="P45" s="11">
        <v>0.59025796964421018</v>
      </c>
      <c r="Q45" s="65">
        <v>1.2133852760749799</v>
      </c>
    </row>
    <row r="46" spans="2:17" x14ac:dyDescent="0.25">
      <c r="B46" s="6" t="s">
        <v>43</v>
      </c>
      <c r="C46" s="4" t="s">
        <v>80</v>
      </c>
      <c r="D46" s="6">
        <v>352635</v>
      </c>
      <c r="E46" s="38">
        <v>231.70605010196385</v>
      </c>
      <c r="F46" s="27">
        <v>1052351.4656748199</v>
      </c>
      <c r="G46" s="4">
        <f t="shared" si="4"/>
        <v>1135.4380530975834</v>
      </c>
      <c r="H46" s="38">
        <v>1.9097450609134501</v>
      </c>
      <c r="I46" s="27">
        <f t="shared" si="10"/>
        <v>9.4029746480576407E-4</v>
      </c>
      <c r="J46" s="27">
        <f t="shared" si="7"/>
        <v>1063.4932427543752</v>
      </c>
      <c r="K46" s="53">
        <f t="shared" si="8"/>
        <v>196023.07450448643</v>
      </c>
      <c r="L46" s="11">
        <f t="shared" si="11"/>
        <v>0.44411906219040531</v>
      </c>
      <c r="M46" s="96">
        <v>100490</v>
      </c>
      <c r="N46" s="81">
        <f t="shared" si="5"/>
        <v>0.71503112283239045</v>
      </c>
      <c r="O46" s="69">
        <v>116080.96987888956</v>
      </c>
      <c r="P46" s="11">
        <v>0.67081835359822606</v>
      </c>
      <c r="Q46" s="65">
        <v>0.94067935381473899</v>
      </c>
    </row>
    <row r="47" spans="2:17" x14ac:dyDescent="0.25">
      <c r="B47" s="6" t="s">
        <v>43</v>
      </c>
      <c r="C47" s="4" t="s">
        <v>81</v>
      </c>
      <c r="D47" s="6">
        <v>355720</v>
      </c>
      <c r="E47" s="38">
        <v>208.87004745662077</v>
      </c>
      <c r="F47" s="27">
        <v>948636.000138078</v>
      </c>
      <c r="G47" s="4">
        <f t="shared" si="4"/>
        <v>1135.4380530974597</v>
      </c>
      <c r="H47" s="38">
        <v>0.91946591815010803</v>
      </c>
      <c r="I47" s="27">
        <f t="shared" si="10"/>
        <v>3.3197400015832693E-4</v>
      </c>
      <c r="J47" s="27">
        <f t="shared" si="7"/>
        <v>3012.2840931008882</v>
      </c>
      <c r="K47" s="53">
        <f t="shared" si="8"/>
        <v>555224.20404035575</v>
      </c>
      <c r="L47" s="11">
        <f t="shared" si="11"/>
        <v>-0.56084618250409235</v>
      </c>
      <c r="M47" s="96">
        <v>139320</v>
      </c>
      <c r="N47" s="81">
        <f t="shared" si="5"/>
        <v>0.60834364106600702</v>
      </c>
      <c r="O47" s="69">
        <v>252124.77362236334</v>
      </c>
      <c r="P47" s="11">
        <v>0.29122688175429173</v>
      </c>
      <c r="Q47" s="65">
        <v>0.39737489326829201</v>
      </c>
    </row>
    <row r="49" spans="9:11" x14ac:dyDescent="0.25">
      <c r="I49" s="27"/>
      <c r="K49" s="27"/>
    </row>
  </sheetData>
  <phoneticPr fontId="0" type="noConversion"/>
  <conditionalFormatting sqref="P13:P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{82718E66-4576-449D-B2D6-FBCC9D2E44FC}</x14:id>
        </ext>
      </extLst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718E66-4576-449D-B2D6-FBCC9D2E4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P13:P47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Tension</vt:lpstr>
      <vt:lpstr>Torsion</vt:lpstr>
      <vt:lpstr>Chg_Moyenne</vt:lpstr>
      <vt:lpstr>Chg_VR</vt:lpstr>
    </vt:vector>
  </TitlesOfParts>
  <Company>Ecole Polytechnique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jabbado</dc:creator>
  <cp:lastModifiedBy>Zepeng Ma</cp:lastModifiedBy>
  <cp:lastPrinted>2004-02-03T18:21:40Z</cp:lastPrinted>
  <dcterms:created xsi:type="dcterms:W3CDTF">2003-11-20T10:00:39Z</dcterms:created>
  <dcterms:modified xsi:type="dcterms:W3CDTF">2017-06-20T23:29:07Z</dcterms:modified>
</cp:coreProperties>
</file>