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/>
  <mc:AlternateContent xmlns:mc="http://schemas.openxmlformats.org/markup-compatibility/2006">
    <mc:Choice Requires="x15">
      <x15ac:absPath xmlns:x15ac="http://schemas.microsoft.com/office/spreadsheetml/2010/11/ac" url="https://sagris-my.sharepoint.com/personal/info_acquabuild_com1/Documents/APPS 2022/ifr_procava_locked/"/>
    </mc:Choice>
  </mc:AlternateContent>
  <xr:revisionPtr revIDLastSave="199" documentId="11_EDE305FAD1ECEAC18E4FE8276AE2709209494192" xr6:coauthVersionLast="47" xr6:coauthVersionMax="47" xr10:uidLastSave="{98FE56C0-D6E8-4613-A18A-FCF776149701}"/>
  <bookViews>
    <workbookView xWindow="-120" yWindow="-120" windowWidth="29040" windowHeight="15840" firstSheet="6" activeTab="10" xr2:uid="{00000000-000D-0000-FFFF-FFFF00000000}"/>
  </bookViews>
  <sheets>
    <sheet name="IFAD GRANT 2022" sheetId="12" state="hidden" r:id="rId1"/>
    <sheet name="IFAD Loan 2022" sheetId="13" state="hidden" r:id="rId2"/>
    <sheet name="RPSF 1st_2021" sheetId="16" state="hidden" r:id="rId3"/>
    <sheet name="RPSF 1st_2022" sheetId="17" state="hidden" r:id="rId4"/>
    <sheet name="RPSF 2nd_2022" sheetId="18" state="hidden" r:id="rId5"/>
    <sheet name="Sheet 1" sheetId="19" state="hidden" r:id="rId6"/>
    <sheet name="Sheet2" sheetId="24" r:id="rId7"/>
    <sheet name="RPSF 2nd_2022 (2)" sheetId="22" r:id="rId8"/>
    <sheet name="Sheet1" sheetId="23" r:id="rId9"/>
    <sheet name="Sheet3" sheetId="25" r:id="rId10"/>
    <sheet name="sheet 2" sheetId="20" r:id="rId11"/>
    <sheet name="Folha1" sheetId="21" r:id="rId12"/>
    <sheet name="RPSF Grant_2022" sheetId="15" state="hidden" r:id="rId13"/>
    <sheet name="Grant December" sheetId="3" state="hidden" r:id="rId14"/>
    <sheet name="December loan" sheetId="4" state="hidden" r:id="rId15"/>
  </sheets>
  <externalReferences>
    <externalReference r:id="rId16"/>
    <externalReference r:id="rId17"/>
  </externalReferences>
  <definedNames>
    <definedName name="_xlnm._FilterDatabase" localSheetId="13" hidden="1">'[1]Grant Dezembro'!$A$1:$K$50</definedName>
    <definedName name="_xlnm._FilterDatabase" localSheetId="0" hidden="1">'IFAD GRANT 2022'!$A$1:$WVV$68</definedName>
    <definedName name="_xlnm._FilterDatabase" localSheetId="2" hidden="1">'RPSF 1st_2021'!$A$1:$WVU$27</definedName>
    <definedName name="_xlnm._FilterDatabase" localSheetId="3" hidden="1">'RPSF 1st_2022'!$A$1:$WVU$74</definedName>
    <definedName name="_xlnm._FilterDatabase" localSheetId="4" hidden="1">'RPSF 2nd_2022'!$A$1:$WVU$86</definedName>
    <definedName name="_xlnm._FilterDatabase" localSheetId="7" hidden="1">'RPSF 2nd_2022 (2)'!$A$1:$WVJ$74</definedName>
    <definedName name="_xlnm._FilterDatabase" localSheetId="12" hidden="1">'RPSF Grant_2022'!$A$1:$WVX$99</definedName>
    <definedName name="_xlnm._FilterDatabase" localSheetId="10" hidden="1">'sheet 2'!$A$1:$R$173</definedName>
  </definedNames>
  <calcPr calcId="191029"/>
  <pivotCaches>
    <pivotCache cacheId="1" r:id="rId18"/>
    <pivotCache cacheId="2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21" l="1"/>
  <c r="M41" i="21"/>
  <c r="L179" i="20"/>
  <c r="L180" i="20" s="1"/>
  <c r="M180" i="20" s="1"/>
  <c r="N174" i="20"/>
  <c r="N172" i="20"/>
  <c r="N173" i="20"/>
  <c r="N171" i="20"/>
  <c r="N167" i="20" l="1"/>
  <c r="N168" i="20"/>
  <c r="N169" i="20"/>
  <c r="N166" i="20"/>
  <c r="P166" i="20"/>
  <c r="L165" i="20"/>
  <c r="P165" i="20" s="1"/>
  <c r="N165" i="20" l="1"/>
  <c r="N164" i="20"/>
  <c r="L170" i="20"/>
  <c r="N170" i="20" s="1"/>
  <c r="H30" i="21" l="1"/>
  <c r="C34" i="21"/>
  <c r="D35" i="21"/>
  <c r="C35" i="21"/>
  <c r="Q104" i="20"/>
  <c r="Q105" i="20" s="1"/>
  <c r="L26" i="21"/>
  <c r="L25" i="21"/>
  <c r="D24" i="21"/>
  <c r="C17" i="21"/>
  <c r="C36" i="21" l="1"/>
  <c r="L27" i="21"/>
  <c r="D36" i="21"/>
  <c r="C19" i="21" l="1"/>
  <c r="C22" i="21" s="1"/>
  <c r="C30" i="21" s="1"/>
  <c r="D21" i="21"/>
  <c r="D20" i="21"/>
  <c r="D19" i="21"/>
  <c r="D6" i="21"/>
  <c r="D5" i="21"/>
  <c r="P24" i="20"/>
  <c r="P23" i="20"/>
  <c r="D22" i="21" l="1"/>
  <c r="D17" i="21"/>
  <c r="O164" i="20"/>
  <c r="P164" i="20" s="1"/>
  <c r="O124" i="20"/>
  <c r="N124" i="20"/>
  <c r="O66" i="20"/>
  <c r="J23" i="21" l="1"/>
  <c r="K23" i="21" s="1"/>
  <c r="D30" i="21"/>
  <c r="D31" i="21" s="1"/>
  <c r="D32" i="21" s="1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1" i="20"/>
  <c r="N140" i="20"/>
  <c r="N139" i="20"/>
  <c r="N138" i="20"/>
  <c r="N137" i="20"/>
  <c r="N136" i="20"/>
  <c r="N135" i="20"/>
  <c r="L70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N134" i="20"/>
  <c r="N133" i="20"/>
  <c r="N132" i="20"/>
  <c r="L79" i="18"/>
  <c r="L77" i="18"/>
  <c r="N131" i="20"/>
  <c r="N130" i="20"/>
  <c r="N129" i="20"/>
  <c r="N128" i="20"/>
  <c r="O153" i="20" s="1"/>
  <c r="N127" i="20"/>
  <c r="N126" i="20"/>
  <c r="N125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O108" i="20"/>
  <c r="N108" i="20"/>
  <c r="N107" i="20"/>
  <c r="N106" i="20"/>
  <c r="N105" i="20"/>
  <c r="N104" i="20"/>
  <c r="O103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O85" i="20"/>
  <c r="N85" i="20"/>
  <c r="N84" i="20"/>
  <c r="L83" i="20"/>
  <c r="N83" i="20" s="1"/>
  <c r="N82" i="20"/>
  <c r="N81" i="20"/>
  <c r="N80" i="20"/>
  <c r="P79" i="20"/>
  <c r="N79" i="20"/>
  <c r="L78" i="20"/>
  <c r="P78" i="20" s="1"/>
  <c r="Q78" i="20" s="1"/>
  <c r="R78" i="20" s="1"/>
  <c r="N77" i="20"/>
  <c r="N76" i="20"/>
  <c r="O75" i="20"/>
  <c r="N75" i="20"/>
  <c r="O74" i="20"/>
  <c r="P74" i="20" s="1"/>
  <c r="N74" i="20"/>
  <c r="N73" i="20"/>
  <c r="N72" i="20"/>
  <c r="L71" i="20"/>
  <c r="N71" i="20" s="1"/>
  <c r="O70" i="20"/>
  <c r="N70" i="20"/>
  <c r="L69" i="20"/>
  <c r="N69" i="20" s="1"/>
  <c r="L68" i="20"/>
  <c r="N67" i="20"/>
  <c r="N66" i="20"/>
  <c r="L65" i="20"/>
  <c r="N64" i="20"/>
  <c r="N63" i="20"/>
  <c r="N62" i="20"/>
  <c r="O61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O43" i="20"/>
  <c r="N43" i="20"/>
  <c r="N42" i="20"/>
  <c r="N41" i="20"/>
  <c r="N40" i="20"/>
  <c r="N39" i="20"/>
  <c r="O38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N2" i="20"/>
  <c r="N180" i="20" l="1"/>
  <c r="L176" i="20"/>
  <c r="N68" i="20"/>
  <c r="P124" i="20"/>
  <c r="N65" i="20"/>
  <c r="Q66" i="20" s="1"/>
  <c r="P66" i="20"/>
  <c r="N78" i="20"/>
  <c r="N176" i="20" l="1"/>
  <c r="N177" i="20" s="1"/>
  <c r="Q124" i="20"/>
  <c r="J8" i="19"/>
  <c r="J9" i="19" s="1"/>
  <c r="I5" i="19"/>
  <c r="H5" i="19"/>
  <c r="J4" i="19"/>
  <c r="J5" i="19" s="1"/>
  <c r="L78" i="18" l="1"/>
  <c r="L49" i="18"/>
  <c r="L48" i="18"/>
  <c r="L47" i="18"/>
  <c r="M46" i="18"/>
  <c r="L46" i="18"/>
  <c r="L45" i="18"/>
  <c r="L44" i="18"/>
  <c r="L43" i="18"/>
  <c r="L42" i="18"/>
  <c r="M41" i="18"/>
  <c r="L41" i="18"/>
  <c r="L40" i="18"/>
  <c r="L33" i="18"/>
  <c r="L32" i="18"/>
  <c r="L31" i="18"/>
  <c r="L30" i="18"/>
  <c r="L29" i="18"/>
  <c r="L28" i="18"/>
  <c r="L27" i="18"/>
  <c r="L26" i="18"/>
  <c r="L25" i="18"/>
  <c r="L24" i="18"/>
  <c r="M23" i="18"/>
  <c r="L23" i="18"/>
  <c r="L22" i="18"/>
  <c r="J21" i="18"/>
  <c r="L21" i="18" s="1"/>
  <c r="L20" i="18"/>
  <c r="L19" i="18"/>
  <c r="L18" i="18"/>
  <c r="N17" i="18"/>
  <c r="L17" i="18"/>
  <c r="J16" i="18"/>
  <c r="N16" i="18" s="1"/>
  <c r="O16" i="18" s="1"/>
  <c r="P16" i="18" s="1"/>
  <c r="L15" i="18"/>
  <c r="L14" i="18"/>
  <c r="M13" i="18"/>
  <c r="L13" i="18"/>
  <c r="M12" i="18"/>
  <c r="N12" i="18" s="1"/>
  <c r="L12" i="18"/>
  <c r="L11" i="18"/>
  <c r="L10" i="18"/>
  <c r="J9" i="18"/>
  <c r="L9" i="18" s="1"/>
  <c r="L35" i="17"/>
  <c r="L34" i="17"/>
  <c r="L16" i="18" l="1"/>
  <c r="L72" i="17" l="1"/>
  <c r="L71" i="17"/>
  <c r="L69" i="17"/>
  <c r="L50" i="17"/>
  <c r="L49" i="17"/>
  <c r="L48" i="17"/>
  <c r="L47" i="17"/>
  <c r="L46" i="17"/>
  <c r="L45" i="17"/>
  <c r="L44" i="17"/>
  <c r="L43" i="17"/>
  <c r="L42" i="17"/>
  <c r="L41" i="17"/>
  <c r="L80" i="18" l="1"/>
  <c r="L76" i="18"/>
  <c r="L84" i="18"/>
  <c r="L83" i="18"/>
  <c r="L82" i="18"/>
  <c r="L81" i="18"/>
  <c r="L75" i="18"/>
  <c r="L74" i="18"/>
  <c r="L73" i="18"/>
  <c r="L65" i="18"/>
  <c r="L66" i="18"/>
  <c r="L67" i="18"/>
  <c r="L68" i="18"/>
  <c r="L69" i="18"/>
  <c r="L70" i="18"/>
  <c r="L71" i="18"/>
  <c r="L72" i="18"/>
  <c r="M8" i="18"/>
  <c r="L4" i="18"/>
  <c r="M3" i="18"/>
  <c r="M19" i="17" l="1"/>
  <c r="L18" i="17"/>
  <c r="M14" i="17"/>
  <c r="L64" i="18" l="1"/>
  <c r="L63" i="18"/>
  <c r="L62" i="18"/>
  <c r="L61" i="18"/>
  <c r="L60" i="18"/>
  <c r="L59" i="18"/>
  <c r="L58" i="18"/>
  <c r="L39" i="18"/>
  <c r="L38" i="18"/>
  <c r="L37" i="18"/>
  <c r="L36" i="18"/>
  <c r="L35" i="18"/>
  <c r="L34" i="18"/>
  <c r="L8" i="18"/>
  <c r="J7" i="18"/>
  <c r="L7" i="18" s="1"/>
  <c r="J6" i="18"/>
  <c r="L5" i="18"/>
  <c r="L3" i="18"/>
  <c r="L2" i="18"/>
  <c r="L39" i="17"/>
  <c r="J38" i="17"/>
  <c r="L37" i="17"/>
  <c r="L36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41" i="15"/>
  <c r="L38" i="17" l="1"/>
  <c r="L74" i="17" s="1"/>
  <c r="J74" i="17"/>
  <c r="L6" i="18"/>
  <c r="L86" i="18" s="1"/>
  <c r="J86" i="18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9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J47" i="15"/>
  <c r="L46" i="15"/>
  <c r="L49" i="15"/>
  <c r="L97" i="15" l="1"/>
  <c r="L45" i="15"/>
  <c r="L47" i="15"/>
  <c r="L48" i="15"/>
  <c r="L50" i="15"/>
  <c r="L96" i="15"/>
  <c r="J43" i="15" l="1"/>
  <c r="L43" i="15" s="1"/>
  <c r="J44" i="15"/>
  <c r="L44" i="15" s="1"/>
  <c r="L39" i="15"/>
  <c r="L40" i="15"/>
  <c r="L42" i="15"/>
  <c r="J38" i="15"/>
  <c r="J99" i="15" s="1"/>
  <c r="L38" i="15" l="1"/>
  <c r="L37" i="15"/>
  <c r="L36" i="15"/>
  <c r="L35" i="15"/>
  <c r="L34" i="15"/>
  <c r="L33" i="15"/>
  <c r="L32" i="15"/>
  <c r="L31" i="15"/>
  <c r="L30" i="15"/>
  <c r="L29" i="15"/>
  <c r="L28" i="15"/>
  <c r="J27" i="16" l="1"/>
  <c r="L17" i="16" l="1"/>
  <c r="L16" i="16"/>
  <c r="L15" i="16"/>
  <c r="L14" i="16"/>
  <c r="L18" i="16"/>
  <c r="L26" i="16" l="1"/>
  <c r="L25" i="16"/>
  <c r="L24" i="16"/>
  <c r="L23" i="16"/>
  <c r="L22" i="16"/>
  <c r="L21" i="16"/>
  <c r="L20" i="16"/>
  <c r="L19" i="16"/>
  <c r="L13" i="16"/>
  <c r="L12" i="16"/>
  <c r="L11" i="16"/>
  <c r="L10" i="16"/>
  <c r="L9" i="16"/>
  <c r="L8" i="16"/>
  <c r="L7" i="16"/>
  <c r="L6" i="16"/>
  <c r="L5" i="16"/>
  <c r="L4" i="16"/>
  <c r="L3" i="16"/>
  <c r="L2" i="16"/>
  <c r="L27" i="15"/>
  <c r="L26" i="15"/>
  <c r="L25" i="15"/>
  <c r="L18" i="15"/>
  <c r="L19" i="15"/>
  <c r="L20" i="15"/>
  <c r="L21" i="15"/>
  <c r="L22" i="15"/>
  <c r="L23" i="15"/>
  <c r="L24" i="15"/>
  <c r="L27" i="16" l="1"/>
  <c r="L17" i="15"/>
  <c r="L98" i="15"/>
  <c r="L16" i="15"/>
  <c r="L13" i="15" l="1"/>
  <c r="L12" i="15"/>
  <c r="L11" i="15"/>
  <c r="L10" i="15"/>
  <c r="L9" i="15"/>
  <c r="L8" i="15"/>
  <c r="L7" i="15"/>
  <c r="L6" i="15"/>
  <c r="L5" i="15"/>
  <c r="L4" i="15"/>
  <c r="L3" i="15"/>
  <c r="L2" i="15"/>
  <c r="L15" i="15" l="1"/>
  <c r="L14" i="15"/>
  <c r="L99" i="15" s="1"/>
  <c r="L20" i="12" l="1"/>
  <c r="L66" i="12"/>
  <c r="L67" i="12"/>
  <c r="J13" i="12"/>
  <c r="J16" i="12"/>
  <c r="J28" i="12"/>
  <c r="J65" i="12" l="1"/>
  <c r="J61" i="12"/>
  <c r="J60" i="12"/>
  <c r="L34" i="12"/>
  <c r="J32" i="12"/>
  <c r="L35" i="12"/>
  <c r="J2" i="13"/>
  <c r="L2" i="13" s="1"/>
  <c r="J3" i="13"/>
  <c r="L3" i="13" l="1"/>
  <c r="J9" i="12"/>
  <c r="J68" i="12" s="1"/>
  <c r="L65" i="12"/>
  <c r="L64" i="12"/>
  <c r="L63" i="12"/>
  <c r="L62" i="12"/>
  <c r="L61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60" i="12" l="1"/>
  <c r="L68" i="12" s="1"/>
  <c r="K7" i="3" l="1"/>
  <c r="I12" i="4" l="1"/>
  <c r="I14" i="4" s="1"/>
  <c r="I11" i="4"/>
  <c r="K34" i="3" l="1"/>
  <c r="K35" i="3"/>
  <c r="K36" i="3"/>
  <c r="K37" i="3"/>
  <c r="K38" i="3"/>
  <c r="K5" i="3"/>
  <c r="I8" i="3"/>
  <c r="K6" i="3"/>
  <c r="K3" i="4"/>
  <c r="K4" i="4"/>
  <c r="K5" i="4"/>
  <c r="K6" i="4"/>
  <c r="K8" i="3" l="1"/>
  <c r="I45" i="3"/>
  <c r="I30" i="3"/>
  <c r="K30" i="3" s="1"/>
  <c r="K29" i="3"/>
  <c r="I24" i="3"/>
  <c r="I21" i="3"/>
  <c r="I20" i="3"/>
  <c r="I19" i="3"/>
  <c r="I12" i="3"/>
  <c r="I10" i="3" l="1"/>
  <c r="K10" i="3" s="1"/>
  <c r="K4" i="3"/>
  <c r="K3" i="3"/>
  <c r="K9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31" i="3"/>
  <c r="K32" i="3"/>
  <c r="K33" i="3"/>
  <c r="K2" i="3"/>
  <c r="K40" i="3" l="1"/>
  <c r="I46" i="3"/>
  <c r="K46" i="3" s="1"/>
  <c r="K48" i="3"/>
  <c r="K47" i="3"/>
  <c r="K49" i="3"/>
  <c r="K39" i="3"/>
  <c r="I50" i="3" l="1"/>
  <c r="K11" i="4"/>
  <c r="K10" i="4"/>
  <c r="K9" i="4"/>
  <c r="K8" i="4"/>
  <c r="K7" i="4"/>
  <c r="K2" i="4"/>
  <c r="K50" i="3"/>
  <c r="K45" i="3"/>
  <c r="K44" i="3"/>
  <c r="K43" i="3"/>
  <c r="K42" i="3"/>
  <c r="K41" i="3"/>
  <c r="I51" i="3" l="1"/>
  <c r="I5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Macaco</author>
  </authors>
  <commentList>
    <comment ref="M4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Lucas Chiau:</t>
        </r>
        <r>
          <rPr>
            <sz val="9"/>
            <color indexed="81"/>
            <rFont val="Tahoma"/>
            <family val="2"/>
          </rPr>
          <t xml:space="preserve">
1.467.33 estornado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FDA-PROCAVA</author>
  </authors>
  <commentList>
    <comment ref="F6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FDA-PROCAVA:</t>
        </r>
        <r>
          <rPr>
            <sz val="9"/>
            <color indexed="81"/>
            <rFont val="Tahoma"/>
            <family val="2"/>
          </rPr>
          <t xml:space="preserve">
Actividade por confirmar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FDA-PROCAVA</author>
  </authors>
  <commentList>
    <comment ref="F15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FDA-PROCAVA:</t>
        </r>
        <r>
          <rPr>
            <sz val="9"/>
            <color indexed="81"/>
            <rFont val="Tahoma"/>
            <family val="2"/>
          </rPr>
          <t xml:space="preserve">
Actividade por confirmar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FDA-PROCAVA</author>
  </authors>
  <commentList>
    <comment ref="D2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FDA-PROCAVA:</t>
        </r>
        <r>
          <rPr>
            <sz val="9"/>
            <color indexed="81"/>
            <rFont val="Tahoma"/>
            <family val="2"/>
          </rPr>
          <t xml:space="preserve">
Até Junho 2022
</t>
        </r>
      </text>
    </comment>
    <comment ref="D2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FDA-PROCAVA:</t>
        </r>
        <r>
          <rPr>
            <sz val="9"/>
            <color indexed="81"/>
            <rFont val="Tahoma"/>
            <family val="2"/>
          </rPr>
          <t xml:space="preserve">
Agosto</t>
        </r>
      </text>
    </comment>
  </commentList>
</comments>
</file>

<file path=xl/sharedStrings.xml><?xml version="1.0" encoding="utf-8"?>
<sst xmlns="http://schemas.openxmlformats.org/spreadsheetml/2006/main" count="5927" uniqueCount="1388">
  <si>
    <t>Date Order Number</t>
  </si>
  <si>
    <t>Voucher Number</t>
  </si>
  <si>
    <t>supplier</t>
  </si>
  <si>
    <t>Category</t>
  </si>
  <si>
    <t>Description</t>
  </si>
  <si>
    <t>Payment Order Number</t>
  </si>
  <si>
    <t>Debit in MZM</t>
  </si>
  <si>
    <t>Exchange Rate</t>
  </si>
  <si>
    <t>Debit in USD</t>
  </si>
  <si>
    <t>V</t>
  </si>
  <si>
    <t>bank transfer</t>
  </si>
  <si>
    <t>II</t>
  </si>
  <si>
    <t>OP 143</t>
  </si>
  <si>
    <t>III</t>
  </si>
  <si>
    <t>Walking Guide</t>
  </si>
  <si>
    <t>AT</t>
  </si>
  <si>
    <t>EDM</t>
  </si>
  <si>
    <t>SAW</t>
  </si>
  <si>
    <t>PMU Staff</t>
  </si>
  <si>
    <t>I</t>
  </si>
  <si>
    <t>OP 344</t>
  </si>
  <si>
    <t>OP 345</t>
  </si>
  <si>
    <t>OP 349</t>
  </si>
  <si>
    <t>FIPAG</t>
  </si>
  <si>
    <t>OP 359</t>
  </si>
  <si>
    <t>OP 360</t>
  </si>
  <si>
    <t>OP 375</t>
  </si>
  <si>
    <t>OP 382</t>
  </si>
  <si>
    <t>Several</t>
  </si>
  <si>
    <t>Ruth transport</t>
  </si>
  <si>
    <t>DV's</t>
  </si>
  <si>
    <t>35J001341/AD/002/2021</t>
  </si>
  <si>
    <t>counterparty</t>
  </si>
  <si>
    <t>Cotur</t>
  </si>
  <si>
    <t>Tsemba Investment</t>
  </si>
  <si>
    <t>Walking Guides</t>
  </si>
  <si>
    <t>Voucher Number</t>
  </si>
  <si>
    <t>Payment Order Number</t>
  </si>
  <si>
    <t>Rafelson Massinga</t>
  </si>
  <si>
    <t>polyinsurance</t>
  </si>
  <si>
    <t>TOTAL Mozambique</t>
  </si>
  <si>
    <t>counterpart staff</t>
  </si>
  <si>
    <t>SUGEC</t>
  </si>
  <si>
    <t>daker</t>
  </si>
  <si>
    <t>Golden Motorsport</t>
  </si>
  <si>
    <t>Invoice</t>
  </si>
  <si>
    <t>USGP</t>
  </si>
  <si>
    <t>Component</t>
  </si>
  <si>
    <t>Invoice Number / Contract Number</t>
  </si>
  <si>
    <t>two</t>
  </si>
  <si>
    <t>3</t>
  </si>
  <si>
    <t>URSGP operating fuel payment</t>
  </si>
  <si>
    <t>Gives you</t>
  </si>
  <si>
    <t>Req.010/Ob/Loan/2021</t>
  </si>
  <si>
    <t>Hydro Water</t>
  </si>
  <si>
    <t>Payment of the retention value of the guarantee of good execution of 4 holes in Guija, Mabalane and Moamba</t>
  </si>
  <si>
    <t>OP 2573</t>
  </si>
  <si>
    <t>Req.114/AD/UNGP/Grant/2021</t>
  </si>
  <si>
    <t>Suzana Jamal</t>
  </si>
  <si>
    <t>Travel to Gaza in order to accompany the field visits with the supervision mission</t>
  </si>
  <si>
    <t>OP 2511</t>
  </si>
  <si>
    <t>Req.110/AD/UNGP/Grant/2021</t>
  </si>
  <si>
    <t>Purity, Edward and Wane</t>
  </si>
  <si>
    <t>Travel to Chokwe and Guija, monitor bean seed multiplication fields</t>
  </si>
  <si>
    <t>OP's 2512-2514</t>
  </si>
  <si>
    <t>Req.113/AD/UNGP/Grant/2021</t>
  </si>
  <si>
    <t>FDA and PROCAVA</t>
  </si>
  <si>
    <t>Travel to Gaza and Inhambane in order to accompany the field visits with the supervision mission</t>
  </si>
  <si>
    <t>OP's 2502-2510</t>
  </si>
  <si>
    <t>Canol Constructions</t>
  </si>
  <si>
    <t>Contract Nr.35A004941/CC/004/2021-Works</t>
  </si>
  <si>
    <t>Contract Nr.35J001341/CP/033/2018-Works</t>
  </si>
  <si>
    <t>Good execution guarantee construction of 2 cassava processing units Zavala</t>
  </si>
  <si>
    <t>OP 2575</t>
  </si>
  <si>
    <t>Contract Nr.35J001341/ICB/040/2018-Works</t>
  </si>
  <si>
    <t>1 certificate of work for 10 industrial holes, Regadio de 7 de Abril</t>
  </si>
  <si>
    <t>OP 2576</t>
  </si>
  <si>
    <t>Req.011/Ob/Grant/2021</t>
  </si>
  <si>
    <t>Req.09/Ob/Grant/2021</t>
  </si>
  <si>
    <t>Req.05/Ob/Grant/2021</t>
  </si>
  <si>
    <t>OP 2574</t>
  </si>
  <si>
    <t>Req.029/Mr/UNGP/2021</t>
  </si>
  <si>
    <t>UNGP</t>
  </si>
  <si>
    <t>Several</t>
  </si>
  <si>
    <t>OP's 2521-2539</t>
  </si>
  <si>
    <t>Partial payment of salaries for the month of December 2021-UNGP</t>
  </si>
  <si>
    <t>Partial payment of salaries for the month of December 2021-URSGP</t>
  </si>
  <si>
    <t>OP's 2540-2545</t>
  </si>
  <si>
    <t>Req.031/Mr/UNGP/2021</t>
  </si>
  <si>
    <t>UPGP</t>
  </si>
  <si>
    <t>Req.030/Sr/UNGP/2021</t>
  </si>
  <si>
    <t>Partial payment of salaries for the month of December 2021-UPGP</t>
  </si>
  <si>
    <t>OP's 2546-2553</t>
  </si>
  <si>
    <t>Req.032/Mr/Grant/2021</t>
  </si>
  <si>
    <t>Counterparty Subsidy of the December 2021 Program counterparty</t>
  </si>
  <si>
    <t>OP's 2554-2572</t>
  </si>
  <si>
    <t>Req.S/N/AD/UNGP/Grant/2021</t>
  </si>
  <si>
    <t>OP's 2489-2501</t>
  </si>
  <si>
    <t>Req.060/Serv/UNGP/Grant/2021</t>
  </si>
  <si>
    <t>Kiosk at Sandra</t>
  </si>
  <si>
    <t>Meal expenses within the scope of the validation of PEDSA II-Niassa</t>
  </si>
  <si>
    <t>OP 2516</t>
  </si>
  <si>
    <t>Req.061/Serv/UNGP/Grant/2021</t>
  </si>
  <si>
    <t>Momex Multiservice</t>
  </si>
  <si>
    <t>Contract Nr.04/FDA/PROCAVA/UPGP/2021</t>
  </si>
  <si>
    <t>Cleaning and gardening services at UPGP offices-August to October 2021</t>
  </si>
  <si>
    <t>Req.062/Serv/UNGP/Grant/2021</t>
  </si>
  <si>
    <t>Auto Lichinga</t>
  </si>
  <si>
    <t>Contract No. 35A004941CC/0012/2021</t>
  </si>
  <si>
    <t>AFV 466 MP vehicle maintenance services</t>
  </si>
  <si>
    <t>Req.063/Serv/UNGP/Grant/2021</t>
  </si>
  <si>
    <t>Car rental within the scope of the visit to the sites for the construction of infrastructures -Niassa</t>
  </si>
  <si>
    <t>Req.58/Serv/UNGP/Grant/2021</t>
  </si>
  <si>
    <t>News Societies</t>
  </si>
  <si>
    <t>Posting job advertisements</t>
  </si>
  <si>
    <t>Req.49/Serv/UNGP/Grant/2021</t>
  </si>
  <si>
    <t>Security Service</t>
  </si>
  <si>
    <t>Security services for the months of August-October, 2021 UPGP</t>
  </si>
  <si>
    <t>translators</t>
  </si>
  <si>
    <t>Translation of Value Chain DRP Reports</t>
  </si>
  <si>
    <t>OP 2297</t>
  </si>
  <si>
    <t>OP 2299</t>
  </si>
  <si>
    <t>OP's 2301,2302,2303,2305</t>
  </si>
  <si>
    <t>Req.50/Serv/UNGP/Grant/2021</t>
  </si>
  <si>
    <t>OP 2304</t>
  </si>
  <si>
    <t>Req.95/ADC/UNGP/Grant/2021</t>
  </si>
  <si>
    <t>Various Technicians</t>
  </si>
  <si>
    <t>21A024</t>
  </si>
  <si>
    <t>Travel to Gaza, visit to the Gandlaze Irrigation</t>
  </si>
  <si>
    <t>OP's 2361-2365</t>
  </si>
  <si>
    <t>Req.08/Ob/UNGP/Grant/2021</t>
  </si>
  <si>
    <t>Dukuza Machines</t>
  </si>
  <si>
    <t>2nd Chokwe hole construction auto</t>
  </si>
  <si>
    <t>OP 2366</t>
  </si>
  <si>
    <t>Req.96/AD/UNGP/Grant/2021</t>
  </si>
  <si>
    <t>C11A005</t>
  </si>
  <si>
    <t>Travel to Inhambane and Gaza Provinces, preparation of the campaign</t>
  </si>
  <si>
    <t>OP's 2367.2368</t>
  </si>
  <si>
    <t>Req.64/Serv/UNGP/Grant/2021</t>
  </si>
  <si>
    <t>Payment of insurance for FAR-PROCAVA vehicles</t>
  </si>
  <si>
    <t>OP 2372</t>
  </si>
  <si>
    <t>Req.59/Serv/UNGP/Grant/2021</t>
  </si>
  <si>
    <t>Air ticket to Tinga to visit Niassa works</t>
  </si>
  <si>
    <t>OP 2373</t>
  </si>
  <si>
    <t>Req.65/Serv/UNGP/Grant/2021</t>
  </si>
  <si>
    <t>OP 2374</t>
  </si>
  <si>
    <t>Req.99/AD/UNGP/Grant/2021</t>
  </si>
  <si>
    <t>Calima, Vitane and Aide</t>
  </si>
  <si>
    <t>Travel to Cuamba as part of the launch of the agrarian campaign</t>
  </si>
  <si>
    <t>OP's 2375-2377</t>
  </si>
  <si>
    <t>Req.98/AD/UNGP/Grant/2021</t>
  </si>
  <si>
    <t>Purity and Sambo</t>
  </si>
  <si>
    <t>OP's 2378 and 2379</t>
  </si>
  <si>
    <t>Req.97/AD/UNGP/Grant/2021</t>
  </si>
  <si>
    <t>C22A007</t>
  </si>
  <si>
    <t>OP's 2380-2388</t>
  </si>
  <si>
    <t>Req.100/AD/UNGP/Grant/2021</t>
  </si>
  <si>
    <t>Meeting with the SDAEs of the Province of Niassa</t>
  </si>
  <si>
    <t>OP's 2389-2400</t>
  </si>
  <si>
    <t>Req.102/AD/UNGP/Grant/2021</t>
  </si>
  <si>
    <t>Preparation of 87 PGAs in Inhambane Province</t>
  </si>
  <si>
    <t>Training on Preparation of 87 PGAs</t>
  </si>
  <si>
    <t>OP's 2401-2412</t>
  </si>
  <si>
    <t>Req.104/AD/UNGP/Grant/2021</t>
  </si>
  <si>
    <t>Travel to Xai-Xai, in order to harmonize the PROCAVA PIM</t>
  </si>
  <si>
    <t>OP's 2414-2420 and 2464</t>
  </si>
  <si>
    <t>Req.103/AD/UNGP/Grant/2021</t>
  </si>
  <si>
    <t>Training of supervisors and branch technicians in Niassa</t>
  </si>
  <si>
    <t>OP's 2422-2463</t>
  </si>
  <si>
    <t>Req.106/AD/UNGP/Grant/2021</t>
  </si>
  <si>
    <t>IADER inspectors</t>
  </si>
  <si>
    <t>Displacement of IADER Auditors to Xai-Xai</t>
  </si>
  <si>
    <t>OP's 2465-2470</t>
  </si>
  <si>
    <t>Req.105/AD/UNGP/Grant/2021</t>
  </si>
  <si>
    <t>PROCAVA and IIAM technicians</t>
  </si>
  <si>
    <t>Travel to Chokwe, Manjague forage bank establishment</t>
  </si>
  <si>
    <t>OP's 2471-2474</t>
  </si>
  <si>
    <t>Req.107/AD/UNGP/Grant/2021</t>
  </si>
  <si>
    <t>Jorge Tembe</t>
  </si>
  <si>
    <t>OP 2475</t>
  </si>
  <si>
    <t>Req.108/AD/UNGP/Grant/2021</t>
  </si>
  <si>
    <t>Justino Massinga</t>
  </si>
  <si>
    <t>Travel to Xai-Xai, in order to accompany the IADER Auditors</t>
  </si>
  <si>
    <t>OP 2476</t>
  </si>
  <si>
    <t>Req.109/AD/UNGP/Grant/2021</t>
  </si>
  <si>
    <t>Travel to Cuamba within the scope of the technical meeting of the Provincial Coordination of SPAE</t>
  </si>
  <si>
    <t>OP's 2477-2479</t>
  </si>
  <si>
    <t>Req.066/Serv/UNGP/Grant/2021</t>
  </si>
  <si>
    <t>Vilvest Hospitality</t>
  </si>
  <si>
    <t>Payment of services during planning meeting with Gaza administrators</t>
  </si>
  <si>
    <t>OP 2515</t>
  </si>
  <si>
    <t>Req.115/AD/UNGP/Grant/2021</t>
  </si>
  <si>
    <t>FDA technicians</t>
  </si>
  <si>
    <t>Travel to Gaza Province, exchange of experience with that Delegation</t>
  </si>
  <si>
    <t>OP's 2517-2520</t>
  </si>
  <si>
    <t>Req.025/Mr/UNGP/2021</t>
  </si>
  <si>
    <t>Salary payment for the month of November 2021-UNGP</t>
  </si>
  <si>
    <t>OP's 2306-2326 and 2335</t>
  </si>
  <si>
    <t>Req.026/Mr/UNGP/2021</t>
  </si>
  <si>
    <t>Salary payment for the month of November 2021-URSGP</t>
  </si>
  <si>
    <t>OP's 2336-2341</t>
  </si>
  <si>
    <t>Req.027/Mr/UNGP/2021</t>
  </si>
  <si>
    <t>Salary payment for the month of November 2021-UPGP</t>
  </si>
  <si>
    <t>OP's 2327-2334</t>
  </si>
  <si>
    <t>Req.028/Mr/UNGP/2021</t>
  </si>
  <si>
    <t>OP's 2342-2360</t>
  </si>
  <si>
    <t>Req.17/Comb/UNGP/Loan/2021</t>
  </si>
  <si>
    <t>ZAP</t>
  </si>
  <si>
    <t>OP 2487</t>
  </si>
  <si>
    <t>Req.31A/Serv/UNGP/Grant/2021</t>
  </si>
  <si>
    <t>Acquisition of air tickets within the scope of verification of sites for infrastructure in Niassa</t>
  </si>
  <si>
    <t>Req.002/CG/UNGP/Grant/2021</t>
  </si>
  <si>
    <t>tmcel</t>
  </si>
  <si>
    <t>Movitel</t>
  </si>
  <si>
    <t>Vodacom</t>
  </si>
  <si>
    <t>Supply of recharges for the months of September-December 2021</t>
  </si>
  <si>
    <t>OP 2369</t>
  </si>
  <si>
    <t>OP 2370</t>
  </si>
  <si>
    <t>OP 2371</t>
  </si>
  <si>
    <t>Req.04/Goods/UNGP/Grant/2021</t>
  </si>
  <si>
    <t>Tirecom, Lda</t>
  </si>
  <si>
    <t>Buying tires for AGU832MP, AGU838MP, AFU149MP, AFU054MP and AFU148MP</t>
  </si>
  <si>
    <t>OP 2291</t>
  </si>
  <si>
    <t>Req.06/Goods/UNGP/Grant/2021</t>
  </si>
  <si>
    <t>Acquisition of battery for car AGU832MP</t>
  </si>
  <si>
    <t>OP 2292</t>
  </si>
  <si>
    <t>OP 2298</t>
  </si>
  <si>
    <t>Req.52/Serv/UNGP/Grant/2021</t>
  </si>
  <si>
    <t>Req.55/Serv/UNGP/Grant/2021</t>
  </si>
  <si>
    <t>Tinga Birds</t>
  </si>
  <si>
    <t>Meal Expenses Group 2 Gaza Technical Induction</t>
  </si>
  <si>
    <t>OP 2483</t>
  </si>
  <si>
    <t>Req.56/Serv/UNGP/Grant/2021</t>
  </si>
  <si>
    <t>Meal Expenses Group 3 Gaza Technical Induction</t>
  </si>
  <si>
    <t>OP 2484</t>
  </si>
  <si>
    <t>Req.54/Serv/UNGP/Grant/2021</t>
  </si>
  <si>
    <t>Meal Expenses Group 1 Gaza Technical Induction</t>
  </si>
  <si>
    <t>OP 2485</t>
  </si>
  <si>
    <t>Req.57/Serv/UNGP/Grant/2021</t>
  </si>
  <si>
    <t>Rental services of 3 rooms for technical induction from Gaza</t>
  </si>
  <si>
    <t>OP 2486</t>
  </si>
  <si>
    <t>Req.12/Ob/UNGP/Grant/2021</t>
  </si>
  <si>
    <t>4 work certificate for 10 industrial holes, Regadio de 7 de Abril</t>
  </si>
  <si>
    <t>OP 2488</t>
  </si>
  <si>
    <t>CARTRACK</t>
  </si>
  <si>
    <t>Req./Serv/UNGP/Grant/2021</t>
  </si>
  <si>
    <t>Program vehicle security services</t>
  </si>
  <si>
    <t>OP 2300</t>
  </si>
  <si>
    <t>Chapter Account</t>
  </si>
  <si>
    <t>Req.001/Mr/UNGP/Grant/2022</t>
  </si>
  <si>
    <t>C32A011D</t>
  </si>
  <si>
    <t>Payroll 12A/PROCAVA-UNGP/2021</t>
  </si>
  <si>
    <t>Payment of partial salary of December 2021-PMU Staff</t>
  </si>
  <si>
    <t>OP 53,54,56-62,64,132,334</t>
  </si>
  <si>
    <t>Req.002/Mr/UNGP/Grant/2022</t>
  </si>
  <si>
    <t>C32A011C</t>
  </si>
  <si>
    <t>Payroll 12A/PROCAVA-URSGP/2022</t>
  </si>
  <si>
    <t>Payment of partial salary of December 2021-URSGP Staff</t>
  </si>
  <si>
    <t>OP 71-73</t>
  </si>
  <si>
    <t>Req.003/Mr/UNGP/Grant/2024</t>
  </si>
  <si>
    <t>C32A011E</t>
  </si>
  <si>
    <t>Payroll 12A/PROCAVA-UPGP/2022</t>
  </si>
  <si>
    <t>Payment of partial salary of December 2021-UPGP Staff</t>
  </si>
  <si>
    <t>OP 65-70</t>
  </si>
  <si>
    <t>Req.004/Mr/UNGP/Grant/2022</t>
  </si>
  <si>
    <t>Payroll 01/PROCAVA-UNGP/2022</t>
  </si>
  <si>
    <t>OP 1-20, 131,335</t>
  </si>
  <si>
    <t>Req.005/Mr/UNGP/Grant/2022</t>
  </si>
  <si>
    <t>Payroll 01/PROCAVA-URSGP/2022</t>
  </si>
  <si>
    <t>Payment of salary January 2022-URSGP Staff</t>
  </si>
  <si>
    <t>Payment of salary January 2022-PMU Staff</t>
  </si>
  <si>
    <t>OP 29-33</t>
  </si>
  <si>
    <t>Req.006/Mr/UNGP/Grant/2022</t>
  </si>
  <si>
    <t>Payroll 01/PROCAVA-UPGP/2022</t>
  </si>
  <si>
    <t>Payment of salary January 2022-UPGP Staff</t>
  </si>
  <si>
    <t>OP 21-28</t>
  </si>
  <si>
    <t>Req.007/Mr/UNGP/Grant/2022</t>
  </si>
  <si>
    <t>C22A019</t>
  </si>
  <si>
    <t>Payroll 01/PROCAVA-CTP/2022</t>
  </si>
  <si>
    <t>Payment of counterpart top up January 2022</t>
  </si>
  <si>
    <t>OP 34-52</t>
  </si>
  <si>
    <t>Req.01/ADC/UNGP/Grant/2022</t>
  </si>
  <si>
    <t>Various Technicians</t>
  </si>
  <si>
    <t>C11A018</t>
  </si>
  <si>
    <t>Travel to Nhacoongo to participate in field visit (sesame)</t>
  </si>
  <si>
    <t>OP 74-90</t>
  </si>
  <si>
    <t>Req.02/ADC/UNGP/Grant/2021</t>
  </si>
  <si>
    <t>C32A017</t>
  </si>
  <si>
    <t>Travel to Maputo, Gaza and Inhambane visiting the irrigation schemes and boreholes</t>
  </si>
  <si>
    <t>OP 91-96</t>
  </si>
  <si>
    <t>Req.03/ADC/UNGP/Grant/2021</t>
  </si>
  <si>
    <t>OP 97</t>
  </si>
  <si>
    <t>Req.04/ADC/UNGP/Grant/2021</t>
  </si>
  <si>
    <t>C22A015</t>
  </si>
  <si>
    <t>Travel to Niassa,Inhambane,Gaza and Maputo finalize 87 PBPGAS</t>
  </si>
  <si>
    <t>OP 98-111</t>
  </si>
  <si>
    <t>Req.01/Comb/UNGP/Grant/2022</t>
  </si>
  <si>
    <t>Various Gasoline</t>
  </si>
  <si>
    <t>Fact 4349,20491,2857,10389,675,6019,675,1051,344,128,766,1928</t>
  </si>
  <si>
    <t>Fuel to Niassa, Inhambane, Gaza and Maputo finalize 87 PBPGAS</t>
  </si>
  <si>
    <t>Req.05/ADC/UNGP/Grant/2021</t>
  </si>
  <si>
    <t>Travel to Gaza finish 87 PBPGAS</t>
  </si>
  <si>
    <t>OP 124</t>
  </si>
  <si>
    <t>OP 112-123</t>
  </si>
  <si>
    <t>Req.02/Comb/UNGP/Grant</t>
  </si>
  <si>
    <t>ZAP, Zambézia Agro Pecuária</t>
  </si>
  <si>
    <t>C32A32</t>
  </si>
  <si>
    <t>Invoice Nr.006012</t>
  </si>
  <si>
    <t>Payment of fuel for USGP</t>
  </si>
  <si>
    <t>OP 125</t>
  </si>
  <si>
    <t>Req.07/Goods/UNGP/Grant/2022</t>
  </si>
  <si>
    <t>C32A035</t>
  </si>
  <si>
    <t>Invoice No. 000151</t>
  </si>
  <si>
    <t>Acquisition of Furniture</t>
  </si>
  <si>
    <t>OP 126-130</t>
  </si>
  <si>
    <t>Req.06/ADC/UNGP/Grant/2022</t>
  </si>
  <si>
    <t>C11A009</t>
  </si>
  <si>
    <t>Travel to Gaza and Inhambane to supervise the bean and cassava fields</t>
  </si>
  <si>
    <t>OP 133,135-139</t>
  </si>
  <si>
    <t>Req.01/Serv/UNGP/Grant/2022</t>
  </si>
  <si>
    <t>COTUR</t>
  </si>
  <si>
    <t>Invoice Nr.202200609</t>
  </si>
  <si>
    <t>OP 140</t>
  </si>
  <si>
    <t>Tickets flights travel Nampula to Nhacoongo to participate field visit (sesame)</t>
  </si>
  <si>
    <t>Req.03/Serv/UNGP/Grant/2022</t>
  </si>
  <si>
    <t>Invoice Nr.202200898</t>
  </si>
  <si>
    <t>OP 141</t>
  </si>
  <si>
    <t>Req.02/Serv/UNGP/Grant/2022</t>
  </si>
  <si>
    <t>C31A005</t>
  </si>
  <si>
    <t>Invoice Nr.202201008</t>
  </si>
  <si>
    <t>Tickets flights Nampula,Niassa to Maputo for elaboration VC training manuals</t>
  </si>
  <si>
    <t>OP 142</t>
  </si>
  <si>
    <t>Req.07/ADC/UNGP/Grant</t>
  </si>
  <si>
    <t>Calima, Vitane and Damba</t>
  </si>
  <si>
    <t>C32A036</t>
  </si>
  <si>
    <t>Payment DSAA-distribution of sweet potato in Chimbonila, Muembe and Ngauma</t>
  </si>
  <si>
    <t>OP 263-265</t>
  </si>
  <si>
    <t>Req.03/Comb/UNGP/Grant/2022</t>
  </si>
  <si>
    <t>C32A032</t>
  </si>
  <si>
    <t>Invoice Nr.0132/KD/22</t>
  </si>
  <si>
    <t>Payment of fuel for the PMU</t>
  </si>
  <si>
    <t>Req.01/Ob/UNGP/Grant/2022</t>
  </si>
  <si>
    <t>Castanheira &amp; Soares Mozambique</t>
  </si>
  <si>
    <t>C32A018B</t>
  </si>
  <si>
    <t>Payment of 1st and 2nd construction services of Niassa office</t>
  </si>
  <si>
    <t>OP 144</t>
  </si>
  <si>
    <t>Invoices Nr.58/2021 and 81/2021</t>
  </si>
  <si>
    <t>Req.008/Mr/UNGP/Grant/2022</t>
  </si>
  <si>
    <t>Payroll 02/PROCAVA-UNGP/2022</t>
  </si>
  <si>
    <t>Payment of salary February 2022-PMU Staff</t>
  </si>
  <si>
    <t>OP 145-151,153-165,194,336</t>
  </si>
  <si>
    <t>Req.011/Mr/UNGP/Grant/2022</t>
  </si>
  <si>
    <t>Payroll 02/PROCAVA-CTP/2022</t>
  </si>
  <si>
    <t>Payment of counterpart top up February 2022</t>
  </si>
  <si>
    <t>OP 166-184</t>
  </si>
  <si>
    <t>Req.010/Mr/UNGP/Grant/2022</t>
  </si>
  <si>
    <t>Payroll 02/PROCAVA-UPGP/2022</t>
  </si>
  <si>
    <t>Payment of salary February 2022-UPGP Staff</t>
  </si>
  <si>
    <t>OP 185-192</t>
  </si>
  <si>
    <t>Req.009/Mr/UNGP/Grant/2022</t>
  </si>
  <si>
    <t>Payroll 02/PROCAVA-URSGP/2022</t>
  </si>
  <si>
    <t>Payment of salary February 2022-URSGP Staff</t>
  </si>
  <si>
    <t>OP 195-199</t>
  </si>
  <si>
    <t>Req.SN/MEM/UNGP/Grant/2021</t>
  </si>
  <si>
    <t>Clark Investments</t>
  </si>
  <si>
    <t>Acquisition of Niassa office supply</t>
  </si>
  <si>
    <t>OP 200-203</t>
  </si>
  <si>
    <t>OP 200.202</t>
  </si>
  <si>
    <t>Req.010/Serv/UNGP/Grant</t>
  </si>
  <si>
    <t>Tmcel, Movitel and Vodacom</t>
  </si>
  <si>
    <t>C32A023B</t>
  </si>
  <si>
    <t>InvoicesNr.3433,224022,2954681</t>
  </si>
  <si>
    <t>Acquisition of airtime for the program management units</t>
  </si>
  <si>
    <t>OP 205, 211, 212</t>
  </si>
  <si>
    <t>Req.04/Serv/UNGP/Grant</t>
  </si>
  <si>
    <t>News Society</t>
  </si>
  <si>
    <t>Invoice Nr.2064</t>
  </si>
  <si>
    <t>Payment of Announcement Services</t>
  </si>
  <si>
    <t>OP 207</t>
  </si>
  <si>
    <t>Req.08/ADC/UNGP/Grant/2022</t>
  </si>
  <si>
    <t>Calima, Nilza and Aide</t>
  </si>
  <si>
    <t>C11A017</t>
  </si>
  <si>
    <t>Payment DSA-pick up the seeds in Nampula</t>
  </si>
  <si>
    <t>OP 208-210</t>
  </si>
  <si>
    <t>Req.09/ADC/UNGP/Grant/2022</t>
  </si>
  <si>
    <t>Payment DSA- for elaboration VC training manuals</t>
  </si>
  <si>
    <t>OP 213-260,269</t>
  </si>
  <si>
    <t>Req.01/Asset/UNGP</t>
  </si>
  <si>
    <t>Agro-Field</t>
  </si>
  <si>
    <t>Invoices Nr.130 and 131</t>
  </si>
  <si>
    <t>Acquisition of 17 cassava processing kits</t>
  </si>
  <si>
    <t>OP 261</t>
  </si>
  <si>
    <t>Req.04/Serv/UNGP/Grant/2022</t>
  </si>
  <si>
    <t>Security Services</t>
  </si>
  <si>
    <t>C32A028</t>
  </si>
  <si>
    <t>Invoice Nr.864/2021</t>
  </si>
  <si>
    <t>Niassa office security-November and December 2021</t>
  </si>
  <si>
    <t>OP 266</t>
  </si>
  <si>
    <t>Req.09/Serv/UNGP/Grant/2022</t>
  </si>
  <si>
    <t>C32A024</t>
  </si>
  <si>
    <t>Invoice Nr.0200</t>
  </si>
  <si>
    <t>Niassa office cleaning and gardening services-November and December 2021</t>
  </si>
  <si>
    <t>OP 267</t>
  </si>
  <si>
    <t>Req.06/Serv/UNGP/Grant/2022</t>
  </si>
  <si>
    <t>Angel Services</t>
  </si>
  <si>
    <t>Invoice Nr.00021</t>
  </si>
  <si>
    <t>Logistic aspects during the capacitation of extensionist in Niassa</t>
  </si>
  <si>
    <t>OP 268</t>
  </si>
  <si>
    <t>Req.12/ADC/UNGP/Grant/2022</t>
  </si>
  <si>
    <t>C12A005</t>
  </si>
  <si>
    <t>Payment DSAA-training on infrastructure management commit in Maputo and Gaza</t>
  </si>
  <si>
    <t>OP 270-279</t>
  </si>
  <si>
    <t>Req.012/Mr/UNGP/Grant/2022</t>
  </si>
  <si>
    <t>Payroll 03/PROCAVA-UNGP/2022</t>
  </si>
  <si>
    <t>Payment of salary March 2022-PMU Staff</t>
  </si>
  <si>
    <t>OP 280-297,299-301,340</t>
  </si>
  <si>
    <t>Req.013/Mr/UNGP/Grant/2022</t>
  </si>
  <si>
    <t>Payroll 03/PROCAVA-URSGP/2022</t>
  </si>
  <si>
    <t>Payment of salary March 2022-URSGP Staff</t>
  </si>
  <si>
    <t>OP 302-306</t>
  </si>
  <si>
    <t>Req.014/Mr/UNGP/Grant/2022</t>
  </si>
  <si>
    <t>Payroll 03/PROCAVA-UPGP/2022</t>
  </si>
  <si>
    <t>Payment of salary March 2022-UPGP Staff</t>
  </si>
  <si>
    <t>OP 307-314</t>
  </si>
  <si>
    <t>Req.015/Mr/UNGP/Grant/2023</t>
  </si>
  <si>
    <t>Payroll 03/PROCAVA-CTP/2022</t>
  </si>
  <si>
    <t>Payment of counterpart top up March 2022</t>
  </si>
  <si>
    <t>OP 315-333</t>
  </si>
  <si>
    <t>Req.016/Mr/UNGP/Grant/2023</t>
  </si>
  <si>
    <t>Payment of counterpart top up (added) October 2021 to March 2022</t>
  </si>
  <si>
    <t>OP 337-339</t>
  </si>
  <si>
    <t>Req.04/Comb/UNGP/Grant/2022</t>
  </si>
  <si>
    <t>Tropical Group</t>
  </si>
  <si>
    <t>Invoice Nr.032314</t>
  </si>
  <si>
    <t>Fuel to Gaza and Inhambane to supervise the bean and cassava fields</t>
  </si>
  <si>
    <t>OP 262</t>
  </si>
  <si>
    <t>C32A038</t>
  </si>
  <si>
    <t>Invoice Nr.3241</t>
  </si>
  <si>
    <t>Announcement of vacancy-National FM</t>
  </si>
  <si>
    <t>OP 343,346</t>
  </si>
  <si>
    <t>C22A018</t>
  </si>
  <si>
    <t>Monjane Purity</t>
  </si>
  <si>
    <t>Payment DSAA-monitoring the beneficiaries of cassava processing kits</t>
  </si>
  <si>
    <t>Req.10/ADC/UNGP/Grant/2022</t>
  </si>
  <si>
    <t>Req.11/ADC/UNGP/Grant/2022</t>
  </si>
  <si>
    <t>Andércio Vitane</t>
  </si>
  <si>
    <t>C22A005</t>
  </si>
  <si>
    <t>C21A005</t>
  </si>
  <si>
    <t>Travel to Niassa finalize 87 PBPGAS</t>
  </si>
  <si>
    <t>Req.08/Serv/UNGP/Grant/2022</t>
  </si>
  <si>
    <t>C32A015</t>
  </si>
  <si>
    <t>Invoices Nr.804,9702,5091,85508,10527</t>
  </si>
  <si>
    <t>Niassa office water-February and March 2022</t>
  </si>
  <si>
    <t>OP 348</t>
  </si>
  <si>
    <t>Req.016/Asset/UNGP/Grant/2022</t>
  </si>
  <si>
    <t>electrooffice</t>
  </si>
  <si>
    <t>C32A016</t>
  </si>
  <si>
    <t>Invoice Nr.016530</t>
  </si>
  <si>
    <t>Req.02/Ob/UNGP/Grant/2022</t>
  </si>
  <si>
    <t>C21A001</t>
  </si>
  <si>
    <t>Invoice Nr.48</t>
  </si>
  <si>
    <t>Payment guarantee of good retention-Transmission line Madendere</t>
  </si>
  <si>
    <t>OP 350</t>
  </si>
  <si>
    <t>Req.07/Comb/UNGP/Grant/2022</t>
  </si>
  <si>
    <t>Invoice Nr.0279/KD/22</t>
  </si>
  <si>
    <t>OP 351</t>
  </si>
  <si>
    <t>Req.13/ADC/UNGP/Grant/2022</t>
  </si>
  <si>
    <t>Nilza and Rosario</t>
  </si>
  <si>
    <t>Payment DSA-distribution of seeds in Sanga, Muembe and Chimbunila</t>
  </si>
  <si>
    <t>OP 352.353</t>
  </si>
  <si>
    <t>Req.05/Serv/UNGP/Grant/2022</t>
  </si>
  <si>
    <t>C32A15</t>
  </si>
  <si>
    <t>Payment of electricity in USGP</t>
  </si>
  <si>
    <t>OP 354</t>
  </si>
  <si>
    <t>Req.05/Comb/UNGP/Grant/2022</t>
  </si>
  <si>
    <t>gas companies</t>
  </si>
  <si>
    <t>Invoices Nr.616,348,6122,1949</t>
  </si>
  <si>
    <t>Fuel-training on infrastructure management commit in Maputo and Gaza</t>
  </si>
  <si>
    <t>OP 355-358</t>
  </si>
  <si>
    <t>Auto Samba</t>
  </si>
  <si>
    <t>C32A030</t>
  </si>
  <si>
    <t>Various Invoices</t>
  </si>
  <si>
    <t>Revision and reparation of Gaza Delegation vehicles</t>
  </si>
  <si>
    <t>Req.011/Serv/UNGP/Grant</t>
  </si>
  <si>
    <t>Invoice Nr.162/2022</t>
  </si>
  <si>
    <t>Niassa office security-January 2022</t>
  </si>
  <si>
    <t>Limpopo Garage</t>
  </si>
  <si>
    <t>Invoice Nr.010503</t>
  </si>
  <si>
    <t>Fuel to Gaza to finalize 87 PBPGAS</t>
  </si>
  <si>
    <t>OP 361</t>
  </si>
  <si>
    <t>Req.14ADC/UNGP/Grant</t>
  </si>
  <si>
    <t>OP 362-374</t>
  </si>
  <si>
    <t>Req.07/Serv/UNGP/Grant/2022</t>
  </si>
  <si>
    <t>Transport Ruth</t>
  </si>
  <si>
    <t>Invoice Nr.130</t>
  </si>
  <si>
    <t>Rent a truck to pick up the seeds form Nampula to Niassa</t>
  </si>
  <si>
    <t>Req.013/Serv/UNGP/Grant/2022</t>
  </si>
  <si>
    <t>Invoices Nr.5739,5930 and 10336</t>
  </si>
  <si>
    <t>Publication of vacancy anoucement</t>
  </si>
  <si>
    <t>OP 376-378</t>
  </si>
  <si>
    <t>Revision and repair of program vehicles</t>
  </si>
  <si>
    <t>OP 379,399</t>
  </si>
  <si>
    <t>Req.015/ADC/Grant/UNGP/2022</t>
  </si>
  <si>
    <t>Bambo e Zandamela</t>
  </si>
  <si>
    <t>C11A006</t>
  </si>
  <si>
    <t>Payment DSAA-Training production organization on animal traction in Inhambane</t>
  </si>
  <si>
    <t>OP 380,381</t>
  </si>
  <si>
    <t>Req.03/Ob/UNGP/Grant/2022</t>
  </si>
  <si>
    <t>Facturas Nr.25/2022</t>
  </si>
  <si>
    <t>Payment of 3rd construction services of Niassa office</t>
  </si>
  <si>
    <t>Req.016/ADC/Grant/UNGP/2022</t>
  </si>
  <si>
    <t>Payment DSAA-supervision of PROCAVA activities in Maputo, Gaza and Inhambane</t>
  </si>
  <si>
    <t>OP 383-397</t>
  </si>
  <si>
    <t>Req.016/RPSF/2022</t>
  </si>
  <si>
    <t>Dane e Nelton</t>
  </si>
  <si>
    <t>OP 398,340</t>
  </si>
  <si>
    <t>Req.014/Serv/UNGP/Grant/2022</t>
  </si>
  <si>
    <t>Centro Social Cruz Vermelha</t>
  </si>
  <si>
    <t>C32A042</t>
  </si>
  <si>
    <t>Factura Nr. 1538</t>
  </si>
  <si>
    <t>Payment of logistic aspect during the validation of PEDSA and PNISA in C.Delegado</t>
  </si>
  <si>
    <t>OP 401</t>
  </si>
  <si>
    <t>Factura Nr.0231</t>
  </si>
  <si>
    <t>Niassa office cleaning and gardening services-January 2022</t>
  </si>
  <si>
    <t>OP 402</t>
  </si>
  <si>
    <t>Tickets flights Maputo to Niassa finalize 87 PBPGAS part1/2</t>
  </si>
  <si>
    <t>Tickets flights Maputo to Niassa finalize 87 PBPGAS part2/2</t>
  </si>
  <si>
    <t>C32A023</t>
  </si>
  <si>
    <t>C32A029</t>
  </si>
  <si>
    <t>GRAND TOTAL</t>
  </si>
  <si>
    <t>Req.01/RPSF/2022</t>
  </si>
  <si>
    <t>Ernesto Tamele</t>
  </si>
  <si>
    <t>C41A005</t>
  </si>
  <si>
    <t>VD</t>
  </si>
  <si>
    <t>Acquisition of certified seeds for Jangamo, Homoine, Zavala, Morrumbene, Massinga and Chongoene Districts</t>
  </si>
  <si>
    <t>Req.02/RPSF/2022</t>
  </si>
  <si>
    <t>Isaac Lucas Chemane</t>
  </si>
  <si>
    <t>Req.04/RPSF/2022</t>
  </si>
  <si>
    <t>Jose Fernando João</t>
  </si>
  <si>
    <t>Acquisition of certified seeds for Massinga, Jangamo and Morrumbene Districts</t>
  </si>
  <si>
    <t>Req.05/RPSF/2022</t>
  </si>
  <si>
    <t>Pedro Fabião Nhabongo</t>
  </si>
  <si>
    <t>Req.06/RPSF/2022</t>
  </si>
  <si>
    <t>Tomás António Chiponde</t>
  </si>
  <si>
    <t>Acquisition of certified seeds for Mandlakazi, Jangamo, Inharrime and Chongoene Districts</t>
  </si>
  <si>
    <t>Req.07/RPSF/2022</t>
  </si>
  <si>
    <t>Boaventura Félix Moiane</t>
  </si>
  <si>
    <t>Acquisition of certified seeds for PACEs</t>
  </si>
  <si>
    <t>Req.08/RPSF/2022</t>
  </si>
  <si>
    <t>Jaime Maria Cuamba</t>
  </si>
  <si>
    <t>Req.09/RPSF/2022</t>
  </si>
  <si>
    <t>Leonardo Salomão Masango</t>
  </si>
  <si>
    <t>Acquisition of certified seeds for Zavala District</t>
  </si>
  <si>
    <t>Acquisition of certified seeds for Mandlakazi District</t>
  </si>
  <si>
    <t>Siabra Jacinto Cumbane</t>
  </si>
  <si>
    <t>Clara de Assis Jose</t>
  </si>
  <si>
    <t>Acquisition of certified seeds for Inharrime District</t>
  </si>
  <si>
    <t>Rafael Massena</t>
  </si>
  <si>
    <t>Salvador Francisco Banze</t>
  </si>
  <si>
    <t>Marracuene Sunrise Lodge</t>
  </si>
  <si>
    <t>C44A001</t>
  </si>
  <si>
    <t>C41A003</t>
  </si>
  <si>
    <t>Payment of DSAA-Inharrime, beneficiaries training of animal drawn carts</t>
  </si>
  <si>
    <t>Payment of logistic services during the elaboration of value chains PROCAVA manuals part1/2</t>
  </si>
  <si>
    <t>Provincial Environmental Services of Niassa</t>
  </si>
  <si>
    <t>C41A004</t>
  </si>
  <si>
    <t>Invoice Nr.01 and 02</t>
  </si>
  <si>
    <t>Provincial Geography and Registration Services</t>
  </si>
  <si>
    <t>Environmental licensing process instruction fees</t>
  </si>
  <si>
    <t>N/Ref/535/SPA-I/DA</t>
  </si>
  <si>
    <t>Environmental licensing fees for 26 Inhambane projects</t>
  </si>
  <si>
    <t>Tiago Tiago</t>
  </si>
  <si>
    <t>C44A003</t>
  </si>
  <si>
    <t>Facilitation of the Agribusiness module at the Niassa Unit</t>
  </si>
  <si>
    <t>Auto Warehouse</t>
  </si>
  <si>
    <t>C44A009</t>
  </si>
  <si>
    <t>Invoice Nr.96100001</t>
  </si>
  <si>
    <t>Payment of 20% in advance of the contract for the supply of light vehicles</t>
  </si>
  <si>
    <t>Various Suppliers</t>
  </si>
  <si>
    <t>Acquisition of demarcation marks for regularization of DUATs-Gaza and Niassa</t>
  </si>
  <si>
    <t>Chichongue Retail Trade</t>
  </si>
  <si>
    <t>Acquisition of demarcation marks for regularization of DUAT's-Gaza</t>
  </si>
  <si>
    <t>Pershop, Ltd</t>
  </si>
  <si>
    <t>C44A008</t>
  </si>
  <si>
    <t>Invoice Nr.2321</t>
  </si>
  <si>
    <t>Partial payment for the purchase of motorcycles</t>
  </si>
  <si>
    <t>C41A008</t>
  </si>
  <si>
    <t>Invoices Nr.18 and 10612</t>
  </si>
  <si>
    <t>Acquisition of fuel within the scope of training rural women in nutrition-Gaza</t>
  </si>
  <si>
    <t>ADC within the scope of training rural women in nutrition - Gaza</t>
  </si>
  <si>
    <t>Maputo Provincial Environmental Services</t>
  </si>
  <si>
    <t>Instruction and licensing fees for the environmental licensing process</t>
  </si>
  <si>
    <t>Mutuali Agronomic Post</t>
  </si>
  <si>
    <t>C41A02</t>
  </si>
  <si>
    <t>Acquisition of basic sesame seed for emerging producers</t>
  </si>
  <si>
    <t>Lichinga Agricultural Station</t>
  </si>
  <si>
    <t>Acquisition of basic common bean seed for emerging producers</t>
  </si>
  <si>
    <t>Req.01/RPSF/2021</t>
  </si>
  <si>
    <t>Req.02/RPSF/2021</t>
  </si>
  <si>
    <t>Req.03/RPSF/2021</t>
  </si>
  <si>
    <t>Acquisition of pre-basic and basic sesame and cowpea seed for emerging producers</t>
  </si>
  <si>
    <t>Req.04/RPSF/2021</t>
  </si>
  <si>
    <t>Nampula Agronomic Post</t>
  </si>
  <si>
    <t>Acquisition of basic cassava seed for emerging producers</t>
  </si>
  <si>
    <t>Req.05/RPSF/2021</t>
  </si>
  <si>
    <t>Nhacoongo Agronomic Post</t>
  </si>
  <si>
    <t>Chókwè Agricultural Station</t>
  </si>
  <si>
    <t>Req.06/RPSF/2021</t>
  </si>
  <si>
    <t>Umbeluzi Agricultural Station</t>
  </si>
  <si>
    <t>Req.07/RPSF/2021</t>
  </si>
  <si>
    <t>A&amp;A Agro-Services, Lda</t>
  </si>
  <si>
    <t>Invoices Nr.176 and 177</t>
  </si>
  <si>
    <t>Acquisition of equipment and supplies for the EAL laboratory</t>
  </si>
  <si>
    <t>Req.08/RPSF/2021</t>
  </si>
  <si>
    <t>C41A05</t>
  </si>
  <si>
    <t>Advance of funds for the production of seed from roots, tubers and cowpeas</t>
  </si>
  <si>
    <t>Req.010/RPSF/2021</t>
  </si>
  <si>
    <t>C41A06</t>
  </si>
  <si>
    <t>Registration and evaluation of the potential multipliers of common bean seed cuttings</t>
  </si>
  <si>
    <t>Req.011/RPSF/2021</t>
  </si>
  <si>
    <t>Industrial Property Institute</t>
  </si>
  <si>
    <t>C44A18</t>
  </si>
  <si>
    <t>Quote 25</t>
  </si>
  <si>
    <t>Payment for PROCAVA trademark and logo registration services</t>
  </si>
  <si>
    <t>Req.012/RPSF/2021</t>
  </si>
  <si>
    <t>D. Mate and J. Bila</t>
  </si>
  <si>
    <t>Deployment to Gaza to monitor COVID-19 activities</t>
  </si>
  <si>
    <t>Req.013/RPSF/2021</t>
  </si>
  <si>
    <t>LAM</t>
  </si>
  <si>
    <t>DV 35269</t>
  </si>
  <si>
    <t>Purchase of airline tickets within the scope of the Niassa induction trip</t>
  </si>
  <si>
    <t>Req.016/RPSF/2021</t>
  </si>
  <si>
    <t>Ernesto Wane</t>
  </si>
  <si>
    <t>Distribution of cassava seed cuttings in Homoine, Jangamo and Zavala</t>
  </si>
  <si>
    <t>Req.017/RPSF/2021</t>
  </si>
  <si>
    <t>Cassava seed cutting distribution in Chongoene and Mandlakazi</t>
  </si>
  <si>
    <t>Req.018/RPSF/2021</t>
  </si>
  <si>
    <t>Distribution of cassava seed cuttings in Massinga and Morrumbene</t>
  </si>
  <si>
    <t>Req.019/RPSF/2021</t>
  </si>
  <si>
    <t>Req.021/RPSF/2021</t>
  </si>
  <si>
    <t>J. Sambo and P. Monjane</t>
  </si>
  <si>
    <t>CDR monitoring in Jangamo, Inharrime and Zavala</t>
  </si>
  <si>
    <t>Req.022/RPSF/2021</t>
  </si>
  <si>
    <t>P. Monjane, J. Sambo and Claúdio Nhabinde</t>
  </si>
  <si>
    <t>Inspection of cassava and Chibuto and Mandlakazi bean multiplication fields</t>
  </si>
  <si>
    <t>Req.023/RPSF/2021</t>
  </si>
  <si>
    <t>News Society</t>
  </si>
  <si>
    <t>Invoice Nr.10333</t>
  </si>
  <si>
    <t>publication of an announcement for the acquisition and allocation of agricultural inputs</t>
  </si>
  <si>
    <t>Req.024/RPSF/2021</t>
  </si>
  <si>
    <t>J. Filipe, R. Jamisse and R. Massinga</t>
  </si>
  <si>
    <t>Inspection of common bean seed multiplication fields</t>
  </si>
  <si>
    <t>Req.60/INV/2021</t>
  </si>
  <si>
    <t>C41A09</t>
  </si>
  <si>
    <t>Training of common bean seed multipliers - Chókwè</t>
  </si>
  <si>
    <t>Req.62/INV/2021</t>
  </si>
  <si>
    <t>VD Nr.11652</t>
  </si>
  <si>
    <t>Accommodation within the scope of training for common bean seed multipliers - Chókwè</t>
  </si>
  <si>
    <t>Req.63/INV/2021</t>
  </si>
  <si>
    <t>Hotel and Events Sorriso de Caridade</t>
  </si>
  <si>
    <t>I</t>
  </si>
  <si>
    <t>Invoice Nr.315</t>
  </si>
  <si>
    <t>Meals as part of the training of common bean seed multipliers - Chókwè</t>
  </si>
  <si>
    <t>Req.025/RPSF/2021</t>
  </si>
  <si>
    <t>C41A22</t>
  </si>
  <si>
    <t>Invoice Nr.208</t>
  </si>
  <si>
    <t>Acquisition of laboratory equipment for EAL</t>
  </si>
  <si>
    <t>Req.31/RPSF/2022</t>
  </si>
  <si>
    <t>C44A003A</t>
  </si>
  <si>
    <t>Training of PACs in Lichinga</t>
  </si>
  <si>
    <t>Req.32/RPSF/2022</t>
  </si>
  <si>
    <t>Training of PACs in Cuamba</t>
  </si>
  <si>
    <t>Invoice Nr.4043</t>
  </si>
  <si>
    <t>Publication for the supply and installation of a pump and porch in the irrigation scheme of Moamba Block I</t>
  </si>
  <si>
    <t>Publication for the acquisition of tents for accommodation of small producers</t>
  </si>
  <si>
    <t>Req.30/RPSF/2022</t>
  </si>
  <si>
    <t>PLUS</t>
  </si>
  <si>
    <t>Invoice Nr.2651</t>
  </si>
  <si>
    <t>Acquisition of fuel as part of the training of PACs in Cuamba</t>
  </si>
  <si>
    <t>Invoice Nr.3793</t>
  </si>
  <si>
    <t>Publication of announcement for the acquisition and allocation of inputs for the Provinces of Maputo, Inhambane and Niassa</t>
  </si>
  <si>
    <t>C41A009</t>
  </si>
  <si>
    <t>Publication for the acquisition and allocation of hygiene material for the prevention of COVID-19 and agro-processing material</t>
  </si>
  <si>
    <t>Training of branch technicians and district extension supervisors on nutrition</t>
  </si>
  <si>
    <t>Verification of technical specifications of draft animals in the District of Inharrime</t>
  </si>
  <si>
    <t>Req./RPSF/2022</t>
  </si>
  <si>
    <t>AGRIFOCUS, Lda</t>
  </si>
  <si>
    <t>Purchase of fertilizers for the Provinces of Gaza and Niassa</t>
  </si>
  <si>
    <t>C44A003B</t>
  </si>
  <si>
    <t>Invoices Nr.4 and 6</t>
  </si>
  <si>
    <t>Payment of logistical expenses within the scope of training seed multipliers in Lichinga and Cuamba</t>
  </si>
  <si>
    <t>Invoice Nr.8</t>
  </si>
  <si>
    <t>Payment of logistical expenses for the training of PACs in Cuamba</t>
  </si>
  <si>
    <t>Invoice Nr.148</t>
  </si>
  <si>
    <t>Invoice Nr.4698</t>
  </si>
  <si>
    <t>Publication of advertisements within the scope of contracting logistical expenses for training PCCs Zona Sul</t>
  </si>
  <si>
    <t>Invoice Nr.2212902</t>
  </si>
  <si>
    <t>Invoice Nr.202213658</t>
  </si>
  <si>
    <t>Purchase of tickets within the scope of training branch technicians and supervisors in the field of nutrition and agro-processing in Cuamba</t>
  </si>
  <si>
    <t>Purchase of tickets within the scope of training PACs and PCCs in Lichinga and Cuamba</t>
  </si>
  <si>
    <t>Training of rural women in matters of nutrition and cooking demonstration_Niassa</t>
  </si>
  <si>
    <t>Req.52/RPSF/2022</t>
  </si>
  <si>
    <t>Req.54/RPSF/2022</t>
  </si>
  <si>
    <t>Training of rural women in matters of nutrition and cooking demonstration_Inhambane</t>
  </si>
  <si>
    <t>Req.50/RPSF/2022</t>
  </si>
  <si>
    <t>Invoice Nr.1467</t>
  </si>
  <si>
    <t>Acquisition of fuel as part of the training of CCPs in Cuamba</t>
  </si>
  <si>
    <t>Req.55/RPSF/2022</t>
  </si>
  <si>
    <t>Invoice Nr.32669</t>
  </si>
  <si>
    <t>Acquisition of fuel in the training of rural women in matters of nutrition and cooking demonstration_Inhambane</t>
  </si>
  <si>
    <t>Invoices Nr.5 and 7</t>
  </si>
  <si>
    <t>Invoice Nr.17474</t>
  </si>
  <si>
    <t>Acquisition of training material within the scope of training PACs in Lichinga and Cuamba</t>
  </si>
  <si>
    <t>Acquisition of training material within the scope of training rural women in the field of nutrition in Cuamba</t>
  </si>
  <si>
    <t>Invoice Nr.17472 and 17719</t>
  </si>
  <si>
    <t>Acquisition of training material within the scope of training CCPs in Cuamba</t>
  </si>
  <si>
    <t>Car rental within the scope of PAC training in Lichinga and Cuamba part1/2</t>
  </si>
  <si>
    <t>Car rental within the scope of PAC training in Lichinga and Cuamba part 2/2</t>
  </si>
  <si>
    <t>Req.38/RPSF/2022</t>
  </si>
  <si>
    <t>Req.46/RPSF/2022</t>
  </si>
  <si>
    <t>Req.45/RPSF/2022</t>
  </si>
  <si>
    <t>Req.44/RPSF/2022</t>
  </si>
  <si>
    <t>Req.48//RPSF/2022</t>
  </si>
  <si>
    <t>Req.49/RPSF/2022</t>
  </si>
  <si>
    <t>Req.39/RPSF/2022</t>
  </si>
  <si>
    <t>Req.36/RPSF/2022</t>
  </si>
  <si>
    <t>Req.35/RPSF/2022</t>
  </si>
  <si>
    <t>Req.34/RPSF/2022</t>
  </si>
  <si>
    <t>Req.33/RPSF/2022</t>
  </si>
  <si>
    <t>Req.29/RPSF/2022</t>
  </si>
  <si>
    <t>Req.28/RPSF/2022</t>
  </si>
  <si>
    <t>Req.27/RPSF/2022</t>
  </si>
  <si>
    <t>Req.16/Comb/UNGP</t>
  </si>
  <si>
    <t>Req.10/RPSF/2022</t>
  </si>
  <si>
    <t>Req.11/RPSF/2022</t>
  </si>
  <si>
    <t>Req.12/RPSF/2022</t>
  </si>
  <si>
    <t>Req.13/RPSF/2022</t>
  </si>
  <si>
    <t>Req.15/RPSF/2022</t>
  </si>
  <si>
    <t>Req.16/RPSF/2022</t>
  </si>
  <si>
    <t>Req.14/RPSF/2022</t>
  </si>
  <si>
    <t>Req.17/RPSF/2022</t>
  </si>
  <si>
    <t>Req.23/RPSF/2022</t>
  </si>
  <si>
    <t>Req.18/RPSF/2022</t>
  </si>
  <si>
    <t>Req.20/RPSF/2022</t>
  </si>
  <si>
    <t>Req.21/RPSF/2022</t>
  </si>
  <si>
    <t>Req.22/RPSF/2022</t>
  </si>
  <si>
    <t>Req.24/RPSF/2022</t>
  </si>
  <si>
    <t>Req.25/RPSF/2022</t>
  </si>
  <si>
    <t>Req.51/RPSF/2022</t>
  </si>
  <si>
    <t>Training of community vaccinators in Chimbonila and Cuamba districts</t>
  </si>
  <si>
    <t>req. 53/RPSF/2022</t>
  </si>
  <si>
    <t>Training of rural women in the field of nutrition in the Province of Maputo</t>
  </si>
  <si>
    <t>Req.55A/RPSF/2022</t>
  </si>
  <si>
    <t>Invoices no. 23/3061/12100</t>
  </si>
  <si>
    <t>Acquisition of fuel in the context of training small contact farmers (PAC)</t>
  </si>
  <si>
    <t>Req.56/RPSF/2022</t>
  </si>
  <si>
    <t>Training of small contact farmers (PAC) in Inhambane</t>
  </si>
  <si>
    <t>Vanda Elias Mucavele</t>
  </si>
  <si>
    <t>Transport payment to small contact farmers (PAC) in Inharrime training</t>
  </si>
  <si>
    <t>Jose Sambo</t>
  </si>
  <si>
    <t>Transport payment to small contact farmers (PAC) in training in Boane</t>
  </si>
  <si>
    <t>Req.59/RPSF/2022</t>
  </si>
  <si>
    <t>Req.58/RPSF/2022</t>
  </si>
  <si>
    <t>Req.57/RPSF/2022</t>
  </si>
  <si>
    <t>Small contact farmers training (PAC) in Boane</t>
  </si>
  <si>
    <t>Req.60/RPSF/2022</t>
  </si>
  <si>
    <t>Several suppliers</t>
  </si>
  <si>
    <t>Invoices 46/91/110/1074/1989/2075</t>
  </si>
  <si>
    <t>Fuel payment for training small contact farmers (PAC) in Boane</t>
  </si>
  <si>
    <t>Req.61/RPSF/2022</t>
  </si>
  <si>
    <t>Training of livestock vaccinators in the Province of Maputo-Magude</t>
  </si>
  <si>
    <t>Req.62/RPSF/2022</t>
  </si>
  <si>
    <t>Payment of transport for small contact creators in training in the southern region</t>
  </si>
  <si>
    <t>Req.63/RPSF/2022</t>
  </si>
  <si>
    <t>Various Suppliers</t>
  </si>
  <si>
    <t>miscellaneous invoices</t>
  </si>
  <si>
    <t>Payment of fuel within the scope of training small contact creators (PAC) in the South region</t>
  </si>
  <si>
    <t>Req.64/RPSF/2022</t>
  </si>
  <si>
    <t>Capacity building of seed inspection focal stories in Niassa Province</t>
  </si>
  <si>
    <t>Req.65/RPSF/2022</t>
  </si>
  <si>
    <t>ADC in the scope of verification of the technical specifications of animals for traction</t>
  </si>
  <si>
    <t>Req.66/RPSF/2022</t>
  </si>
  <si>
    <t>Angel Servicos, Lda</t>
  </si>
  <si>
    <t>Invoice n.00005/00007</t>
  </si>
  <si>
    <t>Payment for the provision of room, sound and ornamentation rental service</t>
  </si>
  <si>
    <t>Req.67/RPSF/2022</t>
  </si>
  <si>
    <t>Invoice no. 17474</t>
  </si>
  <si>
    <t>Payment of training material for small contact farmers (PAC)</t>
  </si>
  <si>
    <t>Req.68/RPSF/2022</t>
  </si>
  <si>
    <t>Invoice no. 17719/17472</t>
  </si>
  <si>
    <t>Payment of training material for small contact creators</t>
  </si>
  <si>
    <t>Req.69/RPSF/2022</t>
  </si>
  <si>
    <t>Invoice no. 17473</t>
  </si>
  <si>
    <t>Req.70/RPSF/2022</t>
  </si>
  <si>
    <t>C11A025</t>
  </si>
  <si>
    <t>Payment of fuel within the scope of vaccination in the districts</t>
  </si>
  <si>
    <t>Req.71/RPSF/2022</t>
  </si>
  <si>
    <t>Lurio Fuel</t>
  </si>
  <si>
    <t>Invoice no. 1975</t>
  </si>
  <si>
    <t>Payment of fuel for vaccination in the districts</t>
  </si>
  <si>
    <t>Req.72/RPSF/2022</t>
  </si>
  <si>
    <t>Invoice no. 202215737</t>
  </si>
  <si>
    <t>Airfare payment in the scope of verification of animal specifications for traction</t>
  </si>
  <si>
    <t>Req.73/RPSF/2022</t>
  </si>
  <si>
    <t>Invoice no. 09-2022/00449</t>
  </si>
  <si>
    <t>Payment of fuel in the context of training rural women in Inhambane Province</t>
  </si>
  <si>
    <t>Req.75/RPSF/2022</t>
  </si>
  <si>
    <t>Bald Solutions</t>
  </si>
  <si>
    <t>Invoice no. 63</t>
  </si>
  <si>
    <t>Payment of 50% for the provision of meals within the scope of training (PAC)</t>
  </si>
  <si>
    <t>Req.76/RPSF/2022</t>
  </si>
  <si>
    <t>Invoice no. 64/65</t>
  </si>
  <si>
    <t>Req.77/RPSF/2022</t>
  </si>
  <si>
    <t>Invoice no. 59,60,61,62</t>
  </si>
  <si>
    <t>Req.78/RPSF/2022</t>
  </si>
  <si>
    <t>Invoice no. 0015584</t>
  </si>
  <si>
    <t>req. 79/RPSF/2022</t>
  </si>
  <si>
    <t>Bar, Restaurant and Residencial S. Miguel</t>
  </si>
  <si>
    <t>Invoice no. 0015581</t>
  </si>
  <si>
    <t>Payment of accommodation services in the scope of training (PAC) in Cuamba from 23 to 26 May</t>
  </si>
  <si>
    <t>Payment of accommodation services in the scope of training (PAC) in Cuamba from 30 to 03 June</t>
  </si>
  <si>
    <t>Req.80/RPSF/2022</t>
  </si>
  <si>
    <t>Chokwe Agricultural Station-IIAM</t>
  </si>
  <si>
    <t>Payment of the 2nd tranche of the agreement for the multiplication of cassava seed cuttings</t>
  </si>
  <si>
    <t>C41A019</t>
  </si>
  <si>
    <t>Req.79A/RPSF/2022</t>
  </si>
  <si>
    <t>Guest house Ajaba and Sons</t>
  </si>
  <si>
    <t>Invoice no. 000059</t>
  </si>
  <si>
    <t>Payment of accommodation in the context of training small contact farmers (PACs) Lichinga</t>
  </si>
  <si>
    <t>Req.81/RPSF/2022</t>
  </si>
  <si>
    <t>Invoice no. 0015543</t>
  </si>
  <si>
    <t>Payment for renting a meeting room within the scope of training (PAC) in Cuamba</t>
  </si>
  <si>
    <t>Req.82/RPSF/2022</t>
  </si>
  <si>
    <t>Training of small contact farmers (PACs) in Gaza</t>
  </si>
  <si>
    <t>Req.83/RPSF/2022</t>
  </si>
  <si>
    <t>Training of small contact farmers (PACs) in Inharrime</t>
  </si>
  <si>
    <t>Req.84/RPSF/2022</t>
  </si>
  <si>
    <t>Training of small contact farmers (PACs) in Vilankusos and Magude</t>
  </si>
  <si>
    <t>Req.85/RPSF/2022</t>
  </si>
  <si>
    <t>Marching Guys</t>
  </si>
  <si>
    <t>Training of community vaccinators in Maputo Province (Namaacha, Moamba, Manhica and Magude)</t>
  </si>
  <si>
    <t>Req.86/RPSF/2022</t>
  </si>
  <si>
    <t>transport declarations</t>
  </si>
  <si>
    <t>Several Participants</t>
  </si>
  <si>
    <t>Req.87/RPSF/2022</t>
  </si>
  <si>
    <t>Payment for transport within the framework of smallholder contact training (PAC) Inharrime</t>
  </si>
  <si>
    <t>Payment for transport within the framework of training of small contact farmers (PAC) Vilak, Magude</t>
  </si>
  <si>
    <t>Req.88/RPSF/2022</t>
  </si>
  <si>
    <t>Payment for transport within the framework of smallholder contact training (PAC) Chokwe</t>
  </si>
  <si>
    <t>Req.89/RPSF/2022</t>
  </si>
  <si>
    <t>Platinum Hotel</t>
  </si>
  <si>
    <t>Invoice no. 121/123</t>
  </si>
  <si>
    <t>Payment for renting a meeting room within the scope of training (PAC) in Inhambane</t>
  </si>
  <si>
    <t>Req.90/RPSF/2022</t>
  </si>
  <si>
    <t>Zap Zambezia Agro-Pecuaria, Lda</t>
  </si>
  <si>
    <t>Invoice no. 006380</t>
  </si>
  <si>
    <t>Payment of fuel for monitoring the activities of the URSGP and training (PACs) and (PCCs)</t>
  </si>
  <si>
    <t>Req.91/RPSF/2022</t>
  </si>
  <si>
    <t>Training within the scope of training rural women in the field of nutrition in Inhambane</t>
  </si>
  <si>
    <t>Req.92/RPSF/2022</t>
  </si>
  <si>
    <t>Invoice no. 010722/032726</t>
  </si>
  <si>
    <t>Payment of fuel within the scope of training branch technicians in the Province of Inhambane</t>
  </si>
  <si>
    <t>Req.99/RPSF/2022</t>
  </si>
  <si>
    <t>Invoice no. 66,67,68,69</t>
  </si>
  <si>
    <t>Payment of the last tranche for the provision of meals, room rental, vehicles and accommodation</t>
  </si>
  <si>
    <t>Req.100/RPSF/2022</t>
  </si>
  <si>
    <t>Invoice no. 71.72</t>
  </si>
  <si>
    <t>Payment of the last tranche for the provision of meals and meeting room for the (PACs) in Boane</t>
  </si>
  <si>
    <t>Ch n.4039335</t>
  </si>
  <si>
    <t>Ch. n.4039319</t>
  </si>
  <si>
    <t>Req.101/RPSF/2022</t>
  </si>
  <si>
    <t>Invoice no. 70</t>
  </si>
  <si>
    <t>Payment of the last tranche for the provision of meals (PACs) in Chidenguela</t>
  </si>
  <si>
    <t>Ch. N4039386</t>
  </si>
  <si>
    <t>Req.102/RPSF/2022</t>
  </si>
  <si>
    <t>Invoice no. 77</t>
  </si>
  <si>
    <t>Payment of the last tranche for the provision of meals (PACs) in Inharrime</t>
  </si>
  <si>
    <t>Ch n. 4039300</t>
  </si>
  <si>
    <t>Req.103/RPSF/2022</t>
  </si>
  <si>
    <t>Invoice n.76</t>
  </si>
  <si>
    <t>Payment of the last tranche for the provision of meals (PACs) in Vilankulos</t>
  </si>
  <si>
    <t>Ch n. 4039343</t>
  </si>
  <si>
    <t>Req.104/RPSF/2022</t>
  </si>
  <si>
    <t>Invoice no. 73,74,75</t>
  </si>
  <si>
    <t>Payment for meeting room supply, accommodation and car rental in Magude</t>
  </si>
  <si>
    <t>Ch n. 4039351</t>
  </si>
  <si>
    <t>Payment of the last tranche of the collaboration agreement</t>
  </si>
  <si>
    <t>Req.037/RPSF/2022</t>
  </si>
  <si>
    <t>Payment of allowances for training PCCs in Niassa</t>
  </si>
  <si>
    <t>Receipt declarations</t>
  </si>
  <si>
    <t>Req.108/RPSF/2022</t>
  </si>
  <si>
    <t>The trip</t>
  </si>
  <si>
    <t>Invoice No. 29</t>
  </si>
  <si>
    <t>Payment of logistical expenses in connection with training CCPs in Gaza</t>
  </si>
  <si>
    <t>Ch n. 4039459</t>
  </si>
  <si>
    <t>Req.109/RPSF/2022</t>
  </si>
  <si>
    <t>Invoice Nr.26</t>
  </si>
  <si>
    <t>Payment of logistical expenses in connection with the training of PCCs in Maputo</t>
  </si>
  <si>
    <t>Ch n. 4039424</t>
  </si>
  <si>
    <t>Req.110/RPSF/2022</t>
  </si>
  <si>
    <t>Invoice Nr.27</t>
  </si>
  <si>
    <t>Ch n. 4039440</t>
  </si>
  <si>
    <t>Req.105/RPSF/2022</t>
  </si>
  <si>
    <t>Invoice Nr.78.80 and 81</t>
  </si>
  <si>
    <t>Payment of logistical expenses for training PCCs and community vaccinators in Maputo</t>
  </si>
  <si>
    <t>Ch n. 4039475</t>
  </si>
  <si>
    <t>Req.125/RPSF/2022</t>
  </si>
  <si>
    <t>Hotel Bernna</t>
  </si>
  <si>
    <t>Invoice No. 02549</t>
  </si>
  <si>
    <t>Ch n. 4039548</t>
  </si>
  <si>
    <t>Req.123/RPSF/2022</t>
  </si>
  <si>
    <t>Invoice No. 02527</t>
  </si>
  <si>
    <t>Payment of 50% car rental, conference room within the scope of PCC training in Vilankulos</t>
  </si>
  <si>
    <t>Payment of the remaining 50% car rental, conference room within the scope of PCC training in Vilankulos</t>
  </si>
  <si>
    <t>Ch n. 4039521</t>
  </si>
  <si>
    <t>Req.124/RPSF/2022</t>
  </si>
  <si>
    <t>Easy Business</t>
  </si>
  <si>
    <t>Invoice No. 2/2022</t>
  </si>
  <si>
    <t>Paid for providing tents and mattresses for training PACs</t>
  </si>
  <si>
    <t>Ch n. 4039537</t>
  </si>
  <si>
    <t>Req.111/RPSF/2022</t>
  </si>
  <si>
    <t>PMK Triple Services EI</t>
  </si>
  <si>
    <t>Invoice No. 00007</t>
  </si>
  <si>
    <t>I pay for housing services as part of the training of PACs and Extensionists in Gaza</t>
  </si>
  <si>
    <t>Ch n. 40395413</t>
  </si>
  <si>
    <t>Req.106/RPSF/2022</t>
  </si>
  <si>
    <t>Excavator Holding</t>
  </si>
  <si>
    <t>Invoice No. 00317</t>
  </si>
  <si>
    <t>Acquisition of 30 cooking demonstration kits and hygiene material to prevent COVID19</t>
  </si>
  <si>
    <t>Ch n. 4039467</t>
  </si>
  <si>
    <t>Req.117/RPSF/2022</t>
  </si>
  <si>
    <t>Nyanga Group, Lda</t>
  </si>
  <si>
    <t>Invoice Nr.00104</t>
  </si>
  <si>
    <t>Acquisition of training material within the scope of training vaccinators in Gaza</t>
  </si>
  <si>
    <t>Ch. 4039483</t>
  </si>
  <si>
    <t>Req.116/RPSF/2022</t>
  </si>
  <si>
    <t>Invoice Nr.00103</t>
  </si>
  <si>
    <t>Ch. 4039491</t>
  </si>
  <si>
    <t>Req.119/RPSF/2022</t>
  </si>
  <si>
    <t>Vetrago</t>
  </si>
  <si>
    <t>Invoice No. 03285</t>
  </si>
  <si>
    <t>Supply of animal-drawn cattle, breeding steers and yokes</t>
  </si>
  <si>
    <t>Req.127/RPSF/2022</t>
  </si>
  <si>
    <t>TECAP, SA</t>
  </si>
  <si>
    <t>C42A001A</t>
  </si>
  <si>
    <t>Invoices Nr.213 and 214</t>
  </si>
  <si>
    <t>Acquisition of 277 work equipment and individual protection kits for Maputo, Gaza, Inhambane and Niassa</t>
  </si>
  <si>
    <t>Req.131/RPSF/2022</t>
  </si>
  <si>
    <t>Invoices Nr.211 and 212</t>
  </si>
  <si>
    <t>Acquisition of plows, protection material and animal-drawn pits for Gaza and Inhambane</t>
  </si>
  <si>
    <t>Req.112/RPSF/2022</t>
  </si>
  <si>
    <t>Invoice Nr.00024</t>
  </si>
  <si>
    <t>Req.115/RPSF/2022</t>
  </si>
  <si>
    <t>Invoice Nr.00026</t>
  </si>
  <si>
    <t>Payment of meals within the scope of empowerment of rural women in Niassa</t>
  </si>
  <si>
    <t>Payment of meals within the scope of the training of branch technicians in Niassa</t>
  </si>
  <si>
    <t>Req.113/RPSF/2022</t>
  </si>
  <si>
    <t>Invoice Nr.00022</t>
  </si>
  <si>
    <t>Payment of ornamentation services within the scope of room and sound rental scope PAC in Lichinga</t>
  </si>
  <si>
    <t>Req.94/RPSF/2022</t>
  </si>
  <si>
    <t>Bar, Restaurant Residencial S. Miguel</t>
  </si>
  <si>
    <t>Invoice Nr.0015596</t>
  </si>
  <si>
    <t>I pay for renting a meeting room as part of the training of branch technicians in Cuamba</t>
  </si>
  <si>
    <t>Req.93/RPSF/2022</t>
  </si>
  <si>
    <t>Invoice Nr.0015595</t>
  </si>
  <si>
    <t>I pay for renting a meeting room within the scope of CCP training in Cuamba</t>
  </si>
  <si>
    <t>Req.120/RPSF/2022</t>
  </si>
  <si>
    <t>Invoice Nr.00023</t>
  </si>
  <si>
    <t>Payment of meal services within the scope of PCCs in Cuamba</t>
  </si>
  <si>
    <t>Req.114/RPSF/2022</t>
  </si>
  <si>
    <t>Payment of meal services within the scope of PACs in Lichinga</t>
  </si>
  <si>
    <t>Invoice Nr.000149</t>
  </si>
  <si>
    <t>Vehicle rental payment within the scope of PCC training in Cuamba</t>
  </si>
  <si>
    <t>Req.121/RPSF/2022</t>
  </si>
  <si>
    <t>Req.118/RPSF/2022</t>
  </si>
  <si>
    <t>Invoice Nr.000087</t>
  </si>
  <si>
    <t>Vehicle rental payment within the scope of empowerment of branch women in Niassa</t>
  </si>
  <si>
    <t>Req.122/RPSF/2022</t>
  </si>
  <si>
    <t>Invoice Nr.000088</t>
  </si>
  <si>
    <t>Vehicle rental payment within the scope of training community vaccinators in Niassa</t>
  </si>
  <si>
    <t>Req.139/RPSF/2022</t>
  </si>
  <si>
    <t>Farmer's House</t>
  </si>
  <si>
    <t>C41A006</t>
  </si>
  <si>
    <t>Invoice No. FA1 A22/44</t>
  </si>
  <si>
    <t>Acquisition and allocation of agricultural inputs for the 2021/22 agricultural campaign in Gaza Province</t>
  </si>
  <si>
    <t>#</t>
  </si>
  <si>
    <t>Technician name</t>
  </si>
  <si>
    <t>Institution</t>
  </si>
  <si>
    <t>Daily (MZM)</t>
  </si>
  <si>
    <t>total days</t>
  </si>
  <si>
    <t>TOTAL (MZM)</t>
  </si>
  <si>
    <t>Lino Gimo Junior</t>
  </si>
  <si>
    <t>DPAP-Niassa</t>
  </si>
  <si>
    <t>TOTAL</t>
  </si>
  <si>
    <t>1st Allocation</t>
  </si>
  <si>
    <t>Nhacoongo Agricultural Station</t>
  </si>
  <si>
    <t>Req.010/ob/2022</t>
  </si>
  <si>
    <t>TECNEL SERVICES, Lda</t>
  </si>
  <si>
    <t>Invoice No. 196</t>
  </si>
  <si>
    <t>20% advance on the supply and assembly of electric pump and porch in Block 1</t>
  </si>
  <si>
    <t>Req.135/RPSF/2022</t>
  </si>
  <si>
    <t>SFM Mussagy &amp; Serv. Romamat</t>
  </si>
  <si>
    <t>Invoices No. 3878.7138</t>
  </si>
  <si>
    <t>Acquisition of fuel within the scope of PAC training</t>
  </si>
  <si>
    <t>Req.98/RPSF/2022</t>
  </si>
  <si>
    <t>E. Nhone and T. Cossa</t>
  </si>
  <si>
    <t>Travel to Moamba within the scope of handing over the place for installing the electric pump</t>
  </si>
  <si>
    <t>Req.137/RPSF/2022</t>
  </si>
  <si>
    <t>Travel to Magude within the scope of PCC training</t>
  </si>
  <si>
    <t>Req.129/RPSF/2022</t>
  </si>
  <si>
    <t>Invoice No. 28</t>
  </si>
  <si>
    <t>Provision of logistics services within the scope of vaccinator training in Inhambane</t>
  </si>
  <si>
    <t>Req.130/RPSF/2022</t>
  </si>
  <si>
    <t>Oppi Koppi Lodge</t>
  </si>
  <si>
    <t>Invoice No. 1263</t>
  </si>
  <si>
    <t>Provision of room rental services as part of the empowerment of rural women in Massinga</t>
  </si>
  <si>
    <t>Req.133/RPSF/2022</t>
  </si>
  <si>
    <t>Paula E. Fernando, Lda</t>
  </si>
  <si>
    <t>C42A001</t>
  </si>
  <si>
    <t>Acquisition of fuel within the scope of the delivery of kits to the PACs of Namaacha</t>
  </si>
  <si>
    <t>Abineiro Parane Tisse</t>
  </si>
  <si>
    <t>Acquisition of certified seeds for Zavala Districts</t>
  </si>
  <si>
    <t>Req.107/RPSF/2022</t>
  </si>
  <si>
    <t>PETROMOC Filling Station</t>
  </si>
  <si>
    <t>Invoice Nr.2213</t>
  </si>
  <si>
    <t>Acquisition of fuel within the scope of training in Inharrime</t>
  </si>
  <si>
    <t>Req.138/RPSF/2022</t>
  </si>
  <si>
    <t>Invoice Nr.321</t>
  </si>
  <si>
    <t>Acquisition of cooking demonstration kits and hygiene material Prevention of COVID 19</t>
  </si>
  <si>
    <t>Req.26/RPSF/2022</t>
  </si>
  <si>
    <t>Provincial Environmental Services-Gaza</t>
  </si>
  <si>
    <t>Payment of environmental licensing fees for infrastructure in Gaza</t>
  </si>
  <si>
    <t>Req.136/RPSF/2022</t>
  </si>
  <si>
    <t>Alipio Simão</t>
  </si>
  <si>
    <t>Travel to Boane within the scope of participation in the training of PACs</t>
  </si>
  <si>
    <t>Req.134/RPSF/2022</t>
  </si>
  <si>
    <t>Daniel Chitupila</t>
  </si>
  <si>
    <t>Travel to Cuamba to prepare the logistics of PACs and PCCs</t>
  </si>
  <si>
    <t>Req.96/RPSF/2022</t>
  </si>
  <si>
    <t>register</t>
  </si>
  <si>
    <t>Invoice Nr.533/2022</t>
  </si>
  <si>
    <t>Domain renewal fee</t>
  </si>
  <si>
    <t>Req.97/RPSF/2022</t>
  </si>
  <si>
    <t>Subsistence allowances for extension workers within the scope of the cooking demonstration in Inhambane</t>
  </si>
  <si>
    <t>C41A010</t>
  </si>
  <si>
    <t>Travel to Gaza and Inhambane as part of the delivery of cooking demonstration kits</t>
  </si>
  <si>
    <t>financier</t>
  </si>
  <si>
    <t>2nd Allocation</t>
  </si>
  <si>
    <t>Shared Expense</t>
  </si>
  <si>
    <t>Payment of allowances for training PCCs in Niassa</t>
  </si>
  <si>
    <t>Payment of 50% car rental, conference room within the scope of PCC training in Vilankulo part2/2</t>
  </si>
  <si>
    <t>Payment of 50% car rental, conference room within the scope of PCC training in Vilankulo part1/2</t>
  </si>
  <si>
    <t>Conversion of 1st Allocation fee 63.20</t>
  </si>
  <si>
    <t>Conversion of 1st and 2nd Allocation Fee 63.20</t>
  </si>
  <si>
    <t>Payment of logistic services during the elaboration of value chains PROCAVA manuals</t>
  </si>
  <si>
    <t>Posto Agronómico de Mutuali</t>
  </si>
  <si>
    <t>Estação Agrária de Lichinga</t>
  </si>
  <si>
    <t>Posto Agronómico de Nampula</t>
  </si>
  <si>
    <t>Posto Agronómico de Nhacoongo</t>
  </si>
  <si>
    <t>Estação Agrária de Chókwè</t>
  </si>
  <si>
    <t>Estação Agrária de Umbelúzi</t>
  </si>
  <si>
    <t>A&amp;A Agro-Serviços, Lda</t>
  </si>
  <si>
    <t>Diversos Técnicos</t>
  </si>
  <si>
    <t>Instituto de Propriedade Industrial</t>
  </si>
  <si>
    <t>D. Mate e J. Bila</t>
  </si>
  <si>
    <t>Garagem Limpopo</t>
  </si>
  <si>
    <t>Hotele eEventos Sorriso de Caridade</t>
  </si>
  <si>
    <t>Socidade Notícias</t>
  </si>
  <si>
    <t>J. Sambo e P. Monjane</t>
  </si>
  <si>
    <t>P. Monjane, J. Sambo e Claúdio Nhabinde</t>
  </si>
  <si>
    <t>J. Filipe, R. Jamisse e R. Massinga</t>
  </si>
  <si>
    <t>Isac Lucas Chemane</t>
  </si>
  <si>
    <t>José Fernando João</t>
  </si>
  <si>
    <t>Leonardo Salomão Massango</t>
  </si>
  <si>
    <t>Clara de Assis José</t>
  </si>
  <si>
    <t>Serviços Provincial de Ambiente de Niassa</t>
  </si>
  <si>
    <t xml:space="preserve">Tiago Tiago </t>
  </si>
  <si>
    <t>Diversos Fonecedores</t>
  </si>
  <si>
    <t>Serviços Provinciais de Geografia e e Cadastro</t>
  </si>
  <si>
    <t>Entreposto Auto</t>
  </si>
  <si>
    <t>Comércio a Retalho Chichongue</t>
  </si>
  <si>
    <t>Pershop, Lda</t>
  </si>
  <si>
    <t>Serviços Provincial de Ambiente de Maputo</t>
  </si>
  <si>
    <t>Sociedade do Notícias</t>
  </si>
  <si>
    <t>Transporte Ruth</t>
  </si>
  <si>
    <t>Angel Serviços</t>
  </si>
  <si>
    <t>Grupo Tropical</t>
  </si>
  <si>
    <t>Diversos fornecedores</t>
  </si>
  <si>
    <t>Diversos Fornecedores</t>
  </si>
  <si>
    <t>Electroffice</t>
  </si>
  <si>
    <t>Estacao Agraria de Chokwe-IIAM</t>
  </si>
  <si>
    <t>Diversos Participantes</t>
  </si>
  <si>
    <t>Lurio Combustivel</t>
  </si>
  <si>
    <t>Bar, Restaurante e Residencial S. Miguel</t>
  </si>
  <si>
    <t>Casa de hospede Ajaba e Filhos</t>
  </si>
  <si>
    <t>Platim Hotel</t>
  </si>
  <si>
    <t>A Viagem</t>
  </si>
  <si>
    <t>PMK Serviços Triplos E.I</t>
  </si>
  <si>
    <t>Estação Agrária de Nhacoongo</t>
  </si>
  <si>
    <t>Bar, Restaurante Residencial S. Miguel</t>
  </si>
  <si>
    <t>SFM Mussagy &amp; Estação de Serv. Romamat</t>
  </si>
  <si>
    <t>E. Nhone e T. Cossa</t>
  </si>
  <si>
    <t>Posto de Abastecimento da PETROMOC</t>
  </si>
  <si>
    <t>Serviços Provincial de Ambiente-Gaza</t>
  </si>
  <si>
    <t>Alípio Simão</t>
  </si>
  <si>
    <t>Registar</t>
  </si>
  <si>
    <t>Casa do Agricultor</t>
  </si>
  <si>
    <t>N/A</t>
  </si>
  <si>
    <t>Facturas Nr.176 e 177</t>
  </si>
  <si>
    <t>Guias de Marcha</t>
  </si>
  <si>
    <t>Cotação 25</t>
  </si>
  <si>
    <t>VD 35269</t>
  </si>
  <si>
    <t>Factura Nr.315</t>
  </si>
  <si>
    <t>Factura Nr.208</t>
  </si>
  <si>
    <t>Factura Nr.10333</t>
  </si>
  <si>
    <t>Guia de Marcha</t>
  </si>
  <si>
    <t>Factura Nr.01 e 02</t>
  </si>
  <si>
    <t>Diversas Facturas</t>
  </si>
  <si>
    <t>Factura Nr.96100001</t>
  </si>
  <si>
    <t>Factura Nr.2321</t>
  </si>
  <si>
    <t>Facturas Nr.18 e 10612</t>
  </si>
  <si>
    <t>Factura Nr.4043</t>
  </si>
  <si>
    <t>Factura Nr.2651</t>
  </si>
  <si>
    <t>Factura Nr.3793</t>
  </si>
  <si>
    <t>Factura Nr.148</t>
  </si>
  <si>
    <t>Facturas Nr.4 e 6</t>
  </si>
  <si>
    <t>Factura Nr.8</t>
  </si>
  <si>
    <t>Factura Nr.4698</t>
  </si>
  <si>
    <t>Factura Nr.2212902</t>
  </si>
  <si>
    <t>Factura Nr.202213658</t>
  </si>
  <si>
    <t>Factura Nr.1467</t>
  </si>
  <si>
    <t>Factura Nr.32669</t>
  </si>
  <si>
    <t>Facturas n. 23/3061/12100</t>
  </si>
  <si>
    <t>Declarações de recebimento</t>
  </si>
  <si>
    <t>Facturas 46/91/110/1074/1989/2075</t>
  </si>
  <si>
    <t>Facturas diversas</t>
  </si>
  <si>
    <t>Factura n.00005/00007</t>
  </si>
  <si>
    <t>Factura n. 17474</t>
  </si>
  <si>
    <t>Factura n. 17719/17472</t>
  </si>
  <si>
    <t>Factura n. 17473</t>
  </si>
  <si>
    <t>Factura n. 202215737</t>
  </si>
  <si>
    <t>Factura n. 1975</t>
  </si>
  <si>
    <t>Factura n. 63</t>
  </si>
  <si>
    <t>Factura n. 64/65</t>
  </si>
  <si>
    <t>Factura n. 59,60,61,62</t>
  </si>
  <si>
    <t>Factura n. 0015584</t>
  </si>
  <si>
    <t>Factura n. 0015581</t>
  </si>
  <si>
    <t>Factura n. 000059</t>
  </si>
  <si>
    <t>Factura n. 0015543</t>
  </si>
  <si>
    <t>Guais de Marcha</t>
  </si>
  <si>
    <t>Declaracoes de transporte</t>
  </si>
  <si>
    <t>Factura n. 006380</t>
  </si>
  <si>
    <t>Factura n. 010722/032726</t>
  </si>
  <si>
    <t>Factura n. 121/123</t>
  </si>
  <si>
    <t>Factura n. 66,67,68,69</t>
  </si>
  <si>
    <t>Factura n. 71,72</t>
  </si>
  <si>
    <t>Factura n. 70</t>
  </si>
  <si>
    <t>Factura n. 77</t>
  </si>
  <si>
    <t>Factura n.76</t>
  </si>
  <si>
    <t>Factura n. 73,74,75</t>
  </si>
  <si>
    <t>Factura Nr. 29</t>
  </si>
  <si>
    <t>Factura Nr.26</t>
  </si>
  <si>
    <t>Factura Nr.27</t>
  </si>
  <si>
    <t>Factura Nr.78,80 e 81</t>
  </si>
  <si>
    <t>Factura Nr. 02549</t>
  </si>
  <si>
    <t>Factura Nr. 02527</t>
  </si>
  <si>
    <t>Factura Nr. 2/2022</t>
  </si>
  <si>
    <t>Factura Nr. 00007</t>
  </si>
  <si>
    <t>Factura Nr. 00317</t>
  </si>
  <si>
    <t>Factura Nr.00104</t>
  </si>
  <si>
    <t>Factura Nr.00103</t>
  </si>
  <si>
    <t>Factura Nr. 03285</t>
  </si>
  <si>
    <t>Facturas Nr.211 e 212</t>
  </si>
  <si>
    <t>Factura Nr. 196</t>
  </si>
  <si>
    <t>Factura Nr.00024</t>
  </si>
  <si>
    <t>Factura Nr.00026</t>
  </si>
  <si>
    <t>Factura Nr.00022</t>
  </si>
  <si>
    <t>Factura Nr.0015596</t>
  </si>
  <si>
    <t>Factura Nr.0015595</t>
  </si>
  <si>
    <t>Factura Nr.00023</t>
  </si>
  <si>
    <t>Factura Nr.00021</t>
  </si>
  <si>
    <t>Factura Nr.000149</t>
  </si>
  <si>
    <t>Factura Nr.000087</t>
  </si>
  <si>
    <t>Factura Nr.000088</t>
  </si>
  <si>
    <t>Facturas Nr. 3878,7138</t>
  </si>
  <si>
    <t>Factura Nr. 28</t>
  </si>
  <si>
    <t>Factura Nr. 1263</t>
  </si>
  <si>
    <t>Factura Nr.130</t>
  </si>
  <si>
    <t>Factura Nr.2213</t>
  </si>
  <si>
    <t>Factura Nr.321</t>
  </si>
  <si>
    <t>Factura Nr.533/2022</t>
  </si>
  <si>
    <t>Factura n. 09-2022/00449</t>
  </si>
  <si>
    <t>Factura Nr. FA1 A22/44</t>
  </si>
  <si>
    <t>Facturas Nr.213</t>
  </si>
  <si>
    <t>Facturas Nr.214</t>
  </si>
  <si>
    <t>Ch n. 4039564</t>
  </si>
  <si>
    <t>Req.042/RPSF/2022</t>
  </si>
  <si>
    <t>Req.043/RPSF/2022</t>
  </si>
  <si>
    <t>Req.041/RPSF/2022</t>
  </si>
  <si>
    <t>Req.40/RPSF/2022</t>
  </si>
  <si>
    <t>CADERNOS DE ENCARGO</t>
  </si>
  <si>
    <t>ENCARGOS BANCÁRIOS</t>
  </si>
  <si>
    <t>GASTO 1st</t>
  </si>
  <si>
    <t>GASTO 2nd</t>
  </si>
  <si>
    <t>Encargos Bancários</t>
  </si>
  <si>
    <t>Cadernos de Encargo</t>
  </si>
  <si>
    <t>Req.145/RPSF/2022</t>
  </si>
  <si>
    <t>C41A001</t>
  </si>
  <si>
    <t>Payment of fuel for distribution of the animals in the districts of Gaza and Inhambane</t>
  </si>
  <si>
    <t>Req.140/RPSF/2022</t>
  </si>
  <si>
    <t>Payment of fuel during the delivery of cooking demonstration kits</t>
  </si>
  <si>
    <t>C44A010</t>
  </si>
  <si>
    <t>awpb_id</t>
  </si>
  <si>
    <t>Voucher 
Number</t>
  </si>
  <si>
    <t>Chapter 
Account</t>
  </si>
  <si>
    <t>Supplier</t>
  </si>
  <si>
    <t>Invoice Number/ Contract Number</t>
  </si>
  <si>
    <t>Payment 
Order Number</t>
  </si>
  <si>
    <t>Debit in 
MZM</t>
  </si>
  <si>
    <t>Debit in 
USD</t>
  </si>
  <si>
    <t>Financier</t>
  </si>
  <si>
    <t>awpb_this_year</t>
  </si>
  <si>
    <t>main_activity</t>
  </si>
  <si>
    <t>Pagamento de 20% de adiantamento do contrato para o fornecimento de viaturas ligeiras</t>
  </si>
  <si>
    <t>Bank Transfer</t>
  </si>
  <si>
    <t>RPSF 2nd Allocation</t>
  </si>
  <si>
    <t>Aluguer de viaturas no âmbito do treinamento de PACs em Lichinga e Cuamba parte2/2</t>
  </si>
  <si>
    <t>Pagto de ajudas de custotreinamento de PCCs em Niassa</t>
  </si>
  <si>
    <t>Publicações de anúncios no âmbito de contratação de despesas logísticas para treinamento de PCCs Zona Sul</t>
  </si>
  <si>
    <t>Aquisição de passagens no âmbito de capacitação de PACs e PCCs em Lichinga e Cuamba</t>
  </si>
  <si>
    <t>Aquisição de passagens no âmbito capacitação de técnicos ramais e supervisores em matéria de nutrição e agro-processamento em Cuamba</t>
  </si>
  <si>
    <t>Capacitação de mulheres rurais em matérias de nutrição e demonstração culinária_Niassa</t>
  </si>
  <si>
    <t>Req. 53/RPSF/2022</t>
  </si>
  <si>
    <t>Capacitacao de mulheres rurais em materia de nutricao na Provincia de Maputo</t>
  </si>
  <si>
    <t>Capacitação de mulheres rurais em matérias de nutrição e demonstração culinária_Inhambane</t>
  </si>
  <si>
    <t>Aquisição de combustível no âmbito do treinamento de PCCs em Cuamba</t>
  </si>
  <si>
    <t>Treinamento de vacinadores comunitarios nos distritos de Chimbonila e Cuamba</t>
  </si>
  <si>
    <t>Aquisição de combustível no capacitação de mulheres rurais em matérias de nutrição e demonstração culinária_Inhambane</t>
  </si>
  <si>
    <t>Aquisicao de combustivel no ambito de treinamento de pequenos agricultores de contacto (PAC)</t>
  </si>
  <si>
    <t>Treinamento de pequenos agricultores de contacto (PAC) em Inhambane</t>
  </si>
  <si>
    <t>Pagamento de transporte aos pequenos agricultores de contacto (PAC) no teinamento em Inharrime</t>
  </si>
  <si>
    <t>Pagamento de transporte aos pequenos agricultores de contacto (PAC) no teinamento em Boane</t>
  </si>
  <si>
    <t>Treinamento de pequenos agricultores de contacto (PAC) em Boane</t>
  </si>
  <si>
    <t>Pagamento de combustivel para treinamento de pequenos agricultores de contacto (PAC) em Boane</t>
  </si>
  <si>
    <t>Treinamentos de vacinadores pecuarios na Provincia de Maputo-Magude</t>
  </si>
  <si>
    <t>Pagamento de transporet dos pequenos criadores de contacto no treinamento na regiao sul</t>
  </si>
  <si>
    <t>Pagamento de combustivel no ambito da capacitacao de pequenos criadores de contacto (PAC) regiao Sul</t>
  </si>
  <si>
    <t>Capacitacao de contos focais de inspeccao de semente na Provincia de Niassa</t>
  </si>
  <si>
    <t>ADC no âmbito de verificacao das especificacoes tecnicas dos animais para traccao</t>
  </si>
  <si>
    <t>Pagamento de prestacao de servico de aluguer sala, som e ornamentacao</t>
  </si>
  <si>
    <t>Pagamento de material de formacao de pequenos agricultores de contacto (PAC)</t>
  </si>
  <si>
    <t>Pagamento de material de formacao de pequenos criadores de contacto</t>
  </si>
  <si>
    <t>Aquisição de material de formação no âmbito da capacitação de mulheres rurais em matéria de nutrição em Cuamba</t>
  </si>
  <si>
    <t>Pagamento de combustivel no ambito de vacinacao nos distritos</t>
  </si>
  <si>
    <t>Pagamento de passagem aerea no ambito verificacao das especificacoes dos animais para traccao</t>
  </si>
  <si>
    <t>Req,75/RPSF/2022</t>
  </si>
  <si>
    <t>Pagamento de 50% pelo fornecimento de refeicoes no ambito de treinamento de( PAC)</t>
  </si>
  <si>
    <t>Pagamento de servicos de alojamento no ambito treinamento de (PAC) em Cuamba de 30 a 03 de Junho</t>
  </si>
  <si>
    <t>Req. 79/RPSF/2022</t>
  </si>
  <si>
    <t>Pagamento de servicos de alojamento no ambito treinamento de (PAC) em Cuamba de 23 a 26 de Maio</t>
  </si>
  <si>
    <t>Pagamento de alojamento no ambito de treinamento de pequenos agricultores de contacto (PACs) Lichinga</t>
  </si>
  <si>
    <t>Pagamento de aluguer de sala de reunioes no ambito treinamento de (PAC) em Cuamba</t>
  </si>
  <si>
    <t>Treinamento de pequenos agricultores de contacto )PACs) em Gaza</t>
  </si>
  <si>
    <t>Treinamento de pequenos agricultores de contacto )PACs) em Inharrime</t>
  </si>
  <si>
    <t>Treinamento de pequenos agricultores de contacto )PACs) em Vilankusos e Magude</t>
  </si>
  <si>
    <t>Treinamento de vacinadores comunitarios na Provincia de Maputo (Namaacha, Moamba,manhica e magude)</t>
  </si>
  <si>
    <t>Pagamento de transporte no ambito do treinamento de pequenos agricultores de contacto (PAC) Vilak, Magude</t>
  </si>
  <si>
    <t>Pagamento de aluguer de sala de reunioes no ambito treinamento de (PAC) em Inhambane</t>
  </si>
  <si>
    <t>Pagamento de combustil para acompanhamento das actividade da URSGP e os treinamentos (PACs) e (PCCs)</t>
  </si>
  <si>
    <t>Treinamento no âmbito da capacitação de mulheres rurais em matéria de nutrição em Inhambane</t>
  </si>
  <si>
    <t>Pagamento de combustivel no ambito da capacitacao de tecnicas ramais na Provincia de Inhambane</t>
  </si>
  <si>
    <t>Pagamento da ultima tranche pelo fornecimento de refeicoes, aluguer sala, viaturas e alojamento</t>
  </si>
  <si>
    <t>Pagamento da ultima tranche pelo fornecimento de refeicoes e sala de reunioes dos (PACs) em Boane</t>
  </si>
  <si>
    <t>Req,101/RPSF/2022</t>
  </si>
  <si>
    <t>Pagamento da ultima tranche pelo fornecimento de refeicoes  (PACs) em Chidenguela</t>
  </si>
  <si>
    <t>Pagamento da ultima tranche pelo fornecimento de refeicoes  (PACs) em Inharrime</t>
  </si>
  <si>
    <t>Pagamento da ultima tranche pelo fornecimento de refeicoes  (PACs) em Vilankulos</t>
  </si>
  <si>
    <t>Pagamento de fornecimento de sala de reunioes, alojamento e aluguer de viatura em Magude</t>
  </si>
  <si>
    <t>Pagamento de despesas logísticas no âmbitto do treinamento de PCCs em Gaza</t>
  </si>
  <si>
    <t>Pagamento de despesas logísticas no âmbitto do treinamento de PCCs em Maputo</t>
  </si>
  <si>
    <t>Pagamento de despesas logísticas no âmbitto do treinamento de PCCs e vacinadores comunitários em Maputo</t>
  </si>
  <si>
    <t>Pagto dos 50% aluguer de viatura, sala de conferência no âmbito do treinamento de PCCs em Vilankulos</t>
  </si>
  <si>
    <t>Pagto dos 50% remanescente aluguer de viatura, sala de conferência no âmbito do treinamento de PCCs em Vilankulos</t>
  </si>
  <si>
    <t xml:space="preserve">Pagto pelo fornecimento de tendas e colchões para o treinamento de PACs </t>
  </si>
  <si>
    <t>Pagto serviços de alojamento no âmbito do treinamento de PACs e Extensionistas em Gaza</t>
  </si>
  <si>
    <t>Aquisição de 30 kits de demonstrações culinárias e material de higiene de prevenção da COVID19</t>
  </si>
  <si>
    <t>Aquisição de material de formação no âmbito do treinamento de vacinadores em Gaza</t>
  </si>
  <si>
    <t>Ch . 4039483</t>
  </si>
  <si>
    <t>Ch . 4039491</t>
  </si>
  <si>
    <t>Fornecimento de bovinos de tracção animal, novilhos para reprodução e cangas</t>
  </si>
  <si>
    <t>Facturas Nr.213 e 214</t>
  </si>
  <si>
    <t>Aquisição de 277 kits de equipamento de trabalho e protecção individual para Maputo, Gaza, Inhambane e Niassa</t>
  </si>
  <si>
    <t>Aquisição de charuas, material de protecção e caroças de tracção animal para Gaza e Inhambane</t>
  </si>
  <si>
    <t>Pagamento de combustivel no ambito da vacinacao nos distritos</t>
  </si>
  <si>
    <t>Pagamento de combustivel no ambito de capacitacao de mulheres rurais na Provincia de Inhambane</t>
  </si>
  <si>
    <t>Pagamento de transporte no ambito do treinamento de pequenos agricultores de contacto (PAC) Inharrime</t>
  </si>
  <si>
    <t>Pagamento de transporte no ambito do treinamento de pequenos agricultores de contacto (PAC) Chokwe</t>
  </si>
  <si>
    <t>Aqcisition of certified seeds for Jangamo, Homoine, Zavala, Morrumbene, Massinga and Chongoene Districts</t>
  </si>
  <si>
    <t>RPSF 1st Allocation</t>
  </si>
  <si>
    <t>Aqcisition of certified seeds for Mandlakazi District</t>
  </si>
  <si>
    <t>Aqcisition of certified seeds for Massinga, Jangamo and Morrumbene Districts</t>
  </si>
  <si>
    <t>Aqcisition of certified seeds for Mandlakazi, Jangamo, Inharrime and Chongoene Districts</t>
  </si>
  <si>
    <t>Aqcisition of certified seeds for PACEs</t>
  </si>
  <si>
    <t>Aqcisition of certified seeds for Zavala District</t>
  </si>
  <si>
    <t>Aqcisition of certified seeds for Inharrime District</t>
  </si>
  <si>
    <t>Taxas de instrução de processo de licenciamento ambiental</t>
  </si>
  <si>
    <t>Facilitação do módulo de Agro-Negócios na Unidade de Niassa</t>
  </si>
  <si>
    <t>Aquisição de marcos de demarcação para regularização de DUAT's-Gaza e Niassa</t>
  </si>
  <si>
    <t>Taxas de licenciamento ambiental de 26 projectos-Inhambane</t>
  </si>
  <si>
    <t>Aquisição de marcos de demarcação para regularização de DUAT's-Gaza</t>
  </si>
  <si>
    <t>Pagamento parcial no âmbito de aquisição de motorizadas</t>
  </si>
  <si>
    <t>Aquisição de combustível no âmbito da capacitação de mulheres rurais em nutrição-Gaza</t>
  </si>
  <si>
    <t>ADC no âmbito da capacitação de mulheres rurais em nutrição- Gaza</t>
  </si>
  <si>
    <t>Taxas de instrução e licenciamento de processo de licenciamento ambiental</t>
  </si>
  <si>
    <t>Treinamento de PACs em Lichinga</t>
  </si>
  <si>
    <t>Treinamento de PACs em Cuamba</t>
  </si>
  <si>
    <t>Publicação para fornecimento e instalação de uma bomba e alpendre no regadio de Moamba Bloco I</t>
  </si>
  <si>
    <t>Publicação para aquisição de tendas para acomodação de pequenos produtores</t>
  </si>
  <si>
    <t>Aquisição de combustível no âmbito do treinamento de PACs em Cuamba</t>
  </si>
  <si>
    <t>Publicação de anúncio para aquisição e alocação de insumos para as Províncias de Maputo, Inhambane e Niassa</t>
  </si>
  <si>
    <t>Publicação para aquisição e alocação de material de higiene para prevenção de COVID-19 e material de agro-processamento</t>
  </si>
  <si>
    <t>Capacitação de técnicos ramais e supervisores distritais de extensão em matéria de nutrição</t>
  </si>
  <si>
    <t>Verificação das especificações técnicas dos animais de tracção no Distrito de Inharrime</t>
  </si>
  <si>
    <t>Aquisição de fertilizantes para as Provínncias de Gaza e Niassa</t>
  </si>
  <si>
    <t>Pagamento de despesas logísticas no âmbito do treinamento de multiplicadores de semente em Lichinga e Cuamba</t>
  </si>
  <si>
    <t>Pagamento de despesas logísticas no âmbito do treinamento de PACs em Cuamba</t>
  </si>
  <si>
    <t>Aluguer de viaturas no âmbito do treinamento de PACs em Lichinga e Cuamba parte1/2</t>
  </si>
  <si>
    <t>Aquisição de semente básica de gergelim para os produores emergentes</t>
  </si>
  <si>
    <t>Aquisição de semente básica de feijão vulgar para os produores emergentes</t>
  </si>
  <si>
    <t>Aquisição de semente pré-básica e básica de gergelim e feijão nhemba para produtores emergentes</t>
  </si>
  <si>
    <t>Aquisição de semente básica de mandioca para produtores emergentes</t>
  </si>
  <si>
    <t>Aquisição de equipamentos e insumos para laboratório da EAL</t>
  </si>
  <si>
    <t>Adiantamento de fundos para produção de semente de raízes, tubérculos e feijão nhemba</t>
  </si>
  <si>
    <t>Registo e avaliação dos potenciais multiplicadores de estaca de semente feijão vulgar</t>
  </si>
  <si>
    <t>Pagamento de serviços de registo de marca e logotipo do PROCAVA</t>
  </si>
  <si>
    <t>C44A011</t>
  </si>
  <si>
    <t>Deslocação a Gaza afim de monitorar as actividades do COVID-19</t>
  </si>
  <si>
    <t>Aquisição de passagens aéreas no âmbito da deslocação a indução do Niassa</t>
  </si>
  <si>
    <t>Capacitação de multiplicadores de semente de feijão vulgar - Chókwè</t>
  </si>
  <si>
    <t>Alojamento no âmbito da capacitação de multiplicadores de semente de feijão vulgar - Chókwè</t>
  </si>
  <si>
    <t>Refeições no âmbito da capacitação de multiplicadores de semente de feijão vulgar - Chókwè</t>
  </si>
  <si>
    <t>Aquisição de equipamentos de laboratório para EAL</t>
  </si>
  <si>
    <t>publicação de anúncio para aquisição e alocação de insumos agrícolas</t>
  </si>
  <si>
    <t>Distribuição de estaca semente de mandioca em Homoine, Jangamo e Zavala</t>
  </si>
  <si>
    <t>Distribuição de estaca semente de mandioca em Chongoene e Mandlakazi</t>
  </si>
  <si>
    <t>Distribuição de estaca semente de mandioca em Massinga e Morrumbene</t>
  </si>
  <si>
    <t>Monitoria de CDR em Jangamo, Inharrime e Zavala</t>
  </si>
  <si>
    <t>Inspeção de campos de multiplicação de mandioca e feijão-Chibuto e Mandlakazi</t>
  </si>
  <si>
    <t>Inspeção de campos de multiplicação de semente de feijão vulgar-boane</t>
  </si>
  <si>
    <t>Pagto de refeições no âmbito do treinamento de técnicos ramais em Niassa</t>
  </si>
  <si>
    <t>Pagto de refeições no âmbito da capacitação de mulheres rurais em Niassa</t>
  </si>
  <si>
    <t>Pagto de serviços de ornamentação no âmbito de aluguer de sala e som âmbito PAC em Lichinga</t>
  </si>
  <si>
    <t>Pagto aluguer de sala de reuniões no âmbito do treinamento de técnicos ramais em Cuamba</t>
  </si>
  <si>
    <t>Pagto aluguer de sala de reuniões no âmbito do treinamento de PCCs em Cuamba</t>
  </si>
  <si>
    <t>Pagto de serviços de refeições no âmbito de PCCs em Cuamba</t>
  </si>
  <si>
    <t>Pagto de serviços de refeições no âmbito de PACs em Lichinga</t>
  </si>
  <si>
    <t>Pagto de aluguer de viaturas no âmbito de treinamento de PCCs em Cuamba</t>
  </si>
  <si>
    <t>Pagto de aluguer de viaturas no âmbito de capacitação de mulheres ramais em Niassa</t>
  </si>
  <si>
    <t>Pagto de aluguer de viaturas no âmbito de treinamento de vacinadores comunitários em Niassa</t>
  </si>
  <si>
    <t>Aquisição e alocação de insumos agrícolas para campanha agrária 2021/22 da Província de Gaza</t>
  </si>
  <si>
    <t>ver_awpb_ids</t>
  </si>
  <si>
    <t>Req.143/RPSF/2022</t>
  </si>
  <si>
    <t>Pagamento de ajudas de custo distribuição de animais em Maputo, Gaza e Inhambane 08 a 14/08</t>
  </si>
  <si>
    <t>Req.141/RPSF/2022</t>
  </si>
  <si>
    <t>Pagamento de ajudas de custo distribuição de animais em Gaza 01 a 05/08</t>
  </si>
  <si>
    <t>Req.142/RPSF/2022</t>
  </si>
  <si>
    <t>Pagamento de ajudas de custo distribuição de animais em Gaza 15 a 20/08</t>
  </si>
  <si>
    <t>Req.146/RPSF/2022</t>
  </si>
  <si>
    <t>Factura Nr. FA1 A22/53</t>
  </si>
  <si>
    <t>Factura Nr.2389</t>
  </si>
  <si>
    <t>Aquisição de bicicletas para PACs das Províncias de Maputo, Gaza, Inhambane e Niassa</t>
  </si>
  <si>
    <t>Factura Nr. 232</t>
  </si>
  <si>
    <t>Fornecimento e Instalação de uma bomba e alpendre no Regadio de Moamba Bloco I</t>
  </si>
  <si>
    <t>Column1</t>
  </si>
  <si>
    <t>Column2</t>
  </si>
  <si>
    <t>Column3</t>
  </si>
  <si>
    <t>Column4</t>
  </si>
  <si>
    <t>Row Labels</t>
  </si>
  <si>
    <t>Grand Total</t>
  </si>
  <si>
    <t>Sum of Debit in USD</t>
  </si>
  <si>
    <t>2022</t>
  </si>
  <si>
    <t>2021</t>
  </si>
  <si>
    <t>Column Labels</t>
  </si>
  <si>
    <t>Pagamento da 2a tranche do acordo para multiplicacao de estacas-semente de mandioca (Insumos)</t>
  </si>
  <si>
    <t>Pagto da última tranche do acordo de colaboração (Insumos)</t>
  </si>
  <si>
    <t>Sum of Debit in 
USD</t>
  </si>
  <si>
    <t>C41A003A</t>
  </si>
  <si>
    <t>C44A003D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</si>
</sst>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_M_T_n_-;\-* #,##0.00\ _M_T_n_-;_-* &quot;-&quot;??\ _M_T_n_-;_-@_-"/>
    <numFmt numFmtId="165" formatCode="0000"/>
    <numFmt numFmtId="166" formatCode="#,##0.00;[Red]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Arial Nova Cond Light"/>
      <family val="2"/>
    </font>
    <font>
      <sz val="11"/>
      <color theme="0"/>
      <name val="Arial Nova Cond Light"/>
      <family val="2"/>
    </font>
    <font>
      <sz val="11"/>
      <name val="Arial Nova Cond Light"/>
      <family val="2"/>
    </font>
    <font>
      <b/>
      <sz val="11"/>
      <name val="Arial Nova Cond Light"/>
      <family val="2"/>
    </font>
    <font>
      <sz val="11"/>
      <color theme="1"/>
      <name val="Arial Nova Cond Light"/>
      <family val="2"/>
    </font>
    <font>
      <sz val="11"/>
      <color rgb="FFFF0000"/>
      <name val="Arial Nova Cond Light"/>
      <family val="2"/>
    </font>
    <font>
      <b/>
      <sz val="11"/>
      <color theme="1"/>
      <name val="Arial Nova Cond Light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3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</xf>
    <xf numFmtId="43" fontId="3" fillId="2" borderId="1" xfId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43" fontId="4" fillId="0" borderId="0" xfId="1" applyFont="1" applyFill="1" applyBorder="1" applyAlignment="1" applyProtection="1">
      <alignment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43" fontId="4" fillId="0" borderId="1" xfId="1" applyFont="1" applyFill="1" applyBorder="1" applyAlignment="1" applyProtection="1">
      <alignment vertical="center"/>
    </xf>
    <xf numFmtId="166" fontId="4" fillId="0" borderId="1" xfId="1" applyNumberFormat="1" applyFont="1" applyFill="1" applyBorder="1" applyAlignment="1">
      <alignment horizontal="right" vertical="center"/>
    </xf>
    <xf numFmtId="166" fontId="4" fillId="0" borderId="1" xfId="1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" fontId="4" fillId="0" borderId="1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 applyProtection="1">
      <alignment vertical="center"/>
    </xf>
    <xf numFmtId="43" fontId="4" fillId="0" borderId="3" xfId="0" applyNumberFormat="1" applyFont="1" applyFill="1" applyBorder="1" applyAlignment="1" applyProtection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43" fontId="4" fillId="0" borderId="4" xfId="0" applyNumberFormat="1" applyFont="1" applyFill="1" applyBorder="1" applyAlignment="1" applyProtection="1">
      <alignment vertical="center"/>
    </xf>
    <xf numFmtId="2" fontId="4" fillId="0" borderId="0" xfId="0" applyNumberFormat="1" applyFont="1" applyFill="1" applyBorder="1" applyAlignment="1">
      <alignment horizontal="center" vertical="center"/>
    </xf>
    <xf numFmtId="43" fontId="3" fillId="0" borderId="0" xfId="1" applyFont="1" applyFill="1" applyBorder="1" applyAlignment="1" applyProtection="1">
      <alignment vertical="center"/>
    </xf>
    <xf numFmtId="43" fontId="3" fillId="0" borderId="0" xfId="0" applyNumberFormat="1" applyFont="1" applyFill="1" applyBorder="1" applyAlignment="1" applyProtection="1">
      <alignment vertical="center"/>
    </xf>
    <xf numFmtId="0" fontId="7" fillId="2" borderId="1" xfId="2" applyFont="1" applyFill="1" applyBorder="1" applyAlignment="1" applyProtection="1">
      <alignment horizontal="center" vertical="center" wrapText="1"/>
    </xf>
    <xf numFmtId="43" fontId="7" fillId="2" borderId="1" xfId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0" applyNumberFormat="1" applyFont="1" applyFill="1" applyBorder="1" applyAlignment="1" applyProtection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43" fontId="8" fillId="0" borderId="1" xfId="1" applyFont="1" applyFill="1" applyBorder="1" applyAlignment="1">
      <alignment vertical="top"/>
    </xf>
    <xf numFmtId="43" fontId="8" fillId="0" borderId="1" xfId="1" applyFont="1" applyFill="1" applyBorder="1" applyAlignment="1" applyProtection="1">
      <alignment vertical="top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43" fontId="8" fillId="0" borderId="1" xfId="1" applyFont="1" applyFill="1" applyBorder="1" applyAlignment="1" applyProtection="1"/>
    <xf numFmtId="0" fontId="8" fillId="0" borderId="1" xfId="0" applyFont="1" applyFill="1" applyBorder="1" applyAlignment="1">
      <alignment vertical="top"/>
    </xf>
    <xf numFmtId="43" fontId="8" fillId="0" borderId="3" xfId="0" applyNumberFormat="1" applyFont="1" applyFill="1" applyBorder="1" applyAlignment="1" applyProtection="1">
      <alignment vertical="top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0" borderId="1" xfId="0" applyNumberFormat="1" applyFont="1" applyFill="1" applyBorder="1" applyAlignment="1" applyProtection="1">
      <alignment horizontal="center"/>
    </xf>
    <xf numFmtId="0" fontId="8" fillId="0" borderId="1" xfId="0" applyFont="1" applyFill="1" applyBorder="1" applyAlignment="1">
      <alignment vertical="center"/>
    </xf>
    <xf numFmtId="43" fontId="8" fillId="0" borderId="1" xfId="1" applyFont="1" applyFill="1" applyBorder="1" applyAlignment="1">
      <alignment horizontal="left"/>
    </xf>
    <xf numFmtId="49" fontId="8" fillId="0" borderId="1" xfId="1" applyNumberFormat="1" applyFont="1" applyFill="1" applyBorder="1" applyAlignment="1">
      <alignment horizontal="center"/>
    </xf>
    <xf numFmtId="43" fontId="4" fillId="0" borderId="3" xfId="1" applyFont="1" applyFill="1" applyBorder="1" applyAlignment="1" applyProtection="1">
      <alignment vertical="center"/>
    </xf>
    <xf numFmtId="49" fontId="4" fillId="0" borderId="1" xfId="1" applyNumberFormat="1" applyFont="1" applyFill="1" applyBorder="1" applyAlignment="1">
      <alignment horizontal="center" vertical="center"/>
    </xf>
    <xf numFmtId="43" fontId="8" fillId="0" borderId="3" xfId="1" applyFont="1" applyFill="1" applyBorder="1" applyAlignment="1" applyProtection="1"/>
    <xf numFmtId="0" fontId="8" fillId="3" borderId="1" xfId="0" applyNumberFormat="1" applyFont="1" applyFill="1" applyBorder="1" applyAlignment="1" applyProtection="1">
      <alignment horizontal="center"/>
    </xf>
    <xf numFmtId="49" fontId="8" fillId="3" borderId="1" xfId="1" applyNumberFormat="1" applyFont="1" applyFill="1" applyBorder="1" applyAlignment="1">
      <alignment horizontal="center"/>
    </xf>
    <xf numFmtId="0" fontId="0" fillId="0" borderId="0" xfId="0" applyFill="1"/>
    <xf numFmtId="43" fontId="8" fillId="0" borderId="1" xfId="1" applyFont="1" applyFill="1" applyBorder="1" applyAlignment="1">
      <alignment horizontal="center"/>
    </xf>
    <xf numFmtId="43" fontId="8" fillId="0" borderId="3" xfId="1" applyFont="1" applyFill="1" applyBorder="1" applyAlignment="1" applyProtection="1">
      <alignment vertical="top"/>
    </xf>
    <xf numFmtId="43" fontId="0" fillId="0" borderId="0" xfId="1" applyFont="1"/>
    <xf numFmtId="14" fontId="8" fillId="0" borderId="1" xfId="2" applyNumberFormat="1" applyFont="1" applyFill="1" applyBorder="1" applyAlignment="1" applyProtection="1">
      <alignment horizontal="center" vertical="center"/>
    </xf>
    <xf numFmtId="0" fontId="8" fillId="0" borderId="1" xfId="2" applyFont="1" applyFill="1" applyBorder="1" applyAlignment="1" applyProtection="1">
      <alignment horizontal="center" vertical="center"/>
    </xf>
    <xf numFmtId="43" fontId="8" fillId="0" borderId="1" xfId="1" applyFont="1" applyFill="1" applyBorder="1" applyAlignment="1" applyProtection="1">
      <alignment horizontal="center" vertical="center"/>
    </xf>
    <xf numFmtId="0" fontId="8" fillId="4" borderId="1" xfId="2" applyFont="1" applyFill="1" applyBorder="1" applyAlignment="1" applyProtection="1">
      <alignment horizontal="center" vertical="center"/>
    </xf>
    <xf numFmtId="43" fontId="8" fillId="0" borderId="1" xfId="1" applyFont="1" applyFill="1" applyBorder="1" applyAlignment="1"/>
    <xf numFmtId="43" fontId="8" fillId="0" borderId="1" xfId="0" applyNumberFormat="1" applyFont="1" applyFill="1" applyBorder="1" applyAlignment="1"/>
    <xf numFmtId="0" fontId="9" fillId="0" borderId="0" xfId="0" applyFont="1"/>
    <xf numFmtId="0" fontId="8" fillId="0" borderId="1" xfId="0" applyFont="1" applyBorder="1" applyAlignment="1">
      <alignment horizontal="left" vertical="center"/>
    </xf>
    <xf numFmtId="43" fontId="0" fillId="0" borderId="0" xfId="0" applyNumberFormat="1" applyFill="1"/>
    <xf numFmtId="14" fontId="8" fillId="4" borderId="1" xfId="2" applyNumberFormat="1" applyFont="1" applyFill="1" applyBorder="1" applyAlignment="1" applyProtection="1">
      <alignment horizontal="center" vertical="center"/>
    </xf>
    <xf numFmtId="43" fontId="8" fillId="4" borderId="1" xfId="1" applyFont="1" applyFill="1" applyBorder="1" applyAlignment="1" applyProtection="1">
      <alignment horizontal="center" vertical="center"/>
    </xf>
    <xf numFmtId="43" fontId="9" fillId="0" borderId="0" xfId="0" applyNumberFormat="1" applyFont="1"/>
    <xf numFmtId="43" fontId="9" fillId="0" borderId="0" xfId="1" applyFont="1"/>
    <xf numFmtId="43" fontId="4" fillId="0" borderId="1" xfId="0" applyNumberFormat="1" applyFont="1" applyFill="1" applyBorder="1" applyAlignment="1" applyProtection="1">
      <alignment vertical="center"/>
    </xf>
    <xf numFmtId="4" fontId="4" fillId="0" borderId="0" xfId="0" applyNumberFormat="1" applyFont="1" applyFill="1" applyBorder="1" applyAlignment="1" applyProtection="1">
      <alignment vertical="center"/>
    </xf>
    <xf numFmtId="166" fontId="4" fillId="0" borderId="0" xfId="0" applyNumberFormat="1" applyFont="1" applyFill="1" applyBorder="1" applyAlignment="1" applyProtection="1">
      <alignment vertical="center"/>
    </xf>
    <xf numFmtId="14" fontId="4" fillId="0" borderId="1" xfId="0" applyNumberFormat="1" applyFont="1" applyFill="1" applyBorder="1" applyAlignment="1">
      <alignment horizontal="left" vertical="center" wrapText="1"/>
    </xf>
    <xf numFmtId="166" fontId="4" fillId="4" borderId="1" xfId="1" applyNumberFormat="1" applyFont="1" applyFill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166" fontId="11" fillId="0" borderId="1" xfId="1" applyNumberFormat="1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/>
    </xf>
    <xf numFmtId="43" fontId="11" fillId="0" borderId="1" xfId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vertical="center"/>
    </xf>
    <xf numFmtId="0" fontId="4" fillId="0" borderId="1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 applyProtection="1">
      <alignment vertical="center"/>
    </xf>
    <xf numFmtId="14" fontId="4" fillId="0" borderId="5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4" fontId="4" fillId="0" borderId="10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NumberFormat="1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2" fontId="4" fillId="4" borderId="1" xfId="0" applyNumberFormat="1" applyFont="1" applyFill="1" applyBorder="1" applyAlignment="1">
      <alignment horizontal="center" vertical="center"/>
    </xf>
    <xf numFmtId="43" fontId="4" fillId="4" borderId="1" xfId="1" applyFont="1" applyFill="1" applyBorder="1" applyAlignment="1" applyProtection="1">
      <alignment vertical="center"/>
    </xf>
    <xf numFmtId="14" fontId="4" fillId="4" borderId="1" xfId="0" applyNumberFormat="1" applyFont="1" applyFill="1" applyBorder="1" applyAlignment="1">
      <alignment horizontal="left" vertical="center" wrapText="1"/>
    </xf>
    <xf numFmtId="0" fontId="4" fillId="4" borderId="0" xfId="0" applyNumberFormat="1" applyFont="1" applyFill="1" applyBorder="1" applyAlignment="1" applyProtection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 wrapText="1"/>
    </xf>
    <xf numFmtId="9" fontId="13" fillId="0" borderId="1" xfId="0" applyNumberFormat="1" applyFont="1" applyBorder="1" applyAlignment="1">
      <alignment horizontal="center" vertical="top"/>
    </xf>
    <xf numFmtId="0" fontId="12" fillId="0" borderId="1" xfId="0" applyFont="1" applyBorder="1"/>
    <xf numFmtId="4" fontId="12" fillId="0" borderId="1" xfId="0" applyNumberFormat="1" applyFont="1" applyBorder="1"/>
    <xf numFmtId="4" fontId="13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3" fontId="12" fillId="0" borderId="0" xfId="1" applyFont="1"/>
    <xf numFmtId="43" fontId="12" fillId="0" borderId="0" xfId="0" applyNumberFormat="1" applyFont="1"/>
    <xf numFmtId="14" fontId="11" fillId="0" borderId="1" xfId="0" applyNumberFormat="1" applyFont="1" applyFill="1" applyBorder="1" applyAlignment="1">
      <alignment horizontal="left" vertical="center" wrapText="1"/>
    </xf>
    <xf numFmtId="166" fontId="11" fillId="4" borderId="1" xfId="1" applyNumberFormat="1" applyFont="1" applyFill="1" applyBorder="1" applyAlignment="1">
      <alignment horizontal="right" vertical="center"/>
    </xf>
    <xf numFmtId="14" fontId="11" fillId="4" borderId="1" xfId="0" applyNumberFormat="1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left" vertical="center"/>
    </xf>
    <xf numFmtId="2" fontId="11" fillId="4" borderId="1" xfId="0" applyNumberFormat="1" applyFont="1" applyFill="1" applyBorder="1" applyAlignment="1">
      <alignment horizontal="center" vertical="center"/>
    </xf>
    <xf numFmtId="43" fontId="11" fillId="4" borderId="1" xfId="1" applyFont="1" applyFill="1" applyBorder="1" applyAlignment="1" applyProtection="1">
      <alignment vertical="center"/>
    </xf>
    <xf numFmtId="4" fontId="0" fillId="0" borderId="0" xfId="0" applyNumberFormat="1"/>
    <xf numFmtId="4" fontId="14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3" fillId="0" borderId="1" xfId="0" applyFont="1" applyFill="1" applyBorder="1" applyAlignment="1">
      <alignment vertical="center"/>
    </xf>
    <xf numFmtId="43" fontId="3" fillId="0" borderId="1" xfId="0" applyNumberFormat="1" applyFont="1" applyFill="1" applyBorder="1" applyAlignment="1" applyProtection="1">
      <alignment vertical="center"/>
    </xf>
    <xf numFmtId="43" fontId="3" fillId="0" borderId="1" xfId="1" applyFont="1" applyFill="1" applyBorder="1" applyAlignment="1" applyProtection="1">
      <alignment vertical="center"/>
    </xf>
    <xf numFmtId="0" fontId="16" fillId="0" borderId="0" xfId="0" applyFont="1" applyAlignment="1">
      <alignment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166" fontId="17" fillId="0" borderId="1" xfId="1" applyNumberFormat="1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43" fontId="17" fillId="0" borderId="1" xfId="1" applyFont="1" applyFill="1" applyBorder="1" applyAlignment="1" applyProtection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4" fontId="17" fillId="0" borderId="1" xfId="0" applyNumberFormat="1" applyFont="1" applyBorder="1" applyAlignment="1">
      <alignment horizontal="center" vertical="center" wrapText="1"/>
    </xf>
    <xf numFmtId="43" fontId="17" fillId="0" borderId="1" xfId="1" applyFont="1" applyFill="1" applyBorder="1" applyAlignment="1">
      <alignment horizontal="center" vertical="center"/>
    </xf>
    <xf numFmtId="49" fontId="17" fillId="0" borderId="1" xfId="1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49" fontId="18" fillId="0" borderId="1" xfId="1" applyNumberFormat="1" applyFont="1" applyFill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6" fontId="17" fillId="0" borderId="3" xfId="1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43" fontId="17" fillId="0" borderId="3" xfId="1" applyFont="1" applyFill="1" applyBorder="1" applyAlignment="1" applyProtection="1">
      <alignment horizontal="center" vertical="center"/>
    </xf>
    <xf numFmtId="0" fontId="19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9" fillId="0" borderId="0" xfId="0" applyFont="1"/>
    <xf numFmtId="14" fontId="17" fillId="0" borderId="3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4" fontId="4" fillId="0" borderId="1" xfId="0" applyNumberFormat="1" applyFont="1" applyFill="1" applyBorder="1" applyAlignment="1" applyProtection="1">
      <alignment vertical="center"/>
    </xf>
    <xf numFmtId="14" fontId="11" fillId="4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2" borderId="9" xfId="2" applyFont="1" applyFill="1" applyBorder="1" applyAlignment="1" applyProtection="1">
      <alignment horizontal="center" vertical="center" wrapText="1"/>
    </xf>
    <xf numFmtId="14" fontId="4" fillId="0" borderId="9" xfId="0" applyNumberFormat="1" applyFont="1" applyFill="1" applyBorder="1" applyAlignment="1">
      <alignment horizontal="center" vertical="center"/>
    </xf>
    <xf numFmtId="14" fontId="11" fillId="0" borderId="9" xfId="0" applyNumberFormat="1" applyFont="1" applyFill="1" applyBorder="1" applyAlignment="1">
      <alignment horizontal="center" vertical="center"/>
    </xf>
    <xf numFmtId="14" fontId="4" fillId="4" borderId="9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166" fontId="20" fillId="0" borderId="1" xfId="1" applyNumberFormat="1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43" fontId="20" fillId="0" borderId="1" xfId="1" applyFont="1" applyFill="1" applyBorder="1" applyAlignment="1" applyProtection="1">
      <alignment horizontal="center" vertical="center"/>
    </xf>
    <xf numFmtId="4" fontId="20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6" fontId="18" fillId="0" borderId="1" xfId="1" applyNumberFormat="1" applyFont="1" applyFill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43" fontId="18" fillId="0" borderId="1" xfId="1" applyFont="1" applyFill="1" applyBorder="1" applyAlignment="1" applyProtection="1">
      <alignment horizontal="center" vertical="center"/>
    </xf>
    <xf numFmtId="0" fontId="21" fillId="0" borderId="1" xfId="0" applyFont="1" applyBorder="1" applyAlignment="1">
      <alignment horizontal="center"/>
    </xf>
    <xf numFmtId="14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left" vertical="center" wrapText="1"/>
    </xf>
    <xf numFmtId="43" fontId="15" fillId="0" borderId="1" xfId="1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164" fontId="11" fillId="0" borderId="0" xfId="0" applyNumberFormat="1" applyFont="1" applyFill="1" applyBorder="1" applyAlignment="1" applyProtection="1">
      <alignment vertical="center"/>
    </xf>
    <xf numFmtId="43" fontId="11" fillId="0" borderId="0" xfId="1" applyFont="1" applyFill="1" applyBorder="1" applyAlignment="1" applyProtection="1">
      <alignment vertical="center"/>
    </xf>
    <xf numFmtId="0" fontId="22" fillId="0" borderId="1" xfId="0" applyFont="1" applyFill="1" applyBorder="1" applyAlignment="1">
      <alignment horizontal="left" vertical="center"/>
    </xf>
    <xf numFmtId="14" fontId="22" fillId="0" borderId="9" xfId="0" applyNumberFormat="1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NumberFormat="1" applyFont="1" applyFill="1" applyBorder="1" applyAlignment="1" applyProtection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66" fontId="22" fillId="0" borderId="1" xfId="1" applyNumberFormat="1" applyFont="1" applyFill="1" applyBorder="1" applyAlignment="1">
      <alignment horizontal="right" vertical="center"/>
    </xf>
    <xf numFmtId="2" fontId="22" fillId="0" borderId="1" xfId="0" applyNumberFormat="1" applyFont="1" applyFill="1" applyBorder="1" applyAlignment="1">
      <alignment horizontal="center" vertical="center"/>
    </xf>
    <xf numFmtId="43" fontId="22" fillId="0" borderId="1" xfId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4" borderId="1" xfId="1" applyNumberFormat="1" applyFont="1" applyFill="1" applyBorder="1" applyAlignment="1">
      <alignment horizontal="right" vertical="center"/>
    </xf>
    <xf numFmtId="166" fontId="3" fillId="0" borderId="0" xfId="0" applyNumberFormat="1" applyFont="1" applyFill="1" applyBorder="1" applyAlignment="1" applyProtection="1">
      <alignment vertical="center"/>
    </xf>
  </cellXfs>
  <cellStyles count="3">
    <cellStyle name="Comma" xfId="1" builtinId="3"/>
    <cellStyle name="Normal" xfId="0" builtinId="0"/>
    <cellStyle name="Normal 2" xfId="2" xr:uid="{00000000-0005-0000-0000-000001000000}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#,##0.00;[Red]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fill>
        <patternFill patternType="solid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 Ligh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numFmt numFmtId="166" formatCode="#,##0.00;[Red]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 Light"/>
        <scheme val="none"/>
      </font>
      <numFmt numFmtId="167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ova Con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nt%20Dezembr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an%20Dezembr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t Dezembr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Dezembr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Zunguze" refreshedDate="44802.365292013892" createdVersion="8" refreshedVersion="8" minRefreshableVersion="3" recordCount="151" xr:uid="{01776083-731A-4A26-AF35-4B49F214C4B4}">
  <cacheSource type="worksheet">
    <worksheetSource name="Table1"/>
  </cacheSource>
  <cacheFields count="17">
    <cacheField name="Date Order Number" numFmtId="14">
      <sharedItems containsSemiMixedTypes="0" containsNonDate="0" containsDate="1" containsString="0" minDate="2021-02-08T00:00:00" maxDate="2022-07-30T00:00:00" count="39">
        <d v="2022-05-06T00:00:00"/>
        <d v="2022-06-01T00:00:00"/>
        <d v="2022-06-02T00:00:00"/>
        <d v="2022-06-09T00:00:00"/>
        <d v="2022-06-17T00:00:00"/>
        <d v="2022-06-13T00:00:00"/>
        <d v="2022-06-15T00:00:00"/>
        <d v="2022-06-20T00:00:00"/>
        <d v="2022-06-11T00:00:00"/>
        <d v="2022-06-23T00:00:00"/>
        <d v="2022-07-01T00:00:00"/>
        <d v="2022-07-05T00:00:00"/>
        <d v="2022-07-14T00:00:00"/>
        <d v="2022-07-15T00:00:00"/>
        <d v="2022-07-18T00:00:00"/>
        <d v="2022-07-19T00:00:00"/>
        <d v="2022-07-20T00:00:00"/>
        <d v="2022-07-22T00:00:00"/>
        <d v="2022-07-27T00:00:00"/>
        <d v="2022-03-15T00:00:00"/>
        <d v="2022-03-03T00:00:00"/>
        <d v="2022-03-24T00:00:00"/>
        <d v="2022-04-29T00:00:00"/>
        <d v="2022-05-05T00:00:00"/>
        <d v="2022-05-16T00:00:00"/>
        <d v="2022-05-18T00:00:00"/>
        <d v="2022-05-25T00:00:00"/>
        <d v="2022-05-27T00:00:00"/>
        <d v="2021-02-08T00:00:00"/>
        <d v="2021-02-09T00:00:00"/>
        <d v="2021-03-04T00:00:00"/>
        <d v="2021-03-22T00:00:00"/>
        <d v="2021-03-25T00:00:00"/>
        <d v="2021-04-05T00:00:00"/>
        <d v="2021-05-03T00:00:00"/>
        <d v="2021-07-23T00:00:00"/>
        <d v="2021-11-12T00:00:00"/>
        <d v="2021-12-30T00:00:00"/>
        <d v="2022-07-29T00:00:00"/>
      </sharedItems>
      <fieldGroup par="16" base="0">
        <rangePr groupBy="months" startDate="2021-02-08T00:00:00" endDate="2022-07-30T00:00:00"/>
        <groupItems count="14">
          <s v="&lt;2/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0/2022"/>
        </groupItems>
      </fieldGroup>
    </cacheField>
    <cacheField name="Voucher _x000a_Number" numFmtId="0">
      <sharedItems containsBlank="1"/>
    </cacheField>
    <cacheField name="Chapter _x000a_Account" numFmtId="0">
      <sharedItems containsSemiMixedTypes="0" containsString="0" containsNumber="1" containsInteger="1" minValue="112101" maxValue="222099"/>
    </cacheField>
    <cacheField name="Supplier" numFmtId="0">
      <sharedItems/>
    </cacheField>
    <cacheField name="Category" numFmtId="0">
      <sharedItems/>
    </cacheField>
    <cacheField name="awpb_id" numFmtId="0">
      <sharedItems/>
    </cacheField>
    <cacheField name="Invoice Number/ Contract Number" numFmtId="0">
      <sharedItems containsBlank="1"/>
    </cacheField>
    <cacheField name="Description" numFmtId="0">
      <sharedItems/>
    </cacheField>
    <cacheField name="Payment _x000a_Order Number" numFmtId="0">
      <sharedItems/>
    </cacheField>
    <cacheField name="Debit in _x000a_MZM" numFmtId="0">
      <sharedItems containsSemiMixedTypes="0" containsString="0" containsNumber="1" minValue="860" maxValue="17641218.350000001"/>
    </cacheField>
    <cacheField name="Exchange Rate" numFmtId="2">
      <sharedItems containsSemiMixedTypes="0" containsString="0" containsNumber="1" minValue="63.2" maxValue="66.2"/>
    </cacheField>
    <cacheField name="Debit in _x000a_USD" numFmtId="43">
      <sharedItems containsSemiMixedTypes="0" containsString="0" containsNumber="1" minValue="13.60759493670886" maxValue="279133.20174050634"/>
    </cacheField>
    <cacheField name="Financier" numFmtId="0">
      <sharedItems/>
    </cacheField>
    <cacheField name="awpb_this_year" numFmtId="0">
      <sharedItems/>
    </cacheField>
    <cacheField name="main_activity" numFmtId="0">
      <sharedItems count="14">
        <s v="C44A009"/>
        <s v="C44A003"/>
        <s v="C41A008"/>
        <s v="C41A003"/>
        <s v="C41A006"/>
        <s v="C41A003A"/>
        <s v="C41A009"/>
        <s v="C42A001"/>
        <s v="C41A005"/>
        <s v="C44A001"/>
        <s v="C41A004"/>
        <s v="C44A008"/>
        <s v="C44A011"/>
        <s v="C11A006" u="1"/>
      </sharedItems>
    </cacheField>
    <cacheField name="Quarters" numFmtId="0" databaseField="0">
      <fieldGroup base="0">
        <rangePr groupBy="quarters" startDate="2021-02-08T00:00:00" endDate="2022-07-30T00:00:00"/>
        <groupItems count="6">
          <s v="&lt;2/8/2021"/>
          <s v="Qtr1"/>
          <s v="Qtr2"/>
          <s v="Qtr3"/>
          <s v="Qtr4"/>
          <s v="&gt;7/30/2022"/>
        </groupItems>
      </fieldGroup>
    </cacheField>
    <cacheField name="Years" numFmtId="0" databaseField="0">
      <fieldGroup base="0">
        <rangePr groupBy="years" startDate="2021-02-08T00:00:00" endDate="2022-07-30T00:00:00"/>
        <groupItems count="4">
          <s v="&lt;2/8/2021"/>
          <s v="2021"/>
          <s v="2022"/>
          <s v="&gt;7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Zunguze" refreshedDate="44802.389206134256" createdVersion="8" refreshedVersion="8" minRefreshableVersion="3" recordCount="173" xr:uid="{C4FFD438-F8B3-45CE-9772-6FACB20C91D9}">
  <cacheSource type="worksheet">
    <worksheetSource name="Table2"/>
  </cacheSource>
  <cacheFields count="20">
    <cacheField name="Date Order Number" numFmtId="14">
      <sharedItems containsSemiMixedTypes="0" containsNonDate="0" containsDate="1" containsString="0" minDate="2021-02-08T00:00:00" maxDate="2022-08-26T00:00:00" count="47">
        <d v="2021-02-08T00:00:00"/>
        <d v="2021-02-09T00:00:00"/>
        <d v="2021-03-04T00:00:00"/>
        <d v="2021-03-22T00:00:00"/>
        <d v="2021-03-25T00:00:00"/>
        <d v="2021-04-05T00:00:00"/>
        <d v="2021-05-03T00:00:00"/>
        <d v="2021-07-23T00:00:00"/>
        <d v="2021-11-12T00:00:00"/>
        <d v="2021-12-30T00:00:00"/>
        <d v="2022-03-03T00:00:00"/>
        <d v="2022-03-24T00:00:00"/>
        <d v="2022-04-29T00:00:00"/>
        <d v="2022-05-05T00:00:00"/>
        <d v="2022-05-06T00:00:00"/>
        <d v="2022-05-16T00:00:00"/>
        <d v="2022-05-18T00:00:00"/>
        <d v="2022-05-25T00:00:00"/>
        <d v="2022-05-27T00:00:00"/>
        <d v="2022-06-01T00:00:00"/>
        <d v="2022-06-02T00:00:00"/>
        <d v="2022-06-09T00:00:00"/>
        <d v="2022-06-11T00:00:00"/>
        <d v="2022-06-13T00:00:00"/>
        <d v="2022-06-15T00:00:00"/>
        <d v="2022-06-17T00:00:00"/>
        <d v="2022-06-20T00:00:00"/>
        <d v="2022-06-23T00:00:00"/>
        <d v="2022-07-01T00:00:00"/>
        <d v="2022-07-05T00:00:00"/>
        <d v="2022-07-14T00:00:00"/>
        <d v="2022-07-15T00:00:00"/>
        <d v="2022-07-18T00:00:00"/>
        <d v="2022-07-19T00:00:00"/>
        <d v="2022-07-20T00:00:00"/>
        <d v="2022-07-22T00:00:00"/>
        <d v="2022-07-25T00:00:00"/>
        <d v="2022-07-27T00:00:00"/>
        <d v="2022-07-28T00:00:00"/>
        <d v="2022-08-01T00:00:00"/>
        <d v="2022-08-03T00:00:00"/>
        <d v="2022-08-04T00:00:00"/>
        <d v="2022-08-11T00:00:00"/>
        <d v="2022-08-12T00:00:00"/>
        <d v="2022-08-22T00:00:00"/>
        <d v="2022-08-24T00:00:00"/>
        <d v="2022-08-25T00:00:00"/>
      </sharedItems>
      <fieldGroup par="19" base="0">
        <rangePr groupBy="months" startDate="2021-02-08T00:00:00" endDate="2022-08-26T00:00:00"/>
        <groupItems count="14">
          <s v="&lt;2/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2"/>
        </groupItems>
      </fieldGroup>
    </cacheField>
    <cacheField name="Voucher Number" numFmtId="0">
      <sharedItems/>
    </cacheField>
    <cacheField name="Chapter Account" numFmtId="0">
      <sharedItems containsSemiMixedTypes="0" containsString="0" containsNumber="1" containsInteger="1" minValue="112101" maxValue="222099"/>
    </cacheField>
    <cacheField name="supplier" numFmtId="0">
      <sharedItems/>
    </cacheField>
    <cacheField name="Category" numFmtId="0">
      <sharedItems/>
    </cacheField>
    <cacheField name="Component" numFmtId="0">
      <sharedItems/>
    </cacheField>
    <cacheField name="ver_awpb_ids" numFmtId="0">
      <sharedItems count="18">
        <s v="C41A006"/>
        <s v="C44A011"/>
        <s v="C41A005"/>
        <s v="C41A003A"/>
        <s v="C44A001"/>
        <s v="C41A004"/>
        <s v="C44A003"/>
        <s v="C44A009"/>
        <s v="C44A008"/>
        <s v="C41A008"/>
        <s v="C41A010"/>
        <s v="C44A003D"/>
        <s v="C41A009"/>
        <s v="C41A003"/>
        <s v="C42A001"/>
        <s v="C44A010"/>
        <s v="C41A001"/>
        <s v="C41A019" u="1"/>
      </sharedItems>
    </cacheField>
    <cacheField name="financier" numFmtId="0">
      <sharedItems/>
    </cacheField>
    <cacheField name="Invoice Number / Contract Number" numFmtId="0">
      <sharedItems containsBlank="1"/>
    </cacheField>
    <cacheField name="Description" numFmtId="0">
      <sharedItems/>
    </cacheField>
    <cacheField name="Payment Order Number" numFmtId="0">
      <sharedItems/>
    </cacheField>
    <cacheField name="Debit in MZM" numFmtId="0">
      <sharedItems containsSemiMixedTypes="0" containsString="0" containsNumber="1" minValue="860" maxValue="17641218.350000001"/>
    </cacheField>
    <cacheField name="Exchange Rate" numFmtId="2">
      <sharedItems containsSemiMixedTypes="0" containsString="0" containsNumber="1" minValue="63.2" maxValue="63.23"/>
    </cacheField>
    <cacheField name="Debit in USD" numFmtId="43">
      <sharedItems containsSemiMixedTypes="0" containsString="0" containsNumber="1" minValue="13.60759493670886" maxValue="279133.20174050634"/>
    </cacheField>
    <cacheField name="Column1" numFmtId="0">
      <sharedItems containsBlank="1" containsMixedTypes="1" containsNumber="1" minValue="0" maxValue="58246509.350000001"/>
    </cacheField>
    <cacheField name="Column2" numFmtId="0">
      <sharedItems containsBlank="1" containsMixedTypes="1" containsNumber="1" minValue="-9006.4000000000015" maxValue="37919999.999999993"/>
    </cacheField>
    <cacheField name="Column3" numFmtId="0">
      <sharedItems containsString="0" containsBlank="1" containsNumber="1" minValue="53375.5" maxValue="600000.00000000023"/>
    </cacheField>
    <cacheField name="Column4" numFmtId="0">
      <sharedItems containsString="0" containsBlank="1" containsNumber="1" minValue="48531.1" maxValue="48531.1"/>
    </cacheField>
    <cacheField name="Quarters" numFmtId="0" databaseField="0">
      <fieldGroup base="0">
        <rangePr groupBy="quarters" startDate="2021-02-08T00:00:00" endDate="2022-08-26T00:00:00"/>
        <groupItems count="6">
          <s v="&lt;2/8/2021"/>
          <s v="Qtr1"/>
          <s v="Qtr2"/>
          <s v="Qtr3"/>
          <s v="Qtr4"/>
          <s v="&gt;8/26/2022"/>
        </groupItems>
      </fieldGroup>
    </cacheField>
    <cacheField name="Years" numFmtId="0" databaseField="0">
      <fieldGroup base="0">
        <rangePr groupBy="years" startDate="2021-02-08T00:00:00" endDate="2022-08-26T00:00:00"/>
        <groupItems count="4">
          <s v="&lt;2/8/2021"/>
          <s v="2021"/>
          <s v="2022"/>
          <s v="&gt;8/2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s v="Req.22/RPSF/2022"/>
    <n v="213001"/>
    <s v="Entreposto Auto"/>
    <s v="I"/>
    <s v="C44A009"/>
    <s v="Factura Nr.96100001"/>
    <s v="Pagamento de 20% de adiantamento do contrato para o fornecimento de viaturas ligeiras"/>
    <s v="Bank Transfer"/>
    <n v="17641218.350000001"/>
    <n v="63.2"/>
    <n v="279133.20174050634"/>
    <s v="RPSF 2nd Allocation"/>
    <s v="C44A009"/>
    <x v="0"/>
  </r>
  <r>
    <x v="1"/>
    <s v="Req.44/RPSF/2022"/>
    <n v="122099"/>
    <s v="Transporte Ruth"/>
    <s v="III"/>
    <s v="C44A003A"/>
    <s v="Factura Nr.148"/>
    <s v="Aluguer de viaturas no âmbito do treinamento de PACs em Lichinga e Cuamba parte2/2"/>
    <s v="Bank Transfer"/>
    <n v="167267.01999999999"/>
    <n v="63.2"/>
    <n v="2646.6300632911389"/>
    <s v="RPSF 2nd Allocation"/>
    <s v="C44A003A"/>
    <x v="1"/>
  </r>
  <r>
    <x v="2"/>
    <s v="Req.037/RPSF/2022"/>
    <n v="112101"/>
    <s v="Diversos Técnicos"/>
    <s v="III"/>
    <s v="C44A003A"/>
    <s v="Guias de Marcha"/>
    <s v="Pagto de ajudas de custotreinamento de PCCs em Niassa"/>
    <s v="Bank Transfer"/>
    <n v="489600"/>
    <n v="63.2"/>
    <n v="7746.8354430379741"/>
    <s v="RPSF 2nd Allocation"/>
    <s v="C44A003A"/>
    <x v="1"/>
  </r>
  <r>
    <x v="3"/>
    <s v="Req.39/RPSF/2022"/>
    <n v="122099"/>
    <s v="Sociedade do Notícias"/>
    <s v="III"/>
    <s v="C44A003A"/>
    <s v="Factura Nr.4698"/>
    <s v="Publicações de anúncios no âmbito de contratação de despesas logísticas para treinamento de PCCs Zona Sul"/>
    <s v="Bank Transfer"/>
    <n v="353035.8"/>
    <n v="63.2"/>
    <n v="5586.0094936708856"/>
    <s v="RPSF 2nd Allocation"/>
    <s v="C44A003A"/>
    <x v="1"/>
  </r>
  <r>
    <x v="3"/>
    <s v="Req.48//RPSF/2022"/>
    <n v="122002"/>
    <s v="COTUR"/>
    <s v="III"/>
    <s v="C44A003A"/>
    <s v="Factura Nr.2212902"/>
    <s v="Aquisição de passagens no âmbito de capacitação de PACs e PCCs em Lichinga e Cuamba"/>
    <s v="Bank Transfer"/>
    <n v="375794"/>
    <n v="63.2"/>
    <n v="5946.1075949367087"/>
    <s v="RPSF 2nd Allocation"/>
    <s v="C44A003A"/>
    <x v="1"/>
  </r>
  <r>
    <x v="3"/>
    <s v="Req.49/RPSF/2022"/>
    <n v="122002"/>
    <s v="COTUR"/>
    <s v="III"/>
    <s v="C41A008"/>
    <s v="Factura Nr.202213658"/>
    <s v="Aquisição de passagens no âmbito capacitação de técnicos ramais e supervisores em matéria de nutrição e agro-processamento em Cuamba"/>
    <s v="Bank Transfer"/>
    <n v="191020"/>
    <n v="63.2"/>
    <n v="3022.4683544303798"/>
    <s v="RPSF 2nd Allocation"/>
    <s v="C41A008"/>
    <x v="2"/>
  </r>
  <r>
    <x v="3"/>
    <s v="Req.52/RPSF/2022"/>
    <n v="112101"/>
    <s v="Diversos Técnicos"/>
    <s v="III"/>
    <s v="C41A008"/>
    <s v="Guias de Marcha"/>
    <s v="Capacitação de mulheres rurais em matérias de nutrição e demonstração culinária_Niassa"/>
    <s v="Bank Transfer"/>
    <n v="582600"/>
    <n v="63.2"/>
    <n v="9218.3544303797462"/>
    <s v="RPSF 2nd Allocation"/>
    <s v="C41A008"/>
    <x v="2"/>
  </r>
  <r>
    <x v="4"/>
    <s v="Req. 53/RPSF/2022"/>
    <n v="112101"/>
    <s v="Diversos Técnicos"/>
    <s v="III"/>
    <s v="C41A008"/>
    <s v="Guias de Marcha"/>
    <s v="Capacitacao de mulheres rurais em materia de nutricao na Provincia de Maputo"/>
    <s v="Bank Transfer"/>
    <n v="198000"/>
    <n v="63.2"/>
    <n v="3132.911392405063"/>
    <s v="RPSF 2nd Allocation"/>
    <s v="C41A008"/>
    <x v="2"/>
  </r>
  <r>
    <x v="3"/>
    <s v="Req.54/RPSF/2022"/>
    <n v="112101"/>
    <s v="Diversos Técnicos"/>
    <s v="III"/>
    <s v="C41A008"/>
    <s v="Guias de Marcha"/>
    <s v="Capacitação de mulheres rurais em matérias de nutrição e demonstração culinária_Inhambane"/>
    <s v="Bank Transfer"/>
    <n v="494400"/>
    <n v="63.2"/>
    <n v="7822.7848101265818"/>
    <s v="RPSF 2nd Allocation"/>
    <s v="C41A008"/>
    <x v="2"/>
  </r>
  <r>
    <x v="3"/>
    <s v="Req.50/RPSF/2022"/>
    <n v="121001"/>
    <s v="PLUS"/>
    <s v="III"/>
    <s v="C44A003A"/>
    <s v="Factura Nr.1467"/>
    <s v="Aquisição de combustível no âmbito do treinamento de PCCs em Cuamba"/>
    <s v="Bank Transfer"/>
    <n v="20327.650000000001"/>
    <n v="63.2"/>
    <n v="321.64003164556965"/>
    <s v="RPSF 2nd Allocation"/>
    <s v="C44A003A"/>
    <x v="1"/>
  </r>
  <r>
    <x v="4"/>
    <s v="Req.51/RPSF/2022"/>
    <n v="112101"/>
    <s v="Diversos Técnicos"/>
    <s v="III"/>
    <s v="C44A003A"/>
    <s v="Guias de Marcha"/>
    <s v="Treinamento de vacinadores comunitarios nos distritos de Chimbonila e Cuamba"/>
    <s v="Bank Transfer"/>
    <n v="139800"/>
    <n v="63.2"/>
    <n v="2212.0253164556962"/>
    <s v="RPSF 2nd Allocation"/>
    <s v="C44A003A"/>
    <x v="1"/>
  </r>
  <r>
    <x v="3"/>
    <s v="Req.55/RPSF/2022"/>
    <n v="121001"/>
    <s v="Grupo Tropical"/>
    <s v="III"/>
    <s v="C41A008"/>
    <s v="Factura Nr.32669"/>
    <s v="Aquisição de combustível no capacitação de mulheres rurais em matérias de nutrição e demonstração culinária_Inhambane"/>
    <s v="Bank Transfer"/>
    <n v="16564"/>
    <n v="63.2"/>
    <n v="262.08860759493672"/>
    <s v="RPSF 2nd Allocation"/>
    <s v="C41A008"/>
    <x v="2"/>
  </r>
  <r>
    <x v="5"/>
    <s v="Req.55A/RPSF/2022"/>
    <n v="121001"/>
    <s v="Diversos Técnicos"/>
    <s v="III"/>
    <s v="C44A003"/>
    <s v="Facturas n. 23/3061/12100"/>
    <s v="Aquisicao de combustivel no ambito de treinamento de pequenos agricultores de contacto (PAC)"/>
    <s v="Bank Transfer"/>
    <n v="30138.9"/>
    <n v="63.2"/>
    <n v="476.88132911392404"/>
    <s v="RPSF 2nd Allocation"/>
    <s v="C44A003"/>
    <x v="1"/>
  </r>
  <r>
    <x v="6"/>
    <s v="Req.56/RPSF/2022"/>
    <n v="112101"/>
    <s v="Diversos Técnicos"/>
    <s v="III"/>
    <s v="C44A003"/>
    <s v="Guias de Marcha"/>
    <s v="Treinamento de pequenos agricultores de contacto (PAC) em Inhambane"/>
    <s v="Bank Transfer"/>
    <n v="585000"/>
    <n v="63.2"/>
    <n v="9256.32911392405"/>
    <s v="RPSF 2nd Allocation"/>
    <s v="C44A003"/>
    <x v="1"/>
  </r>
  <r>
    <x v="5"/>
    <s v="Req.57/RPSF/2022"/>
    <n v="122099"/>
    <s v="Vanda Elias Mucavele"/>
    <s v="III"/>
    <s v="C44A003"/>
    <m/>
    <s v="Pagamento de transporte aos pequenos agricultores de contacto (PAC) no teinamento em Inharrime"/>
    <s v="Bank Transfer"/>
    <n v="860"/>
    <n v="63.2"/>
    <n v="13.60759493670886"/>
    <s v="RPSF 2nd Allocation"/>
    <s v="C44A003"/>
    <x v="1"/>
  </r>
  <r>
    <x v="5"/>
    <s v="Req.58/RPSF/2022"/>
    <n v="122099"/>
    <s v="Jose Sambo"/>
    <s v="III"/>
    <s v="C44A003"/>
    <m/>
    <s v="Pagamento de transporte aos pequenos agricultores de contacto (PAC) no teinamento em Boane"/>
    <s v="Bank Transfer"/>
    <n v="20260"/>
    <n v="63.2"/>
    <n v="320.56962025316454"/>
    <s v="RPSF 2nd Allocation"/>
    <s v="C44A003"/>
    <x v="1"/>
  </r>
  <r>
    <x v="6"/>
    <s v="Req.59/RPSF/2022"/>
    <n v="112101"/>
    <s v="Diversos Técnicos"/>
    <s v="III"/>
    <s v="C44A003"/>
    <s v="Guias de Marcha"/>
    <s v="Treinamento de pequenos agricultores de contacto (PAC) em Boane"/>
    <s v="Bank Transfer"/>
    <n v="916800"/>
    <n v="63.2"/>
    <n v="14506.32911392405"/>
    <s v="RPSF 2nd Allocation"/>
    <s v="C44A003"/>
    <x v="1"/>
  </r>
  <r>
    <x v="5"/>
    <s v="Req.60/RPSF/2022"/>
    <n v="121001"/>
    <s v="Diversos fornecedores"/>
    <s v="III"/>
    <s v="C44A003"/>
    <s v="Facturas 46/91/110/1074/1989/2075"/>
    <s v="Pagamento de combustivel para treinamento de pequenos agricultores de contacto (PAC) em Boane"/>
    <s v="Bank Transfer"/>
    <n v="35362.699999999997"/>
    <n v="63.2"/>
    <n v="559.53639240506322"/>
    <s v="RPSF 2nd Allocation"/>
    <s v="C44A003"/>
    <x v="1"/>
  </r>
  <r>
    <x v="6"/>
    <s v="Req.61/RPSF/2022"/>
    <n v="112101"/>
    <s v="Diversos Técnicos"/>
    <s v="III"/>
    <s v="C44A003"/>
    <s v="Guias de Marcha"/>
    <s v="Treinamentos de vacinadores pecuarios na Provincia de Maputo-Magude"/>
    <s v="Bank Transfer"/>
    <n v="416400"/>
    <n v="63.2"/>
    <n v="6588.6075949367087"/>
    <s v="RPSF 2nd Allocation"/>
    <s v="C44A003"/>
    <x v="1"/>
  </r>
  <r>
    <x v="7"/>
    <s v="Req.62/RPSF/2022"/>
    <n v="122099"/>
    <s v="Diversos Participantes"/>
    <s v="III"/>
    <s v="C44A003"/>
    <s v="Declarações de recebimento"/>
    <s v="Pagamento de transporet dos pequenos criadores de contacto no treinamento na regiao sul"/>
    <s v="Bank Transfer"/>
    <n v="148760"/>
    <n v="63.2"/>
    <n v="2353.7974683544303"/>
    <s v="RPSF 2nd Allocation"/>
    <s v="C44A003"/>
    <x v="1"/>
  </r>
  <r>
    <x v="5"/>
    <s v="Req.63/RPSF/2022"/>
    <n v="121001"/>
    <s v="Diversos fornecedores"/>
    <s v="III"/>
    <s v="C44A003"/>
    <s v="Facturas diversas"/>
    <s v="Pagamento de combustivel no ambito da capacitacao de pequenos criadores de contacto (PAC) regiao Sul"/>
    <s v="Bank Transfer"/>
    <n v="76489.899999999994"/>
    <n v="63.2"/>
    <n v="1210.2832278481012"/>
    <s v="RPSF 2nd Allocation"/>
    <s v="C44A003"/>
    <x v="1"/>
  </r>
  <r>
    <x v="8"/>
    <s v="Req.64/RPSF/2022"/>
    <n v="112101"/>
    <s v="Diversos Técnicos"/>
    <s v="III"/>
    <s v="C44A003B"/>
    <s v="Guias de Marcha"/>
    <s v="Capacitacao de contos focais de inspeccao de semente na Provincia de Niassa"/>
    <s v="Bank Transfer"/>
    <n v="672600"/>
    <n v="63.2"/>
    <n v="10642.405063291139"/>
    <s v="RPSF 2nd Allocation"/>
    <s v="C44A003B"/>
    <x v="1"/>
  </r>
  <r>
    <x v="7"/>
    <s v="Req.65/RPSF/2022"/>
    <n v="112101"/>
    <s v="Diversos Técnicos"/>
    <s v="III"/>
    <s v="C11A006"/>
    <s v="Guias de Marcha"/>
    <s v="ADC no âmbito de verificacao das especificacoes tecnicas dos animais para traccao"/>
    <s v="Bank Transfer"/>
    <n v="27600"/>
    <n v="63.2"/>
    <n v="436.70886075949363"/>
    <s v="RPSF 2nd Allocation"/>
    <s v="C41A003"/>
    <x v="3"/>
  </r>
  <r>
    <x v="4"/>
    <s v="Req.66/RPSF/2022"/>
    <n v="122099"/>
    <s v="Angel Servicos, Lda"/>
    <s v="III"/>
    <s v="C44A003B"/>
    <s v="Factura n.00005/00007"/>
    <s v="Pagamento de prestacao de servico de aluguer sala, som e ornamentacao"/>
    <s v="Bank Transfer"/>
    <n v="79200"/>
    <n v="63.2"/>
    <n v="1253.1645569620252"/>
    <s v="RPSF 2nd Allocation"/>
    <s v="C44A003B"/>
    <x v="1"/>
  </r>
  <r>
    <x v="4"/>
    <s v="Req.67/RPSF/2022"/>
    <n v="121005"/>
    <s v="Electroffice"/>
    <s v="III"/>
    <s v="C44A003A"/>
    <s v="Factura n. 17474"/>
    <s v="Pagamento de material de formacao de pequenos agricultores de contacto (PAC)"/>
    <s v="Bank Transfer"/>
    <n v="33430"/>
    <n v="63.2"/>
    <n v="528.95569620253161"/>
    <s v="RPSF 2nd Allocation"/>
    <s v="C44A003A"/>
    <x v="1"/>
  </r>
  <r>
    <x v="4"/>
    <s v="Req.68/RPSF/2022"/>
    <n v="121005"/>
    <s v="Electroffice"/>
    <s v="III"/>
    <s v="C44A003A"/>
    <s v="Factura n. 17719/17472"/>
    <s v="Pagamento de material de formacao de pequenos criadores de contacto"/>
    <s v="Bank Transfer"/>
    <n v="14030"/>
    <n v="63.2"/>
    <n v="221.99367088607593"/>
    <s v="RPSF 2nd Allocation"/>
    <s v="C44A003A"/>
    <x v="1"/>
  </r>
  <r>
    <x v="4"/>
    <s v="Req.69/RPSF/2022"/>
    <n v="121005"/>
    <s v="Electroffice"/>
    <s v="III"/>
    <s v="C41A008"/>
    <s v="Factura n. 17473"/>
    <s v="Aquisição de material de formação no âmbito da capacitação de mulheres rurais em matéria de nutrição em Cuamba"/>
    <s v="Bank Transfer"/>
    <n v="3990"/>
    <n v="63.2"/>
    <n v="63.132911392405063"/>
    <s v="RPSF 2nd Allocation"/>
    <s v="C41A008"/>
    <x v="2"/>
  </r>
  <r>
    <x v="9"/>
    <s v="Req.71/RPSF/2022"/>
    <n v="121001"/>
    <s v="Lurio Combustivel"/>
    <s v="III"/>
    <s v="C11A025"/>
    <s v="Factura n. 1975"/>
    <s v="Pagamento de combustivel no ambito de vacinacao nos distritos"/>
    <s v="Bank Transfer"/>
    <n v="197425"/>
    <n v="63.2"/>
    <n v="3123.8132911392404"/>
    <s v="RPSF 2nd Allocation"/>
    <s v="C41A006"/>
    <x v="4"/>
  </r>
  <r>
    <x v="4"/>
    <s v="Req.72/RPSF/2022"/>
    <n v="122002"/>
    <s v="COTUR"/>
    <s v="III"/>
    <s v="C11A006"/>
    <s v="Factura n. 202215737"/>
    <s v="Pagamento de passagem aerea no ambito verificacao das especificacoes dos animais para traccao"/>
    <s v="Bank Transfer"/>
    <n v="74572"/>
    <n v="63.2"/>
    <n v="1179.9367088607594"/>
    <s v="RPSF 2nd Allocation"/>
    <s v="C11A006"/>
    <x v="5"/>
  </r>
  <r>
    <x v="9"/>
    <s v="Req,75/RPSF/2022"/>
    <n v="122099"/>
    <s v="Bald Solutions"/>
    <s v="III"/>
    <s v="C44A003"/>
    <s v="Factura n. 63"/>
    <s v="Pagamento de 50% pelo fornecimento de refeicoes no ambito de treinamento de( PAC)"/>
    <s v="Bank Transfer"/>
    <n v="440000"/>
    <n v="63.2"/>
    <n v="6962.0253164556962"/>
    <s v="RPSF 2nd Allocation"/>
    <s v="C44A003"/>
    <x v="1"/>
  </r>
  <r>
    <x v="9"/>
    <s v="Req.76/RPSF/2022"/>
    <n v="122099"/>
    <s v="Bald Solutions"/>
    <s v="III"/>
    <s v="C44A003"/>
    <s v="Factura n. 64/65"/>
    <s v="Pagamento de 50% pelo fornecimento de refeicoes no ambito de treinamento de( PAC)"/>
    <s v="Bank Transfer"/>
    <n v="575000"/>
    <n v="63.2"/>
    <n v="9098.1012658227846"/>
    <s v="RPSF 2nd Allocation"/>
    <s v="C44A003"/>
    <x v="1"/>
  </r>
  <r>
    <x v="9"/>
    <s v="Req.77/RPSF/2022"/>
    <n v="122099"/>
    <s v="Bald Solutions"/>
    <s v="III"/>
    <s v="C44A003"/>
    <s v="Factura n. 59,60,61,62"/>
    <s v="Pagamento de 50% pelo fornecimento de refeicoes no ambito de treinamento de( PAC)"/>
    <s v="Bank Transfer"/>
    <n v="707500"/>
    <n v="63.2"/>
    <n v="11194.620253164556"/>
    <s v="RPSF 2nd Allocation"/>
    <s v="C44A003"/>
    <x v="1"/>
  </r>
  <r>
    <x v="9"/>
    <s v="Req.78/RPSF/2022"/>
    <n v="122099"/>
    <s v="Bar, Restaurante e Residencial S. Miguel"/>
    <s v="III"/>
    <s v="C44A003"/>
    <s v="Factura n. 0015584"/>
    <s v="Pagamento de servicos de alojamento no ambito treinamento de (PAC) em Cuamba de 30 a 03 de Junho"/>
    <s v="Bank Transfer"/>
    <n v="142500"/>
    <n v="63.2"/>
    <n v="2254.746835443038"/>
    <s v="RPSF 2nd Allocation"/>
    <s v="C44A003"/>
    <x v="1"/>
  </r>
  <r>
    <x v="9"/>
    <s v="Req. 79/RPSF/2022"/>
    <n v="122099"/>
    <s v="Bar, Restaurante e Residencial S. Miguel"/>
    <s v="III"/>
    <s v="C44A003"/>
    <s v="Factura n. 0015581"/>
    <s v="Pagamento de servicos de alojamento no ambito treinamento de (PAC) em Cuamba de 23 a 26 de Maio"/>
    <s v="Bank Transfer"/>
    <n v="154500"/>
    <n v="63.2"/>
    <n v="2444.6202531645567"/>
    <s v="RPSF 2nd Allocation"/>
    <s v="C44A003"/>
    <x v="1"/>
  </r>
  <r>
    <x v="4"/>
    <s v="Req.79A/RPSF/2022"/>
    <n v="222099"/>
    <s v="Estacao Agraria de Chokwe-IIAM"/>
    <s v="III"/>
    <s v="C41A019"/>
    <m/>
    <s v="Pagamento da 2a tranche do acordo para multiplicacao de estacas-semente de mandioca (Insumos)"/>
    <s v="Bank Transfer"/>
    <n v="108000"/>
    <n v="63.2"/>
    <n v="1708.8607594936709"/>
    <s v="RPSF 2nd Allocation"/>
    <s v="C41A006"/>
    <x v="4"/>
  </r>
  <r>
    <x v="4"/>
    <m/>
    <n v="222099"/>
    <s v="Posto Agronómico de Nampula"/>
    <s v="III"/>
    <s v="C41A019"/>
    <m/>
    <s v="Pagto da última tranche do acordo de colaboração (Insumos)"/>
    <s v="Bank Transfer"/>
    <n v="131160.24"/>
    <n v="64.2"/>
    <n v="2042.9943925233642"/>
    <s v="RPSF 2nd Allocation"/>
    <s v="C41A006"/>
    <x v="4"/>
  </r>
  <r>
    <x v="4"/>
    <m/>
    <n v="222099"/>
    <s v="Estação Agrária de Lichinga"/>
    <s v="III"/>
    <s v="C41A019"/>
    <m/>
    <s v="Pagto da última tranche do acordo de colaboração (Insumos)"/>
    <s v="Bank Transfer"/>
    <n v="81370.39"/>
    <n v="65.2"/>
    <n v="1248.0121165644171"/>
    <s v="RPSF 2nd Allocation"/>
    <s v="C41A006"/>
    <x v="4"/>
  </r>
  <r>
    <x v="4"/>
    <m/>
    <n v="222099"/>
    <s v="Estação Agrária de Umbelúzi"/>
    <s v="III"/>
    <s v="C41A019"/>
    <m/>
    <s v="Pagto da última tranche do acordo de colaboração (Insumos)"/>
    <s v="Bank Transfer"/>
    <n v="134400"/>
    <n v="66.2"/>
    <n v="2030.2114803625377"/>
    <s v="RPSF 2nd Allocation"/>
    <s v="C41A006"/>
    <x v="4"/>
  </r>
  <r>
    <x v="9"/>
    <s v="Req.80/RPSF/2022"/>
    <n v="122099"/>
    <s v="Casa de hospede Ajaba e Filhos"/>
    <s v="III"/>
    <s v="C44A003A"/>
    <s v="Factura n. 000059"/>
    <s v="Pagamento de alojamento no ambito de treinamento de pequenos agricultores de contacto (PACs) Lichinga"/>
    <s v="Bank Transfer"/>
    <n v="249000"/>
    <n v="63.2"/>
    <n v="3939.8734177215188"/>
    <s v="RPSF 2nd Allocation"/>
    <s v="C44A003A"/>
    <x v="1"/>
  </r>
  <r>
    <x v="9"/>
    <s v="Req.81/RPSF/2022"/>
    <n v="122099"/>
    <s v="Bar, Restaurante e Residencial S. Miguel"/>
    <s v="III"/>
    <s v="C44A003A"/>
    <s v="Factura n. 0015543"/>
    <s v="Pagamento de aluguer de sala de reunioes no ambito treinamento de (PAC) em Cuamba"/>
    <s v="Bank Transfer"/>
    <n v="20000"/>
    <n v="63.2"/>
    <n v="316.45569620253161"/>
    <s v="RPSF 2nd Allocation"/>
    <s v="C44A003A"/>
    <x v="1"/>
  </r>
  <r>
    <x v="9"/>
    <s v="Req.82/RPSF/2022"/>
    <n v="112101"/>
    <s v="Diversos Técnicos"/>
    <s v="III"/>
    <s v="C44A003"/>
    <s v="Guias de Marcha"/>
    <s v="Treinamento de pequenos agricultores de contacto )PACs) em Gaza"/>
    <s v="Bank Transfer"/>
    <n v="689400"/>
    <n v="63.2"/>
    <n v="10908.227848101265"/>
    <s v="RPSF 2nd Allocation"/>
    <s v="C44A003"/>
    <x v="1"/>
  </r>
  <r>
    <x v="9"/>
    <s v="Req.83/RPSF/2022"/>
    <n v="112101"/>
    <s v="Diversos Técnicos"/>
    <s v="III"/>
    <s v="C44A003"/>
    <s v="Guias de Marcha"/>
    <s v="Treinamento de pequenos agricultores de contacto )PACs) em Inharrime"/>
    <s v="Bank Transfer"/>
    <n v="723600"/>
    <n v="63.2"/>
    <n v="11449.367088607594"/>
    <s v="RPSF 2nd Allocation"/>
    <s v="C44A003"/>
    <x v="1"/>
  </r>
  <r>
    <x v="9"/>
    <s v="Req.84/RPSF/2022"/>
    <n v="112101"/>
    <s v="Diversos Técnicos"/>
    <s v="III"/>
    <s v="C44A003"/>
    <s v="Guias de Marcha"/>
    <s v="Treinamento de pequenos agricultores de contacto )PACs) em Vilankusos e Magude"/>
    <s v="Bank Transfer"/>
    <n v="1120200"/>
    <n v="63.2"/>
    <n v="17724.683544303796"/>
    <s v="RPSF 2nd Allocation"/>
    <s v="C44A003"/>
    <x v="1"/>
  </r>
  <r>
    <x v="9"/>
    <s v="Req.85/RPSF/2022"/>
    <n v="112101"/>
    <s v="Diversos Técnicos"/>
    <s v="III"/>
    <s v="C44A003"/>
    <s v="Guais de Marcha"/>
    <s v="Treinamento de vacinadores comunitarios na Provincia de Maputo (Namaacha, Moamba,manhica e magude)"/>
    <s v="Bank Transfer"/>
    <n v="20400"/>
    <n v="63.2"/>
    <n v="322.78481012658227"/>
    <s v="RPSF 2nd Allocation"/>
    <s v="C44A003"/>
    <x v="1"/>
  </r>
  <r>
    <x v="9"/>
    <s v="Req.86/RPSF/2022"/>
    <n v="122099"/>
    <s v="Diversos Participantes"/>
    <s v="III"/>
    <s v="C44A003"/>
    <s v="Declaracoes de transporte"/>
    <s v="Pagamento de transporte no ambito do treinamento de pequenos agricultores de contacto (PAC) Vilak, Magude"/>
    <s v="Bank Transfer"/>
    <n v="245380"/>
    <n v="63.2"/>
    <n v="3882.5949367088606"/>
    <s v="RPSF 2nd Allocation"/>
    <s v="C44A003"/>
    <x v="1"/>
  </r>
  <r>
    <x v="10"/>
    <s v="Req.89/RPSF/2022"/>
    <n v="122099"/>
    <s v="Platim Hotel"/>
    <s v="III"/>
    <s v="C44A003"/>
    <s v="Factura n. 121/123"/>
    <s v="Pagamento de aluguer de sala de reunioes no ambito treinamento de (PAC) em Inhambane"/>
    <s v="Bank Transfer"/>
    <n v="210000"/>
    <n v="63.2"/>
    <n v="3322.7848101265822"/>
    <s v="RPSF 2nd Allocation"/>
    <s v="C44A003"/>
    <x v="1"/>
  </r>
  <r>
    <x v="9"/>
    <s v="Req.90/RPSF/2022"/>
    <n v="121001"/>
    <s v="Zap Zambezia Agro-Pecuaria, Lda"/>
    <s v="III"/>
    <s v="C44A003"/>
    <s v="Factura n. 006380"/>
    <s v="Pagamento de combustil para acompanhamento das actividade da URSGP e os treinamentos (PACs) e (PCCs)"/>
    <s v="Bank Transfer"/>
    <n v="350000"/>
    <n v="63.2"/>
    <n v="5537.9746835443038"/>
    <s v="RPSF 2nd Allocation"/>
    <s v="C44A003"/>
    <x v="1"/>
  </r>
  <r>
    <x v="9"/>
    <s v="Req.91/RPSF/2022"/>
    <n v="112101"/>
    <s v="Diversos Técnicos"/>
    <s v="III"/>
    <s v="C44A003"/>
    <s v="Guias de Marcha"/>
    <s v="Treinamento no âmbito da capacitação de mulheres rurais em matéria de nutrição em Inhambane"/>
    <s v="Bank Transfer"/>
    <n v="1279200"/>
    <n v="63.2"/>
    <n v="20240.506329113923"/>
    <s v="RPSF 2nd Allocation"/>
    <s v="C44A003"/>
    <x v="1"/>
  </r>
  <r>
    <x v="9"/>
    <s v="Req.92/RPSF/2022"/>
    <n v="121001"/>
    <s v="Diversos fornecedores"/>
    <s v="III"/>
    <s v="C41A008"/>
    <s v="Factura n. 010722/032726"/>
    <s v="Pagamento de combustivel no ambito da capacitacao de tecnicas ramais na Provincia de Inhambane"/>
    <s v="Bank Transfer"/>
    <n v="25953.4"/>
    <n v="63.2"/>
    <n v="410.65506329113924"/>
    <s v="RPSF 2nd Allocation"/>
    <s v="C41A008"/>
    <x v="2"/>
  </r>
  <r>
    <x v="10"/>
    <s v="Req.99/RPSF/2022"/>
    <n v="122099"/>
    <s v="Bald Solutions"/>
    <s v="III"/>
    <s v="C44A003"/>
    <s v="Factura n. 66,67,68,69"/>
    <s v="Pagamento da ultima tranche pelo fornecimento de refeicoes, aluguer sala, viaturas e alojamento"/>
    <s v="Ch. n.4039319"/>
    <n v="707500"/>
    <n v="63.2"/>
    <n v="11194.620253164556"/>
    <s v="RPSF 2nd Allocation"/>
    <s v="C44A003"/>
    <x v="1"/>
  </r>
  <r>
    <x v="10"/>
    <s v="Req.100/RPSF/2022"/>
    <n v="122099"/>
    <s v="Bald Solutions"/>
    <s v="III"/>
    <s v="C44A003"/>
    <s v="Factura n. 71,72"/>
    <s v="Pagamento da ultima tranche pelo fornecimento de refeicoes e sala de reunioes dos (PACs) em Boane"/>
    <s v="Ch n.4039335"/>
    <n v="575000"/>
    <n v="63.2"/>
    <n v="9098.1012658227846"/>
    <s v="RPSF 2nd Allocation"/>
    <s v="C44A003"/>
    <x v="1"/>
  </r>
  <r>
    <x v="10"/>
    <s v="Req,101/RPSF/2022"/>
    <n v="122099"/>
    <s v="Bald Solutions"/>
    <s v="III"/>
    <s v="C44A003"/>
    <s v="Factura n. 70"/>
    <s v="Pagamento da ultima tranche pelo fornecimento de refeicoes  (PACs) em Chidenguela"/>
    <s v="Ch. N4039386"/>
    <n v="440000"/>
    <n v="63.2"/>
    <n v="6962.0253164556962"/>
    <s v="RPSF 2nd Allocation"/>
    <s v="C44A003"/>
    <x v="1"/>
  </r>
  <r>
    <x v="10"/>
    <s v="Req.102/RPSF/2022"/>
    <n v="122099"/>
    <s v="Bald Solutions"/>
    <s v="III"/>
    <s v="C44A003"/>
    <s v="Factura n. 77"/>
    <s v="Pagamento da ultima tranche pelo fornecimento de refeicoes  (PACs) em Inharrime"/>
    <s v="Ch n. 4039300"/>
    <n v="1605000"/>
    <n v="63.2"/>
    <n v="25395.569620253162"/>
    <s v="RPSF 2nd Allocation"/>
    <s v="C44A003"/>
    <x v="1"/>
  </r>
  <r>
    <x v="10"/>
    <s v="Req.103/RPSF/2022"/>
    <n v="122099"/>
    <s v="Bald Solutions"/>
    <s v="III"/>
    <s v="C44A003"/>
    <s v="Factura n.76"/>
    <s v="Pagamento da ultima tranche pelo fornecimento de refeicoes  (PACs) em Vilankulos"/>
    <s v="Ch n. 4039343"/>
    <n v="900000"/>
    <n v="63.2"/>
    <n v="14240.506329113923"/>
    <s v="RPSF 2nd Allocation"/>
    <s v="C44A003"/>
    <x v="1"/>
  </r>
  <r>
    <x v="10"/>
    <s v="Req.104/RPSF/2022"/>
    <n v="122099"/>
    <s v="Bald Solutions"/>
    <s v="III"/>
    <s v="C44A003"/>
    <s v="Factura n. 73,74,75"/>
    <s v="Pagamento de fornecimento de sala de reunioes, alojamento e aluguer de viatura em Magude"/>
    <s v="Ch n. 4039351"/>
    <n v="357500"/>
    <n v="63.2"/>
    <n v="5656.6455696202529"/>
    <s v="RPSF 2nd Allocation"/>
    <s v="C44A003"/>
    <x v="1"/>
  </r>
  <r>
    <x v="11"/>
    <s v="Req.108/RPSF/2022"/>
    <n v="122099"/>
    <s v="A Viagem"/>
    <s v="III"/>
    <s v="C44A003"/>
    <s v="Factura Nr. 29"/>
    <s v="Pagamento de despesas logísticas no âmbitto do treinamento de PCCs em Gaza"/>
    <s v="Ch n. 4039459"/>
    <n v="444000"/>
    <n v="63.2"/>
    <n v="7025.316455696202"/>
    <s v="RPSF 2nd Allocation"/>
    <s v="C44A003"/>
    <x v="1"/>
  </r>
  <r>
    <x v="11"/>
    <s v="Req.109/RPSF/2022"/>
    <n v="122099"/>
    <s v="A Viagem"/>
    <s v="III"/>
    <s v="C44A003"/>
    <s v="Factura Nr.26"/>
    <s v="Pagamento de despesas logísticas no âmbitto do treinamento de PCCs em Maputo"/>
    <s v="Ch n. 4039424"/>
    <n v="559750"/>
    <n v="63.2"/>
    <n v="8856.8037974683539"/>
    <s v="RPSF 2nd Allocation"/>
    <s v="C44A003"/>
    <x v="1"/>
  </r>
  <r>
    <x v="11"/>
    <s v="Req.110/RPSF/2022"/>
    <n v="122099"/>
    <s v="A Viagem"/>
    <s v="III"/>
    <s v="C44A003"/>
    <s v="Factura Nr.27"/>
    <s v="Pagamento de despesas logísticas no âmbitto do treinamento de PCCs em Maputo"/>
    <s v="Ch n. 4039440"/>
    <n v="236800"/>
    <n v="63.2"/>
    <n v="3746.8354430379745"/>
    <s v="RPSF 2nd Allocation"/>
    <s v="C44A003"/>
    <x v="1"/>
  </r>
  <r>
    <x v="12"/>
    <s v="Req.105/RPSF/2022"/>
    <n v="122099"/>
    <s v="Bald Solutions"/>
    <s v="III"/>
    <s v="C44A003"/>
    <s v="Factura Nr.78,80 e 81"/>
    <s v="Pagamento de despesas logísticas no âmbitto do treinamento de PCCs e vacinadores comunitários em Maputo"/>
    <s v="Ch n. 4039475"/>
    <n v="357500"/>
    <n v="63.23"/>
    <n v="5653.9617270283097"/>
    <s v="RPSF 2nd Allocation"/>
    <s v="C44A003"/>
    <x v="1"/>
  </r>
  <r>
    <x v="13"/>
    <s v="Req.125/RPSF/2022"/>
    <n v="122099"/>
    <s v="Hotel Bernna"/>
    <s v="III"/>
    <s v="C44A003"/>
    <s v="Factura Nr. 02549"/>
    <s v="Pagto dos 50% aluguer de viatura, sala de conferência no âmbito do treinamento de PCCs em Vilankulos"/>
    <s v="Ch n. 4039548"/>
    <n v="430000"/>
    <n v="63.23"/>
    <n v="6800.5693499920926"/>
    <s v="RPSF 2nd Allocation"/>
    <s v="C44A003"/>
    <x v="1"/>
  </r>
  <r>
    <x v="13"/>
    <s v="Req.123/RPSF/2022"/>
    <n v="122099"/>
    <s v="Hotel Bernna"/>
    <s v="III"/>
    <s v="C44A003"/>
    <s v="Factura Nr. 02527"/>
    <s v="Pagto dos 50% remanescente aluguer de viatura, sala de conferência no âmbito do treinamento de PCCs em Vilankulos"/>
    <s v="Ch n. 4039521"/>
    <n v="430000"/>
    <n v="63.23"/>
    <n v="6800.5693499920926"/>
    <s v="RPSF 2nd Allocation"/>
    <s v="C44A003"/>
    <x v="1"/>
  </r>
  <r>
    <x v="14"/>
    <s v="Req.124/RPSF/2022"/>
    <n v="122099"/>
    <s v="Easy Business"/>
    <s v="III"/>
    <s v="C44A003"/>
    <s v="Factura Nr. 2/2022"/>
    <s v="Pagto pelo fornecimento de tendas e colchões para o treinamento de PACs "/>
    <s v="Ch n. 4039537"/>
    <n v="941850"/>
    <n v="63.23"/>
    <n v="14895.619168116402"/>
    <s v="RPSF 2nd Allocation"/>
    <s v="C44A003"/>
    <x v="1"/>
  </r>
  <r>
    <x v="15"/>
    <s v="Req.111/RPSF/2022"/>
    <n v="122099"/>
    <s v="PMK Serviços Triplos E.I"/>
    <s v="III"/>
    <s v="C44A003"/>
    <s v="Factura Nr. 00007"/>
    <s v="Pagto serviços de alojamento no âmbito do treinamento de PACs e Extensionistas em Gaza"/>
    <s v="Ch n. 40395413"/>
    <n v="490230"/>
    <n v="63.23"/>
    <n v="7753.1235173177292"/>
    <s v="RPSF 2nd Allocation"/>
    <s v="C44A003"/>
    <x v="1"/>
  </r>
  <r>
    <x v="15"/>
    <s v="Req.106/RPSF/2022"/>
    <n v="121099"/>
    <s v="Excavator Holding"/>
    <s v="I"/>
    <s v="C41A009"/>
    <s v="Factura Nr. 00317"/>
    <s v="Aquisição de 30 kits de demonstrações culinárias e material de higiene de prevenção da COVID19"/>
    <s v="Ch n. 4039467"/>
    <n v="802068"/>
    <n v="63.23"/>
    <n v="12684.928040487112"/>
    <s v="RPSF 2nd Allocation"/>
    <s v="C41A009"/>
    <x v="6"/>
  </r>
  <r>
    <x v="16"/>
    <s v="Req.117/RPSF/2022"/>
    <n v="121005"/>
    <s v="Nyanga Group, Lda"/>
    <s v="III"/>
    <s v="C44A003"/>
    <s v="Factura Nr.00104"/>
    <s v="Aquisição de material de formação no âmbito do treinamento de vacinadores em Gaza"/>
    <s v="Ch . 4039483"/>
    <n v="129127.05"/>
    <n v="63.23"/>
    <n v="2042.180136011387"/>
    <s v="RPSF 2nd Allocation"/>
    <s v="C44A003"/>
    <x v="1"/>
  </r>
  <r>
    <x v="16"/>
    <s v="Req.116/RPSF/2022"/>
    <n v="121005"/>
    <s v="Nyanga Group, Lda"/>
    <s v="III"/>
    <s v="C44A003"/>
    <s v="Factura Nr.00103"/>
    <s v="Aquisição de material de formação no âmbito do treinamento de vacinadores em Gaza"/>
    <s v="Ch . 4039491"/>
    <n v="559944.44999999995"/>
    <n v="63.23"/>
    <n v="8855.6768938794867"/>
    <s v="RPSF 2nd Allocation"/>
    <s v="C44A003"/>
    <x v="1"/>
  </r>
  <r>
    <x v="17"/>
    <s v="Req.119/RPSF/2022"/>
    <n v="214101"/>
    <s v="Vetrago"/>
    <s v="I"/>
    <s v="C41A003"/>
    <s v="Factura Nr. 03285"/>
    <s v="Fornecimento de bovinos de tracção animal, novilhos para reprodução e cangas"/>
    <s v="Bank Transfer"/>
    <n v="11703180"/>
    <n v="63.23"/>
    <n v="185089.04001265223"/>
    <s v="RPSF 2nd Allocation"/>
    <s v="C41A003"/>
    <x v="5"/>
  </r>
  <r>
    <x v="18"/>
    <s v="Req.127/RPSF/2022"/>
    <n v="121099"/>
    <s v="TECAP, SA"/>
    <s v="I"/>
    <s v="C42A001A"/>
    <s v="Facturas Nr.213 e 214"/>
    <s v="Aquisição de 277 kits de equipamento de trabalho e protecção individual para Maputo, Gaza, Inhambane e Niassa"/>
    <s v="Bank Transfer"/>
    <n v="9421454.9499999993"/>
    <n v="63.23"/>
    <n v="149002.92503558437"/>
    <s v="RPSF 2nd Allocation"/>
    <s v="C42A001A"/>
    <x v="7"/>
  </r>
  <r>
    <x v="18"/>
    <s v="Req.131/RPSF/2022"/>
    <n v="121099"/>
    <s v="TECAP, SA"/>
    <s v="I"/>
    <s v="C41A003"/>
    <s v="Facturas Nr.211 e 212"/>
    <s v="Aquisição de charuas, material de protecção e caroças de tracção animal para Gaza e Inhambane"/>
    <s v="Bank Transfer"/>
    <n v="9337261.6799999997"/>
    <n v="63.23"/>
    <n v="147671.38510200856"/>
    <s v="RPSF 2nd Allocation"/>
    <s v="C41A003"/>
    <x v="3"/>
  </r>
  <r>
    <x v="6"/>
    <s v="Req.70/RPSF/2022"/>
    <n v="121001"/>
    <s v="Diversos fornecedores"/>
    <s v="III"/>
    <s v="C11A025"/>
    <s v="Diversas Facturas"/>
    <s v="Pagamento de combustivel no ambito da vacinacao nos distritos"/>
    <s v="Bank Transfer"/>
    <n v="156483.5"/>
    <n v="63.23"/>
    <n v="2474.8299857662505"/>
    <s v="RPSF 2nd Allocation"/>
    <s v="C41A006"/>
    <x v="4"/>
  </r>
  <r>
    <x v="19"/>
    <s v="Req.73/RPSF/2022"/>
    <n v="121001"/>
    <s v="Diversos fornecedores"/>
    <s v="III"/>
    <s v="C41A008"/>
    <s v="Factura n. 09-2022/00449"/>
    <s v="Pagamento de combustivel no ambito de capacitacao de mulheres rurais na Provincia de Inhambane"/>
    <s v="Bank Transfer"/>
    <n v="22161"/>
    <n v="63.23"/>
    <n v="350.48236596552272"/>
    <s v="RPSF 2nd Allocation"/>
    <s v="C41A008"/>
    <x v="2"/>
  </r>
  <r>
    <x v="4"/>
    <s v="Req.87/RPSF/2022"/>
    <n v="122099"/>
    <s v="Vanda Elias Mucavele"/>
    <s v="III"/>
    <s v="C44A003"/>
    <s v="Declaracoes de transporte"/>
    <s v="Pagamento de transporte no ambito do treinamento de pequenos agricultores de contacto (PAC) Inharrime"/>
    <s v="Bank Transfer"/>
    <n v="26530"/>
    <n v="63.23"/>
    <n v="419.57931361695398"/>
    <s v="RPSF 2nd Allocation"/>
    <s v="C44A003"/>
    <x v="1"/>
  </r>
  <r>
    <x v="4"/>
    <s v="Req.88/RPSF/2022"/>
    <n v="122099"/>
    <s v="Jose Sambo"/>
    <s v="III"/>
    <s v="C44A003"/>
    <s v="Declaracoes de transporte"/>
    <s v="Pagamento de transporte no ambito do treinamento de pequenos agricultores de contacto (PAC) Chokwe"/>
    <s v="Bank Transfer"/>
    <n v="8700"/>
    <n v="63.23"/>
    <n v="137.59291475565396"/>
    <s v="RPSF 2nd Allocation"/>
    <s v="C44A003"/>
    <x v="1"/>
  </r>
  <r>
    <x v="20"/>
    <s v="Req.01/RPSF/2022"/>
    <n v="121099"/>
    <s v="Ernesto Tamele"/>
    <s v="I"/>
    <s v="C41A005"/>
    <s v="VD"/>
    <s v="Aqcisition of certified seeds for Jangamo, Homoine, Zavala, Morrumbene, Massinga and Chongoene Districts"/>
    <s v="Bank Transfer"/>
    <n v="239800"/>
    <n v="63.2"/>
    <n v="3794.3037974683543"/>
    <s v="RPSF 1st Allocation"/>
    <s v="C41A005"/>
    <x v="8"/>
  </r>
  <r>
    <x v="20"/>
    <s v="Req.02/RPSF/2022"/>
    <n v="121099"/>
    <s v="Isac Lucas Chemane"/>
    <s v="I"/>
    <s v="C41A005"/>
    <s v="VD"/>
    <s v="Aqcisition of certified seeds for Mandlakazi District"/>
    <s v="Bank Transfer"/>
    <n v="21000"/>
    <n v="63.2"/>
    <n v="332.27848101265823"/>
    <s v="RPSF 1st Allocation"/>
    <s v="C41A005"/>
    <x v="8"/>
  </r>
  <r>
    <x v="20"/>
    <s v="Req.04/RPSF/2022"/>
    <n v="121099"/>
    <s v="José Fernando João"/>
    <s v="I"/>
    <s v="C41A005"/>
    <s v="VD"/>
    <s v="Aqcisition of certified seeds for Massinga, Jangamo and Morrumbene Districts"/>
    <s v="Bank Transfer"/>
    <n v="52500"/>
    <n v="63.2"/>
    <n v="830.69620253164555"/>
    <s v="RPSF 1st Allocation"/>
    <s v="C41A005"/>
    <x v="8"/>
  </r>
  <r>
    <x v="20"/>
    <s v="Req.05/RPSF/2022"/>
    <n v="121099"/>
    <s v="Pedro Fabião Nhabongo"/>
    <s v="I"/>
    <s v="C41A005"/>
    <s v="VD"/>
    <s v="Aqcisition of certified seeds for Mandlakazi District"/>
    <s v="Bank Transfer"/>
    <n v="123750"/>
    <n v="63.2"/>
    <n v="1958.0696202531644"/>
    <s v="RPSF 1st Allocation"/>
    <s v="C41A005"/>
    <x v="8"/>
  </r>
  <r>
    <x v="20"/>
    <s v="Req.06/RPSF/2022"/>
    <n v="121099"/>
    <s v="Tomás António Chiponde"/>
    <s v="I"/>
    <s v="C41A005"/>
    <s v="VD"/>
    <s v="Aqcisition of certified seeds for Mandlakazi, Jangamo, Inharrime and Chongoene Districts"/>
    <s v="Bank Transfer"/>
    <n v="52275"/>
    <n v="63.2"/>
    <n v="827.13607594936707"/>
    <s v="RPSF 1st Allocation"/>
    <s v="C41A005"/>
    <x v="8"/>
  </r>
  <r>
    <x v="20"/>
    <s v="Req.07/RPSF/2022"/>
    <n v="121099"/>
    <s v="Boaventura Félix Moiane"/>
    <s v="I"/>
    <s v="C41A005"/>
    <s v="VD"/>
    <s v="Aqcisition of certified seeds for PACEs"/>
    <s v="Bank Transfer"/>
    <n v="19008"/>
    <n v="63.2"/>
    <n v="300.75949367088606"/>
    <s v="RPSF 1st Allocation"/>
    <s v="C41A005"/>
    <x v="8"/>
  </r>
  <r>
    <x v="20"/>
    <s v="Req.08/RPSF/2022"/>
    <n v="121099"/>
    <s v="Jaime Maria Cuamba"/>
    <s v="I"/>
    <s v="C41A005"/>
    <s v="VD"/>
    <s v="Aqcisition of certified seeds for PACEs"/>
    <s v="Bank Transfer"/>
    <n v="163360"/>
    <n v="63.2"/>
    <n v="2584.8101265822784"/>
    <s v="RPSF 1st Allocation"/>
    <s v="C41A005"/>
    <x v="8"/>
  </r>
  <r>
    <x v="20"/>
    <s v="Req.09/RPSF/2022"/>
    <n v="121099"/>
    <s v="Leonardo Salomão Massango"/>
    <s v="I"/>
    <s v="C41A005"/>
    <s v="VD"/>
    <s v="Aqcisition of certified seeds for Zavala District"/>
    <s v="Bank Transfer"/>
    <n v="34687.5"/>
    <n v="63.2"/>
    <n v="548.85284810126575"/>
    <s v="RPSF 1st Allocation"/>
    <s v="C41A005"/>
    <x v="8"/>
  </r>
  <r>
    <x v="20"/>
    <s v="Req.10/RPSF/2022"/>
    <n v="121099"/>
    <s v="Siabra Jacinto Cumbane"/>
    <s v="I"/>
    <s v="C41A005"/>
    <s v="VD"/>
    <s v="Aqcisition of certified seeds for Zavala District"/>
    <s v="Bank Transfer"/>
    <n v="11745"/>
    <n v="63.2"/>
    <n v="185.83860759493669"/>
    <s v="RPSF 1st Allocation"/>
    <s v="C41A005"/>
    <x v="8"/>
  </r>
  <r>
    <x v="20"/>
    <s v="Req.11/RPSF/2022"/>
    <n v="121099"/>
    <s v="Clara de Assis José"/>
    <s v="I"/>
    <s v="C41A005"/>
    <s v="VD"/>
    <s v="Aqcisition of certified seeds for Inharrime District"/>
    <s v="Bank Transfer"/>
    <n v="194295"/>
    <n v="63.2"/>
    <n v="3074.2879746835442"/>
    <s v="RPSF 1st Allocation"/>
    <s v="C41A005"/>
    <x v="8"/>
  </r>
  <r>
    <x v="20"/>
    <s v="Req.12/RPSF/2022"/>
    <n v="121099"/>
    <s v="Rafael Massena"/>
    <s v="I"/>
    <s v="C41A005"/>
    <s v="VD"/>
    <s v="Aqcisition of certified seeds for PACEs"/>
    <s v="Bank Transfer"/>
    <n v="295510"/>
    <n v="63.2"/>
    <n v="4675.7911392405058"/>
    <s v="RPSF 1st Allocation"/>
    <s v="C41A005"/>
    <x v="8"/>
  </r>
  <r>
    <x v="20"/>
    <s v="Req.13/RPSF/2022"/>
    <n v="121099"/>
    <s v="Salvador Francisco Banze"/>
    <s v="I"/>
    <s v="C41A005"/>
    <s v="VD"/>
    <s v="Aqcisition of certified seeds for PACEs"/>
    <s v="Bank Transfer"/>
    <n v="210434"/>
    <n v="63.2"/>
    <n v="3329.6518987341769"/>
    <s v="RPSF 1st Allocation"/>
    <s v="C41A005"/>
    <x v="8"/>
  </r>
  <r>
    <x v="21"/>
    <s v="Req.15/RPSF/2022"/>
    <n v="112101"/>
    <s v="Diversos Técnicos"/>
    <s v="I"/>
    <s v="C41A003"/>
    <s v="Guias de Marcha"/>
    <s v="Payment of DSAA-Inharrime, beneficiaries training of animal drawn carts"/>
    <s v="Bank Transfer"/>
    <n v="138600"/>
    <n v="63.2"/>
    <n v="2193.0379746835442"/>
    <s v="RPSF 1st Allocation"/>
    <s v="C41A003"/>
    <x v="5"/>
  </r>
  <r>
    <x v="21"/>
    <s v="Req.16/RPSF/2022"/>
    <n v="112101"/>
    <s v="Diversos Técnicos"/>
    <s v="I"/>
    <s v="C41A003"/>
    <s v="Guias de Marcha"/>
    <s v="Payment of DSAA-Inharrime, beneficiaries training of animal drawn carts"/>
    <s v="Bank Transfer"/>
    <n v="85200"/>
    <n v="63.2"/>
    <n v="1348.1012658227849"/>
    <s v="RPSF 1st Allocation"/>
    <s v="C41A003"/>
    <x v="5"/>
  </r>
  <r>
    <x v="21"/>
    <s v="Req.14/RPSF/2022"/>
    <n v="122099"/>
    <s v="Marracuene Sunrise Lodge"/>
    <s v="III"/>
    <s v="C44A001"/>
    <s v="VD"/>
    <s v="Payment of logistic services during the elaboration of value chains PROCAVA manuals part1/2"/>
    <s v="Bank Transfer"/>
    <n v="719100"/>
    <n v="63.2"/>
    <n v="11378.164556962025"/>
    <s v="RPSF 1st Allocation"/>
    <s v="C44A001"/>
    <x v="9"/>
  </r>
  <r>
    <x v="22"/>
    <s v="Req.17/RPSF/2022"/>
    <n v="122099"/>
    <s v="Serviços Provincial de Ambiente de Niassa"/>
    <s v="I"/>
    <s v="C41A004"/>
    <s v="Factura Nr.01 e 02"/>
    <s v="Taxas de instrução de processo de licenciamento ambiental"/>
    <s v="Bank Transfer"/>
    <n v="10000"/>
    <n v="63.2"/>
    <n v="158.22784810126581"/>
    <s v="RPSF 1st Allocation"/>
    <s v="C41A004"/>
    <x v="10"/>
  </r>
  <r>
    <x v="23"/>
    <s v="Req.21/RPSF/2022"/>
    <n v="112101"/>
    <s v="Tiago Tiago "/>
    <s v="III"/>
    <s v="C44A003"/>
    <s v="Guia de Marcha"/>
    <s v="Facilitação do módulo de Agro-Negócios na Unidade de Niassa"/>
    <s v="Bank Transfer"/>
    <n v="42000"/>
    <n v="63.2"/>
    <n v="664.55696202531647"/>
    <s v="RPSF 1st Allocation"/>
    <s v="C44A003"/>
    <x v="1"/>
  </r>
  <r>
    <x v="23"/>
    <s v="Req.23/RPSF/2022"/>
    <n v="121002"/>
    <s v="Diversos Fonecedores"/>
    <s v="I"/>
    <s v="C41A004"/>
    <s v="Diversas Facturas"/>
    <s v="Aquisição de marcos de demarcação para regularização de DUAT's-Gaza e Niassa"/>
    <s v="Bank Transfer"/>
    <n v="104948"/>
    <n v="63.2"/>
    <n v="1660.5696202531644"/>
    <s v="RPSF 1st Allocation"/>
    <s v="C41A004"/>
    <x v="10"/>
  </r>
  <r>
    <x v="0"/>
    <s v="Req.18/RPSF/2022"/>
    <n v="122099"/>
    <s v="Serviços Provinciais de Geografia e e Cadastro"/>
    <s v="I"/>
    <s v="C41A004"/>
    <s v="N/Ref/535/SPA-I/DA"/>
    <s v="Taxas de licenciamento ambiental de 26 projectos-Inhambane"/>
    <s v="Bank Transfer"/>
    <n v="26000"/>
    <n v="63.2"/>
    <n v="411.39240506329111"/>
    <s v="RPSF 1st Allocation"/>
    <s v="C41A004"/>
    <x v="10"/>
  </r>
  <r>
    <x v="0"/>
    <s v="Req.20/RPSF/2022"/>
    <n v="122099"/>
    <s v="Serviços Provinciais de Geografia e e Cadastro"/>
    <s v="I"/>
    <s v="C41A004"/>
    <s v="N/Ref/535/SPA-I/DA"/>
    <s v="Taxas de licenciamento ambiental de 26 projectos-Inhambane"/>
    <s v="Bank Transfer"/>
    <n v="26000"/>
    <n v="63.2"/>
    <n v="411.39240506329111"/>
    <s v="RPSF 1st Allocation"/>
    <s v="C41A004"/>
    <x v="10"/>
  </r>
  <r>
    <x v="24"/>
    <s v="Req.24/RPSF/2022"/>
    <n v="121001"/>
    <s v="Comércio a Retalho Chichongue"/>
    <s v="I"/>
    <s v="C41A004"/>
    <s v="Diversas Facturas"/>
    <s v="Aquisição de marcos de demarcação para regularização de DUAT's-Gaza"/>
    <s v="Bank Transfer"/>
    <n v="6600"/>
    <n v="63.2"/>
    <n v="104.43037974683544"/>
    <s v="RPSF 1st Allocation"/>
    <s v="C41A004"/>
    <x v="10"/>
  </r>
  <r>
    <x v="24"/>
    <s v="Req.25/RPSF/2022"/>
    <n v="213004"/>
    <s v="Pershop, Lda"/>
    <s v="I"/>
    <s v="C44A008"/>
    <s v="Factura Nr.2321"/>
    <s v="Pagamento parcial no âmbito de aquisição de motorizadas"/>
    <s v="Bank Transfer"/>
    <n v="1535434.28"/>
    <n v="63.2"/>
    <n v="24294.846202531644"/>
    <s v="RPSF 1st Allocation"/>
    <s v="C44A008"/>
    <x v="11"/>
  </r>
  <r>
    <x v="25"/>
    <s v="Req.16/Comb/UNGP"/>
    <n v="121001"/>
    <s v="Diversos Fonecedores"/>
    <s v="III"/>
    <s v="C41A008"/>
    <s v="Facturas Nr.18 e 10612"/>
    <s v="Aquisição de combustível no âmbito da capacitação de mulheres rurais em nutrição-Gaza"/>
    <s v="Bank Transfer"/>
    <n v="14433.5"/>
    <n v="63.2"/>
    <n v="228.37816455696202"/>
    <s v="RPSF 1st Allocation"/>
    <s v="C41A008"/>
    <x v="2"/>
  </r>
  <r>
    <x v="25"/>
    <s v="Req.27/RPSF/2022"/>
    <n v="112101"/>
    <s v="Diversos Técnicos"/>
    <s v="III"/>
    <s v="C41A008"/>
    <s v="Guias de Marcha"/>
    <s v="ADC no âmbito da capacitação de mulheres rurais em nutrição- Gaza"/>
    <s v="Bank Transfer"/>
    <n v="478800"/>
    <n v="63.2"/>
    <n v="7575.9493670886077"/>
    <s v="RPSF 1st Allocation"/>
    <s v="C41A008"/>
    <x v="2"/>
  </r>
  <r>
    <x v="25"/>
    <s v="Req.28/RPSF/2022"/>
    <n v="122099"/>
    <s v="Serviços Provincial de Ambiente de Maputo"/>
    <s v="I"/>
    <s v="C41A004"/>
    <s v="Factura Nr.01 e 02"/>
    <s v="Taxas de instrução e licenciamento de processo de licenciamento ambiental"/>
    <s v="Bank Transfer"/>
    <n v="28000"/>
    <n v="63.2"/>
    <n v="443.03797468354429"/>
    <s v="RPSF 1st Allocation"/>
    <s v="C41A004"/>
    <x v="10"/>
  </r>
  <r>
    <x v="26"/>
    <s v="Req.31/RPSF/2022"/>
    <n v="112101"/>
    <s v="Diversos Técnicos"/>
    <s v="III"/>
    <s v="C44A003A"/>
    <s v="Guias de Marcha"/>
    <s v="Treinamento de PACs em Lichinga"/>
    <s v="Bank Transfer"/>
    <n v="349800"/>
    <n v="63.2"/>
    <n v="5534.8101265822779"/>
    <s v="RPSF 1st Allocation"/>
    <s v="C44A003A"/>
    <x v="1"/>
  </r>
  <r>
    <x v="26"/>
    <s v="Req.32/RPSF/2022"/>
    <n v="112101"/>
    <s v="Diversos Técnicos"/>
    <s v="III"/>
    <s v="C44A003A"/>
    <s v="Guias de Marcha"/>
    <s v="Treinamento de PACs em Cuamba"/>
    <s v="Bank Transfer"/>
    <n v="409200"/>
    <n v="63.2"/>
    <n v="6474.6835443037971"/>
    <s v="RPSF 1st Allocation"/>
    <s v="C44A003A"/>
    <x v="1"/>
  </r>
  <r>
    <x v="27"/>
    <s v="Req.29/RPSF/2022"/>
    <n v="122099"/>
    <s v="Sociedade do Notícias"/>
    <s v="I"/>
    <s v="C41A004"/>
    <s v="Factura Nr.4043"/>
    <s v="Publicação para fornecimento e instalação de uma bomba e alpendre no regadio de Moamba Bloco I"/>
    <s v="Bank Transfer"/>
    <n v="25038"/>
    <n v="63.2"/>
    <n v="396.17088607594934"/>
    <s v="RPSF 1st Allocation"/>
    <s v="C41A004"/>
    <x v="10"/>
  </r>
  <r>
    <x v="27"/>
    <s v="Req.29/RPSF/2022"/>
    <n v="122099"/>
    <s v="Sociedade do Notícias"/>
    <s v="I"/>
    <s v="C41A005"/>
    <s v="Factura Nr.4043"/>
    <s v="Publicação para aquisição de tendas para acomodação de pequenos produtores"/>
    <s v="Bank Transfer"/>
    <n v="25038"/>
    <n v="63.2"/>
    <n v="396.17088607594934"/>
    <s v="RPSF 1st Allocation"/>
    <s v="C41A005"/>
    <x v="8"/>
  </r>
  <r>
    <x v="27"/>
    <s v="Req.30/RPSF/2022"/>
    <n v="121001"/>
    <s v="PLUS"/>
    <s v="III"/>
    <s v="C44A003A"/>
    <s v="Factura Nr.2651"/>
    <s v="Aquisição de combustível no âmbito do treinamento de PACs em Cuamba"/>
    <s v="Bank Transfer"/>
    <n v="11995.2"/>
    <n v="63.2"/>
    <n v="189.79746835443038"/>
    <s v="RPSF 1st Allocation"/>
    <s v="C44A003A"/>
    <x v="1"/>
  </r>
  <r>
    <x v="27"/>
    <s v="Req.33/RPSF/2022"/>
    <n v="122099"/>
    <s v="Sociedade do Notícias"/>
    <s v="I"/>
    <s v="C41A005"/>
    <s v="Factura Nr.3793"/>
    <s v="Publicação de anúncio para aquisição e alocação de insumos para as Províncias de Maputo, Inhambane e Niassa"/>
    <s v="Bank Transfer"/>
    <n v="160243.20000000001"/>
    <n v="63.2"/>
    <n v="2535.493670886076"/>
    <s v="RPSF 1st Allocation"/>
    <s v="C41A005"/>
    <x v="8"/>
  </r>
  <r>
    <x v="27"/>
    <s v="Req.34/RPSF/2022"/>
    <n v="122099"/>
    <s v="Sociedade do Notícias"/>
    <s v="I"/>
    <s v="C41A009"/>
    <s v="Factura Nr.4043"/>
    <s v="Publicação para aquisição e alocação de material de higiene para prevenção de COVID-19 e material de agro-processamento"/>
    <s v="Bank Transfer"/>
    <n v="25038"/>
    <n v="63.2"/>
    <n v="396.17088607594934"/>
    <s v="RPSF 1st Allocation"/>
    <s v="C41A009"/>
    <x v="6"/>
  </r>
  <r>
    <x v="2"/>
    <s v="Req.36/RPSF/2022"/>
    <n v="112101"/>
    <s v="Diversos Técnicos"/>
    <s v="III"/>
    <s v="C41A008"/>
    <s v="Guias de Marcha"/>
    <s v="Capacitação de técnicos ramais e supervisores distritais de extensão em matéria de nutrição"/>
    <s v="Bank Transfer"/>
    <n v="1219800"/>
    <n v="63.2"/>
    <n v="19300.632911392404"/>
    <s v="RPSF 1st Allocation"/>
    <s v="C41A008"/>
    <x v="2"/>
  </r>
  <r>
    <x v="2"/>
    <s v="Req.35/RPSF/2022"/>
    <n v="112101"/>
    <s v="Diversos Técnicos"/>
    <s v="I"/>
    <s v="C41A003"/>
    <s v="Guias de Marcha"/>
    <s v="Verificação das especificações técnicas dos animais de tracção no Distrito de Inharrime"/>
    <s v="Bank Transfer"/>
    <n v="26400"/>
    <n v="63.2"/>
    <n v="417.72151898734177"/>
    <s v="RPSF 1st Allocation"/>
    <s v="C41A003"/>
    <x v="5"/>
  </r>
  <r>
    <x v="1"/>
    <s v="Req.38/RPSF/2022"/>
    <n v="121028"/>
    <s v="AGRIFOCUS, Lda"/>
    <s v="I"/>
    <s v="C41A005"/>
    <s v="Guias de Marcha"/>
    <s v="Aquisição de fertilizantes para as Provínncias de Gaza e Niassa"/>
    <s v="Bank Transfer"/>
    <n v="2174425"/>
    <n v="63.2"/>
    <n v="34405.458860759492"/>
    <s v="RPSF 1st Allocation"/>
    <s v="C41A005"/>
    <x v="8"/>
  </r>
  <r>
    <x v="3"/>
    <s v="Req.46/RPSF/2022"/>
    <n v="122099"/>
    <s v="Angel Serviços"/>
    <s v="III"/>
    <s v="C44A003B"/>
    <s v="Facturas Nr.4 e 6"/>
    <s v="Pagamento de despesas logísticas no âmbito do treinamento de multiplicadores de semente em Lichinga e Cuamba"/>
    <s v="Bank Transfer"/>
    <n v="203000"/>
    <n v="63.2"/>
    <n v="3212.0253164556962"/>
    <s v="RPSF 1st Allocation"/>
    <s v="C44A003B"/>
    <x v="1"/>
  </r>
  <r>
    <x v="3"/>
    <s v="Req.45/RPSF/2022"/>
    <n v="122099"/>
    <s v="Angel Serviços"/>
    <s v="III"/>
    <s v="C44A003A"/>
    <s v="Factura Nr.8"/>
    <s v="Pagamento de despesas logísticas no âmbito do treinamento de PACs em Cuamba"/>
    <s v="Bank Transfer"/>
    <n v="291700"/>
    <n v="63.2"/>
    <n v="4615.506329113924"/>
    <s v="RPSF 1st Allocation"/>
    <s v="C44A003A"/>
    <x v="1"/>
  </r>
  <r>
    <x v="1"/>
    <s v="Req.44/RPSF/2022"/>
    <n v="122099"/>
    <s v="Transporte Ruth"/>
    <s v="III"/>
    <s v="C44A003A"/>
    <s v="Factura Nr.148"/>
    <s v="Aluguer de viaturas no âmbito do treinamento de PACs em Lichinga e Cuamba parte1/2"/>
    <s v="Bank Transfer"/>
    <n v="87732.98"/>
    <n v="63.2"/>
    <n v="1388.180063291139"/>
    <s v="RPSF 1st Allocation"/>
    <s v="C44A003A"/>
    <x v="1"/>
  </r>
  <r>
    <x v="28"/>
    <s v="Req.01/RPSF/2021"/>
    <n v="122099"/>
    <s v="Posto Agronómico de Mutuali"/>
    <s v="I"/>
    <s v="C41A02"/>
    <s v="N/A"/>
    <s v="Aquisição de semente básica de gergelim para os produores emergentes"/>
    <s v="Bank Transfer"/>
    <n v="367968"/>
    <n v="63.2"/>
    <n v="5822.2784810126577"/>
    <s v="RPSF 1st Allocation"/>
    <s v="C41A006"/>
    <x v="4"/>
  </r>
  <r>
    <x v="29"/>
    <s v="Req.02/RPSF/2021"/>
    <n v="122099"/>
    <s v="Estação Agrária de Lichinga"/>
    <s v="I"/>
    <s v="C41A02"/>
    <s v="N/A"/>
    <s v="Aquisição de semente básica de feijão vulgar para os produores emergentes"/>
    <s v="Bank Transfer"/>
    <n v="325481.56"/>
    <n v="63.2"/>
    <n v="5150.0246835443031"/>
    <s v="RPSF 1st Allocation"/>
    <s v="C41A006"/>
    <x v="4"/>
  </r>
  <r>
    <x v="29"/>
    <s v="Req.03/RPSF/2021"/>
    <n v="122099"/>
    <s v="Posto Agronómico de Nampula"/>
    <s v="I"/>
    <s v="C41A02"/>
    <s v="N/A"/>
    <s v="Aquisição de semente pré-básica e básica de gergelim e feijão nhemba para produtores emergentes"/>
    <s v="Bank Transfer"/>
    <n v="30600"/>
    <n v="63.2"/>
    <n v="484.17721518987338"/>
    <s v="RPSF 1st Allocation"/>
    <s v="C41A006"/>
    <x v="4"/>
  </r>
  <r>
    <x v="29"/>
    <s v="Req.04/RPSF/2021"/>
    <n v="122099"/>
    <s v="Posto Agronómico de Nhacoongo"/>
    <s v="I"/>
    <s v="C41A02"/>
    <s v="N/A"/>
    <s v="Aquisição de semente básica de mandioca para produtores emergentes"/>
    <s v="Bank Transfer"/>
    <n v="240000"/>
    <n v="63.2"/>
    <n v="3797.4683544303793"/>
    <s v="RPSF 1st Allocation"/>
    <s v="C41A006"/>
    <x v="4"/>
  </r>
  <r>
    <x v="29"/>
    <s v="Req.05/RPSF/2021"/>
    <n v="122099"/>
    <s v="Estação Agrária de Chókwè"/>
    <s v="I"/>
    <s v="C41A02"/>
    <s v="N/A"/>
    <s v="Aquisição de semente básica de mandioca para produtores emergentes"/>
    <s v="Bank Transfer"/>
    <n v="324000"/>
    <n v="63.2"/>
    <n v="5126.5822784810125"/>
    <s v="RPSF 1st Allocation"/>
    <s v="C41A006"/>
    <x v="4"/>
  </r>
  <r>
    <x v="29"/>
    <s v="Req.06/RPSF/2021"/>
    <n v="122099"/>
    <s v="Estação Agrária de Umbelúzi"/>
    <s v="I"/>
    <s v="C41A02"/>
    <s v="N/A"/>
    <s v="Aquisição de semente básica de mandioca para produtores emergentes"/>
    <s v="Bank Transfer"/>
    <n v="201600"/>
    <n v="63.2"/>
    <n v="3189.8734177215188"/>
    <s v="RPSF 1st Allocation"/>
    <s v="C41A006"/>
    <x v="4"/>
  </r>
  <r>
    <x v="30"/>
    <s v="Req.07/RPSF/2021"/>
    <n v="121028"/>
    <s v="A&amp;A Agro-Serviços, Lda"/>
    <s v="I"/>
    <s v="C41A02"/>
    <s v="Facturas Nr.176 e 177"/>
    <s v="Aquisição de equipamentos e insumos para laboratório da EAL"/>
    <s v="Bank Transfer"/>
    <n v="140946.82"/>
    <n v="63.2"/>
    <n v="2230.1712025316456"/>
    <s v="RPSF 1st Allocation"/>
    <s v="C41A006"/>
    <x v="4"/>
  </r>
  <r>
    <x v="31"/>
    <s v="Req.08/RPSF/2021"/>
    <n v="122099"/>
    <s v="Posto Agronómico de Nampula"/>
    <s v="I"/>
    <s v="C41A05"/>
    <s v="N/A"/>
    <s v="Adiantamento de fundos para produção de semente de raízes, tubérculos e feijão nhemba"/>
    <s v="Bank Transfer"/>
    <n v="196740.36"/>
    <n v="63.2"/>
    <n v="3112.9803797468353"/>
    <s v="RPSF 1st Allocation"/>
    <s v="C41A006"/>
    <x v="4"/>
  </r>
  <r>
    <x v="32"/>
    <s v="Req.010/RPSF/2021"/>
    <n v="112101"/>
    <s v="Diversos Técnicos"/>
    <s v="I"/>
    <s v="C41A06"/>
    <s v="Guias de Marcha"/>
    <s v="Registo e avaliação dos potenciais multiplicadores de estaca de semente feijão vulgar"/>
    <s v="Bank Transfer"/>
    <n v="45000"/>
    <n v="63.2"/>
    <n v="712.02531645569616"/>
    <s v="RPSF 1st Allocation"/>
    <s v="C41A006"/>
    <x v="4"/>
  </r>
  <r>
    <x v="33"/>
    <s v="Req.011/RPSF/2021"/>
    <n v="122099"/>
    <s v="Instituto de Propriedade Industrial"/>
    <s v="III"/>
    <s v="C44A18"/>
    <s v="Cotação 25"/>
    <s v="Pagamento de serviços de registo de marca e logotipo do PROCAVA"/>
    <s v="Bank Transfer"/>
    <n v="5775"/>
    <n v="63.2"/>
    <n v="91.37658227848101"/>
    <s v="RPSF 1st Allocation"/>
    <s v="C44A011"/>
    <x v="12"/>
  </r>
  <r>
    <x v="34"/>
    <s v="Req.012/RPSF/2021"/>
    <n v="112101"/>
    <s v="D. Mate e J. Bila"/>
    <s v="III"/>
    <s v="C44A008"/>
    <s v="Guias de Marcha"/>
    <s v="Deslocação a Gaza afim de monitorar as actividades do COVID-19"/>
    <s v="Bank Transfer"/>
    <n v="39600"/>
    <n v="63.2"/>
    <n v="626.58227848101262"/>
    <s v="RPSF 1st Allocation"/>
    <s v="C41A006"/>
    <x v="4"/>
  </r>
  <r>
    <x v="34"/>
    <s v="Req.013/RPSF/2021"/>
    <n v="122002"/>
    <s v="LAM"/>
    <s v="III"/>
    <s v="C44A008"/>
    <s v="VD 35269"/>
    <s v="Aquisição de passagens aéreas no âmbito da deslocação a indução do Niassa"/>
    <s v="Bank Transfer"/>
    <n v="385132"/>
    <n v="63.2"/>
    <n v="6093.8607594936702"/>
    <s v="RPSF 1st Allocation"/>
    <s v="C41A006"/>
    <x v="4"/>
  </r>
  <r>
    <x v="35"/>
    <s v="Req.60/INV/2021"/>
    <n v="112101"/>
    <s v="Diversos Técnicos"/>
    <s v="I"/>
    <s v="C41A09"/>
    <s v="Guias de Marcha"/>
    <s v="Capacitação de multiplicadores de semente de feijão vulgar - Chókwè"/>
    <s v="Bank Transfer"/>
    <n v="77400"/>
    <n v="63.2"/>
    <n v="1224.6835443037974"/>
    <s v="RPSF 1st Allocation"/>
    <s v="C41A006"/>
    <x v="4"/>
  </r>
  <r>
    <x v="35"/>
    <s v="Req.62/INV/2021"/>
    <n v="122099"/>
    <s v="Garagem Limpopo"/>
    <s v="I"/>
    <s v="C41A09"/>
    <s v="VD Nr.11652"/>
    <s v="Alojamento no âmbito da capacitação de multiplicadores de semente de feijão vulgar - Chókwè"/>
    <s v="Bank Transfer"/>
    <n v="4659.2"/>
    <n v="63.2"/>
    <n v="73.721518987341767"/>
    <s v="RPSF 1st Allocation"/>
    <s v="C41A006"/>
    <x v="4"/>
  </r>
  <r>
    <x v="35"/>
    <s v="Req.63/INV/2021"/>
    <n v="122099"/>
    <s v="Hotele eEventos Sorriso de Caridade"/>
    <s v="I"/>
    <s v="C41A09"/>
    <s v="Factura Nr.315"/>
    <s v="Refeições no âmbito da capacitação de multiplicadores de semente de feijão vulgar - Chókwè"/>
    <s v="Bank Transfer"/>
    <n v="83500"/>
    <n v="63.2"/>
    <n v="1321.2025316455695"/>
    <s v="RPSF 1st Allocation"/>
    <s v="C41A006"/>
    <x v="4"/>
  </r>
  <r>
    <x v="35"/>
    <s v="Req.025/RPSF/2021"/>
    <n v="121000"/>
    <s v="A&amp;A Agro-Serviços, Lda"/>
    <s v="I"/>
    <s v="C41A22"/>
    <s v="Factura Nr.208"/>
    <s v="Aquisição de equipamentos de laboratório para EAL"/>
    <s v="Bank Transfer"/>
    <n v="339898.95"/>
    <n v="63.2"/>
    <n v="5378.147943037975"/>
    <s v="RPSF 1st Allocation"/>
    <s v="C41A006"/>
    <x v="4"/>
  </r>
  <r>
    <x v="36"/>
    <s v="Req.023/RPSF/2021"/>
    <n v="122099"/>
    <s v="Socidade Notícias"/>
    <s v="I"/>
    <s v="C41A005"/>
    <s v="Factura Nr.10333"/>
    <s v="publicação de anúncio para aquisição e alocação de insumos agrícolas"/>
    <s v="Bank Transfer"/>
    <n v="96408"/>
    <n v="63.2"/>
    <n v="1525.4430379746834"/>
    <s v="RPSF 1st Allocation"/>
    <s v="C41A006"/>
    <x v="4"/>
  </r>
  <r>
    <x v="37"/>
    <s v="Req.016/RPSF/2021"/>
    <n v="112101"/>
    <s v="Ernesto Wane"/>
    <s v="I"/>
    <s v="C41A06"/>
    <s v="Guias de Marcha"/>
    <s v="Distribuição de estaca semente de mandioca em Homoine, Jangamo e Zavala"/>
    <s v="Bank Transfer"/>
    <n v="10800"/>
    <n v="63.2"/>
    <n v="170.88607594936707"/>
    <s v="RPSF 1st Allocation"/>
    <s v="C41A006"/>
    <x v="4"/>
  </r>
  <r>
    <x v="37"/>
    <s v="Req.017/RPSF/2021"/>
    <n v="112101"/>
    <s v="Ernesto Wane"/>
    <s v="I"/>
    <s v="C41A06"/>
    <s v="Guias de Marcha"/>
    <s v="Distribuição de estaca semente de mandioca em Chongoene e Mandlakazi"/>
    <s v="Bank Transfer"/>
    <n v="3600"/>
    <n v="63.2"/>
    <n v="56.962025316455694"/>
    <s v="RPSF 1st Allocation"/>
    <s v="C41A006"/>
    <x v="4"/>
  </r>
  <r>
    <x v="37"/>
    <s v="Req.018/RPSF/2021"/>
    <n v="112101"/>
    <s v="Ernesto Wane"/>
    <s v="I"/>
    <s v="C41A06"/>
    <s v="Guia de Marcha"/>
    <s v="Distribuição de estaca semente de mandioca em Massinga e Morrumbene"/>
    <s v="Bank Transfer"/>
    <n v="37800"/>
    <n v="63.2"/>
    <n v="598.10126582278474"/>
    <s v="RPSF 1st Allocation"/>
    <s v="C41A006"/>
    <x v="4"/>
  </r>
  <r>
    <x v="37"/>
    <s v="Req.019/RPSF/2021"/>
    <n v="112101"/>
    <s v="Ernesto Wane"/>
    <s v="I"/>
    <s v="C41A06"/>
    <s v="Guia de Marcha"/>
    <s v="Distribuição de estaca semente de mandioca em Homoine, Jangamo e Zavala"/>
    <s v="Bank Transfer"/>
    <n v="7800"/>
    <n v="63.2"/>
    <n v="123.41772151898734"/>
    <s v="RPSF 1st Allocation"/>
    <s v="C41A006"/>
    <x v="4"/>
  </r>
  <r>
    <x v="37"/>
    <s v="Req.021/RPSF/2021"/>
    <n v="121002"/>
    <s v="J. Sambo e P. Monjane"/>
    <s v="I"/>
    <s v="C41A06"/>
    <s v="Guia de Marcha"/>
    <s v="Monitoria de CDR em Jangamo, Inharrime e Zavala"/>
    <s v="Bank Transfer"/>
    <n v="10800"/>
    <n v="63.2"/>
    <n v="170.88607594936707"/>
    <s v="RPSF 1st Allocation"/>
    <s v="C41A006"/>
    <x v="4"/>
  </r>
  <r>
    <x v="37"/>
    <s v="Req.022/RPSF/2021"/>
    <n v="112101"/>
    <s v="P. Monjane, J. Sambo e Claúdio Nhabinde"/>
    <s v="I"/>
    <s v="C41A06"/>
    <s v="Guias de Marcha"/>
    <s v="Inspeção de campos de multiplicação de mandioca e feijão-Chibuto e Mandlakazi"/>
    <s v="Bank Transfer"/>
    <n v="10800"/>
    <n v="63.2"/>
    <n v="170.88607594936707"/>
    <s v="RPSF 1st Allocation"/>
    <s v="C41A006"/>
    <x v="4"/>
  </r>
  <r>
    <x v="37"/>
    <s v="Req.024/RPSF/2021"/>
    <n v="112101"/>
    <s v="J. Filipe, R. Jamisse e R. Massinga"/>
    <s v="I"/>
    <s v="C41A06"/>
    <s v="Guias de Marcha"/>
    <s v="Inspeção de campos de multiplicação de semente de feijão vulgar-boane"/>
    <s v="Bank Transfer"/>
    <n v="10800"/>
    <n v="63.2"/>
    <n v="170.88607594936707"/>
    <s v="RPSF 1st Allocation"/>
    <s v="C41A006"/>
    <x v="4"/>
  </r>
  <r>
    <x v="38"/>
    <s v="Req.112/RPSF/2022"/>
    <n v="122099"/>
    <s v="Angel Serviços"/>
    <s v="I"/>
    <s v="C41A008"/>
    <s v="Factura Nr.00024"/>
    <s v="Pagto de refeições no âmbito do treinamento de técnicos ramais em Niassa"/>
    <s v="Bank Transfer"/>
    <n v="280000"/>
    <n v="63.23"/>
    <n v="4428.2777162739212"/>
    <s v="RPSF 1st Allocation"/>
    <s v="C41A008"/>
    <x v="2"/>
  </r>
  <r>
    <x v="38"/>
    <s v="Req.115/RPSF/2022"/>
    <n v="122099"/>
    <s v="Angel Serviços"/>
    <s v="I"/>
    <s v="C41A008"/>
    <s v="Factura Nr.00026"/>
    <s v="Pagto de refeições no âmbito da capacitação de mulheres rurais em Niassa"/>
    <s v="Bank Transfer"/>
    <n v="185400"/>
    <n v="63.23"/>
    <n v="2932.1524592756605"/>
    <s v="RPSF 1st Allocation"/>
    <s v="C41A008"/>
    <x v="2"/>
  </r>
  <r>
    <x v="38"/>
    <s v="Req.113/RPSF/2022"/>
    <n v="122099"/>
    <s v="Angel Serviços"/>
    <s v="I"/>
    <s v="C44A003"/>
    <s v="Factura Nr.00022"/>
    <s v="Pagto de serviços de ornamentação no âmbito de aluguer de sala e som âmbito PAC em Lichinga"/>
    <s v="Bank Transfer"/>
    <n v="195800"/>
    <n v="63.23"/>
    <n v="3096.6313458801205"/>
    <s v="RPSF 1st Allocation"/>
    <s v="C44A003"/>
    <x v="1"/>
  </r>
  <r>
    <x v="38"/>
    <s v="Req.94/RPSF/2022"/>
    <n v="122099"/>
    <s v="Bar, Restaurante Residencial S. Miguel"/>
    <s v="I"/>
    <s v="C41A008"/>
    <s v="Factura Nr.0015596"/>
    <s v="Pagto aluguer de sala de reuniões no âmbito do treinamento de técnicos ramais em Cuamba"/>
    <s v="Bank Transfer"/>
    <n v="55000"/>
    <n v="63.23"/>
    <n v="869.84026569666298"/>
    <s v="RPSF 1st Allocation"/>
    <s v="C41A008"/>
    <x v="2"/>
  </r>
  <r>
    <x v="38"/>
    <s v="Req.93/RPSF/2022"/>
    <n v="122099"/>
    <s v="Bar, Restaurante Residencial S. Miguel"/>
    <s v="I"/>
    <s v="C44A003"/>
    <s v="Factura Nr.0015595"/>
    <s v="Pagto aluguer de sala de reuniões no âmbito do treinamento de PCCs em Cuamba"/>
    <s v="Bank Transfer"/>
    <n v="25000"/>
    <n v="63.23"/>
    <n v="395.38193895302862"/>
    <s v="RPSF 1st Allocation"/>
    <s v="C44A003"/>
    <x v="1"/>
  </r>
  <r>
    <x v="38"/>
    <s v="Req.120/RPSF/2022"/>
    <n v="122099"/>
    <s v="Angel Serviços"/>
    <s v="I"/>
    <s v="C44A003"/>
    <s v="Factura Nr.00023"/>
    <s v="Pagto de serviços de refeições no âmbito de PCCs em Cuamba"/>
    <s v="Bank Transfer"/>
    <n v="329200"/>
    <n v="63.23"/>
    <n v="5206.3893721334816"/>
    <s v="RPSF 1st Allocation"/>
    <s v="C44A003"/>
    <x v="1"/>
  </r>
  <r>
    <x v="38"/>
    <s v="Req.114/RPSF/2022"/>
    <n v="122099"/>
    <s v="Angel Serviços"/>
    <s v="I"/>
    <s v="C44A003"/>
    <s v="Factura Nr.00021"/>
    <s v="Pagto de serviços de refeições no âmbito de PACs em Lichinga"/>
    <s v="Bank Transfer"/>
    <n v="610250"/>
    <n v="63.23"/>
    <n v="9651.2731298434301"/>
    <s v="RPSF 1st Allocation"/>
    <s v="C44A003"/>
    <x v="1"/>
  </r>
  <r>
    <x v="38"/>
    <s v="Req.118/RPSF/2022"/>
    <n v="122099"/>
    <s v="Transporte Ruth"/>
    <s v="I"/>
    <s v="C44A003"/>
    <s v="Factura Nr.000149"/>
    <s v="Pagto de aluguer de viaturas no âmbito de treinamento de PCCs em Cuamba"/>
    <s v="Bank Transfer"/>
    <n v="211000"/>
    <n v="63.23"/>
    <n v="3337.0235647635618"/>
    <s v="RPSF 1st Allocation"/>
    <s v="C44A003"/>
    <x v="1"/>
  </r>
  <r>
    <x v="38"/>
    <s v="Req.121/RPSF/2022"/>
    <n v="122099"/>
    <s v="Transporte Ruth"/>
    <s v="I"/>
    <s v="C41A008"/>
    <s v="Factura Nr.000087"/>
    <s v="Pagto de aluguer de viaturas no âmbito de capacitação de mulheres ramais em Niassa"/>
    <s v="Bank Transfer"/>
    <n v="168000"/>
    <n v="63.23"/>
    <n v="2656.9666297643525"/>
    <s v="RPSF 1st Allocation"/>
    <s v="C41A008"/>
    <x v="2"/>
  </r>
  <r>
    <x v="38"/>
    <s v="Req.122/RPSF/2022"/>
    <n v="122099"/>
    <s v="Transporte Ruth"/>
    <s v="I"/>
    <s v="C44A003"/>
    <s v="Factura Nr.000088"/>
    <s v="Pagto de aluguer de viaturas no âmbito de treinamento de vacinadores comunitários em Niassa"/>
    <s v="Bank Transfer"/>
    <n v="47500"/>
    <n v="63.23"/>
    <n v="751.22568401075443"/>
    <s v="RPSF 1st Allocation"/>
    <s v="C44A003"/>
    <x v="1"/>
  </r>
  <r>
    <x v="38"/>
    <s v="Req.139/RPSF/2022"/>
    <n v="121099"/>
    <s v="Casa do Agricultor"/>
    <s v="I"/>
    <s v="C41A006"/>
    <s v="Factura Nr. FA1 A22/44"/>
    <s v="Aquisição e alocação de insumos agrícolas para campanha agrária 2021/22 da Província de Gaza"/>
    <s v="Bank Transfer"/>
    <n v="6048899.8799999999"/>
    <n v="63.23"/>
    <n v="95665.030523485693"/>
    <s v="RPSF 1st Allocation"/>
    <s v="C41A006"/>
    <x v="4"/>
  </r>
  <r>
    <x v="18"/>
    <s v="Req.131/RPSF/2022"/>
    <n v="121099"/>
    <s v="TECAP, SA"/>
    <s v="I"/>
    <s v="C41A003"/>
    <s v="Facturas Nr.211 e 212"/>
    <s v="Aquisição de charuas, material de protecção e caroças de tracção animal para Gaza e Inhambane"/>
    <s v="Bank Transfer"/>
    <n v="9337261.6799999997"/>
    <n v="63.23"/>
    <n v="147671.38510200856"/>
    <s v="RPSF 2nd Allocation"/>
    <s v="C41A003"/>
    <x v="3"/>
  </r>
  <r>
    <x v="6"/>
    <s v="Req.70/RPSF/2022"/>
    <n v="121001"/>
    <s v="Diversos fornecedores"/>
    <s v="III"/>
    <s v="C11A025"/>
    <s v="Diversas Facturas"/>
    <s v="Pagamento de combustivel no ambito da vacinacao nos distritos"/>
    <s v="Bank Transfer"/>
    <n v="156483.5"/>
    <n v="63.23"/>
    <n v="2474.8299857662505"/>
    <s v="RPSF 2nd Allocation"/>
    <s v="C41A006"/>
    <x v="4"/>
  </r>
  <r>
    <x v="19"/>
    <s v="Req.73/RPSF/2022"/>
    <n v="121001"/>
    <s v="Diversos fornecedores"/>
    <s v="III"/>
    <s v="C41A008"/>
    <s v="Factura n. 09-2022/00449"/>
    <s v="Pagamento de combustivel no ambito de capacitacao de mulheres rurais na Provincia de Inhambane"/>
    <s v="Bank Transfer"/>
    <n v="22161"/>
    <n v="63.23"/>
    <n v="350.48236596552272"/>
    <s v="RPSF 2nd Allocation"/>
    <s v="C41A008"/>
    <x v="2"/>
  </r>
  <r>
    <x v="4"/>
    <s v="Req.87/RPSF/2022"/>
    <n v="122099"/>
    <s v="Vanda Elias Mucavele"/>
    <s v="III"/>
    <s v="C44A003"/>
    <s v="Declaracoes de transporte"/>
    <s v="Pagamento de transporte no ambito do treinamento de pequenos agricultores de contacto (PAC) Inharrime"/>
    <s v="Bank Transfer"/>
    <n v="26530"/>
    <n v="63.23"/>
    <n v="419.57931361695398"/>
    <s v="RPSF 2nd Allocation"/>
    <s v="C44A003"/>
    <x v="1"/>
  </r>
  <r>
    <x v="4"/>
    <s v="Req.88/RPSF/2022"/>
    <n v="122099"/>
    <s v="Jose Sambo"/>
    <s v="III"/>
    <s v="C44A003"/>
    <s v="Declaracoes de transporte"/>
    <s v="Pagamento de transporte no ambito do treinamento de pequenos agricultores de contacto (PAC) Chokwe"/>
    <s v="Bank Transfer"/>
    <n v="8700"/>
    <n v="63.23"/>
    <n v="137.59291475565396"/>
    <s v="RPSF 2nd Allocation"/>
    <s v="C44A00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s v="Req.01/RPSF/2021"/>
    <n v="122099"/>
    <s v="Posto Agronómico de Mutuali"/>
    <s v="I"/>
    <s v="C41A02"/>
    <x v="0"/>
    <s v="1st Allocation"/>
    <s v="N/A"/>
    <s v="Acquisition of basic sesame seed for emerging producers"/>
    <s v="bank transfer"/>
    <n v="367968"/>
    <n v="63.2"/>
    <n v="5822.2784810126577"/>
    <m/>
    <m/>
    <m/>
    <m/>
  </r>
  <r>
    <x v="1"/>
    <s v="Req.02/RPSF/2021"/>
    <n v="122099"/>
    <s v="Estação Agrária de Lichinga"/>
    <s v="I"/>
    <s v="C41A02"/>
    <x v="0"/>
    <s v="1st Allocation"/>
    <s v="N/A"/>
    <s v="Acquisition of basic common bean seed for emerging producers"/>
    <s v="bank transfer"/>
    <n v="325481.56"/>
    <n v="63.2"/>
    <n v="5150.0246835443031"/>
    <m/>
    <m/>
    <m/>
    <m/>
  </r>
  <r>
    <x v="1"/>
    <s v="Req.03/RPSF/2021"/>
    <n v="122099"/>
    <s v="Posto Agronómico de Nampula"/>
    <s v="I"/>
    <s v="C41A02"/>
    <x v="0"/>
    <s v="1st Allocation"/>
    <s v="N/A"/>
    <s v="Acquisition of pre-basic and basic sesame and cowpea seed for emerging producers"/>
    <s v="bank transfer"/>
    <n v="30600"/>
    <n v="63.2"/>
    <n v="484.17721518987338"/>
    <m/>
    <m/>
    <m/>
    <m/>
  </r>
  <r>
    <x v="1"/>
    <s v="Req.04/RPSF/2021"/>
    <n v="122099"/>
    <s v="Posto Agronómico de Nhacoongo"/>
    <s v="I"/>
    <s v="C41A02"/>
    <x v="0"/>
    <s v="1st Allocation"/>
    <s v="N/A"/>
    <s v="Acquisition of basic cassava seed for emerging producers"/>
    <s v="bank transfer"/>
    <n v="240000"/>
    <n v="63.2"/>
    <n v="3797.4683544303793"/>
    <m/>
    <m/>
    <m/>
    <m/>
  </r>
  <r>
    <x v="1"/>
    <s v="Req.05/RPSF/2021"/>
    <n v="122099"/>
    <s v="Estação Agrária de Chókwè"/>
    <s v="I"/>
    <s v="C41A02"/>
    <x v="0"/>
    <s v="1st Allocation"/>
    <s v="N/A"/>
    <s v="Acquisition of basic cassava seed for emerging producers"/>
    <s v="bank transfer"/>
    <n v="324000"/>
    <n v="63.2"/>
    <n v="5126.5822784810125"/>
    <m/>
    <m/>
    <m/>
    <m/>
  </r>
  <r>
    <x v="1"/>
    <s v="Req.06/RPSF/2021"/>
    <n v="122099"/>
    <s v="Estação Agrária de Umbelúzi"/>
    <s v="I"/>
    <s v="C41A02"/>
    <x v="0"/>
    <s v="1st Allocation"/>
    <s v="N/A"/>
    <s v="Acquisition of basic cassava seed for emerging producers"/>
    <s v="bank transfer"/>
    <n v="201600"/>
    <n v="63.2"/>
    <n v="3189.8734177215188"/>
    <m/>
    <m/>
    <m/>
    <m/>
  </r>
  <r>
    <x v="2"/>
    <s v="Req.07/RPSF/2021"/>
    <n v="121028"/>
    <s v="A&amp;A Agro-Serviços, Lda"/>
    <s v="I"/>
    <s v="C41A02"/>
    <x v="0"/>
    <s v="1st Allocation"/>
    <s v="Facturas Nr.176 e 177"/>
    <s v="Acquisition of equipment and supplies for the EAL laboratory"/>
    <s v="bank transfer"/>
    <n v="140946.82"/>
    <n v="63.2"/>
    <n v="2230.1712025316456"/>
    <m/>
    <m/>
    <m/>
    <m/>
  </r>
  <r>
    <x v="3"/>
    <s v="Req.08/RPSF/2021"/>
    <n v="122099"/>
    <s v="Posto Agronómico de Nampula"/>
    <s v="I"/>
    <s v="C41A05"/>
    <x v="0"/>
    <s v="1st Allocation"/>
    <s v="N/A"/>
    <s v="Advance of funds for the production of seed from roots, tubers and cowpeas"/>
    <s v="bank transfer"/>
    <n v="196740.36"/>
    <n v="63.2"/>
    <n v="3112.9803797468353"/>
    <m/>
    <m/>
    <m/>
    <m/>
  </r>
  <r>
    <x v="4"/>
    <s v="Req.010/RPSF/2021"/>
    <n v="112101"/>
    <s v="Diversos Técnicos"/>
    <s v="I"/>
    <s v="C41A06"/>
    <x v="0"/>
    <s v="1st Allocation"/>
    <s v="Guias de Marcha"/>
    <s v="Registration and evaluation of the potential multipliers of common bean seed cuttings"/>
    <s v="bank transfer"/>
    <n v="45000"/>
    <n v="63.2"/>
    <n v="712.02531645569616"/>
    <m/>
    <m/>
    <m/>
    <m/>
  </r>
  <r>
    <x v="5"/>
    <s v="Req.011/RPSF/2021"/>
    <n v="122099"/>
    <s v="Instituto de Propriedade Industrial"/>
    <s v="I"/>
    <s v="C44A18"/>
    <x v="1"/>
    <s v="1st Allocation"/>
    <s v="Cotação 25"/>
    <s v="Payment for PROCAVA trademark and logo registration services"/>
    <s v="bank transfer"/>
    <n v="5775"/>
    <n v="63.2"/>
    <n v="91.37658227848101"/>
    <m/>
    <m/>
    <m/>
    <m/>
  </r>
  <r>
    <x v="6"/>
    <s v="Req.012/RPSF/2021"/>
    <n v="112101"/>
    <s v="D. Mate e J. Bila"/>
    <s v="III"/>
    <s v="C44A008"/>
    <x v="0"/>
    <s v="1st Allocation"/>
    <s v="Guias de Marcha"/>
    <s v="Deployment to Gaza to monitor COVID-19 activities"/>
    <s v="bank transfer"/>
    <n v="39600"/>
    <n v="63.2"/>
    <n v="626.58227848101262"/>
    <m/>
    <m/>
    <m/>
    <m/>
  </r>
  <r>
    <x v="6"/>
    <s v="Req.013/RPSF/2021"/>
    <n v="122002"/>
    <s v="LAM"/>
    <s v="III"/>
    <s v="C44A008"/>
    <x v="0"/>
    <s v="1st Allocation"/>
    <s v="VD 35269"/>
    <s v="Purchase of airline tickets within the scope of the Niassa induction trip"/>
    <s v="bank transfer"/>
    <n v="385132"/>
    <n v="63.2"/>
    <n v="6093.8607594936702"/>
    <m/>
    <m/>
    <m/>
    <m/>
  </r>
  <r>
    <x v="7"/>
    <s v="Req.60/INV/2021"/>
    <n v="112101"/>
    <s v="Diversos Técnicos"/>
    <s v="I"/>
    <s v="C41A09"/>
    <x v="0"/>
    <s v="1st Allocation"/>
    <s v="Guias de Marcha"/>
    <s v="Training of common bean seed multipliers - Chókwè"/>
    <s v="bank transfer"/>
    <n v="77400"/>
    <n v="63.2"/>
    <n v="1224.6835443037974"/>
    <m/>
    <m/>
    <m/>
    <m/>
  </r>
  <r>
    <x v="7"/>
    <s v="Req.62/INV/2021"/>
    <n v="122099"/>
    <s v="Garagem Limpopo"/>
    <s v="III"/>
    <s v="C41A09"/>
    <x v="0"/>
    <s v="1st Allocation"/>
    <s v="VD Nr.11652"/>
    <s v="Accommodation within the scope of training for common bean seed multipliers - Chókwè"/>
    <s v="bank transfer"/>
    <n v="4659.2"/>
    <n v="63.2"/>
    <n v="73.721518987341767"/>
    <m/>
    <m/>
    <m/>
    <m/>
  </r>
  <r>
    <x v="7"/>
    <s v="Req.63/INV/2021"/>
    <n v="122099"/>
    <s v="Hotele eEventos Sorriso de Caridade"/>
    <s v="I"/>
    <s v="C41A09"/>
    <x v="0"/>
    <s v="1st Allocation"/>
    <s v="Factura Nr.315"/>
    <s v="Meals as part of the training of common bean seed multipliers - Chókwè"/>
    <s v="bank transfer"/>
    <n v="83500"/>
    <n v="63.2"/>
    <n v="1321.2025316455695"/>
    <m/>
    <m/>
    <m/>
    <m/>
  </r>
  <r>
    <x v="7"/>
    <s v="Req.025/RPSF/2021"/>
    <n v="121000"/>
    <s v="A&amp;A Agro-Serviços, Lda"/>
    <s v="I"/>
    <s v="C41A22"/>
    <x v="0"/>
    <s v="1st Allocation"/>
    <s v="Factura Nr.208"/>
    <s v="Acquisition of laboratory equipment for EAL"/>
    <s v="bank transfer"/>
    <n v="339898.95"/>
    <n v="63.2"/>
    <n v="5378.147943037975"/>
    <m/>
    <m/>
    <m/>
    <m/>
  </r>
  <r>
    <x v="8"/>
    <s v="Req.023/RPSF/2021"/>
    <n v="122099"/>
    <s v="Socidade Notícias"/>
    <s v="I"/>
    <s v="C41A005"/>
    <x v="0"/>
    <s v="1st Allocation"/>
    <s v="Factura Nr.10333"/>
    <s v="publication of an announcement for the acquisition and allocation of agricultural inputs"/>
    <s v="bank transfer"/>
    <n v="96408"/>
    <n v="63.2"/>
    <n v="1525.4430379746834"/>
    <m/>
    <m/>
    <m/>
    <m/>
  </r>
  <r>
    <x v="9"/>
    <s v="Req.016/RPSF/2021"/>
    <n v="112101"/>
    <s v="Ernesto Wane"/>
    <s v="I"/>
    <s v="C41A06"/>
    <x v="0"/>
    <s v="1st Allocation"/>
    <s v="Guias de Marcha"/>
    <s v="Distribution of cassava seed cuttings in Homoine, Jangamo and Zavala"/>
    <s v="bank transfer"/>
    <n v="10800"/>
    <n v="63.2"/>
    <n v="170.88607594936707"/>
    <m/>
    <m/>
    <m/>
    <m/>
  </r>
  <r>
    <x v="9"/>
    <s v="Req.017/RPSF/2021"/>
    <n v="112101"/>
    <s v="Ernesto Wane"/>
    <s v="I"/>
    <s v="C41A06"/>
    <x v="0"/>
    <s v="1st Allocation"/>
    <s v="Guias de Marcha"/>
    <s v="Cassava seed cutting distribution in Chongoene and Mandlakazi"/>
    <s v="bank transfer"/>
    <n v="3600"/>
    <n v="63.2"/>
    <n v="56.962025316455694"/>
    <m/>
    <m/>
    <m/>
    <m/>
  </r>
  <r>
    <x v="9"/>
    <s v="Req.018/RPSF/2021"/>
    <n v="112101"/>
    <s v="Ernesto Wane"/>
    <s v="I"/>
    <s v="C41A06"/>
    <x v="0"/>
    <s v="1st Allocation"/>
    <s v="Guia de Marcha"/>
    <s v="Distribution of cassava seed cuttings in Massinga and Morrumbene"/>
    <s v="bank transfer"/>
    <n v="37800"/>
    <n v="63.2"/>
    <n v="598.10126582278474"/>
    <m/>
    <m/>
    <m/>
    <m/>
  </r>
  <r>
    <x v="9"/>
    <s v="Req.019/RPSF/2021"/>
    <n v="112101"/>
    <s v="Ernesto Wane"/>
    <s v="I"/>
    <s v="C41A06"/>
    <x v="0"/>
    <s v="1st Allocation"/>
    <s v="Guia de Marcha"/>
    <s v="Distribution of cassava seed cuttings in Homoine, Jangamo and Zavala"/>
    <s v="bank transfer"/>
    <n v="7800"/>
    <n v="63.2"/>
    <n v="123.41772151898734"/>
    <m/>
    <m/>
    <m/>
    <m/>
  </r>
  <r>
    <x v="9"/>
    <s v="Req.021/RPSF/2021"/>
    <n v="121002"/>
    <s v="J. Sambo e P. Monjane"/>
    <s v="I"/>
    <s v="C41A06"/>
    <x v="0"/>
    <s v="1st Allocation"/>
    <s v="Guia de Marcha"/>
    <s v="CDR monitoring in Jangamo, Inharrime and Zavala"/>
    <s v="bank transfer"/>
    <n v="10800"/>
    <n v="63.2"/>
    <n v="170.88607594936707"/>
    <m/>
    <n v="366000"/>
    <m/>
    <m/>
  </r>
  <r>
    <x v="9"/>
    <s v="Req.022/RPSF/2021"/>
    <n v="112101"/>
    <s v="P. Monjane, J. Sambo e Claúdio Nhabinde"/>
    <s v="I"/>
    <s v="C41A06"/>
    <x v="0"/>
    <s v="1st Allocation"/>
    <s v="Guias de Marcha"/>
    <s v="Inspection of cassava and Chibuto and Mandlakazi bean multiplication fields"/>
    <s v="bank transfer"/>
    <n v="10800"/>
    <n v="63.2"/>
    <n v="170.88607594936707"/>
    <m/>
    <n v="25200"/>
    <m/>
    <m/>
  </r>
  <r>
    <x v="9"/>
    <s v="Req.024/RPSF/2021"/>
    <n v="112101"/>
    <s v="J. Filipe, R. Jamisse e R. Massinga"/>
    <s v="I"/>
    <s v="C41A06"/>
    <x v="0"/>
    <s v="1st Allocation"/>
    <s v="Guias de Marcha"/>
    <s v="Inspection of common bean seed multiplication fields"/>
    <s v="bank transfer"/>
    <n v="10800"/>
    <n v="63.2"/>
    <n v="170.88607594936707"/>
    <s v="1st Allocation"/>
    <m/>
    <m/>
    <m/>
  </r>
  <r>
    <x v="10"/>
    <s v="Req.01/RPSF/2022"/>
    <n v="121099"/>
    <s v="Ernesto Tamele"/>
    <s v="I"/>
    <s v="C41A005"/>
    <x v="2"/>
    <s v="1st Allocation"/>
    <s v="VD"/>
    <s v="Acquisition of certified seeds for Jangamo, Homoine, Zavala, Morrumbene, Massinga and Chongoene Districts"/>
    <s v="bank transfer"/>
    <n v="239800"/>
    <n v="63.2"/>
    <n v="3794.3037974683543"/>
    <m/>
    <m/>
    <m/>
    <m/>
  </r>
  <r>
    <x v="10"/>
    <s v="Req.02/RPSF/2022"/>
    <n v="121099"/>
    <s v="Isac Lucas Chemane"/>
    <s v="I"/>
    <s v="C41A005"/>
    <x v="2"/>
    <s v="1st Allocation"/>
    <s v="VD"/>
    <s v="Acquisition of certified seeds for Mandlakazi District"/>
    <s v="bank transfer"/>
    <n v="21000"/>
    <n v="63.2"/>
    <n v="332.27848101265823"/>
    <m/>
    <m/>
    <m/>
    <m/>
  </r>
  <r>
    <x v="10"/>
    <s v="Req.04/RPSF/2022"/>
    <n v="121099"/>
    <s v="José Fernando João"/>
    <s v="I"/>
    <s v="C41A005"/>
    <x v="2"/>
    <s v="1st Allocation"/>
    <s v="VD"/>
    <s v="Acquisition of certified seeds for Massinga, Jangamo and Morrumbene Districts"/>
    <s v="bank transfer"/>
    <n v="52500"/>
    <n v="63.2"/>
    <n v="830.69620253164555"/>
    <m/>
    <m/>
    <m/>
    <m/>
  </r>
  <r>
    <x v="10"/>
    <s v="Req.05/RPSF/2022"/>
    <n v="121099"/>
    <s v="Pedro Fabião Nhabongo"/>
    <s v="I"/>
    <s v="C41A005"/>
    <x v="2"/>
    <s v="1st Allocation"/>
    <s v="VD"/>
    <s v="Acquisition of certified seeds for Mandlakazi District"/>
    <s v="bank transfer"/>
    <n v="123750"/>
    <n v="63.2"/>
    <n v="1958.0696202531644"/>
    <m/>
    <m/>
    <m/>
    <m/>
  </r>
  <r>
    <x v="10"/>
    <s v="Req.06/RPSF/2022"/>
    <n v="121099"/>
    <s v="Tomás António Chiponde"/>
    <s v="I"/>
    <s v="C41A005"/>
    <x v="2"/>
    <s v="1st Allocation"/>
    <s v="VD"/>
    <s v="Acquisition of certified seeds for Mandlakazi, Jangamo, Inharrime and Chongoene Districts"/>
    <s v="bank transfer"/>
    <n v="52275"/>
    <n v="63.2"/>
    <n v="827.13607594936707"/>
    <m/>
    <m/>
    <m/>
    <m/>
  </r>
  <r>
    <x v="10"/>
    <s v="Req.07/RPSF/2022"/>
    <n v="121099"/>
    <s v="Boaventura Félix Moiane"/>
    <s v="I"/>
    <s v="C41A005"/>
    <x v="2"/>
    <s v="1st Allocation"/>
    <s v="VD"/>
    <s v="Acquisition of certified seeds for PACEs"/>
    <s v="bank transfer"/>
    <n v="19008"/>
    <n v="63.2"/>
    <n v="300.75949367088606"/>
    <m/>
    <m/>
    <m/>
    <m/>
  </r>
  <r>
    <x v="10"/>
    <s v="Req.08/RPSF/2022"/>
    <n v="121099"/>
    <s v="Jaime Maria Cuamba"/>
    <s v="I"/>
    <s v="C41A005"/>
    <x v="2"/>
    <s v="1st Allocation"/>
    <s v="VD"/>
    <s v="Acquisition of certified seeds for PACEs"/>
    <s v="bank transfer"/>
    <n v="163360"/>
    <n v="63.2"/>
    <n v="2584.8101265822784"/>
    <m/>
    <m/>
    <m/>
    <m/>
  </r>
  <r>
    <x v="10"/>
    <s v="Req.09/RPSF/2022"/>
    <n v="121099"/>
    <s v="Leonardo Salomão Massango"/>
    <s v="I"/>
    <s v="C41A005"/>
    <x v="2"/>
    <s v="1st Allocation"/>
    <s v="VD"/>
    <s v="Acquisition of certified seeds for Zavala District"/>
    <s v="bank transfer"/>
    <n v="34687.5"/>
    <n v="63.2"/>
    <n v="548.85284810126575"/>
    <m/>
    <m/>
    <m/>
    <m/>
  </r>
  <r>
    <x v="10"/>
    <s v="Req.10/RPSF/2022"/>
    <n v="121099"/>
    <s v="Siabra Jacinto Cumbane"/>
    <s v="I"/>
    <s v="C41A005"/>
    <x v="2"/>
    <s v="1st Allocation"/>
    <s v="VD"/>
    <s v="Acquisition of certified seeds for Zavala District"/>
    <s v="bank transfer"/>
    <n v="11745"/>
    <n v="63.2"/>
    <n v="185.83860759493669"/>
    <m/>
    <m/>
    <m/>
    <m/>
  </r>
  <r>
    <x v="10"/>
    <s v="Req.11/RPSF/2022"/>
    <n v="121099"/>
    <s v="Clara de Assis José"/>
    <s v="I"/>
    <s v="C41A005"/>
    <x v="2"/>
    <s v="1st Allocation"/>
    <s v="VD"/>
    <s v="Acquisition of certified seeds for Inharrime District"/>
    <s v="bank transfer"/>
    <n v="194295"/>
    <n v="63.2"/>
    <n v="3074.2879746835442"/>
    <m/>
    <m/>
    <m/>
    <m/>
  </r>
  <r>
    <x v="10"/>
    <s v="Req.12/RPSF/2022"/>
    <n v="121099"/>
    <s v="Rafael Massena"/>
    <s v="I"/>
    <s v="C41A005"/>
    <x v="2"/>
    <s v="1st Allocation"/>
    <s v="VD"/>
    <s v="Acquisition of certified seeds for PACEs"/>
    <s v="bank transfer"/>
    <n v="295510"/>
    <n v="63.2"/>
    <n v="4675.7911392405058"/>
    <m/>
    <m/>
    <m/>
    <m/>
  </r>
  <r>
    <x v="10"/>
    <s v="Req.13/RPSF/2022"/>
    <n v="121099"/>
    <s v="Salvador Francisco Banze"/>
    <s v="I"/>
    <s v="C41A005"/>
    <x v="2"/>
    <s v="1st Allocation"/>
    <s v="VD"/>
    <s v="Acquisition of certified seeds for PACEs"/>
    <s v="bank transfer"/>
    <n v="210434"/>
    <n v="63.2"/>
    <n v="3329.6518987341769"/>
    <m/>
    <m/>
    <m/>
    <m/>
  </r>
  <r>
    <x v="11"/>
    <s v="Req.15/RPSF/2022"/>
    <n v="112101"/>
    <s v="Diversos Técnicos"/>
    <s v="I"/>
    <s v="C41A003"/>
    <x v="3"/>
    <s v="1st Allocation"/>
    <s v="Guias de Marcha"/>
    <s v="Payment of DSAA-Inharrime, beneficiaries training of animal drawn carts"/>
    <s v="bank transfer"/>
    <n v="138600"/>
    <n v="63.2"/>
    <n v="2193.0379746835442"/>
    <n v="223800"/>
    <m/>
    <m/>
    <m/>
  </r>
  <r>
    <x v="11"/>
    <s v="Req.16/RPSF/2022"/>
    <n v="112101"/>
    <s v="Diversos Técnicos"/>
    <s v="I"/>
    <s v="C41A003"/>
    <x v="3"/>
    <s v="1st Allocation"/>
    <s v="Guias de Marcha"/>
    <s v="Payment of DSAA-Inharrime, beneficiaries training of animal drawn carts"/>
    <s v="bank transfer"/>
    <n v="85200"/>
    <n v="63.2"/>
    <n v="1348.1012658227849"/>
    <m/>
    <m/>
    <m/>
    <m/>
  </r>
  <r>
    <x v="11"/>
    <s v="Req.14/RPSF/2022"/>
    <n v="122099"/>
    <s v="Marracuene Sunrise Lodge"/>
    <s v="I"/>
    <s v="C44A001"/>
    <x v="4"/>
    <s v="1st Allocation"/>
    <s v="VD"/>
    <s v="Payment of logistic services during the elaboration of value chains PROCAVA manuals"/>
    <s v="bank transfer"/>
    <n v="719100"/>
    <n v="63.2"/>
    <n v="11378.164556962025"/>
    <m/>
    <m/>
    <m/>
    <m/>
  </r>
  <r>
    <x v="12"/>
    <s v="Req.17/RPSF/2022"/>
    <n v="122099"/>
    <s v="Serviços Provincial de Ambiente de Niassa"/>
    <s v="I"/>
    <s v="C41A004"/>
    <x v="5"/>
    <s v="1st Allocation"/>
    <s v="Factura Nr.01 e 02"/>
    <s v="Environmental licensing process instruction fees"/>
    <s v="bank transfer"/>
    <n v="10000"/>
    <n v="63.2"/>
    <n v="158.22784810126581"/>
    <m/>
    <m/>
    <m/>
    <m/>
  </r>
  <r>
    <x v="13"/>
    <s v="Req.21/RPSF/2022"/>
    <n v="112101"/>
    <s v="Tiago Tiago "/>
    <s v="III"/>
    <s v="C44A003"/>
    <x v="6"/>
    <s v="1st Allocation"/>
    <s v="Guia de Marcha"/>
    <s v="Facilitation of the Agribusiness module at the Niassa Unit"/>
    <s v="bank transfer"/>
    <n v="42000"/>
    <n v="63.2"/>
    <n v="664.55696202531647"/>
    <m/>
    <m/>
    <m/>
    <m/>
  </r>
  <r>
    <x v="13"/>
    <s v="Req.23/RPSF/2022"/>
    <n v="121002"/>
    <s v="Diversos Fonecedores"/>
    <s v="I"/>
    <s v="C41A004"/>
    <x v="5"/>
    <s v="1st Allocation"/>
    <s v="Diversas Facturas"/>
    <s v="Acquisition of demarcation marks for regularization of DUATs-Gaza and Niassa"/>
    <s v="bank transfer"/>
    <n v="104948"/>
    <n v="63.2"/>
    <n v="1660.5696202531644"/>
    <n v="104948"/>
    <m/>
    <m/>
    <m/>
  </r>
  <r>
    <x v="14"/>
    <s v="Req.18/RPSF/2022"/>
    <n v="122099"/>
    <s v="Serviços Provinciais de Geografia e e Cadastro"/>
    <s v="I"/>
    <s v="C41A004"/>
    <x v="5"/>
    <s v="1st Allocation"/>
    <s v="N/Ref/535/SPA-I/DA"/>
    <s v="Environmental licensing fees for 26 Inhambane projects"/>
    <s v="bank transfer"/>
    <n v="26000"/>
    <n v="63.2"/>
    <n v="411.39240506329111"/>
    <m/>
    <m/>
    <m/>
    <m/>
  </r>
  <r>
    <x v="14"/>
    <s v="Req.20/RPSF/2022"/>
    <n v="122099"/>
    <s v="Serviços Provinciais de Geografia e e Cadastro"/>
    <s v="I"/>
    <s v="C41A004"/>
    <x v="5"/>
    <s v="1st Allocation"/>
    <s v="N/Ref/535/SPA-I/DA"/>
    <s v="Environmental licensing fees for 26 Inhambane projects"/>
    <s v="bank transfer"/>
    <n v="26000"/>
    <n v="63.2"/>
    <n v="411.39240506329111"/>
    <m/>
    <m/>
    <m/>
    <m/>
  </r>
  <r>
    <x v="14"/>
    <s v="Req.22/RPSF/2022"/>
    <n v="213001"/>
    <s v="Entreposto Auto"/>
    <s v="I"/>
    <s v="C44A009"/>
    <x v="7"/>
    <s v="2nd Allocation"/>
    <s v="Factura Nr.96100001"/>
    <s v="Payment of 20% in advance of the contract for the supply of light vehicles"/>
    <s v="bank transfer"/>
    <n v="17641218.350000001"/>
    <n v="63.2"/>
    <n v="279133.20174050634"/>
    <m/>
    <m/>
    <m/>
    <m/>
  </r>
  <r>
    <x v="15"/>
    <s v="Req.24/RPSF/2022"/>
    <n v="121001"/>
    <s v="Comércio a Retalho Chichongue"/>
    <s v="I"/>
    <s v="C41A004"/>
    <x v="5"/>
    <s v="1st Allocation"/>
    <s v="Diversas Facturas"/>
    <s v="Acquisition of demarcation marks for regularization of DUAT's-Gaza"/>
    <s v="bank transfer"/>
    <n v="6600"/>
    <n v="63.2"/>
    <n v="104.43037974683544"/>
    <m/>
    <m/>
    <m/>
    <m/>
  </r>
  <r>
    <x v="15"/>
    <s v="Req.25/RPSF/2022"/>
    <n v="213004"/>
    <s v="Pershop, Lda"/>
    <s v="I"/>
    <s v="C44A008"/>
    <x v="8"/>
    <s v="1st Allocation"/>
    <s v="Factura Nr.2321"/>
    <s v="Partial payment for the purchase of motorcycles"/>
    <s v="bank transfer"/>
    <n v="1535434.28"/>
    <n v="63.2"/>
    <n v="24294.846202531644"/>
    <m/>
    <m/>
    <m/>
    <m/>
  </r>
  <r>
    <x v="16"/>
    <s v="Req.16/Comb/UNGP"/>
    <n v="121001"/>
    <s v="Diversos Fonecedores"/>
    <s v="III"/>
    <s v="C41A008"/>
    <x v="9"/>
    <s v="1st Allocation"/>
    <s v="Facturas Nr.18 e 10612"/>
    <s v="Acquisition of fuel within the scope of training rural women in nutrition-Gaza"/>
    <s v="bank transfer"/>
    <n v="14433.5"/>
    <n v="63.2"/>
    <n v="228.37816455696202"/>
    <m/>
    <m/>
    <m/>
    <m/>
  </r>
  <r>
    <x v="16"/>
    <s v="Req.27/RPSF/2022"/>
    <n v="112101"/>
    <s v="Diversos Técnicos"/>
    <s v="III"/>
    <s v="C41A008"/>
    <x v="9"/>
    <s v="1st Allocation"/>
    <s v="Guias de Marcha"/>
    <s v="ADC within the scope of training rural women in nutrition - Gaza"/>
    <s v="bank transfer"/>
    <n v="478800"/>
    <n v="63.2"/>
    <n v="7575.9493670886077"/>
    <m/>
    <m/>
    <m/>
    <m/>
  </r>
  <r>
    <x v="16"/>
    <s v="Req.28/RPSF/2022"/>
    <n v="122099"/>
    <s v="Serviços Provincial de Ambiente de Maputo"/>
    <s v="I"/>
    <s v="C41A004"/>
    <x v="5"/>
    <s v="1st Allocation"/>
    <s v="Factura Nr.01 e 02"/>
    <s v="Instruction and licensing fees for the environmental licensing process"/>
    <s v="bank transfer"/>
    <n v="28000"/>
    <n v="63.2"/>
    <n v="443.03797468354429"/>
    <m/>
    <m/>
    <m/>
    <m/>
  </r>
  <r>
    <x v="17"/>
    <s v="Req.31/RPSF/2022"/>
    <n v="112101"/>
    <s v="Diversos Técnicos"/>
    <s v="III"/>
    <s v="C44A003A"/>
    <x v="6"/>
    <s v="1st Allocation"/>
    <s v="Guias de Marcha"/>
    <s v="Training of PACs in Lichinga"/>
    <s v="bank transfer"/>
    <n v="349800"/>
    <n v="63.2"/>
    <n v="5534.8101265822779"/>
    <m/>
    <m/>
    <m/>
    <m/>
  </r>
  <r>
    <x v="17"/>
    <s v="Req.32/RPSF/2022"/>
    <n v="112101"/>
    <s v="Diversos Técnicos"/>
    <s v="III"/>
    <s v="C44A003A"/>
    <x v="6"/>
    <s v="1st Allocation"/>
    <s v="Guias de Marcha"/>
    <s v="Training of PACs in Cuamba"/>
    <s v="bank transfer"/>
    <n v="409200"/>
    <n v="63.2"/>
    <n v="6474.6835443037971"/>
    <m/>
    <m/>
    <m/>
    <m/>
  </r>
  <r>
    <x v="18"/>
    <s v="Req.29/RPSF/2022"/>
    <n v="122099"/>
    <s v="Sociedade do Notícias"/>
    <s v="I"/>
    <s v="C41A004"/>
    <x v="5"/>
    <s v="1st Allocation"/>
    <s v="Factura Nr.4043"/>
    <s v="Publication for the supply and installation of a pump and porch in the irrigation scheme of Moamba Block I"/>
    <s v="bank transfer"/>
    <n v="25038"/>
    <n v="63.2"/>
    <n v="396.17088607594934"/>
    <m/>
    <m/>
    <m/>
    <m/>
  </r>
  <r>
    <x v="18"/>
    <s v="Req.29/RPSF/2022"/>
    <n v="122099"/>
    <s v="Sociedade do Notícias"/>
    <s v="I"/>
    <s v="C41A005"/>
    <x v="5"/>
    <s v="1st Allocation"/>
    <s v="Factura Nr.4043"/>
    <s v="Publication for the acquisition of tents for accommodation of small producers"/>
    <s v="bank transfer"/>
    <n v="25038"/>
    <n v="63.2"/>
    <n v="396.17088607594934"/>
    <m/>
    <m/>
    <m/>
    <m/>
  </r>
  <r>
    <x v="18"/>
    <s v="Req.30/RPSF/2022"/>
    <n v="121001"/>
    <s v="PLUS"/>
    <s v="III"/>
    <s v="C44A003A"/>
    <x v="6"/>
    <s v="1st Allocation"/>
    <s v="Factura Nr.2651"/>
    <s v="Acquisition of fuel as part of the training of PACs in Cuamba"/>
    <s v="bank transfer"/>
    <n v="11995.2"/>
    <n v="63.2"/>
    <n v="189.79746835443038"/>
    <m/>
    <m/>
    <m/>
    <m/>
  </r>
  <r>
    <x v="18"/>
    <s v="Req.33/RPSF/2022"/>
    <n v="122099"/>
    <s v="Sociedade do Notícias"/>
    <s v="I"/>
    <s v="C41A005"/>
    <x v="2"/>
    <s v="1st Allocation"/>
    <s v="Factura Nr.3793"/>
    <s v="Publication of announcement for the acquisition and allocation of inputs for the Provinces of Maputo, Inhambane and Niassa"/>
    <s v="bank transfer"/>
    <n v="160243.20000000001"/>
    <n v="63.2"/>
    <n v="2535.493670886076"/>
    <m/>
    <m/>
    <m/>
    <m/>
  </r>
  <r>
    <x v="18"/>
    <s v="Req.34/RPSF/2022"/>
    <n v="122099"/>
    <s v="Sociedade do Notícias"/>
    <s v="I"/>
    <s v="C41A009"/>
    <x v="10"/>
    <s v="1st Allocation"/>
    <s v="Factura Nr.4043"/>
    <s v="Publication for the acquisition and allocation of hygiene material for the prevention of COVID-19 and agro-processing material"/>
    <s v="bank transfer"/>
    <n v="25038"/>
    <n v="63.2"/>
    <n v="396.17088607594934"/>
    <m/>
    <m/>
    <m/>
    <m/>
  </r>
  <r>
    <x v="19"/>
    <s v="Req.38/RPSF/2022"/>
    <n v="121028"/>
    <s v="AGRIFOCUS, Lda"/>
    <s v="I"/>
    <s v="C41A005"/>
    <x v="2"/>
    <s v="1st Allocation"/>
    <s v="Guias de Marcha"/>
    <s v="Purchase of fertilizers for the Provinces of Gaza and Niassa"/>
    <s v="bank transfer"/>
    <n v="2174425"/>
    <n v="63.2"/>
    <n v="34405.458860759492"/>
    <m/>
    <m/>
    <m/>
    <m/>
  </r>
  <r>
    <x v="19"/>
    <s v="Req.44/RPSF/2022"/>
    <n v="122099"/>
    <s v="Transporte Ruth"/>
    <s v="I"/>
    <s v="C44A003A"/>
    <x v="6"/>
    <s v="1st Allocation"/>
    <s v="Factura Nr.148"/>
    <s v="Car rental within the scope of PAC training in Lichinga and Cuamba part1/2"/>
    <s v="bank transfer"/>
    <n v="87732.98"/>
    <n v="63.2"/>
    <n v="1388.180063291139"/>
    <m/>
    <m/>
    <m/>
    <m/>
  </r>
  <r>
    <x v="19"/>
    <s v="Req.44/RPSF/2022"/>
    <n v="122099"/>
    <s v="Transporte Ruth"/>
    <s v="I"/>
    <s v="C44A003A"/>
    <x v="6"/>
    <s v="2nd Allocation"/>
    <s v="Factura Nr.148"/>
    <s v="Car rental within the scope of PAC training in Lichinga and Cuamba part 2/2"/>
    <s v="bank transfer"/>
    <n v="167267.01999999999"/>
    <n v="63.2"/>
    <n v="2646.6300632911389"/>
    <n v="87732.98000000001"/>
    <m/>
    <m/>
    <m/>
  </r>
  <r>
    <x v="20"/>
    <s v="Req.36/RPSF/2022"/>
    <n v="112101"/>
    <s v="Diversos Técnicos"/>
    <s v="III"/>
    <s v="C41A008"/>
    <x v="9"/>
    <s v="1st Allocation"/>
    <s v="Guias de Marcha"/>
    <s v="Training of branch technicians and district extension supervisors on nutrition"/>
    <s v="bank transfer"/>
    <n v="1219800"/>
    <n v="63.2"/>
    <n v="19300.632911392404"/>
    <m/>
    <m/>
    <m/>
    <m/>
  </r>
  <r>
    <x v="20"/>
    <s v="Req.35/RPSF/2022"/>
    <n v="112101"/>
    <s v="Diversos Técnicos"/>
    <s v="I"/>
    <s v="C41A003"/>
    <x v="3"/>
    <s v="1st Allocation"/>
    <s v="Guias de Marcha"/>
    <s v="Verification of technical specifications of draft animals in the District of Inharrime"/>
    <s v="bank transfer"/>
    <n v="26400"/>
    <n v="63.2"/>
    <n v="417.72151898734177"/>
    <m/>
    <m/>
    <m/>
    <m/>
  </r>
  <r>
    <x v="20"/>
    <s v="Req.037/RPSF/2022"/>
    <n v="112101"/>
    <s v="Diversos Técnicos"/>
    <s v="I"/>
    <s v="C44A003A"/>
    <x v="11"/>
    <s v="2nd Allocation"/>
    <s v="Guias de Marcha"/>
    <s v="Payment of allowances for training PCCs in Niassa"/>
    <s v="bank transfer"/>
    <n v="489600"/>
    <n v="63.2"/>
    <n v="7746.8354430379741"/>
    <m/>
    <m/>
    <m/>
    <m/>
  </r>
  <r>
    <x v="21"/>
    <s v="Req.46/RPSF/2022"/>
    <n v="122099"/>
    <s v="Angel Serviços"/>
    <s v="I"/>
    <s v="C44A003B"/>
    <x v="6"/>
    <s v="1st Allocation"/>
    <s v="Facturas Nr.4 e 6"/>
    <s v="Payment of logistical expenses within the scope of training seed multipliers in Lichinga and Cuamba"/>
    <s v="bank transfer"/>
    <n v="203000"/>
    <n v="63.2"/>
    <n v="3212.0253164556962"/>
    <s v="Shared Expense"/>
    <s v="Conversion of 1st Allocation fee 63.20"/>
    <m/>
    <m/>
  </r>
  <r>
    <x v="21"/>
    <s v="Req.45/RPSF/2022"/>
    <n v="122099"/>
    <s v="Angel Serviços"/>
    <s v="I"/>
    <s v="C44A003A"/>
    <x v="6"/>
    <s v="1st Allocation"/>
    <s v="Factura Nr.8"/>
    <s v="Payment of logistical expenses for the training of PACs in Cuamba"/>
    <s v="bank transfer"/>
    <n v="291700"/>
    <n v="63.2"/>
    <n v="4615.506329113924"/>
    <n v="255000"/>
    <n v="12640000.550000001"/>
    <n v="200000.00870253157"/>
    <m/>
  </r>
  <r>
    <x v="21"/>
    <s v="Req.39/RPSF/2022"/>
    <n v="122099"/>
    <s v="Sociedade do Notícias"/>
    <s v="III"/>
    <s v="C44A003A"/>
    <x v="11"/>
    <s v="1st Allocation"/>
    <s v="Factura Nr.4698"/>
    <s v="Publication of advertisements within the scope of contracting logistical expenses for training PCCs Zona Sul"/>
    <s v="bank transfer"/>
    <n v="353035.8"/>
    <n v="63.2"/>
    <n v="5586.0094936708856"/>
    <m/>
    <m/>
    <m/>
    <m/>
  </r>
  <r>
    <x v="21"/>
    <s v="Req.48//RPSF/2022"/>
    <n v="122002"/>
    <s v="COTUR"/>
    <s v="III"/>
    <s v="C44A003A"/>
    <x v="6"/>
    <s v="1st Allocation"/>
    <s v="Factura Nr.2212902"/>
    <s v="Purchase of tickets within the scope of training PACs and PCCs in Lichinga and Cuamba"/>
    <s v="bank transfer"/>
    <n v="375794"/>
    <n v="63.2"/>
    <n v="5946.1075949367087"/>
    <m/>
    <m/>
    <m/>
    <m/>
  </r>
  <r>
    <x v="21"/>
    <s v="Req.49/RPSF/2022"/>
    <n v="122002"/>
    <s v="COTUR"/>
    <s v="III"/>
    <s v="C41A008"/>
    <x v="9"/>
    <s v="1st Allocation"/>
    <s v="Factura Nr.202213658"/>
    <s v="Purchase of tickets within the scope of training branch technicians and supervisors in the field of nutrition and agro-processing in Cuamba"/>
    <s v="bank transfer"/>
    <n v="191020"/>
    <n v="63.2"/>
    <n v="3022.4683544303798"/>
    <m/>
    <m/>
    <m/>
    <m/>
  </r>
  <r>
    <x v="21"/>
    <s v="Req.52/RPSF/2022"/>
    <n v="112101"/>
    <s v="Diversos Técnicos"/>
    <s v="III"/>
    <s v="C41A008"/>
    <x v="9"/>
    <s v="1st Allocation"/>
    <s v="Guias de Marcha"/>
    <s v="Training of rural women in matters of nutrition and cooking demonstration_Niassa"/>
    <s v="bank transfer"/>
    <n v="582600"/>
    <n v="63.2"/>
    <n v="9218.3544303797462"/>
    <n v="172200"/>
    <m/>
    <m/>
    <m/>
  </r>
  <r>
    <x v="21"/>
    <s v="Req.54/RPSF/2022"/>
    <n v="112101"/>
    <s v="Diversos Técnicos"/>
    <s v="III"/>
    <s v="C41A008"/>
    <x v="9"/>
    <s v="1st Allocation"/>
    <s v="Guias de Marcha"/>
    <s v="Training of rural women in matters of nutrition and cooking demonstration_Inhambane"/>
    <s v="bank transfer"/>
    <n v="494400"/>
    <n v="63.2"/>
    <n v="7822.7848101265818"/>
    <m/>
    <m/>
    <m/>
    <m/>
  </r>
  <r>
    <x v="21"/>
    <s v="Req.50/RPSF/2022"/>
    <n v="121001"/>
    <s v="PLUS"/>
    <s v="III"/>
    <s v="C44A003A"/>
    <x v="11"/>
    <s v="1st Allocation"/>
    <s v="Factura Nr.1467"/>
    <s v="Acquisition of fuel as part of the training of CCPs in Cuamba"/>
    <s v="bank transfer"/>
    <n v="20327.650000000001"/>
    <n v="63.2"/>
    <n v="321.64003164556965"/>
    <m/>
    <m/>
    <m/>
    <m/>
  </r>
  <r>
    <x v="21"/>
    <s v="Req.55/RPSF/2022"/>
    <n v="121001"/>
    <s v="Grupo Tropical"/>
    <s v="III"/>
    <s v="C41A008"/>
    <x v="9"/>
    <s v="1st Allocation"/>
    <s v="Factura Nr.32669"/>
    <s v="Acquisition of fuel in the training of rural women in matters of nutrition and cooking demonstration_Inhambane"/>
    <s v="bank transfer"/>
    <n v="16564"/>
    <n v="63.2"/>
    <n v="262.08860759493672"/>
    <m/>
    <m/>
    <m/>
    <m/>
  </r>
  <r>
    <x v="22"/>
    <s v="Req.64/RPSF/2022"/>
    <n v="112101"/>
    <s v="Diversos Técnicos"/>
    <s v="III"/>
    <s v="C44A003B"/>
    <x v="6"/>
    <s v="1st Allocation"/>
    <s v="Guias de Marcha"/>
    <s v="Capacity building of seed inspection focal stories in Niassa Province"/>
    <s v="bank transfer"/>
    <n v="672600"/>
    <n v="63.2"/>
    <n v="10642.405063291139"/>
    <n v="63600"/>
    <n v="25800"/>
    <m/>
    <m/>
  </r>
  <r>
    <x v="23"/>
    <s v="Req.55A/RPSF/2022"/>
    <n v="121001"/>
    <s v="Diversos Técnicos"/>
    <s v="III"/>
    <s v="C44A003"/>
    <x v="6"/>
    <s v="1st Allocation"/>
    <s v="Facturas n. 23/3061/12100"/>
    <s v="Acquisition of fuel in the context of training small contact farmers (PAC)"/>
    <s v="bank transfer"/>
    <n v="30138.9"/>
    <n v="63.2"/>
    <n v="476.88132911392404"/>
    <n v="30138.9"/>
    <m/>
    <m/>
    <m/>
  </r>
  <r>
    <x v="23"/>
    <s v="Req.57/RPSF/2022"/>
    <n v="122099"/>
    <s v="Vanda Elias Mucavele"/>
    <s v="III"/>
    <s v="C44A003"/>
    <x v="6"/>
    <s v="1st Allocation"/>
    <s v="Declarações de recebimento"/>
    <s v="Transport payment to small contact farmers (PAC) in Inharrime training"/>
    <s v="bank transfer"/>
    <n v="860"/>
    <n v="63.2"/>
    <n v="13.60759493670886"/>
    <m/>
    <m/>
    <m/>
    <m/>
  </r>
  <r>
    <x v="23"/>
    <s v="Req.58/RPSF/2022"/>
    <n v="122099"/>
    <s v="Jose Sambo"/>
    <s v="III"/>
    <s v="C44A003"/>
    <x v="6"/>
    <s v="1st Allocation"/>
    <s v="Declarações de recebimento"/>
    <s v="Transport payment to small contact farmers (PAC) in training in Boane"/>
    <s v="bank transfer"/>
    <n v="20260"/>
    <n v="63.2"/>
    <n v="320.56962025316454"/>
    <m/>
    <m/>
    <m/>
    <m/>
  </r>
  <r>
    <x v="23"/>
    <s v="Req.60/RPSF/2022"/>
    <n v="121001"/>
    <s v="Diversos fornecedores"/>
    <s v="III"/>
    <s v="C44A003"/>
    <x v="6"/>
    <s v="1st Allocation"/>
    <s v="Facturas 46/91/110/1074/1989/2075"/>
    <s v="Fuel payment for training small contact farmers (PAC) in Boane"/>
    <s v="bank transfer"/>
    <n v="35362.699999999997"/>
    <n v="63.2"/>
    <n v="559.53639240506322"/>
    <n v="44369.1"/>
    <n v="-9006.4000000000015"/>
    <n v="53375.5"/>
    <n v="48531.1"/>
  </r>
  <r>
    <x v="23"/>
    <s v="Req.63/RPSF/2022"/>
    <n v="121001"/>
    <s v="Diversos Fornecedores"/>
    <s v="III"/>
    <s v="C44A003"/>
    <x v="6"/>
    <s v="1st Allocation"/>
    <s v="Facturas diversas"/>
    <s v="Payment of fuel within the scope of training small contact creators (PAC) in the South region"/>
    <s v="bank transfer"/>
    <n v="76489.899999999994"/>
    <n v="63.2"/>
    <n v="1210.2832278481012"/>
    <m/>
    <n v="76489.899999999994"/>
    <m/>
    <m/>
  </r>
  <r>
    <x v="24"/>
    <s v="Req.56/RPSF/2022"/>
    <n v="112101"/>
    <s v="Diversos Técnicos"/>
    <s v="III"/>
    <s v="C44A003"/>
    <x v="6"/>
    <s v="1st Allocation"/>
    <s v="Guias de Marcha"/>
    <s v="Training of small contact farmers (PAC) in Inhambane"/>
    <s v="bank transfer"/>
    <n v="585000"/>
    <n v="63.2"/>
    <n v="9256.32911392405"/>
    <m/>
    <m/>
    <m/>
    <m/>
  </r>
  <r>
    <x v="24"/>
    <s v="Req.59/RPSF/2022"/>
    <n v="112101"/>
    <s v="Diversos Técnicos"/>
    <s v="III"/>
    <s v="C44A003"/>
    <x v="6"/>
    <s v="1st Allocation"/>
    <s v="Guias de Marcha"/>
    <s v="Small contact farmers training (PAC) in Boane"/>
    <s v="bank transfer"/>
    <n v="916800"/>
    <n v="63.2"/>
    <n v="14506.32911392405"/>
    <n v="1092000"/>
    <m/>
    <m/>
    <m/>
  </r>
  <r>
    <x v="24"/>
    <s v="Req.61/RPSF/2022"/>
    <n v="112101"/>
    <s v="Diversos Técnicos"/>
    <s v="III"/>
    <s v="C44A003"/>
    <x v="11"/>
    <s v="1st Allocation"/>
    <s v="Guias de Marcha"/>
    <s v="Training of livestock vaccinators in the Province of Maputo-Magude"/>
    <s v="bank transfer"/>
    <n v="416400"/>
    <n v="63.2"/>
    <n v="6588.6075949367087"/>
    <n v="504600"/>
    <m/>
    <m/>
    <m/>
  </r>
  <r>
    <x v="25"/>
    <s v="req. 53/RPSF/2022"/>
    <n v="112101"/>
    <s v="Diversos Técnicos"/>
    <s v="III"/>
    <s v="C41A008"/>
    <x v="9"/>
    <s v="1st Allocation"/>
    <s v="Guias de Marcha"/>
    <s v="Training of rural women in the field of nutrition in the Province of Maputo"/>
    <s v="bank transfer"/>
    <n v="198000"/>
    <n v="63.2"/>
    <n v="3132.911392405063"/>
    <m/>
    <m/>
    <m/>
    <m/>
  </r>
  <r>
    <x v="25"/>
    <s v="Req.51/RPSF/2022"/>
    <n v="112101"/>
    <s v="Diversos Técnicos"/>
    <s v="III"/>
    <s v="C44A003A"/>
    <x v="11"/>
    <s v="1st Allocation"/>
    <s v="Guias de Marcha"/>
    <s v="Training of community vaccinators in Chimbonila and Cuamba districts"/>
    <s v="bank transfer"/>
    <n v="139800"/>
    <n v="63.2"/>
    <n v="2212.0253164556962"/>
    <n v="148800"/>
    <m/>
    <m/>
    <m/>
  </r>
  <r>
    <x v="25"/>
    <s v="Req.66/RPSF/2022"/>
    <n v="122099"/>
    <s v="Angel Servicos, Lda"/>
    <s v="I"/>
    <s v="C44A003B"/>
    <x v="6"/>
    <s v="1st Allocation"/>
    <s v="Factura n.00005/00007"/>
    <s v="Payment for the provision of room, sound and ornamentation rental service"/>
    <s v="bank transfer"/>
    <n v="79200"/>
    <n v="63.2"/>
    <n v="1253.1645569620252"/>
    <n v="21227670"/>
    <m/>
    <m/>
    <m/>
  </r>
  <r>
    <x v="25"/>
    <s v="Req.67/RPSF/2022"/>
    <n v="121005"/>
    <s v="Electroffice"/>
    <s v="I"/>
    <s v="C44A003A"/>
    <x v="6"/>
    <s v="1st Allocation"/>
    <s v="Factura n. 17474"/>
    <s v="Payment of training material for small contact farmers (PAC)"/>
    <s v="bank transfer"/>
    <n v="33430"/>
    <n v="63.2"/>
    <n v="528.95569620253161"/>
    <m/>
    <m/>
    <m/>
    <m/>
  </r>
  <r>
    <x v="25"/>
    <s v="Req.68/RPSF/2022"/>
    <n v="121005"/>
    <s v="Electroffice"/>
    <s v="I"/>
    <s v="C44A003A"/>
    <x v="11"/>
    <s v="1st Allocation"/>
    <s v="Factura n. 17719/17472"/>
    <s v="Payment of training material for small contact creators"/>
    <s v="bank transfer"/>
    <n v="14030"/>
    <n v="63.2"/>
    <n v="221.99367088607593"/>
    <m/>
    <m/>
    <m/>
    <m/>
  </r>
  <r>
    <x v="25"/>
    <s v="Req.69/RPSF/2022"/>
    <n v="121005"/>
    <s v="Electroffice"/>
    <s v="I"/>
    <s v="C41A008"/>
    <x v="9"/>
    <s v="1st Allocation"/>
    <s v="Factura n. 17473"/>
    <s v="Acquisition of training material within the scope of training rural women in the field of nutrition in Cuamba"/>
    <s v="bank transfer"/>
    <n v="3990"/>
    <n v="63.2"/>
    <n v="63.132911392405063"/>
    <m/>
    <m/>
    <m/>
    <m/>
  </r>
  <r>
    <x v="25"/>
    <s v="Req.72/RPSF/2022"/>
    <n v="122002"/>
    <s v="Cotur"/>
    <s v="I"/>
    <s v="C41A003"/>
    <x v="3"/>
    <s v="1st Allocation"/>
    <s v="Factura n. 202215737"/>
    <s v="Airfare payment in the scope of verification of animal specifications for traction"/>
    <s v="bank transfer"/>
    <n v="74572"/>
    <n v="63.2"/>
    <n v="1179.9367088607594"/>
    <m/>
    <m/>
    <m/>
    <m/>
  </r>
  <r>
    <x v="25"/>
    <s v="Req.79A/RPSF/2022"/>
    <n v="222099"/>
    <s v="Estacao Agraria de Chokwe-IIAM"/>
    <s v="I"/>
    <s v="C41A005"/>
    <x v="2"/>
    <s v="1st Allocation"/>
    <m/>
    <s v="Payment of the 2nd tranche of the agreement for the multiplication of cassava seed cuttings"/>
    <s v="bank transfer"/>
    <n v="108000"/>
    <n v="63.2"/>
    <n v="1708.8607594936709"/>
    <m/>
    <m/>
    <m/>
    <m/>
  </r>
  <r>
    <x v="25"/>
    <s v="Req.041/RPSF/2022"/>
    <n v="222099"/>
    <s v="Posto Agronómico de Nampula"/>
    <s v="I"/>
    <s v="C41A005"/>
    <x v="2"/>
    <s v="1st Allocation"/>
    <m/>
    <s v="Payment of the last tranche of the collaboration agreement"/>
    <s v="bank transfer"/>
    <n v="131160.24"/>
    <n v="63.2"/>
    <n v="2075.3202531645566"/>
    <m/>
    <m/>
    <m/>
    <m/>
  </r>
  <r>
    <x v="25"/>
    <s v="Req.043/RPSF/2022"/>
    <n v="222099"/>
    <s v="Estação Agrária de Lichinga"/>
    <s v="I"/>
    <s v="C41A005"/>
    <x v="2"/>
    <s v="1st Allocation"/>
    <m/>
    <s v="Payment of the last tranche of the collaboration agreement"/>
    <s v="bank transfer"/>
    <n v="81370.39"/>
    <n v="63.2"/>
    <n v="1287.5061708860758"/>
    <m/>
    <m/>
    <m/>
    <m/>
  </r>
  <r>
    <x v="25"/>
    <s v="Req.042/RPSF/2022"/>
    <n v="222099"/>
    <s v="Estação Agrária de Umbelúzi"/>
    <s v="I"/>
    <s v="C41A005"/>
    <x v="2"/>
    <s v="1st Allocation"/>
    <m/>
    <s v="Payment of the last tranche of the collaboration agreement"/>
    <s v="bank transfer"/>
    <n v="134400"/>
    <n v="63.2"/>
    <n v="2126.5822784810125"/>
    <m/>
    <m/>
    <m/>
    <m/>
  </r>
  <r>
    <x v="26"/>
    <s v="Req.62/RPSF/2022"/>
    <n v="122099"/>
    <s v="Diversos Participantes"/>
    <s v="III"/>
    <s v="C44A003"/>
    <x v="11"/>
    <s v="1st Allocation"/>
    <s v="Declarações de recebimento"/>
    <s v="Payment of transport for small contact creators in training in the southern region"/>
    <s v="bank transfer"/>
    <n v="148760"/>
    <n v="63.2"/>
    <n v="2353.7974683544303"/>
    <n v="148700"/>
    <m/>
    <m/>
    <m/>
  </r>
  <r>
    <x v="26"/>
    <s v="Req.65/RPSF/2022"/>
    <n v="112101"/>
    <s v="Diversos Técnicos"/>
    <s v="III"/>
    <s v="C41A003"/>
    <x v="3"/>
    <s v="2nd Allocation"/>
    <s v="Guias de Marcha"/>
    <s v="ADC in the scope of verification of the technical specifications of animals for traction"/>
    <s v="bank transfer"/>
    <n v="27600"/>
    <n v="63.2"/>
    <n v="436.70886075949363"/>
    <m/>
    <m/>
    <m/>
    <m/>
  </r>
  <r>
    <x v="27"/>
    <s v="Req.71/RPSF/2022"/>
    <n v="121001"/>
    <s v="Lurio Combustivel"/>
    <s v="I"/>
    <s v="C11A025"/>
    <x v="2"/>
    <s v="1st Allocation"/>
    <s v="Factura n. 1975"/>
    <s v="Payment of fuel for vaccination in the districts"/>
    <s v="bank transfer"/>
    <n v="197425"/>
    <n v="63.2"/>
    <n v="3123.8132911392404"/>
    <m/>
    <m/>
    <m/>
    <m/>
  </r>
  <r>
    <x v="27"/>
    <s v="Req.75/RPSF/2022"/>
    <n v="122099"/>
    <s v="Bald Solutions"/>
    <s v="I"/>
    <s v="C44A003"/>
    <x v="6"/>
    <s v="1st Allocation"/>
    <s v="Factura n. 63"/>
    <s v="Payment of 50% for the provision of meals within the scope of training (PAC)"/>
    <s v="bank transfer"/>
    <n v="440000"/>
    <n v="63.2"/>
    <n v="6962.0253164556962"/>
    <m/>
    <m/>
    <m/>
    <m/>
  </r>
  <r>
    <x v="27"/>
    <s v="Req.76/RPSF/2022"/>
    <n v="122099"/>
    <s v="Bald Solutions"/>
    <s v="I"/>
    <s v="C44A003"/>
    <x v="6"/>
    <s v="1st Allocation"/>
    <s v="Factura n. 64/65"/>
    <s v="Payment of 50% for the provision of meals within the scope of training (PAC)"/>
    <s v="bank transfer"/>
    <n v="575000"/>
    <n v="63.2"/>
    <n v="9098.1012658227846"/>
    <m/>
    <m/>
    <m/>
    <m/>
  </r>
  <r>
    <x v="27"/>
    <s v="Req.77/RPSF/2022"/>
    <n v="122099"/>
    <s v="Bald Solutions"/>
    <s v="I"/>
    <s v="C44A003"/>
    <x v="6"/>
    <s v="1st Allocation"/>
    <s v="Factura n. 59,60,61,62"/>
    <s v="Payment of 50% for the provision of meals within the scope of training (PAC)"/>
    <s v="bank transfer"/>
    <n v="707500"/>
    <n v="63.2"/>
    <n v="11194.620253164556"/>
    <m/>
    <m/>
    <m/>
    <m/>
  </r>
  <r>
    <x v="27"/>
    <s v="Req.78/RPSF/2022"/>
    <n v="122099"/>
    <s v="Bar, Restaurante e Residencial S. Miguel"/>
    <s v="III"/>
    <s v="C44A003"/>
    <x v="6"/>
    <s v="1st Allocation"/>
    <s v="Factura n. 0015584"/>
    <s v="Payment of accommodation services in the scope of training (PAC) in Cuamba from 30 to 03 June"/>
    <s v="bank transfer"/>
    <n v="142500"/>
    <n v="63.2"/>
    <n v="2254.746835443038"/>
    <m/>
    <m/>
    <m/>
    <m/>
  </r>
  <r>
    <x v="27"/>
    <s v="req. 79/RPSF/2022"/>
    <n v="122099"/>
    <s v="Bar, Restaurante e Residencial S. Miguel"/>
    <s v="III"/>
    <s v="C44A003"/>
    <x v="6"/>
    <s v="1st Allocation"/>
    <s v="Factura n. 0015581"/>
    <s v="Payment of accommodation services in the scope of training (PAC) in Cuamba from 23 to 26 May"/>
    <s v="bank transfer"/>
    <n v="154500"/>
    <n v="63.2"/>
    <n v="2444.6202531645567"/>
    <m/>
    <m/>
    <m/>
    <m/>
  </r>
  <r>
    <x v="27"/>
    <s v="Req.80/RPSF/2022"/>
    <n v="122099"/>
    <s v="Casa de hospede Ajaba e Filhos"/>
    <s v="III"/>
    <s v="C44A003A"/>
    <x v="6"/>
    <s v="1st Allocation"/>
    <s v="Factura n. 000059"/>
    <s v="Payment of accommodation in the context of training small contact farmers (PACs) Lichinga"/>
    <s v="bank transfer"/>
    <n v="249000"/>
    <n v="63.2"/>
    <n v="3939.8734177215188"/>
    <m/>
    <m/>
    <m/>
    <m/>
  </r>
  <r>
    <x v="27"/>
    <s v="Req.81/RPSF/2022"/>
    <n v="122099"/>
    <s v="Bar, Restaurante e Residencial S. Miguel"/>
    <s v="I"/>
    <s v="C44A003A"/>
    <x v="6"/>
    <s v="1st Allocation"/>
    <s v="Factura n. 0015543"/>
    <s v="Payment for renting a meeting room within the scope of training (PAC) in Cuamba"/>
    <s v="bank transfer"/>
    <n v="20000"/>
    <n v="63.2"/>
    <n v="316.45569620253161"/>
    <n v="58246509.350000001"/>
    <m/>
    <m/>
    <m/>
  </r>
  <r>
    <x v="27"/>
    <s v="Req.82/RPSF/2022"/>
    <n v="112101"/>
    <s v="Diversos Técnicos"/>
    <s v="III"/>
    <s v="C44A003"/>
    <x v="6"/>
    <s v="1st Allocation"/>
    <s v="Guias de Marcha"/>
    <s v="Training of small contact farmers (PACs) in Gaza"/>
    <s v="bank transfer"/>
    <n v="689400"/>
    <n v="63.2"/>
    <n v="10908.227848101265"/>
    <n v="715200"/>
    <m/>
    <n v="493672.62"/>
    <m/>
  </r>
  <r>
    <x v="27"/>
    <s v="Req.83/RPSF/2022"/>
    <n v="112101"/>
    <s v="Diversos Técnicos"/>
    <s v="III"/>
    <s v="C44A003"/>
    <x v="6"/>
    <s v="1st Allocation"/>
    <s v="Guias de Marcha"/>
    <s v="Training of small contact farmers (PACs) in Inharrime"/>
    <s v="bank transfer"/>
    <n v="723600"/>
    <n v="63.2"/>
    <n v="11449.367088607594"/>
    <n v="727200"/>
    <m/>
    <n v="106327.38"/>
    <m/>
  </r>
  <r>
    <x v="27"/>
    <s v="Req.84/RPSF/2022"/>
    <n v="112101"/>
    <s v="Diversos Técnicos"/>
    <s v="III"/>
    <s v="C44A003"/>
    <x v="6"/>
    <s v="1st Allocation"/>
    <s v="Guias de Marcha"/>
    <s v="Training of small contact farmers (PACs) in Vilankusos and Magude"/>
    <s v="bank transfer"/>
    <n v="1120200"/>
    <n v="63.2"/>
    <n v="17724.683544303796"/>
    <n v="1118400"/>
    <m/>
    <m/>
    <m/>
  </r>
  <r>
    <x v="27"/>
    <s v="Req.85/RPSF/2022"/>
    <n v="112101"/>
    <s v="Diversos Técnicos"/>
    <s v="III"/>
    <s v="C44A003"/>
    <x v="11"/>
    <s v="2nd Allocation"/>
    <s v="Guais de Marcha"/>
    <s v="Training of community vaccinators in Maputo Province (Namaacha, Moamba, Manhica and Magude)"/>
    <s v="bank transfer"/>
    <n v="20400"/>
    <n v="63.2"/>
    <n v="322.78481012658227"/>
    <m/>
    <m/>
    <m/>
    <m/>
  </r>
  <r>
    <x v="27"/>
    <s v="Req.86/RPSF/2022"/>
    <n v="122099"/>
    <s v="Diversos Participantes"/>
    <s v="III"/>
    <s v="C44A003"/>
    <x v="6"/>
    <s v="1st Allocation"/>
    <s v="Declaracoes de transporte"/>
    <s v="Payment for transport within the framework of training of small contact farmers (PAC) Vilak, Magude"/>
    <s v="bank transfer"/>
    <n v="245380"/>
    <n v="63.2"/>
    <n v="3882.5949367088606"/>
    <n v="148760"/>
    <m/>
    <m/>
    <m/>
  </r>
  <r>
    <x v="27"/>
    <s v="Req.90/RPSF/2022"/>
    <n v="121001"/>
    <s v="Zap Zambezia Agro-Pecuaria, Lda"/>
    <s v="I"/>
    <s v="C44A003"/>
    <x v="6"/>
    <s v="1st Allocation"/>
    <s v="Factura n. 006380"/>
    <s v="Payment of fuel for monitoring the activities of the URSGP and training (PACs) and (PCCs)"/>
    <s v="bank transfer"/>
    <n v="350000"/>
    <n v="63.2"/>
    <n v="5537.9746835443038"/>
    <m/>
    <m/>
    <m/>
    <m/>
  </r>
  <r>
    <x v="27"/>
    <s v="Req.91/RPSF/2022"/>
    <n v="112101"/>
    <s v="Diversos Técnicos"/>
    <s v="III"/>
    <s v="C44A003"/>
    <x v="6"/>
    <s v="1st Allocation"/>
    <s v="Guias de Marcha"/>
    <s v="Training within the scope of training rural women in the field of nutrition in Inhambane"/>
    <s v="bank transfer"/>
    <n v="1279200"/>
    <n v="63.2"/>
    <n v="20240.506329113923"/>
    <m/>
    <m/>
    <m/>
    <m/>
  </r>
  <r>
    <x v="27"/>
    <s v="Req.92/RPSF/2022"/>
    <n v="121001"/>
    <s v="Diversos fornecedores"/>
    <s v="III"/>
    <s v="C41A008"/>
    <x v="9"/>
    <s v="2nd Allocation"/>
    <s v="Factura n. 010722/032726"/>
    <s v="Payment of fuel within the scope of training branch technicians in the Province of Inhambane"/>
    <s v="bank transfer"/>
    <n v="25953.4"/>
    <n v="63.2"/>
    <n v="410.65506329113924"/>
    <m/>
    <m/>
    <m/>
    <m/>
  </r>
  <r>
    <x v="28"/>
    <s v="Req.89/RPSF/2022"/>
    <n v="122099"/>
    <s v="Platim Hotel"/>
    <s v="III"/>
    <s v="C44A003"/>
    <x v="6"/>
    <s v="1st Allocation"/>
    <s v="Factura n. 121/123"/>
    <s v="Payment for renting a meeting room within the scope of training (PAC) in Inhambane"/>
    <s v="bank transfer"/>
    <n v="210000"/>
    <n v="63.2"/>
    <n v="3322.7848101265822"/>
    <m/>
    <m/>
    <m/>
    <m/>
  </r>
  <r>
    <x v="28"/>
    <s v="Req.99/RPSF/2022"/>
    <n v="122099"/>
    <s v="Bald Solutions"/>
    <s v="III"/>
    <s v="C44A003"/>
    <x v="6"/>
    <s v="1st Allocation"/>
    <s v="Factura n. 66,67,68,69"/>
    <s v="Payment of the last tranche for the provision of meals, room rental, vehicles and accommodation"/>
    <s v="Ch. n.4039319"/>
    <n v="707500"/>
    <n v="63.2"/>
    <n v="11194.620253164556"/>
    <m/>
    <m/>
    <m/>
    <m/>
  </r>
  <r>
    <x v="28"/>
    <s v="Req.100/RPSF/2022"/>
    <n v="122099"/>
    <s v="Bald Solutions"/>
    <s v="I"/>
    <s v="C44A003"/>
    <x v="6"/>
    <s v="1st Allocation"/>
    <s v="Factura n. 71,72"/>
    <s v="Payment of the last tranche for the provision of meals and meeting room for the (PACs) in Boane"/>
    <s v="Ch n.4039335"/>
    <n v="575000"/>
    <n v="63.2"/>
    <n v="9098.1012658227846"/>
    <m/>
    <m/>
    <m/>
    <m/>
  </r>
  <r>
    <x v="28"/>
    <s v="Req.101/RPSF/2022"/>
    <n v="122099"/>
    <s v="Bald Solutions"/>
    <s v="I"/>
    <s v="C44A003"/>
    <x v="6"/>
    <s v="1st Allocation"/>
    <s v="Factura n. 70"/>
    <s v="Payment of the last tranche for the provision of meals (PACs) in Chidenguela"/>
    <s v="Ch. N4039386"/>
    <n v="440000"/>
    <n v="63.2"/>
    <n v="6962.0253164556962"/>
    <m/>
    <m/>
    <m/>
    <m/>
  </r>
  <r>
    <x v="28"/>
    <s v="Req.102/RPSF/2022"/>
    <n v="122099"/>
    <s v="Bald Solutions"/>
    <s v="I"/>
    <s v="C44A003"/>
    <x v="6"/>
    <s v="1st Allocation"/>
    <s v="Factura n. 77"/>
    <s v="Payment of the last tranche for the provision of meals (PACs) in Inharrime"/>
    <s v="Ch n. 4039300"/>
    <n v="1605000"/>
    <n v="63.2"/>
    <n v="25395.569620253162"/>
    <m/>
    <m/>
    <m/>
    <m/>
  </r>
  <r>
    <x v="28"/>
    <s v="Req.103/RPSF/2022"/>
    <n v="122099"/>
    <s v="Bald Solutions"/>
    <s v="I"/>
    <s v="C44A003"/>
    <x v="6"/>
    <s v="1st Allocation"/>
    <s v="Factura n.76"/>
    <s v="Payment of the last tranche for the provision of meals (PACs) in Vilankulos"/>
    <s v="Ch n. 4039343"/>
    <n v="900000"/>
    <n v="63.2"/>
    <n v="14240.506329113923"/>
    <m/>
    <m/>
    <m/>
    <m/>
  </r>
  <r>
    <x v="28"/>
    <s v="Req.104/RPSF/2022"/>
    <n v="122099"/>
    <s v="Bald Solutions"/>
    <s v="III"/>
    <s v="C44A003"/>
    <x v="6"/>
    <s v="1st Allocation"/>
    <s v="Factura n. 73,74,75"/>
    <s v="Payment for meeting room supply, accommodation and car rental in Magude"/>
    <s v="Ch n. 4039351"/>
    <n v="357500"/>
    <n v="63.2"/>
    <n v="5656.6455696202529"/>
    <m/>
    <m/>
    <m/>
    <m/>
  </r>
  <r>
    <x v="29"/>
    <s v="Req.108/RPSF/2022"/>
    <n v="122099"/>
    <s v="A Viagem"/>
    <s v="I"/>
    <s v="C44A003"/>
    <x v="11"/>
    <s v="1st Allocation"/>
    <s v="Factura Nr. 29"/>
    <s v="Payment of logistical expenses in connection with training CCPs in Gaza"/>
    <s v="Ch n. 4039459"/>
    <n v="444000"/>
    <n v="63.2"/>
    <n v="7025.316455696202"/>
    <m/>
    <m/>
    <m/>
    <m/>
  </r>
  <r>
    <x v="29"/>
    <s v="Req.109/RPSF/2022"/>
    <n v="122099"/>
    <s v="A Viagem"/>
    <s v="I"/>
    <s v="C44A003"/>
    <x v="11"/>
    <s v="1st Allocation"/>
    <s v="Factura Nr.26"/>
    <s v="Payment of logistical expenses in connection with the training of PCCs in Maputo"/>
    <s v="Ch n. 4039424"/>
    <n v="559750"/>
    <n v="63.2"/>
    <n v="8856.8037974683539"/>
    <m/>
    <m/>
    <m/>
    <m/>
  </r>
  <r>
    <x v="29"/>
    <s v="Req.110/RPSF/2022"/>
    <n v="122099"/>
    <s v="A Viagem"/>
    <s v="I"/>
    <s v="C44A003"/>
    <x v="11"/>
    <s v="1st Allocation"/>
    <s v="Factura Nr.27"/>
    <s v="Payment of logistical expenses in connection with the training of PCCs in Maputo"/>
    <s v="Ch n. 4039440"/>
    <n v="236800"/>
    <n v="63.2"/>
    <n v="3746.8354430379745"/>
    <m/>
    <m/>
    <m/>
    <m/>
  </r>
  <r>
    <x v="30"/>
    <s v="Req.105/RPSF/2022"/>
    <n v="122099"/>
    <s v="Bald Solutions"/>
    <s v="I"/>
    <s v="C44A003"/>
    <x v="11"/>
    <s v="1st Allocation"/>
    <s v="Factura Nr.78,80 e 81"/>
    <s v="Payment of logistical expenses for training PCCs and community vaccinators in Maputo"/>
    <s v="Ch n. 4039475"/>
    <n v="357500"/>
    <n v="63.2"/>
    <n v="5656.6455696202529"/>
    <m/>
    <m/>
    <m/>
    <m/>
  </r>
  <r>
    <x v="31"/>
    <s v="Req.125/RPSF/2022"/>
    <n v="122099"/>
    <s v="Hotel Bernna"/>
    <s v="I"/>
    <s v="C44A003"/>
    <x v="11"/>
    <s v="1st Allocation"/>
    <s v="Factura Nr. 02549"/>
    <s v="Payment of 50% car rental, conference room within the scope of PCC training in Vilankulo part1/2"/>
    <s v="Ch n. 4039548"/>
    <n v="326840.65000000002"/>
    <n v="63.2"/>
    <n v="5171.529272151899"/>
    <s v="Shared Expense"/>
    <s v="Conversion of 1st and 2nd Allocation Fee 63.20"/>
    <m/>
    <m/>
  </r>
  <r>
    <x v="31"/>
    <s v="Req.125/RPSF/2022"/>
    <n v="122099"/>
    <s v="Hotel Bernna"/>
    <s v="I"/>
    <s v="C44A003"/>
    <x v="11"/>
    <s v="1st Allocation"/>
    <s v="Factura Nr. 02549"/>
    <s v="Payment of 50% car rental, conference room within the scope of PCC training in Vilankulo part2/2"/>
    <s v="Ch n. 4039548"/>
    <n v="103159.35"/>
    <n v="63.23"/>
    <n v="1631.4937529653648"/>
    <n v="430000"/>
    <n v="37919999.999999993"/>
    <n v="600000.00000000023"/>
    <m/>
  </r>
  <r>
    <x v="31"/>
    <s v="Req.123/RPSF/2022"/>
    <n v="122099"/>
    <s v="Hotel Bernna"/>
    <s v="I"/>
    <s v="C44A003"/>
    <x v="11"/>
    <s v="1st Allocation"/>
    <s v="Factura Nr. 02527"/>
    <s v="Payment of the remaining 50% car rental, conference room within the scope of PCC training in Vilankulos"/>
    <s v="Ch n. 4039521"/>
    <n v="430000"/>
    <n v="63.23"/>
    <n v="6800.5693499920926"/>
    <m/>
    <m/>
    <m/>
    <m/>
  </r>
  <r>
    <x v="32"/>
    <s v="Req.124/RPSF/2022"/>
    <n v="122099"/>
    <s v="Easy Business"/>
    <s v="I"/>
    <s v="C44A003"/>
    <x v="6"/>
    <s v="1st Allocation"/>
    <s v="Factura Nr. 2/2022"/>
    <s v="Paid for providing tents and mattresses for training PACs"/>
    <s v="Ch n. 4039537"/>
    <n v="941850"/>
    <n v="63.23"/>
    <n v="14895.619168116402"/>
    <m/>
    <m/>
    <m/>
    <m/>
  </r>
  <r>
    <x v="33"/>
    <s v="Req.111/RPSF/2022"/>
    <n v="122099"/>
    <s v="PMK Serviços Triplos E.I"/>
    <s v="III"/>
    <s v="C44A003"/>
    <x v="6"/>
    <s v="1st Allocation"/>
    <s v="Factura Nr. 00007"/>
    <s v="I pay for housing services as part of the training of PACs and Extensionists in Gaza"/>
    <s v="Ch n. 40395413"/>
    <n v="490230"/>
    <n v="63.23"/>
    <n v="7753.1235173177292"/>
    <m/>
    <m/>
    <m/>
    <m/>
  </r>
  <r>
    <x v="33"/>
    <s v="Req.106/RPSF/2022"/>
    <n v="121099"/>
    <s v="Excavator Holding"/>
    <s v="I"/>
    <s v="C41A009"/>
    <x v="12"/>
    <s v="2nd Allocation"/>
    <s v="Factura Nr. 00317"/>
    <s v="Acquisition of 30 cooking demonstration kits and hygiene material to prevent COVID19"/>
    <s v="Ch n. 4039467"/>
    <n v="802068"/>
    <n v="63.23"/>
    <n v="12684.928040487112"/>
    <m/>
    <m/>
    <m/>
    <m/>
  </r>
  <r>
    <x v="34"/>
    <s v="Req.117/RPSF/2022"/>
    <n v="121005"/>
    <s v="Nyanga Group, Lda"/>
    <s v="I"/>
    <s v="C44A003"/>
    <x v="11"/>
    <s v="1st Allocation"/>
    <s v="Factura Nr.00104"/>
    <s v="Acquisition of training material within the scope of training vaccinators in Gaza"/>
    <s v="Ch. 4039483"/>
    <n v="129127.05"/>
    <n v="63.23"/>
    <n v="2042.180136011387"/>
    <m/>
    <m/>
    <m/>
    <m/>
  </r>
  <r>
    <x v="34"/>
    <s v="Req.116/RPSF/2022"/>
    <n v="121005"/>
    <s v="Nyanga Group, Lda"/>
    <s v="I"/>
    <s v="C44A003"/>
    <x v="11"/>
    <s v="1st Allocation"/>
    <s v="Factura Nr.00103"/>
    <s v="Acquisition of training material within the scope of training vaccinators in Gaza"/>
    <s v="Ch. 4039491"/>
    <n v="559944.44999999995"/>
    <n v="63.23"/>
    <n v="8855.6768938794867"/>
    <m/>
    <m/>
    <m/>
    <m/>
  </r>
  <r>
    <x v="35"/>
    <s v="Req.119/RPSF/2022"/>
    <n v="214101"/>
    <s v="Vetrago"/>
    <s v="I"/>
    <s v="C41A003"/>
    <x v="3"/>
    <s v="2nd Allocation"/>
    <s v="Factura Nr. 03285"/>
    <s v="Supply of animal-drawn cattle, breeding steers and yokes"/>
    <s v="bank transfer"/>
    <n v="11703180"/>
    <n v="63.23"/>
    <n v="185089.04001265223"/>
    <m/>
    <m/>
    <m/>
    <m/>
  </r>
  <r>
    <x v="36"/>
    <s v="Req.40/RPSF/2022"/>
    <n v="222099"/>
    <s v="Estação Agrária de Nhacoongo"/>
    <s v="I"/>
    <s v="C41A005"/>
    <x v="2"/>
    <s v="1st Allocation"/>
    <s v="N/A"/>
    <s v="Payment of the last tranche of the collaboration agreement"/>
    <s v="bank transfer"/>
    <n v="160000"/>
    <n v="63.23"/>
    <n v="2530.4444092993836"/>
    <m/>
    <m/>
    <m/>
    <m/>
  </r>
  <r>
    <x v="37"/>
    <s v="Req.131/RPSF/2022"/>
    <n v="121099"/>
    <s v="TECAP, SA"/>
    <s v="I"/>
    <s v="C41A003"/>
    <x v="13"/>
    <s v="2nd Allocation"/>
    <s v="Facturas Nr.211 e 212"/>
    <s v="Acquisition of plows, protection material and animal-drawn pits for Gaza and Inhambane"/>
    <s v="Ch n. 4039564"/>
    <n v="9337261.6699999999"/>
    <n v="63.23"/>
    <n v="147671.38494385578"/>
    <m/>
    <m/>
    <m/>
    <m/>
  </r>
  <r>
    <x v="38"/>
    <s v="Req.010/ob/2022"/>
    <n v="211099"/>
    <s v="TECNEL SERVICES, Lda"/>
    <s v="I"/>
    <s v="C41A004"/>
    <x v="5"/>
    <s v="2nd Allocation"/>
    <s v="Factura Nr. 196"/>
    <s v="20% advance on the supply and assembly of electric pump and porch in Block 1"/>
    <s v="bank transfer"/>
    <n v="520138.32"/>
    <n v="63.23"/>
    <n v="8226.1318994148351"/>
    <m/>
    <m/>
    <m/>
    <m/>
  </r>
  <r>
    <x v="39"/>
    <s v="Req.112/RPSF/2022"/>
    <n v="122099"/>
    <s v="Angel Serviços"/>
    <s v="I"/>
    <s v="C41A008"/>
    <x v="9"/>
    <s v="1st Allocation"/>
    <s v="Factura Nr.00024"/>
    <s v="Payment of meals within the scope of the training of branch technicians in Niassa"/>
    <s v="bank transfer"/>
    <n v="280000"/>
    <n v="63.23"/>
    <n v="4428.2777162739212"/>
    <m/>
    <m/>
    <m/>
    <m/>
  </r>
  <r>
    <x v="39"/>
    <s v="Req.115/RPSF/2022"/>
    <n v="122099"/>
    <s v="Angel Serviços"/>
    <s v="I"/>
    <s v="C41A008"/>
    <x v="9"/>
    <s v="1st Allocation"/>
    <s v="Factura Nr.00026"/>
    <s v="Payment of meals within the scope of empowerment of rural women in Niassa"/>
    <s v="bank transfer"/>
    <n v="185400"/>
    <n v="63.23"/>
    <n v="2932.1524592756605"/>
    <m/>
    <m/>
    <m/>
    <m/>
  </r>
  <r>
    <x v="39"/>
    <s v="Req.113/RPSF/2022"/>
    <n v="122099"/>
    <s v="Angel Serviços"/>
    <s v="I"/>
    <s v="C44A003"/>
    <x v="6"/>
    <s v="1st Allocation"/>
    <s v="Factura Nr.00022"/>
    <s v="Payment of ornamentation services within the scope of room and sound rental scope PAC in Lichinga"/>
    <s v="bank transfer"/>
    <n v="195800"/>
    <n v="63.23"/>
    <n v="3096.6313458801205"/>
    <m/>
    <m/>
    <m/>
    <m/>
  </r>
  <r>
    <x v="39"/>
    <s v="Req.94/RPSF/2022"/>
    <n v="122099"/>
    <s v="Bar, Restaurante Residencial S. Miguel"/>
    <s v="I"/>
    <s v="C41A008"/>
    <x v="9"/>
    <s v="1st Allocation"/>
    <s v="Factura Nr.0015596"/>
    <s v="I pay for renting a meeting room as part of the training of branch technicians in Cuamba"/>
    <s v="bank transfer"/>
    <n v="55000"/>
    <n v="63.23"/>
    <n v="869.84026569666298"/>
    <m/>
    <m/>
    <m/>
    <m/>
  </r>
  <r>
    <x v="39"/>
    <s v="Req.93/RPSF/2022"/>
    <n v="122099"/>
    <s v="Bar, Restaurante Residencial S. Miguel"/>
    <s v="I"/>
    <s v="C44A003"/>
    <x v="11"/>
    <s v="1st Allocation"/>
    <s v="Factura Nr.0015595"/>
    <s v="I pay for renting a meeting room within the scope of CCP training in Cuamba"/>
    <s v="bank transfer"/>
    <n v="25000"/>
    <n v="63.23"/>
    <n v="395.38193895302862"/>
    <m/>
    <m/>
    <m/>
    <m/>
  </r>
  <r>
    <x v="39"/>
    <s v="Req.120/RPSF/2022"/>
    <n v="122099"/>
    <s v="Angel Serviços"/>
    <s v="I"/>
    <s v="C44A003"/>
    <x v="11"/>
    <s v="1st Allocation"/>
    <s v="Factura Nr.00023"/>
    <s v="Payment of meal services within the scope of PCCs in Cuamba"/>
    <s v="bank transfer"/>
    <n v="329200"/>
    <n v="63.23"/>
    <n v="5206.3893721334816"/>
    <m/>
    <m/>
    <m/>
    <m/>
  </r>
  <r>
    <x v="39"/>
    <s v="Req.114/RPSF/2022"/>
    <n v="122099"/>
    <s v="Angel Serviços"/>
    <s v="I"/>
    <s v="C44A003"/>
    <x v="6"/>
    <s v="1st Allocation"/>
    <s v="Factura Nr.00021"/>
    <s v="Payment of meal services within the scope of PACs in Lichinga"/>
    <s v="bank transfer"/>
    <n v="610250"/>
    <n v="63.23"/>
    <n v="9651.2731298434301"/>
    <m/>
    <m/>
    <m/>
    <m/>
  </r>
  <r>
    <x v="39"/>
    <s v="Req.118/RPSF/2022"/>
    <n v="122099"/>
    <s v="Transporte Ruth"/>
    <s v="I"/>
    <s v="C44A003"/>
    <x v="11"/>
    <s v="1st Allocation"/>
    <s v="Factura Nr.000149"/>
    <s v="Vehicle rental payment within the scope of PCC training in Cuamba"/>
    <s v="bank transfer"/>
    <n v="211000"/>
    <n v="63.23"/>
    <n v="3337.0235647635618"/>
    <m/>
    <m/>
    <m/>
    <m/>
  </r>
  <r>
    <x v="39"/>
    <s v="Req.121/RPSF/2022"/>
    <n v="122099"/>
    <s v="Transporte Ruth"/>
    <s v="I"/>
    <s v="C41A008"/>
    <x v="9"/>
    <s v="1st Allocation"/>
    <s v="Factura Nr.000087"/>
    <s v="Vehicle rental payment within the scope of empowerment of branch women in Niassa"/>
    <s v="bank transfer"/>
    <n v="168000"/>
    <n v="63.23"/>
    <n v="2656.9666297643525"/>
    <m/>
    <m/>
    <m/>
    <m/>
  </r>
  <r>
    <x v="39"/>
    <s v="Req.122/RPSF/2022"/>
    <n v="122099"/>
    <s v="Transporte Ruth"/>
    <s v="I"/>
    <s v="C44A003"/>
    <x v="11"/>
    <s v="1st Allocation"/>
    <s v="Factura Nr.000088"/>
    <s v="Vehicle rental payment within the scope of training community vaccinators in Niassa"/>
    <s v="bank transfer"/>
    <n v="47500"/>
    <n v="63.23"/>
    <n v="751.22568401075443"/>
    <m/>
    <m/>
    <m/>
    <m/>
  </r>
  <r>
    <x v="39"/>
    <s v="Req.135/RPSF/2022"/>
    <n v="121001"/>
    <s v="SFM Mussagy &amp; Estação de Serv. Romamat"/>
    <s v="I"/>
    <s v="C44A003"/>
    <x v="6"/>
    <s v="1st Allocation"/>
    <s v="Facturas Nr. 3878,7138"/>
    <s v="Acquisition of fuel within the scope of PAC training"/>
    <s v="bank transfer"/>
    <n v="29915.3"/>
    <n v="63.23"/>
    <n v="473.11877273446152"/>
    <m/>
    <m/>
    <m/>
    <m/>
  </r>
  <r>
    <x v="39"/>
    <s v="Req.98/RPSF/2022"/>
    <n v="112101"/>
    <s v="E. Nhone e T. Cossa"/>
    <s v="I"/>
    <s v="C41A004"/>
    <x v="5"/>
    <s v="1st Allocation"/>
    <s v="Guias de Marcha"/>
    <s v="Travel to Moamba within the scope of handing over the place for installing the electric pump"/>
    <s v="bank transfer"/>
    <n v="10800"/>
    <n v="63.23"/>
    <n v="170.80499762770839"/>
    <m/>
    <m/>
    <m/>
    <m/>
  </r>
  <r>
    <x v="39"/>
    <s v="Req.137/RPSF/2022"/>
    <n v="112101"/>
    <s v="Diversos Técnicos"/>
    <s v="III"/>
    <s v="C44A003"/>
    <x v="11"/>
    <s v="2nd Allocation"/>
    <s v="Guias de Marcha"/>
    <s v="Travel to Magude within the scope of PCC training"/>
    <s v="bank transfer"/>
    <n v="38400"/>
    <n v="63.23"/>
    <n v="607.306658231852"/>
    <m/>
    <m/>
    <m/>
    <m/>
  </r>
  <r>
    <x v="39"/>
    <s v="Req.129/RPSF/2022"/>
    <n v="122099"/>
    <s v="A Viagem"/>
    <s v="I"/>
    <s v="C44A003"/>
    <x v="11"/>
    <s v="1st Allocation"/>
    <s v="Factura Nr. 28"/>
    <s v="Provision of logistics services within the scope of vaccinator training in Inhambane"/>
    <s v="bank transfer"/>
    <n v="222000"/>
    <n v="63.23"/>
    <n v="3510.9916179028942"/>
    <m/>
    <m/>
    <m/>
    <m/>
  </r>
  <r>
    <x v="39"/>
    <s v="Req.130/RPSF/2022"/>
    <n v="122099"/>
    <s v="Oppi Koppi Lodge"/>
    <s v="I"/>
    <s v="C41A008"/>
    <x v="9"/>
    <s v="1st Allocation"/>
    <s v="Factura Nr. 1263"/>
    <s v="Provision of room rental services as part of the empowerment of rural women in Massinga"/>
    <s v="bank transfer"/>
    <n v="297500"/>
    <n v="63.23"/>
    <n v="4705.0450735410404"/>
    <m/>
    <m/>
    <m/>
    <m/>
  </r>
  <r>
    <x v="39"/>
    <s v="Req.133/RPSF/2022"/>
    <n v="121001"/>
    <s v="Paula E. Fernando, Lda"/>
    <s v="I"/>
    <s v="C42A001"/>
    <x v="14"/>
    <s v="1st Allocation"/>
    <s v="Factura Nr.130"/>
    <s v="Acquisition of fuel within the scope of the delivery of kits to the PACs of Namaacha"/>
    <s v="bank transfer"/>
    <n v="8901"/>
    <n v="63.23"/>
    <n v="140.77178554483632"/>
    <m/>
    <m/>
    <m/>
    <m/>
  </r>
  <r>
    <x v="39"/>
    <s v="Req.125/RPSF/2022"/>
    <n v="121099"/>
    <s v="Abineiro Parane Tisse"/>
    <s v="I"/>
    <s v="C41A005"/>
    <x v="6"/>
    <s v="1st Allocation"/>
    <s v="VD"/>
    <s v="Acquisition of certified seeds for Zavala Districts"/>
    <s v="bank transfer"/>
    <n v="97500"/>
    <n v="63.23"/>
    <n v="1541.9895619168117"/>
    <m/>
    <m/>
    <m/>
    <m/>
  </r>
  <r>
    <x v="39"/>
    <s v="Req.107/RPSF/2022"/>
    <n v="121001"/>
    <s v="Posto de Abastecimento da PETROMOC"/>
    <s v="I"/>
    <s v="C44A003"/>
    <x v="6"/>
    <s v="1st Allocation"/>
    <s v="Factura Nr.2213"/>
    <s v="Acquisition of fuel within the scope of training in Inharrime"/>
    <s v="bank transfer"/>
    <n v="6610.4"/>
    <n v="63.23"/>
    <n v="104.54531077020401"/>
    <m/>
    <m/>
    <m/>
    <m/>
  </r>
  <r>
    <x v="39"/>
    <s v="Req.138/RPSF/2022"/>
    <n v="121099"/>
    <s v="Excavator Holding"/>
    <s v="I"/>
    <s v="C41A009"/>
    <x v="12"/>
    <s v="2nd Allocation"/>
    <s v="Factura Nr.321"/>
    <s v="Acquisition of cooking demonstration kits and hygiene material Prevention of COVID 19"/>
    <s v="bank transfer"/>
    <n v="1573305.1"/>
    <n v="63.23"/>
    <n v="24882.256840107548"/>
    <n v="0"/>
    <m/>
    <m/>
    <m/>
  </r>
  <r>
    <x v="39"/>
    <s v="Req.26/RPSF/2022"/>
    <n v="122099"/>
    <s v="Serviços Provincial de Ambiente-Gaza"/>
    <s v="I"/>
    <s v="C41A004"/>
    <x v="5"/>
    <s v="1st Allocation"/>
    <s v="N/A"/>
    <s v="Payment of environmental licensing fees for infrastructure in Gaza"/>
    <s v="bank transfer"/>
    <n v="28000"/>
    <n v="63.23"/>
    <n v="442.82777162739211"/>
    <m/>
    <m/>
    <m/>
    <m/>
  </r>
  <r>
    <x v="39"/>
    <s v="Req.136/RPSF/2022"/>
    <n v="112101"/>
    <s v="Alípio Simão"/>
    <s v="III"/>
    <s v="C44A003"/>
    <x v="6"/>
    <s v="2nd Allocation"/>
    <s v="Guia de Marcha"/>
    <s v="Travel to Boane within the scope of participation in the training of PACs"/>
    <s v="bank transfer"/>
    <n v="7800"/>
    <n v="63.23"/>
    <n v="123.35916495334494"/>
    <m/>
    <m/>
    <m/>
    <m/>
  </r>
  <r>
    <x v="39"/>
    <s v="Req.134/RPSF/2022"/>
    <n v="112101"/>
    <s v="Daniel Chitupila"/>
    <s v="III"/>
    <s v="C44A003"/>
    <x v="11"/>
    <s v="2nd Allocation"/>
    <s v="Guia de Marcha"/>
    <s v="Travel to Cuamba to prepare the logistics of PACs and PCCs"/>
    <s v="bank transfer"/>
    <n v="19800"/>
    <n v="63.23"/>
    <n v="313.14249565079871"/>
    <m/>
    <m/>
    <m/>
    <m/>
  </r>
  <r>
    <x v="39"/>
    <s v="Req.96/RPSF/2022"/>
    <n v="122099"/>
    <s v="Registar"/>
    <s v="III"/>
    <s v="C44A010"/>
    <x v="15"/>
    <s v="2nd Allocation"/>
    <s v="Factura Nr.533/2022"/>
    <s v="Domain renewal fee"/>
    <s v="bank transfer"/>
    <n v="8320"/>
    <n v="63.23"/>
    <n v="131.58310928356792"/>
    <m/>
    <m/>
    <m/>
    <m/>
  </r>
  <r>
    <x v="40"/>
    <s v="Req.73/RPSF/2022"/>
    <n v="121001"/>
    <s v="Diversos fornecedores"/>
    <s v="I"/>
    <s v="C41A008"/>
    <x v="9"/>
    <s v="1st Allocation"/>
    <s v="Factura n. 09-2022/00449"/>
    <s v="Payment of fuel in the context of training rural women in Inhambane Province"/>
    <s v="bank transfer"/>
    <n v="22161"/>
    <n v="63.23"/>
    <n v="350.48236596552272"/>
    <m/>
    <m/>
    <m/>
    <m/>
  </r>
  <r>
    <x v="40"/>
    <s v="Req.87/RPSF/2022"/>
    <n v="122099"/>
    <s v="Vanda Elias Mucavele"/>
    <s v="III"/>
    <s v="C44A003"/>
    <x v="6"/>
    <s v="2nd Allocation"/>
    <s v="Declaracoes de transporte"/>
    <s v="Payment for transport within the framework of smallholder contact training (PAC) Inharrime"/>
    <s v="bank transfer"/>
    <n v="26530"/>
    <n v="63.23"/>
    <n v="419.57931361695398"/>
    <m/>
    <m/>
    <m/>
    <m/>
  </r>
  <r>
    <x v="40"/>
    <s v="Req.88/RPSF/2022"/>
    <n v="122099"/>
    <s v="Jose Sambo"/>
    <s v="III"/>
    <s v="C44A003"/>
    <x v="6"/>
    <s v="2nd Allocation"/>
    <s v="Declaracoes de transporte"/>
    <s v="Payment for transport within the framework of smallholder contact training (PAC) Chokwe"/>
    <s v="bank transfer"/>
    <n v="8700"/>
    <n v="63.23"/>
    <n v="137.59291475565396"/>
    <m/>
    <m/>
    <m/>
    <m/>
  </r>
  <r>
    <x v="40"/>
    <s v="Req.97/RPSF/2022"/>
    <n v="112101"/>
    <s v="Diversos Técnicos"/>
    <s v="I"/>
    <s v="C41A009"/>
    <x v="10"/>
    <s v="1st Allocation"/>
    <s v="Guias de Marcha"/>
    <s v="Subsistence allowances for extension workers within the scope of the cooking demonstration in Inhambane"/>
    <s v="bank transfer"/>
    <n v="205200"/>
    <n v="63.23"/>
    <n v="3245.294954926459"/>
    <m/>
    <m/>
    <m/>
    <m/>
  </r>
  <r>
    <x v="40"/>
    <s v="Req.139/RPSF/2022"/>
    <n v="112101"/>
    <s v="Diversos Técnicos"/>
    <s v="I"/>
    <s v="C41A010"/>
    <x v="0"/>
    <s v="1st Allocation"/>
    <s v="Guias de Marcha"/>
    <s v="Travel to Gaza and Inhambane as part of the delivery of cooking demonstration kits"/>
    <s v="bank transfer"/>
    <n v="279000"/>
    <n v="63.23"/>
    <n v="4412.4624387158001"/>
    <m/>
    <m/>
    <m/>
    <m/>
  </r>
  <r>
    <x v="40"/>
    <s v="Req.139/RPSF/2022"/>
    <n v="121099"/>
    <s v="Casa do Agricultor"/>
    <s v="I"/>
    <s v="C41A006"/>
    <x v="0"/>
    <s v="2nd Allocation"/>
    <s v="Factura Nr. FA1 A22/44"/>
    <s v="Acquisition and allocation of agricultural inputs for the 2021/22 agricultural campaign in Gaza Province"/>
    <s v="bank transfer"/>
    <n v="6048899.8799999999"/>
    <n v="63.23"/>
    <n v="95665.030523485693"/>
    <m/>
    <m/>
    <m/>
    <m/>
  </r>
  <r>
    <x v="41"/>
    <s v="Req.127/RPSF/2022"/>
    <n v="121099"/>
    <s v="TECAP, SA"/>
    <s v="I"/>
    <s v="C42A001A"/>
    <x v="14"/>
    <s v="2nd Allocation"/>
    <s v="Facturas Nr.213"/>
    <s v="Acquisition of 277 work equipment and individual protection kits for Maputo, Gaza, Inhambane and Niassa"/>
    <s v="bank transfer"/>
    <n v="6380353.6600000001"/>
    <n v="63.23"/>
    <n v="100907.06405187411"/>
    <n v="27707.099999999977"/>
    <n v="1751919.9329999983"/>
    <m/>
    <m/>
  </r>
  <r>
    <x v="42"/>
    <s v="Req.145/RPSF/2022"/>
    <n v="121001"/>
    <s v="Diversos fornecedores"/>
    <s v="III"/>
    <s v="C41A001"/>
    <x v="16"/>
    <s v="2nd Allocation"/>
    <s v="Diversas Facturas"/>
    <s v="Payment of fuel for distribution of the animals in the districts of Gaza and Inhambane"/>
    <s v="bank transfer"/>
    <n v="326694.25"/>
    <n v="63.23"/>
    <n v="5166.7602403922192"/>
    <n v="326674.25"/>
    <n v="20"/>
    <m/>
    <m/>
  </r>
  <r>
    <x v="43"/>
    <s v="Req.143/RPSF/2022"/>
    <n v="112101"/>
    <s v="Diversos Técnicos"/>
    <s v="I"/>
    <s v="C41A001"/>
    <x v="16"/>
    <s v="2nd Allocation"/>
    <s v="Guias de Marcha"/>
    <s v="Pagamento de ajudas de custo distribuição de animais em Maputo, Gaza e Inhambane 08 a 14/08"/>
    <s v="bank transfer"/>
    <n v="318600"/>
    <n v="63.23"/>
    <n v="5038.7474300173972"/>
    <m/>
    <n v="15600"/>
    <m/>
    <m/>
  </r>
  <r>
    <x v="44"/>
    <s v="Req.141/RPSF/2022"/>
    <n v="112101"/>
    <s v="Diversos Técnicos"/>
    <s v="I"/>
    <s v="C41A001"/>
    <x v="16"/>
    <s v="2nd Allocation"/>
    <s v="Guia de Marcha"/>
    <s v="Pagamento de ajudas de custo distribuição de animais em Gaza 01 a 05/08"/>
    <s v="bank transfer"/>
    <n v="41400"/>
    <n v="63.23"/>
    <n v="654.75249090621548"/>
    <m/>
    <m/>
    <m/>
    <m/>
  </r>
  <r>
    <x v="45"/>
    <s v="Req.142/RPSF/2022"/>
    <n v="112101"/>
    <s v="Diversos Técnicos"/>
    <s v="I"/>
    <s v="C41A001"/>
    <x v="16"/>
    <s v="2nd Allocation"/>
    <s v="Guias de Marcha"/>
    <s v="Pagamento de ajudas de custo distribuição de animais em Gaza 15 a 20/08"/>
    <s v="bank transfer"/>
    <n v="159000"/>
    <n v="63.23"/>
    <n v="2514.629131741262"/>
    <m/>
    <m/>
    <m/>
    <m/>
  </r>
  <r>
    <x v="45"/>
    <s v="Req.61/RPSF/2022"/>
    <n v="112101"/>
    <s v="Diversos Técnicos"/>
    <s v="III"/>
    <s v="C44A003"/>
    <x v="11"/>
    <s v="1st Allocation"/>
    <s v="Guias de Marcha"/>
    <s v="Training of livestock vaccinators in the Province of Maputo-Magude"/>
    <s v="bank transfer"/>
    <n v="88200"/>
    <n v="63.23"/>
    <n v="1394.907480626285"/>
    <m/>
    <m/>
    <m/>
    <m/>
  </r>
  <r>
    <x v="45"/>
    <s v="Req.140/RPSF/2022"/>
    <n v="121001"/>
    <s v="Diversos fornecedores"/>
    <s v="I"/>
    <s v="C41A009"/>
    <x v="10"/>
    <s v="1st Allocation"/>
    <s v="Diversas Facturas"/>
    <s v="Payment of fuel during the delivery of cooking demonstration kits"/>
    <s v="bank transfer"/>
    <n v="25312.699999999997"/>
    <n v="63.23"/>
    <n v="400.32737624545308"/>
    <m/>
    <m/>
    <m/>
    <m/>
  </r>
  <r>
    <x v="46"/>
    <s v="Req.146/RPSF/2022"/>
    <n v="121099"/>
    <s v="Casa do Agricultor"/>
    <s v="I"/>
    <s v="C41A006"/>
    <x v="0"/>
    <s v="2nd Allocation"/>
    <s v="Factura Nr. FA1 A22/53"/>
    <s v="Acquisition and allocation of agricultural inputs for the 2021/22 agricultural campaign in Gaza Province"/>
    <s v="bank transfer"/>
    <n v="2470590"/>
    <n v="63.23"/>
    <n v="39073.066582318519"/>
    <m/>
    <m/>
    <m/>
    <m/>
  </r>
  <r>
    <x v="46"/>
    <s v="Req./RPSF/2022"/>
    <n v="213099"/>
    <s v="Pershop, Lda"/>
    <s v="I"/>
    <s v="C42A001"/>
    <x v="14"/>
    <s v="1st Allocation"/>
    <s v="Factura Nr.2389"/>
    <s v="Aquisição de bicicletas para PACs das Províncias de Maputo, Gaza, Inhambane e Niassa"/>
    <s v="bank transfer"/>
    <n v="1879150"/>
    <n v="63.23"/>
    <n v="29719.278823343349"/>
    <m/>
    <m/>
    <m/>
    <m/>
  </r>
  <r>
    <x v="46"/>
    <s v="Req.127/RPSF/2022"/>
    <n v="121099"/>
    <s v="TECAP, SA"/>
    <s v="I"/>
    <s v="C42A001A"/>
    <x v="14"/>
    <s v="2nd Allocation"/>
    <s v="Facturas Nr.214"/>
    <s v="Acquisition of 277 work equipment and individual protection kits for Maputo, Gaza, Inhambane and Niassa"/>
    <s v="bank transfer"/>
    <n v="3041101.29"/>
    <n v="63.23"/>
    <n v="48095.86098371027"/>
    <m/>
    <m/>
    <m/>
    <m/>
  </r>
  <r>
    <x v="46"/>
    <s v="Req./RPSF/2022"/>
    <n v="211099"/>
    <s v="TECNEL SERVICES, Lda"/>
    <s v="I"/>
    <s v="C41A004"/>
    <x v="5"/>
    <s v="2nd Allocation"/>
    <s v="Factura Nr. 232"/>
    <s v="Fornecimento e Instalação de uma bomba e alpendre no Regadio de Moamba Bloco I"/>
    <s v="bank transfer"/>
    <n v="2080553.28"/>
    <n v="63.23"/>
    <n v="32904.5275976593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15CEC-3F5F-43F4-AABE-4F4DAC34AD7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1" firstDataRow="4" firstDataCol="1"/>
  <pivotFields count="1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43" showAll="0"/>
    <pivotField showAll="0"/>
    <pivotField showAll="0"/>
    <pivotField axis="axisRow" showAll="0">
      <items count="15">
        <item m="1" x="13"/>
        <item x="3"/>
        <item x="10"/>
        <item x="8"/>
        <item x="4"/>
        <item x="2"/>
        <item x="6"/>
        <item x="7"/>
        <item x="9"/>
        <item x="1"/>
        <item x="11"/>
        <item x="0"/>
        <item x="12"/>
        <item x="5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4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3">
    <field x="16"/>
    <field x="15"/>
    <field x="0"/>
  </colFields>
  <colItems count="3">
    <i>
      <x v="1"/>
    </i>
    <i>
      <x v="2"/>
    </i>
    <i t="grand">
      <x/>
    </i>
  </colItems>
  <dataFields count="1">
    <dataField name="Sum of Debit in _x000a_USD" fld="11" baseField="0" baseItem="0" numFmtId="43"/>
  </dataFields>
  <formats count="1"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4E19D-F748-482E-A570-2CE03F3737F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/>
  <pivotFields count="2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43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Fields count="1">
    <field x="19"/>
  </colFields>
  <colItems count="3">
    <i>
      <x v="1"/>
    </i>
    <i>
      <x v="2"/>
    </i>
    <i t="grand">
      <x/>
    </i>
  </colItems>
  <dataFields count="1">
    <dataField name="Sum of Debit in USD" fld="13" baseField="0" baseItem="0" numFmtId="43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8B0A0-A450-4C43-8808-5097A06A313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" firstHeaderRow="1" firstDataRow="2" firstDataCol="1"/>
  <pivotFields count="2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9">
        <item x="16"/>
        <item x="13"/>
        <item x="3"/>
        <item x="5"/>
        <item x="2"/>
        <item x="0"/>
        <item x="9"/>
        <item x="12"/>
        <item m="1" x="17"/>
        <item x="14"/>
        <item x="4"/>
        <item x="6"/>
        <item x="8"/>
        <item x="7"/>
        <item x="15"/>
        <item x="1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2" showAll="0"/>
    <pivotField dataField="1" numFmtId="43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9"/>
  </colFields>
  <colItems count="3">
    <i>
      <x v="1"/>
    </i>
    <i>
      <x v="2"/>
    </i>
    <i t="grand">
      <x/>
    </i>
  </colItems>
  <dataFields count="1">
    <dataField name="Sum of Debit in USD" fld="13" baseField="0" baseItem="0" numFmtId="43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52" totalsRowShown="0" headerRowDxfId="42" dataDxfId="40" headerRowBorderDxfId="41" tableBorderDxfId="39" totalsRowBorderDxfId="38" headerRowCellStyle="Normal 2">
  <autoFilter ref="A1:O152" xr:uid="{00000000-0009-0000-0100-000001000000}">
    <filterColumn colId="14">
      <customFilters>
        <customFilter val="*C41A003*"/>
      </customFilters>
    </filterColumn>
  </autoFilter>
  <tableColumns count="15">
    <tableColumn id="1" xr3:uid="{00000000-0010-0000-0000-000001000000}" name="Date Order Number" dataDxfId="37"/>
    <tableColumn id="2" xr3:uid="{00000000-0010-0000-0000-000002000000}" name="Voucher _x000a_Number" dataDxfId="36"/>
    <tableColumn id="3" xr3:uid="{00000000-0010-0000-0000-000003000000}" name="Chapter _x000a_Account" dataDxfId="35"/>
    <tableColumn id="4" xr3:uid="{00000000-0010-0000-0000-000004000000}" name="Supplier" dataDxfId="34"/>
    <tableColumn id="5" xr3:uid="{00000000-0010-0000-0000-000005000000}" name="Category" dataDxfId="33"/>
    <tableColumn id="6" xr3:uid="{00000000-0010-0000-0000-000006000000}" name="awpb_id" dataDxfId="32"/>
    <tableColumn id="7" xr3:uid="{00000000-0010-0000-0000-000007000000}" name="Invoice Number/ Contract Number" dataDxfId="31"/>
    <tableColumn id="8" xr3:uid="{00000000-0010-0000-0000-000008000000}" name="Description" dataDxfId="30"/>
    <tableColumn id="9" xr3:uid="{00000000-0010-0000-0000-000009000000}" name="Payment _x000a_Order Number" dataDxfId="29"/>
    <tableColumn id="10" xr3:uid="{00000000-0010-0000-0000-00000A000000}" name="Debit in _x000a_MZM" dataDxfId="28"/>
    <tableColumn id="11" xr3:uid="{00000000-0010-0000-0000-00000B000000}" name="Exchange Rate" dataDxfId="27"/>
    <tableColumn id="12" xr3:uid="{00000000-0010-0000-0000-00000C000000}" name="Debit in _x000a_USD" dataDxfId="26"/>
    <tableColumn id="13" xr3:uid="{00000000-0010-0000-0000-00000D000000}" name="Financier" dataDxfId="25"/>
    <tableColumn id="14" xr3:uid="{00000000-0010-0000-0000-00000E000000}" name="awpb_this_year" dataDxfId="24"/>
    <tableColumn id="15" xr3:uid="{00000000-0010-0000-0000-00000F000000}" name="main_activity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6478F6-E21C-47F3-BD60-27B794D71C5D}" name="Table3" displayName="Table3" ref="G4:H22" totalsRowShown="0">
  <autoFilter ref="G4:H22" xr:uid="{5B6478F6-E21C-47F3-BD60-27B794D71C5D}"/>
  <tableColumns count="2">
    <tableColumn id="1" xr3:uid="{88C4DF93-7C02-4410-9CF2-FEDBEDDD1C1B}" name="Row Labels"/>
    <tableColumn id="2" xr3:uid="{17DCE8D9-5E87-4058-941C-F3E5EE005AF2}" name="2022" dataDxfId="21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8C3FEC-81DD-44A2-88D9-EB7480F045C0}" name="Table2" displayName="Table2" ref="A1:R174" totalsRowShown="0" headerRowDxfId="16" dataDxfId="15" tableBorderDxfId="14">
  <autoFilter ref="A1:R174" xr:uid="{F28C3FEC-81DD-44A2-88D9-EB7480F045C0}">
    <filterColumn colId="3">
      <customFilters>
        <customFilter val="*casa*"/>
      </customFilters>
    </filterColumn>
  </autoFilter>
  <tableColumns count="18">
    <tableColumn id="1" xr3:uid="{E8A3C1BE-38DB-4C6A-A695-B9EF070E8E04}" name="Date Order Number" dataDxfId="13"/>
    <tableColumn id="2" xr3:uid="{99C1505D-F1A9-4857-905E-88F04D773083}" name="Voucher Number" dataDxfId="12"/>
    <tableColumn id="3" xr3:uid="{10B02E50-BFE9-41C1-AA82-65530599CF77}" name="Chapter Account"/>
    <tableColumn id="4" xr3:uid="{10D12AC5-C5C7-4223-8C54-133701D61B9C}" name="supplier"/>
    <tableColumn id="5" xr3:uid="{954D402A-3811-410F-86F8-BB094608359A}" name="Category" dataDxfId="11"/>
    <tableColumn id="6" xr3:uid="{B9567E95-CBB8-4516-B97E-F20EF11AFB87}" name="Component" dataDxfId="10"/>
    <tableColumn id="7" xr3:uid="{CB1E785D-133C-4A48-85AD-AA2DE7D43D2B}" name="ver_awpb_ids" dataDxfId="9"/>
    <tableColumn id="8" xr3:uid="{F0DA6A30-AB6F-4449-842A-317F4ECC4874}" name="financier" dataDxfId="8"/>
    <tableColumn id="9" xr3:uid="{D4F297D3-FD8C-4933-9ADD-E594DE5C3352}" name="Invoice Number / Contract Number" dataDxfId="7"/>
    <tableColumn id="10" xr3:uid="{704157F4-F3AC-4986-856A-630EC2B650EA}" name="Description"/>
    <tableColumn id="11" xr3:uid="{3BF90500-674F-472A-AE0A-E61D116006A2}" name="Payment Order Number"/>
    <tableColumn id="12" xr3:uid="{14571F8D-3F2C-4FF2-938F-1802FD13D521}" name="Debit in MZM" dataDxfId="6" dataCellStyle="Comma"/>
    <tableColumn id="13" xr3:uid="{6F010F68-789D-4D5B-B0D5-8378FCD0E138}" name="Exchange Rate" dataDxfId="5"/>
    <tableColumn id="14" xr3:uid="{640A9509-68AC-41EF-B365-968143CC0631}" name="Debit in USD" dataDxfId="4" dataCellStyle="Comma">
      <calculatedColumnFormula>+L2/M2</calculatedColumnFormula>
    </tableColumn>
    <tableColumn id="15" xr3:uid="{7E19E5D7-17C5-40C3-8A8F-FD97F0DFAA24}" name="Column1" dataDxfId="3"/>
    <tableColumn id="16" xr3:uid="{18ADA96D-E2C4-4743-A8E8-10614B890E75}" name="Column2" dataDxfId="2"/>
    <tableColumn id="17" xr3:uid="{5902F88A-261E-420B-8EEF-3C1A375FF220}" name="Column3" dataDxfId="1"/>
    <tableColumn id="18" xr3:uid="{0EE8B6C4-D850-44F3-8122-C8F75B385ECB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workbookViewId="0">
      <selection activeCell="B10" sqref="B10"/>
    </sheetView>
  </sheetViews>
  <sheetFormatPr defaultRowHeight="14.25" x14ac:dyDescent="0.25"/>
  <cols>
    <col min="1" max="1" width="12.7109375" style="33" bestFit="1" customWidth="1"/>
    <col min="2" max="2" width="32" style="34" customWidth="1"/>
    <col min="3" max="3" width="13.7109375" style="34" customWidth="1"/>
    <col min="4" max="4" width="34.85546875" style="34" customWidth="1"/>
    <col min="5" max="5" width="14.7109375" style="35" bestFit="1" customWidth="1"/>
    <col min="6" max="6" width="17.28515625" style="33" bestFit="1" customWidth="1"/>
    <col min="7" max="7" width="65.85546875" style="34" bestFit="1" customWidth="1"/>
    <col min="8" max="8" width="82.7109375" style="34" bestFit="1" customWidth="1"/>
    <col min="9" max="9" width="18.28515625" style="33" customWidth="1"/>
    <col min="10" max="10" width="16.140625" style="3" bestFit="1" customWidth="1"/>
    <col min="11" max="11" width="15.5703125" style="34" bestFit="1" customWidth="1"/>
    <col min="12" max="12" width="14" style="4" bestFit="1" customWidth="1"/>
    <col min="13" max="13" width="14.28515625" style="4" bestFit="1" customWidth="1"/>
    <col min="14" max="14" width="4.7109375" style="3" bestFit="1" customWidth="1"/>
    <col min="15" max="254" width="9.140625" style="3"/>
    <col min="255" max="255" width="12.7109375" style="3" bestFit="1" customWidth="1"/>
    <col min="256" max="256" width="28.42578125" style="3" bestFit="1" customWidth="1"/>
    <col min="257" max="257" width="27.42578125" style="3" bestFit="1" customWidth="1"/>
    <col min="258" max="258" width="11.42578125" style="3" customWidth="1"/>
    <col min="259" max="259" width="9.7109375" style="3" bestFit="1" customWidth="1"/>
    <col min="260" max="260" width="31.28515625" style="3" bestFit="1" customWidth="1"/>
    <col min="261" max="261" width="75.28515625" style="3" bestFit="1" customWidth="1"/>
    <col min="262" max="262" width="18.28515625" style="3" bestFit="1" customWidth="1"/>
    <col min="263" max="263" width="17.5703125" style="3" bestFit="1" customWidth="1"/>
    <col min="264" max="264" width="12.5703125" style="3" customWidth="1"/>
    <col min="265" max="265" width="14.28515625" style="3" bestFit="1" customWidth="1"/>
    <col min="266" max="266" width="26.42578125" style="3" bestFit="1" customWidth="1"/>
    <col min="267" max="267" width="24.28515625" style="3" bestFit="1" customWidth="1"/>
    <col min="268" max="268" width="18.85546875" style="3" bestFit="1" customWidth="1"/>
    <col min="269" max="269" width="14.28515625" style="3" bestFit="1" customWidth="1"/>
    <col min="270" max="270" width="4.7109375" style="3" bestFit="1" customWidth="1"/>
    <col min="271" max="510" width="9.140625" style="3"/>
    <col min="511" max="511" width="12.7109375" style="3" bestFit="1" customWidth="1"/>
    <col min="512" max="512" width="28.42578125" style="3" bestFit="1" customWidth="1"/>
    <col min="513" max="513" width="27.42578125" style="3" bestFit="1" customWidth="1"/>
    <col min="514" max="514" width="11.42578125" style="3" customWidth="1"/>
    <col min="515" max="515" width="9.7109375" style="3" bestFit="1" customWidth="1"/>
    <col min="516" max="516" width="31.28515625" style="3" bestFit="1" customWidth="1"/>
    <col min="517" max="517" width="75.28515625" style="3" bestFit="1" customWidth="1"/>
    <col min="518" max="518" width="18.28515625" style="3" bestFit="1" customWidth="1"/>
    <col min="519" max="519" width="17.5703125" style="3" bestFit="1" customWidth="1"/>
    <col min="520" max="520" width="12.5703125" style="3" customWidth="1"/>
    <col min="521" max="521" width="14.28515625" style="3" bestFit="1" customWidth="1"/>
    <col min="522" max="522" width="26.42578125" style="3" bestFit="1" customWidth="1"/>
    <col min="523" max="523" width="24.28515625" style="3" bestFit="1" customWidth="1"/>
    <col min="524" max="524" width="18.85546875" style="3" bestFit="1" customWidth="1"/>
    <col min="525" max="525" width="14.28515625" style="3" bestFit="1" customWidth="1"/>
    <col min="526" max="526" width="4.7109375" style="3" bestFit="1" customWidth="1"/>
    <col min="527" max="766" width="9.140625" style="3"/>
    <col min="767" max="767" width="12.7109375" style="3" bestFit="1" customWidth="1"/>
    <col min="768" max="768" width="28.42578125" style="3" bestFit="1" customWidth="1"/>
    <col min="769" max="769" width="27.42578125" style="3" bestFit="1" customWidth="1"/>
    <col min="770" max="770" width="11.42578125" style="3" customWidth="1"/>
    <col min="771" max="771" width="9.7109375" style="3" bestFit="1" customWidth="1"/>
    <col min="772" max="772" width="31.28515625" style="3" bestFit="1" customWidth="1"/>
    <col min="773" max="773" width="75.28515625" style="3" bestFit="1" customWidth="1"/>
    <col min="774" max="774" width="18.28515625" style="3" bestFit="1" customWidth="1"/>
    <col min="775" max="775" width="17.5703125" style="3" bestFit="1" customWidth="1"/>
    <col min="776" max="776" width="12.5703125" style="3" customWidth="1"/>
    <col min="777" max="777" width="14.28515625" style="3" bestFit="1" customWidth="1"/>
    <col min="778" max="778" width="26.42578125" style="3" bestFit="1" customWidth="1"/>
    <col min="779" max="779" width="24.28515625" style="3" bestFit="1" customWidth="1"/>
    <col min="780" max="780" width="18.85546875" style="3" bestFit="1" customWidth="1"/>
    <col min="781" max="781" width="14.28515625" style="3" bestFit="1" customWidth="1"/>
    <col min="782" max="782" width="4.7109375" style="3" bestFit="1" customWidth="1"/>
    <col min="783" max="1022" width="9.140625" style="3"/>
    <col min="1023" max="1023" width="12.7109375" style="3" bestFit="1" customWidth="1"/>
    <col min="1024" max="1024" width="28.42578125" style="3" bestFit="1" customWidth="1"/>
    <col min="1025" max="1025" width="27.42578125" style="3" bestFit="1" customWidth="1"/>
    <col min="1026" max="1026" width="11.42578125" style="3" customWidth="1"/>
    <col min="1027" max="1027" width="9.7109375" style="3" bestFit="1" customWidth="1"/>
    <col min="1028" max="1028" width="31.28515625" style="3" bestFit="1" customWidth="1"/>
    <col min="1029" max="1029" width="75.28515625" style="3" bestFit="1" customWidth="1"/>
    <col min="1030" max="1030" width="18.28515625" style="3" bestFit="1" customWidth="1"/>
    <col min="1031" max="1031" width="17.5703125" style="3" bestFit="1" customWidth="1"/>
    <col min="1032" max="1032" width="12.5703125" style="3" customWidth="1"/>
    <col min="1033" max="1033" width="14.28515625" style="3" bestFit="1" customWidth="1"/>
    <col min="1034" max="1034" width="26.42578125" style="3" bestFit="1" customWidth="1"/>
    <col min="1035" max="1035" width="24.28515625" style="3" bestFit="1" customWidth="1"/>
    <col min="1036" max="1036" width="18.85546875" style="3" bestFit="1" customWidth="1"/>
    <col min="1037" max="1037" width="14.28515625" style="3" bestFit="1" customWidth="1"/>
    <col min="1038" max="1038" width="4.7109375" style="3" bestFit="1" customWidth="1"/>
    <col min="1039" max="1278" width="9.140625" style="3"/>
    <col min="1279" max="1279" width="12.7109375" style="3" bestFit="1" customWidth="1"/>
    <col min="1280" max="1280" width="28.42578125" style="3" bestFit="1" customWidth="1"/>
    <col min="1281" max="1281" width="27.42578125" style="3" bestFit="1" customWidth="1"/>
    <col min="1282" max="1282" width="11.42578125" style="3" customWidth="1"/>
    <col min="1283" max="1283" width="9.7109375" style="3" bestFit="1" customWidth="1"/>
    <col min="1284" max="1284" width="31.28515625" style="3" bestFit="1" customWidth="1"/>
    <col min="1285" max="1285" width="75.28515625" style="3" bestFit="1" customWidth="1"/>
    <col min="1286" max="1286" width="18.28515625" style="3" bestFit="1" customWidth="1"/>
    <col min="1287" max="1287" width="17.5703125" style="3" bestFit="1" customWidth="1"/>
    <col min="1288" max="1288" width="12.5703125" style="3" customWidth="1"/>
    <col min="1289" max="1289" width="14.28515625" style="3" bestFit="1" customWidth="1"/>
    <col min="1290" max="1290" width="26.42578125" style="3" bestFit="1" customWidth="1"/>
    <col min="1291" max="1291" width="24.28515625" style="3" bestFit="1" customWidth="1"/>
    <col min="1292" max="1292" width="18.85546875" style="3" bestFit="1" customWidth="1"/>
    <col min="1293" max="1293" width="14.28515625" style="3" bestFit="1" customWidth="1"/>
    <col min="1294" max="1294" width="4.7109375" style="3" bestFit="1" customWidth="1"/>
    <col min="1295" max="1534" width="9.140625" style="3"/>
    <col min="1535" max="1535" width="12.7109375" style="3" bestFit="1" customWidth="1"/>
    <col min="1536" max="1536" width="28.42578125" style="3" bestFit="1" customWidth="1"/>
    <col min="1537" max="1537" width="27.42578125" style="3" bestFit="1" customWidth="1"/>
    <col min="1538" max="1538" width="11.42578125" style="3" customWidth="1"/>
    <col min="1539" max="1539" width="9.7109375" style="3" bestFit="1" customWidth="1"/>
    <col min="1540" max="1540" width="31.28515625" style="3" bestFit="1" customWidth="1"/>
    <col min="1541" max="1541" width="75.28515625" style="3" bestFit="1" customWidth="1"/>
    <col min="1542" max="1542" width="18.28515625" style="3" bestFit="1" customWidth="1"/>
    <col min="1543" max="1543" width="17.5703125" style="3" bestFit="1" customWidth="1"/>
    <col min="1544" max="1544" width="12.5703125" style="3" customWidth="1"/>
    <col min="1545" max="1545" width="14.28515625" style="3" bestFit="1" customWidth="1"/>
    <col min="1546" max="1546" width="26.42578125" style="3" bestFit="1" customWidth="1"/>
    <col min="1547" max="1547" width="24.28515625" style="3" bestFit="1" customWidth="1"/>
    <col min="1548" max="1548" width="18.85546875" style="3" bestFit="1" customWidth="1"/>
    <col min="1549" max="1549" width="14.28515625" style="3" bestFit="1" customWidth="1"/>
    <col min="1550" max="1550" width="4.7109375" style="3" bestFit="1" customWidth="1"/>
    <col min="1551" max="1790" width="9.140625" style="3"/>
    <col min="1791" max="1791" width="12.7109375" style="3" bestFit="1" customWidth="1"/>
    <col min="1792" max="1792" width="28.42578125" style="3" bestFit="1" customWidth="1"/>
    <col min="1793" max="1793" width="27.42578125" style="3" bestFit="1" customWidth="1"/>
    <col min="1794" max="1794" width="11.42578125" style="3" customWidth="1"/>
    <col min="1795" max="1795" width="9.7109375" style="3" bestFit="1" customWidth="1"/>
    <col min="1796" max="1796" width="31.28515625" style="3" bestFit="1" customWidth="1"/>
    <col min="1797" max="1797" width="75.28515625" style="3" bestFit="1" customWidth="1"/>
    <col min="1798" max="1798" width="18.28515625" style="3" bestFit="1" customWidth="1"/>
    <col min="1799" max="1799" width="17.5703125" style="3" bestFit="1" customWidth="1"/>
    <col min="1800" max="1800" width="12.5703125" style="3" customWidth="1"/>
    <col min="1801" max="1801" width="14.28515625" style="3" bestFit="1" customWidth="1"/>
    <col min="1802" max="1802" width="26.42578125" style="3" bestFit="1" customWidth="1"/>
    <col min="1803" max="1803" width="24.28515625" style="3" bestFit="1" customWidth="1"/>
    <col min="1804" max="1804" width="18.85546875" style="3" bestFit="1" customWidth="1"/>
    <col min="1805" max="1805" width="14.28515625" style="3" bestFit="1" customWidth="1"/>
    <col min="1806" max="1806" width="4.7109375" style="3" bestFit="1" customWidth="1"/>
    <col min="1807" max="2046" width="9.140625" style="3"/>
    <col min="2047" max="2047" width="12.7109375" style="3" bestFit="1" customWidth="1"/>
    <col min="2048" max="2048" width="28.42578125" style="3" bestFit="1" customWidth="1"/>
    <col min="2049" max="2049" width="27.42578125" style="3" bestFit="1" customWidth="1"/>
    <col min="2050" max="2050" width="11.42578125" style="3" customWidth="1"/>
    <col min="2051" max="2051" width="9.7109375" style="3" bestFit="1" customWidth="1"/>
    <col min="2052" max="2052" width="31.28515625" style="3" bestFit="1" customWidth="1"/>
    <col min="2053" max="2053" width="75.28515625" style="3" bestFit="1" customWidth="1"/>
    <col min="2054" max="2054" width="18.28515625" style="3" bestFit="1" customWidth="1"/>
    <col min="2055" max="2055" width="17.5703125" style="3" bestFit="1" customWidth="1"/>
    <col min="2056" max="2056" width="12.5703125" style="3" customWidth="1"/>
    <col min="2057" max="2057" width="14.28515625" style="3" bestFit="1" customWidth="1"/>
    <col min="2058" max="2058" width="26.42578125" style="3" bestFit="1" customWidth="1"/>
    <col min="2059" max="2059" width="24.28515625" style="3" bestFit="1" customWidth="1"/>
    <col min="2060" max="2060" width="18.85546875" style="3" bestFit="1" customWidth="1"/>
    <col min="2061" max="2061" width="14.28515625" style="3" bestFit="1" customWidth="1"/>
    <col min="2062" max="2062" width="4.7109375" style="3" bestFit="1" customWidth="1"/>
    <col min="2063" max="2302" width="9.140625" style="3"/>
    <col min="2303" max="2303" width="12.7109375" style="3" bestFit="1" customWidth="1"/>
    <col min="2304" max="2304" width="28.42578125" style="3" bestFit="1" customWidth="1"/>
    <col min="2305" max="2305" width="27.42578125" style="3" bestFit="1" customWidth="1"/>
    <col min="2306" max="2306" width="11.42578125" style="3" customWidth="1"/>
    <col min="2307" max="2307" width="9.7109375" style="3" bestFit="1" customWidth="1"/>
    <col min="2308" max="2308" width="31.28515625" style="3" bestFit="1" customWidth="1"/>
    <col min="2309" max="2309" width="75.28515625" style="3" bestFit="1" customWidth="1"/>
    <col min="2310" max="2310" width="18.28515625" style="3" bestFit="1" customWidth="1"/>
    <col min="2311" max="2311" width="17.5703125" style="3" bestFit="1" customWidth="1"/>
    <col min="2312" max="2312" width="12.5703125" style="3" customWidth="1"/>
    <col min="2313" max="2313" width="14.28515625" style="3" bestFit="1" customWidth="1"/>
    <col min="2314" max="2314" width="26.42578125" style="3" bestFit="1" customWidth="1"/>
    <col min="2315" max="2315" width="24.28515625" style="3" bestFit="1" customWidth="1"/>
    <col min="2316" max="2316" width="18.85546875" style="3" bestFit="1" customWidth="1"/>
    <col min="2317" max="2317" width="14.28515625" style="3" bestFit="1" customWidth="1"/>
    <col min="2318" max="2318" width="4.7109375" style="3" bestFit="1" customWidth="1"/>
    <col min="2319" max="2558" width="9.140625" style="3"/>
    <col min="2559" max="2559" width="12.7109375" style="3" bestFit="1" customWidth="1"/>
    <col min="2560" max="2560" width="28.42578125" style="3" bestFit="1" customWidth="1"/>
    <col min="2561" max="2561" width="27.42578125" style="3" bestFit="1" customWidth="1"/>
    <col min="2562" max="2562" width="11.42578125" style="3" customWidth="1"/>
    <col min="2563" max="2563" width="9.7109375" style="3" bestFit="1" customWidth="1"/>
    <col min="2564" max="2564" width="31.28515625" style="3" bestFit="1" customWidth="1"/>
    <col min="2565" max="2565" width="75.28515625" style="3" bestFit="1" customWidth="1"/>
    <col min="2566" max="2566" width="18.28515625" style="3" bestFit="1" customWidth="1"/>
    <col min="2567" max="2567" width="17.5703125" style="3" bestFit="1" customWidth="1"/>
    <col min="2568" max="2568" width="12.5703125" style="3" customWidth="1"/>
    <col min="2569" max="2569" width="14.28515625" style="3" bestFit="1" customWidth="1"/>
    <col min="2570" max="2570" width="26.42578125" style="3" bestFit="1" customWidth="1"/>
    <col min="2571" max="2571" width="24.28515625" style="3" bestFit="1" customWidth="1"/>
    <col min="2572" max="2572" width="18.85546875" style="3" bestFit="1" customWidth="1"/>
    <col min="2573" max="2573" width="14.28515625" style="3" bestFit="1" customWidth="1"/>
    <col min="2574" max="2574" width="4.7109375" style="3" bestFit="1" customWidth="1"/>
    <col min="2575" max="2814" width="9.140625" style="3"/>
    <col min="2815" max="2815" width="12.7109375" style="3" bestFit="1" customWidth="1"/>
    <col min="2816" max="2816" width="28.42578125" style="3" bestFit="1" customWidth="1"/>
    <col min="2817" max="2817" width="27.42578125" style="3" bestFit="1" customWidth="1"/>
    <col min="2818" max="2818" width="11.42578125" style="3" customWidth="1"/>
    <col min="2819" max="2819" width="9.7109375" style="3" bestFit="1" customWidth="1"/>
    <col min="2820" max="2820" width="31.28515625" style="3" bestFit="1" customWidth="1"/>
    <col min="2821" max="2821" width="75.28515625" style="3" bestFit="1" customWidth="1"/>
    <col min="2822" max="2822" width="18.28515625" style="3" bestFit="1" customWidth="1"/>
    <col min="2823" max="2823" width="17.5703125" style="3" bestFit="1" customWidth="1"/>
    <col min="2824" max="2824" width="12.5703125" style="3" customWidth="1"/>
    <col min="2825" max="2825" width="14.28515625" style="3" bestFit="1" customWidth="1"/>
    <col min="2826" max="2826" width="26.42578125" style="3" bestFit="1" customWidth="1"/>
    <col min="2827" max="2827" width="24.28515625" style="3" bestFit="1" customWidth="1"/>
    <col min="2828" max="2828" width="18.85546875" style="3" bestFit="1" customWidth="1"/>
    <col min="2829" max="2829" width="14.28515625" style="3" bestFit="1" customWidth="1"/>
    <col min="2830" max="2830" width="4.7109375" style="3" bestFit="1" customWidth="1"/>
    <col min="2831" max="3070" width="9.140625" style="3"/>
    <col min="3071" max="3071" width="12.7109375" style="3" bestFit="1" customWidth="1"/>
    <col min="3072" max="3072" width="28.42578125" style="3" bestFit="1" customWidth="1"/>
    <col min="3073" max="3073" width="27.42578125" style="3" bestFit="1" customWidth="1"/>
    <col min="3074" max="3074" width="11.42578125" style="3" customWidth="1"/>
    <col min="3075" max="3075" width="9.7109375" style="3" bestFit="1" customWidth="1"/>
    <col min="3076" max="3076" width="31.28515625" style="3" bestFit="1" customWidth="1"/>
    <col min="3077" max="3077" width="75.28515625" style="3" bestFit="1" customWidth="1"/>
    <col min="3078" max="3078" width="18.28515625" style="3" bestFit="1" customWidth="1"/>
    <col min="3079" max="3079" width="17.5703125" style="3" bestFit="1" customWidth="1"/>
    <col min="3080" max="3080" width="12.5703125" style="3" customWidth="1"/>
    <col min="3081" max="3081" width="14.28515625" style="3" bestFit="1" customWidth="1"/>
    <col min="3082" max="3082" width="26.42578125" style="3" bestFit="1" customWidth="1"/>
    <col min="3083" max="3083" width="24.28515625" style="3" bestFit="1" customWidth="1"/>
    <col min="3084" max="3084" width="18.85546875" style="3" bestFit="1" customWidth="1"/>
    <col min="3085" max="3085" width="14.28515625" style="3" bestFit="1" customWidth="1"/>
    <col min="3086" max="3086" width="4.7109375" style="3" bestFit="1" customWidth="1"/>
    <col min="3087" max="3326" width="9.140625" style="3"/>
    <col min="3327" max="3327" width="12.7109375" style="3" bestFit="1" customWidth="1"/>
    <col min="3328" max="3328" width="28.42578125" style="3" bestFit="1" customWidth="1"/>
    <col min="3329" max="3329" width="27.42578125" style="3" bestFit="1" customWidth="1"/>
    <col min="3330" max="3330" width="11.42578125" style="3" customWidth="1"/>
    <col min="3331" max="3331" width="9.7109375" style="3" bestFit="1" customWidth="1"/>
    <col min="3332" max="3332" width="31.28515625" style="3" bestFit="1" customWidth="1"/>
    <col min="3333" max="3333" width="75.28515625" style="3" bestFit="1" customWidth="1"/>
    <col min="3334" max="3334" width="18.28515625" style="3" bestFit="1" customWidth="1"/>
    <col min="3335" max="3335" width="17.5703125" style="3" bestFit="1" customWidth="1"/>
    <col min="3336" max="3336" width="12.5703125" style="3" customWidth="1"/>
    <col min="3337" max="3337" width="14.28515625" style="3" bestFit="1" customWidth="1"/>
    <col min="3338" max="3338" width="26.42578125" style="3" bestFit="1" customWidth="1"/>
    <col min="3339" max="3339" width="24.28515625" style="3" bestFit="1" customWidth="1"/>
    <col min="3340" max="3340" width="18.85546875" style="3" bestFit="1" customWidth="1"/>
    <col min="3341" max="3341" width="14.28515625" style="3" bestFit="1" customWidth="1"/>
    <col min="3342" max="3342" width="4.7109375" style="3" bestFit="1" customWidth="1"/>
    <col min="3343" max="3582" width="9.140625" style="3"/>
    <col min="3583" max="3583" width="12.7109375" style="3" bestFit="1" customWidth="1"/>
    <col min="3584" max="3584" width="28.42578125" style="3" bestFit="1" customWidth="1"/>
    <col min="3585" max="3585" width="27.42578125" style="3" bestFit="1" customWidth="1"/>
    <col min="3586" max="3586" width="11.42578125" style="3" customWidth="1"/>
    <col min="3587" max="3587" width="9.7109375" style="3" bestFit="1" customWidth="1"/>
    <col min="3588" max="3588" width="31.28515625" style="3" bestFit="1" customWidth="1"/>
    <col min="3589" max="3589" width="75.28515625" style="3" bestFit="1" customWidth="1"/>
    <col min="3590" max="3590" width="18.28515625" style="3" bestFit="1" customWidth="1"/>
    <col min="3591" max="3591" width="17.5703125" style="3" bestFit="1" customWidth="1"/>
    <col min="3592" max="3592" width="12.5703125" style="3" customWidth="1"/>
    <col min="3593" max="3593" width="14.28515625" style="3" bestFit="1" customWidth="1"/>
    <col min="3594" max="3594" width="26.42578125" style="3" bestFit="1" customWidth="1"/>
    <col min="3595" max="3595" width="24.28515625" style="3" bestFit="1" customWidth="1"/>
    <col min="3596" max="3596" width="18.85546875" style="3" bestFit="1" customWidth="1"/>
    <col min="3597" max="3597" width="14.28515625" style="3" bestFit="1" customWidth="1"/>
    <col min="3598" max="3598" width="4.7109375" style="3" bestFit="1" customWidth="1"/>
    <col min="3599" max="3838" width="9.140625" style="3"/>
    <col min="3839" max="3839" width="12.7109375" style="3" bestFit="1" customWidth="1"/>
    <col min="3840" max="3840" width="28.42578125" style="3" bestFit="1" customWidth="1"/>
    <col min="3841" max="3841" width="27.42578125" style="3" bestFit="1" customWidth="1"/>
    <col min="3842" max="3842" width="11.42578125" style="3" customWidth="1"/>
    <col min="3843" max="3843" width="9.7109375" style="3" bestFit="1" customWidth="1"/>
    <col min="3844" max="3844" width="31.28515625" style="3" bestFit="1" customWidth="1"/>
    <col min="3845" max="3845" width="75.28515625" style="3" bestFit="1" customWidth="1"/>
    <col min="3846" max="3846" width="18.28515625" style="3" bestFit="1" customWidth="1"/>
    <col min="3847" max="3847" width="17.5703125" style="3" bestFit="1" customWidth="1"/>
    <col min="3848" max="3848" width="12.5703125" style="3" customWidth="1"/>
    <col min="3849" max="3849" width="14.28515625" style="3" bestFit="1" customWidth="1"/>
    <col min="3850" max="3850" width="26.42578125" style="3" bestFit="1" customWidth="1"/>
    <col min="3851" max="3851" width="24.28515625" style="3" bestFit="1" customWidth="1"/>
    <col min="3852" max="3852" width="18.85546875" style="3" bestFit="1" customWidth="1"/>
    <col min="3853" max="3853" width="14.28515625" style="3" bestFit="1" customWidth="1"/>
    <col min="3854" max="3854" width="4.7109375" style="3" bestFit="1" customWidth="1"/>
    <col min="3855" max="4094" width="9.140625" style="3"/>
    <col min="4095" max="4095" width="12.7109375" style="3" bestFit="1" customWidth="1"/>
    <col min="4096" max="4096" width="28.42578125" style="3" bestFit="1" customWidth="1"/>
    <col min="4097" max="4097" width="27.42578125" style="3" bestFit="1" customWidth="1"/>
    <col min="4098" max="4098" width="11.42578125" style="3" customWidth="1"/>
    <col min="4099" max="4099" width="9.7109375" style="3" bestFit="1" customWidth="1"/>
    <col min="4100" max="4100" width="31.28515625" style="3" bestFit="1" customWidth="1"/>
    <col min="4101" max="4101" width="75.28515625" style="3" bestFit="1" customWidth="1"/>
    <col min="4102" max="4102" width="18.28515625" style="3" bestFit="1" customWidth="1"/>
    <col min="4103" max="4103" width="17.5703125" style="3" bestFit="1" customWidth="1"/>
    <col min="4104" max="4104" width="12.5703125" style="3" customWidth="1"/>
    <col min="4105" max="4105" width="14.28515625" style="3" bestFit="1" customWidth="1"/>
    <col min="4106" max="4106" width="26.42578125" style="3" bestFit="1" customWidth="1"/>
    <col min="4107" max="4107" width="24.28515625" style="3" bestFit="1" customWidth="1"/>
    <col min="4108" max="4108" width="18.85546875" style="3" bestFit="1" customWidth="1"/>
    <col min="4109" max="4109" width="14.28515625" style="3" bestFit="1" customWidth="1"/>
    <col min="4110" max="4110" width="4.7109375" style="3" bestFit="1" customWidth="1"/>
    <col min="4111" max="4350" width="9.140625" style="3"/>
    <col min="4351" max="4351" width="12.7109375" style="3" bestFit="1" customWidth="1"/>
    <col min="4352" max="4352" width="28.42578125" style="3" bestFit="1" customWidth="1"/>
    <col min="4353" max="4353" width="27.42578125" style="3" bestFit="1" customWidth="1"/>
    <col min="4354" max="4354" width="11.42578125" style="3" customWidth="1"/>
    <col min="4355" max="4355" width="9.7109375" style="3" bestFit="1" customWidth="1"/>
    <col min="4356" max="4356" width="31.28515625" style="3" bestFit="1" customWidth="1"/>
    <col min="4357" max="4357" width="75.28515625" style="3" bestFit="1" customWidth="1"/>
    <col min="4358" max="4358" width="18.28515625" style="3" bestFit="1" customWidth="1"/>
    <col min="4359" max="4359" width="17.5703125" style="3" bestFit="1" customWidth="1"/>
    <col min="4360" max="4360" width="12.5703125" style="3" customWidth="1"/>
    <col min="4361" max="4361" width="14.28515625" style="3" bestFit="1" customWidth="1"/>
    <col min="4362" max="4362" width="26.42578125" style="3" bestFit="1" customWidth="1"/>
    <col min="4363" max="4363" width="24.28515625" style="3" bestFit="1" customWidth="1"/>
    <col min="4364" max="4364" width="18.85546875" style="3" bestFit="1" customWidth="1"/>
    <col min="4365" max="4365" width="14.28515625" style="3" bestFit="1" customWidth="1"/>
    <col min="4366" max="4366" width="4.7109375" style="3" bestFit="1" customWidth="1"/>
    <col min="4367" max="4606" width="9.140625" style="3"/>
    <col min="4607" max="4607" width="12.7109375" style="3" bestFit="1" customWidth="1"/>
    <col min="4608" max="4608" width="28.42578125" style="3" bestFit="1" customWidth="1"/>
    <col min="4609" max="4609" width="27.42578125" style="3" bestFit="1" customWidth="1"/>
    <col min="4610" max="4610" width="11.42578125" style="3" customWidth="1"/>
    <col min="4611" max="4611" width="9.7109375" style="3" bestFit="1" customWidth="1"/>
    <col min="4612" max="4612" width="31.28515625" style="3" bestFit="1" customWidth="1"/>
    <col min="4613" max="4613" width="75.28515625" style="3" bestFit="1" customWidth="1"/>
    <col min="4614" max="4614" width="18.28515625" style="3" bestFit="1" customWidth="1"/>
    <col min="4615" max="4615" width="17.5703125" style="3" bestFit="1" customWidth="1"/>
    <col min="4616" max="4616" width="12.5703125" style="3" customWidth="1"/>
    <col min="4617" max="4617" width="14.28515625" style="3" bestFit="1" customWidth="1"/>
    <col min="4618" max="4618" width="26.42578125" style="3" bestFit="1" customWidth="1"/>
    <col min="4619" max="4619" width="24.28515625" style="3" bestFit="1" customWidth="1"/>
    <col min="4620" max="4620" width="18.85546875" style="3" bestFit="1" customWidth="1"/>
    <col min="4621" max="4621" width="14.28515625" style="3" bestFit="1" customWidth="1"/>
    <col min="4622" max="4622" width="4.7109375" style="3" bestFit="1" customWidth="1"/>
    <col min="4623" max="4862" width="9.140625" style="3"/>
    <col min="4863" max="4863" width="12.7109375" style="3" bestFit="1" customWidth="1"/>
    <col min="4864" max="4864" width="28.42578125" style="3" bestFit="1" customWidth="1"/>
    <col min="4865" max="4865" width="27.42578125" style="3" bestFit="1" customWidth="1"/>
    <col min="4866" max="4866" width="11.42578125" style="3" customWidth="1"/>
    <col min="4867" max="4867" width="9.7109375" style="3" bestFit="1" customWidth="1"/>
    <col min="4868" max="4868" width="31.28515625" style="3" bestFit="1" customWidth="1"/>
    <col min="4869" max="4869" width="75.28515625" style="3" bestFit="1" customWidth="1"/>
    <col min="4870" max="4870" width="18.28515625" style="3" bestFit="1" customWidth="1"/>
    <col min="4871" max="4871" width="17.5703125" style="3" bestFit="1" customWidth="1"/>
    <col min="4872" max="4872" width="12.5703125" style="3" customWidth="1"/>
    <col min="4873" max="4873" width="14.28515625" style="3" bestFit="1" customWidth="1"/>
    <col min="4874" max="4874" width="26.42578125" style="3" bestFit="1" customWidth="1"/>
    <col min="4875" max="4875" width="24.28515625" style="3" bestFit="1" customWidth="1"/>
    <col min="4876" max="4876" width="18.85546875" style="3" bestFit="1" customWidth="1"/>
    <col min="4877" max="4877" width="14.28515625" style="3" bestFit="1" customWidth="1"/>
    <col min="4878" max="4878" width="4.7109375" style="3" bestFit="1" customWidth="1"/>
    <col min="4879" max="5118" width="9.140625" style="3"/>
    <col min="5119" max="5119" width="12.7109375" style="3" bestFit="1" customWidth="1"/>
    <col min="5120" max="5120" width="28.42578125" style="3" bestFit="1" customWidth="1"/>
    <col min="5121" max="5121" width="27.42578125" style="3" bestFit="1" customWidth="1"/>
    <col min="5122" max="5122" width="11.42578125" style="3" customWidth="1"/>
    <col min="5123" max="5123" width="9.7109375" style="3" bestFit="1" customWidth="1"/>
    <col min="5124" max="5124" width="31.28515625" style="3" bestFit="1" customWidth="1"/>
    <col min="5125" max="5125" width="75.28515625" style="3" bestFit="1" customWidth="1"/>
    <col min="5126" max="5126" width="18.28515625" style="3" bestFit="1" customWidth="1"/>
    <col min="5127" max="5127" width="17.5703125" style="3" bestFit="1" customWidth="1"/>
    <col min="5128" max="5128" width="12.5703125" style="3" customWidth="1"/>
    <col min="5129" max="5129" width="14.28515625" style="3" bestFit="1" customWidth="1"/>
    <col min="5130" max="5130" width="26.42578125" style="3" bestFit="1" customWidth="1"/>
    <col min="5131" max="5131" width="24.28515625" style="3" bestFit="1" customWidth="1"/>
    <col min="5132" max="5132" width="18.85546875" style="3" bestFit="1" customWidth="1"/>
    <col min="5133" max="5133" width="14.28515625" style="3" bestFit="1" customWidth="1"/>
    <col min="5134" max="5134" width="4.7109375" style="3" bestFit="1" customWidth="1"/>
    <col min="5135" max="5374" width="9.140625" style="3"/>
    <col min="5375" max="5375" width="12.7109375" style="3" bestFit="1" customWidth="1"/>
    <col min="5376" max="5376" width="28.42578125" style="3" bestFit="1" customWidth="1"/>
    <col min="5377" max="5377" width="27.42578125" style="3" bestFit="1" customWidth="1"/>
    <col min="5378" max="5378" width="11.42578125" style="3" customWidth="1"/>
    <col min="5379" max="5379" width="9.7109375" style="3" bestFit="1" customWidth="1"/>
    <col min="5380" max="5380" width="31.28515625" style="3" bestFit="1" customWidth="1"/>
    <col min="5381" max="5381" width="75.28515625" style="3" bestFit="1" customWidth="1"/>
    <col min="5382" max="5382" width="18.28515625" style="3" bestFit="1" customWidth="1"/>
    <col min="5383" max="5383" width="17.5703125" style="3" bestFit="1" customWidth="1"/>
    <col min="5384" max="5384" width="12.5703125" style="3" customWidth="1"/>
    <col min="5385" max="5385" width="14.28515625" style="3" bestFit="1" customWidth="1"/>
    <col min="5386" max="5386" width="26.42578125" style="3" bestFit="1" customWidth="1"/>
    <col min="5387" max="5387" width="24.28515625" style="3" bestFit="1" customWidth="1"/>
    <col min="5388" max="5388" width="18.85546875" style="3" bestFit="1" customWidth="1"/>
    <col min="5389" max="5389" width="14.28515625" style="3" bestFit="1" customWidth="1"/>
    <col min="5390" max="5390" width="4.7109375" style="3" bestFit="1" customWidth="1"/>
    <col min="5391" max="5630" width="9.140625" style="3"/>
    <col min="5631" max="5631" width="12.7109375" style="3" bestFit="1" customWidth="1"/>
    <col min="5632" max="5632" width="28.42578125" style="3" bestFit="1" customWidth="1"/>
    <col min="5633" max="5633" width="27.42578125" style="3" bestFit="1" customWidth="1"/>
    <col min="5634" max="5634" width="11.42578125" style="3" customWidth="1"/>
    <col min="5635" max="5635" width="9.7109375" style="3" bestFit="1" customWidth="1"/>
    <col min="5636" max="5636" width="31.28515625" style="3" bestFit="1" customWidth="1"/>
    <col min="5637" max="5637" width="75.28515625" style="3" bestFit="1" customWidth="1"/>
    <col min="5638" max="5638" width="18.28515625" style="3" bestFit="1" customWidth="1"/>
    <col min="5639" max="5639" width="17.5703125" style="3" bestFit="1" customWidth="1"/>
    <col min="5640" max="5640" width="12.5703125" style="3" customWidth="1"/>
    <col min="5641" max="5641" width="14.28515625" style="3" bestFit="1" customWidth="1"/>
    <col min="5642" max="5642" width="26.42578125" style="3" bestFit="1" customWidth="1"/>
    <col min="5643" max="5643" width="24.28515625" style="3" bestFit="1" customWidth="1"/>
    <col min="5644" max="5644" width="18.85546875" style="3" bestFit="1" customWidth="1"/>
    <col min="5645" max="5645" width="14.28515625" style="3" bestFit="1" customWidth="1"/>
    <col min="5646" max="5646" width="4.7109375" style="3" bestFit="1" customWidth="1"/>
    <col min="5647" max="5886" width="9.140625" style="3"/>
    <col min="5887" max="5887" width="12.7109375" style="3" bestFit="1" customWidth="1"/>
    <col min="5888" max="5888" width="28.42578125" style="3" bestFit="1" customWidth="1"/>
    <col min="5889" max="5889" width="27.42578125" style="3" bestFit="1" customWidth="1"/>
    <col min="5890" max="5890" width="11.42578125" style="3" customWidth="1"/>
    <col min="5891" max="5891" width="9.7109375" style="3" bestFit="1" customWidth="1"/>
    <col min="5892" max="5892" width="31.28515625" style="3" bestFit="1" customWidth="1"/>
    <col min="5893" max="5893" width="75.28515625" style="3" bestFit="1" customWidth="1"/>
    <col min="5894" max="5894" width="18.28515625" style="3" bestFit="1" customWidth="1"/>
    <col min="5895" max="5895" width="17.5703125" style="3" bestFit="1" customWidth="1"/>
    <col min="5896" max="5896" width="12.5703125" style="3" customWidth="1"/>
    <col min="5897" max="5897" width="14.28515625" style="3" bestFit="1" customWidth="1"/>
    <col min="5898" max="5898" width="26.42578125" style="3" bestFit="1" customWidth="1"/>
    <col min="5899" max="5899" width="24.28515625" style="3" bestFit="1" customWidth="1"/>
    <col min="5900" max="5900" width="18.85546875" style="3" bestFit="1" customWidth="1"/>
    <col min="5901" max="5901" width="14.28515625" style="3" bestFit="1" customWidth="1"/>
    <col min="5902" max="5902" width="4.7109375" style="3" bestFit="1" customWidth="1"/>
    <col min="5903" max="6142" width="9.140625" style="3"/>
    <col min="6143" max="6143" width="12.7109375" style="3" bestFit="1" customWidth="1"/>
    <col min="6144" max="6144" width="28.42578125" style="3" bestFit="1" customWidth="1"/>
    <col min="6145" max="6145" width="27.42578125" style="3" bestFit="1" customWidth="1"/>
    <col min="6146" max="6146" width="11.42578125" style="3" customWidth="1"/>
    <col min="6147" max="6147" width="9.7109375" style="3" bestFit="1" customWidth="1"/>
    <col min="6148" max="6148" width="31.28515625" style="3" bestFit="1" customWidth="1"/>
    <col min="6149" max="6149" width="75.28515625" style="3" bestFit="1" customWidth="1"/>
    <col min="6150" max="6150" width="18.28515625" style="3" bestFit="1" customWidth="1"/>
    <col min="6151" max="6151" width="17.5703125" style="3" bestFit="1" customWidth="1"/>
    <col min="6152" max="6152" width="12.5703125" style="3" customWidth="1"/>
    <col min="6153" max="6153" width="14.28515625" style="3" bestFit="1" customWidth="1"/>
    <col min="6154" max="6154" width="26.42578125" style="3" bestFit="1" customWidth="1"/>
    <col min="6155" max="6155" width="24.28515625" style="3" bestFit="1" customWidth="1"/>
    <col min="6156" max="6156" width="18.85546875" style="3" bestFit="1" customWidth="1"/>
    <col min="6157" max="6157" width="14.28515625" style="3" bestFit="1" customWidth="1"/>
    <col min="6158" max="6158" width="4.7109375" style="3" bestFit="1" customWidth="1"/>
    <col min="6159" max="6398" width="9.140625" style="3"/>
    <col min="6399" max="6399" width="12.7109375" style="3" bestFit="1" customWidth="1"/>
    <col min="6400" max="6400" width="28.42578125" style="3" bestFit="1" customWidth="1"/>
    <col min="6401" max="6401" width="27.42578125" style="3" bestFit="1" customWidth="1"/>
    <col min="6402" max="6402" width="11.42578125" style="3" customWidth="1"/>
    <col min="6403" max="6403" width="9.7109375" style="3" bestFit="1" customWidth="1"/>
    <col min="6404" max="6404" width="31.28515625" style="3" bestFit="1" customWidth="1"/>
    <col min="6405" max="6405" width="75.28515625" style="3" bestFit="1" customWidth="1"/>
    <col min="6406" max="6406" width="18.28515625" style="3" bestFit="1" customWidth="1"/>
    <col min="6407" max="6407" width="17.5703125" style="3" bestFit="1" customWidth="1"/>
    <col min="6408" max="6408" width="12.5703125" style="3" customWidth="1"/>
    <col min="6409" max="6409" width="14.28515625" style="3" bestFit="1" customWidth="1"/>
    <col min="6410" max="6410" width="26.42578125" style="3" bestFit="1" customWidth="1"/>
    <col min="6411" max="6411" width="24.28515625" style="3" bestFit="1" customWidth="1"/>
    <col min="6412" max="6412" width="18.85546875" style="3" bestFit="1" customWidth="1"/>
    <col min="6413" max="6413" width="14.28515625" style="3" bestFit="1" customWidth="1"/>
    <col min="6414" max="6414" width="4.7109375" style="3" bestFit="1" customWidth="1"/>
    <col min="6415" max="6654" width="9.140625" style="3"/>
    <col min="6655" max="6655" width="12.7109375" style="3" bestFit="1" customWidth="1"/>
    <col min="6656" max="6656" width="28.42578125" style="3" bestFit="1" customWidth="1"/>
    <col min="6657" max="6657" width="27.42578125" style="3" bestFit="1" customWidth="1"/>
    <col min="6658" max="6658" width="11.42578125" style="3" customWidth="1"/>
    <col min="6659" max="6659" width="9.7109375" style="3" bestFit="1" customWidth="1"/>
    <col min="6660" max="6660" width="31.28515625" style="3" bestFit="1" customWidth="1"/>
    <col min="6661" max="6661" width="75.28515625" style="3" bestFit="1" customWidth="1"/>
    <col min="6662" max="6662" width="18.28515625" style="3" bestFit="1" customWidth="1"/>
    <col min="6663" max="6663" width="17.5703125" style="3" bestFit="1" customWidth="1"/>
    <col min="6664" max="6664" width="12.5703125" style="3" customWidth="1"/>
    <col min="6665" max="6665" width="14.28515625" style="3" bestFit="1" customWidth="1"/>
    <col min="6666" max="6666" width="26.42578125" style="3" bestFit="1" customWidth="1"/>
    <col min="6667" max="6667" width="24.28515625" style="3" bestFit="1" customWidth="1"/>
    <col min="6668" max="6668" width="18.85546875" style="3" bestFit="1" customWidth="1"/>
    <col min="6669" max="6669" width="14.28515625" style="3" bestFit="1" customWidth="1"/>
    <col min="6670" max="6670" width="4.7109375" style="3" bestFit="1" customWidth="1"/>
    <col min="6671" max="6910" width="9.140625" style="3"/>
    <col min="6911" max="6911" width="12.7109375" style="3" bestFit="1" customWidth="1"/>
    <col min="6912" max="6912" width="28.42578125" style="3" bestFit="1" customWidth="1"/>
    <col min="6913" max="6913" width="27.42578125" style="3" bestFit="1" customWidth="1"/>
    <col min="6914" max="6914" width="11.42578125" style="3" customWidth="1"/>
    <col min="6915" max="6915" width="9.7109375" style="3" bestFit="1" customWidth="1"/>
    <col min="6916" max="6916" width="31.28515625" style="3" bestFit="1" customWidth="1"/>
    <col min="6917" max="6917" width="75.28515625" style="3" bestFit="1" customWidth="1"/>
    <col min="6918" max="6918" width="18.28515625" style="3" bestFit="1" customWidth="1"/>
    <col min="6919" max="6919" width="17.5703125" style="3" bestFit="1" customWidth="1"/>
    <col min="6920" max="6920" width="12.5703125" style="3" customWidth="1"/>
    <col min="6921" max="6921" width="14.28515625" style="3" bestFit="1" customWidth="1"/>
    <col min="6922" max="6922" width="26.42578125" style="3" bestFit="1" customWidth="1"/>
    <col min="6923" max="6923" width="24.28515625" style="3" bestFit="1" customWidth="1"/>
    <col min="6924" max="6924" width="18.85546875" style="3" bestFit="1" customWidth="1"/>
    <col min="6925" max="6925" width="14.28515625" style="3" bestFit="1" customWidth="1"/>
    <col min="6926" max="6926" width="4.7109375" style="3" bestFit="1" customWidth="1"/>
    <col min="6927" max="7166" width="9.140625" style="3"/>
    <col min="7167" max="7167" width="12.7109375" style="3" bestFit="1" customWidth="1"/>
    <col min="7168" max="7168" width="28.42578125" style="3" bestFit="1" customWidth="1"/>
    <col min="7169" max="7169" width="27.42578125" style="3" bestFit="1" customWidth="1"/>
    <col min="7170" max="7170" width="11.42578125" style="3" customWidth="1"/>
    <col min="7171" max="7171" width="9.7109375" style="3" bestFit="1" customWidth="1"/>
    <col min="7172" max="7172" width="31.28515625" style="3" bestFit="1" customWidth="1"/>
    <col min="7173" max="7173" width="75.28515625" style="3" bestFit="1" customWidth="1"/>
    <col min="7174" max="7174" width="18.28515625" style="3" bestFit="1" customWidth="1"/>
    <col min="7175" max="7175" width="17.5703125" style="3" bestFit="1" customWidth="1"/>
    <col min="7176" max="7176" width="12.5703125" style="3" customWidth="1"/>
    <col min="7177" max="7177" width="14.28515625" style="3" bestFit="1" customWidth="1"/>
    <col min="7178" max="7178" width="26.42578125" style="3" bestFit="1" customWidth="1"/>
    <col min="7179" max="7179" width="24.28515625" style="3" bestFit="1" customWidth="1"/>
    <col min="7180" max="7180" width="18.85546875" style="3" bestFit="1" customWidth="1"/>
    <col min="7181" max="7181" width="14.28515625" style="3" bestFit="1" customWidth="1"/>
    <col min="7182" max="7182" width="4.7109375" style="3" bestFit="1" customWidth="1"/>
    <col min="7183" max="7422" width="9.140625" style="3"/>
    <col min="7423" max="7423" width="12.7109375" style="3" bestFit="1" customWidth="1"/>
    <col min="7424" max="7424" width="28.42578125" style="3" bestFit="1" customWidth="1"/>
    <col min="7425" max="7425" width="27.42578125" style="3" bestFit="1" customWidth="1"/>
    <col min="7426" max="7426" width="11.42578125" style="3" customWidth="1"/>
    <col min="7427" max="7427" width="9.7109375" style="3" bestFit="1" customWidth="1"/>
    <col min="7428" max="7428" width="31.28515625" style="3" bestFit="1" customWidth="1"/>
    <col min="7429" max="7429" width="75.28515625" style="3" bestFit="1" customWidth="1"/>
    <col min="7430" max="7430" width="18.28515625" style="3" bestFit="1" customWidth="1"/>
    <col min="7431" max="7431" width="17.5703125" style="3" bestFit="1" customWidth="1"/>
    <col min="7432" max="7432" width="12.5703125" style="3" customWidth="1"/>
    <col min="7433" max="7433" width="14.28515625" style="3" bestFit="1" customWidth="1"/>
    <col min="7434" max="7434" width="26.42578125" style="3" bestFit="1" customWidth="1"/>
    <col min="7435" max="7435" width="24.28515625" style="3" bestFit="1" customWidth="1"/>
    <col min="7436" max="7436" width="18.85546875" style="3" bestFit="1" customWidth="1"/>
    <col min="7437" max="7437" width="14.28515625" style="3" bestFit="1" customWidth="1"/>
    <col min="7438" max="7438" width="4.7109375" style="3" bestFit="1" customWidth="1"/>
    <col min="7439" max="7678" width="9.140625" style="3"/>
    <col min="7679" max="7679" width="12.7109375" style="3" bestFit="1" customWidth="1"/>
    <col min="7680" max="7680" width="28.42578125" style="3" bestFit="1" customWidth="1"/>
    <col min="7681" max="7681" width="27.42578125" style="3" bestFit="1" customWidth="1"/>
    <col min="7682" max="7682" width="11.42578125" style="3" customWidth="1"/>
    <col min="7683" max="7683" width="9.7109375" style="3" bestFit="1" customWidth="1"/>
    <col min="7684" max="7684" width="31.28515625" style="3" bestFit="1" customWidth="1"/>
    <col min="7685" max="7685" width="75.28515625" style="3" bestFit="1" customWidth="1"/>
    <col min="7686" max="7686" width="18.28515625" style="3" bestFit="1" customWidth="1"/>
    <col min="7687" max="7687" width="17.5703125" style="3" bestFit="1" customWidth="1"/>
    <col min="7688" max="7688" width="12.5703125" style="3" customWidth="1"/>
    <col min="7689" max="7689" width="14.28515625" style="3" bestFit="1" customWidth="1"/>
    <col min="7690" max="7690" width="26.42578125" style="3" bestFit="1" customWidth="1"/>
    <col min="7691" max="7691" width="24.28515625" style="3" bestFit="1" customWidth="1"/>
    <col min="7692" max="7692" width="18.85546875" style="3" bestFit="1" customWidth="1"/>
    <col min="7693" max="7693" width="14.28515625" style="3" bestFit="1" customWidth="1"/>
    <col min="7694" max="7694" width="4.7109375" style="3" bestFit="1" customWidth="1"/>
    <col min="7695" max="7934" width="9.140625" style="3"/>
    <col min="7935" max="7935" width="12.7109375" style="3" bestFit="1" customWidth="1"/>
    <col min="7936" max="7936" width="28.42578125" style="3" bestFit="1" customWidth="1"/>
    <col min="7937" max="7937" width="27.42578125" style="3" bestFit="1" customWidth="1"/>
    <col min="7938" max="7938" width="11.42578125" style="3" customWidth="1"/>
    <col min="7939" max="7939" width="9.7109375" style="3" bestFit="1" customWidth="1"/>
    <col min="7940" max="7940" width="31.28515625" style="3" bestFit="1" customWidth="1"/>
    <col min="7941" max="7941" width="75.28515625" style="3" bestFit="1" customWidth="1"/>
    <col min="7942" max="7942" width="18.28515625" style="3" bestFit="1" customWidth="1"/>
    <col min="7943" max="7943" width="17.5703125" style="3" bestFit="1" customWidth="1"/>
    <col min="7944" max="7944" width="12.5703125" style="3" customWidth="1"/>
    <col min="7945" max="7945" width="14.28515625" style="3" bestFit="1" customWidth="1"/>
    <col min="7946" max="7946" width="26.42578125" style="3" bestFit="1" customWidth="1"/>
    <col min="7947" max="7947" width="24.28515625" style="3" bestFit="1" customWidth="1"/>
    <col min="7948" max="7948" width="18.85546875" style="3" bestFit="1" customWidth="1"/>
    <col min="7949" max="7949" width="14.28515625" style="3" bestFit="1" customWidth="1"/>
    <col min="7950" max="7950" width="4.7109375" style="3" bestFit="1" customWidth="1"/>
    <col min="7951" max="8190" width="9.140625" style="3"/>
    <col min="8191" max="8191" width="12.7109375" style="3" bestFit="1" customWidth="1"/>
    <col min="8192" max="8192" width="28.42578125" style="3" bestFit="1" customWidth="1"/>
    <col min="8193" max="8193" width="27.42578125" style="3" bestFit="1" customWidth="1"/>
    <col min="8194" max="8194" width="11.42578125" style="3" customWidth="1"/>
    <col min="8195" max="8195" width="9.7109375" style="3" bestFit="1" customWidth="1"/>
    <col min="8196" max="8196" width="31.28515625" style="3" bestFit="1" customWidth="1"/>
    <col min="8197" max="8197" width="75.28515625" style="3" bestFit="1" customWidth="1"/>
    <col min="8198" max="8198" width="18.28515625" style="3" bestFit="1" customWidth="1"/>
    <col min="8199" max="8199" width="17.5703125" style="3" bestFit="1" customWidth="1"/>
    <col min="8200" max="8200" width="12.5703125" style="3" customWidth="1"/>
    <col min="8201" max="8201" width="14.28515625" style="3" bestFit="1" customWidth="1"/>
    <col min="8202" max="8202" width="26.42578125" style="3" bestFit="1" customWidth="1"/>
    <col min="8203" max="8203" width="24.28515625" style="3" bestFit="1" customWidth="1"/>
    <col min="8204" max="8204" width="18.85546875" style="3" bestFit="1" customWidth="1"/>
    <col min="8205" max="8205" width="14.28515625" style="3" bestFit="1" customWidth="1"/>
    <col min="8206" max="8206" width="4.7109375" style="3" bestFit="1" customWidth="1"/>
    <col min="8207" max="8446" width="9.140625" style="3"/>
    <col min="8447" max="8447" width="12.7109375" style="3" bestFit="1" customWidth="1"/>
    <col min="8448" max="8448" width="28.42578125" style="3" bestFit="1" customWidth="1"/>
    <col min="8449" max="8449" width="27.42578125" style="3" bestFit="1" customWidth="1"/>
    <col min="8450" max="8450" width="11.42578125" style="3" customWidth="1"/>
    <col min="8451" max="8451" width="9.7109375" style="3" bestFit="1" customWidth="1"/>
    <col min="8452" max="8452" width="31.28515625" style="3" bestFit="1" customWidth="1"/>
    <col min="8453" max="8453" width="75.28515625" style="3" bestFit="1" customWidth="1"/>
    <col min="8454" max="8454" width="18.28515625" style="3" bestFit="1" customWidth="1"/>
    <col min="8455" max="8455" width="17.5703125" style="3" bestFit="1" customWidth="1"/>
    <col min="8456" max="8456" width="12.5703125" style="3" customWidth="1"/>
    <col min="8457" max="8457" width="14.28515625" style="3" bestFit="1" customWidth="1"/>
    <col min="8458" max="8458" width="26.42578125" style="3" bestFit="1" customWidth="1"/>
    <col min="8459" max="8459" width="24.28515625" style="3" bestFit="1" customWidth="1"/>
    <col min="8460" max="8460" width="18.85546875" style="3" bestFit="1" customWidth="1"/>
    <col min="8461" max="8461" width="14.28515625" style="3" bestFit="1" customWidth="1"/>
    <col min="8462" max="8462" width="4.7109375" style="3" bestFit="1" customWidth="1"/>
    <col min="8463" max="8702" width="9.140625" style="3"/>
    <col min="8703" max="8703" width="12.7109375" style="3" bestFit="1" customWidth="1"/>
    <col min="8704" max="8704" width="28.42578125" style="3" bestFit="1" customWidth="1"/>
    <col min="8705" max="8705" width="27.42578125" style="3" bestFit="1" customWidth="1"/>
    <col min="8706" max="8706" width="11.42578125" style="3" customWidth="1"/>
    <col min="8707" max="8707" width="9.7109375" style="3" bestFit="1" customWidth="1"/>
    <col min="8708" max="8708" width="31.28515625" style="3" bestFit="1" customWidth="1"/>
    <col min="8709" max="8709" width="75.28515625" style="3" bestFit="1" customWidth="1"/>
    <col min="8710" max="8710" width="18.28515625" style="3" bestFit="1" customWidth="1"/>
    <col min="8711" max="8711" width="17.5703125" style="3" bestFit="1" customWidth="1"/>
    <col min="8712" max="8712" width="12.5703125" style="3" customWidth="1"/>
    <col min="8713" max="8713" width="14.28515625" style="3" bestFit="1" customWidth="1"/>
    <col min="8714" max="8714" width="26.42578125" style="3" bestFit="1" customWidth="1"/>
    <col min="8715" max="8715" width="24.28515625" style="3" bestFit="1" customWidth="1"/>
    <col min="8716" max="8716" width="18.85546875" style="3" bestFit="1" customWidth="1"/>
    <col min="8717" max="8717" width="14.28515625" style="3" bestFit="1" customWidth="1"/>
    <col min="8718" max="8718" width="4.7109375" style="3" bestFit="1" customWidth="1"/>
    <col min="8719" max="8958" width="9.140625" style="3"/>
    <col min="8959" max="8959" width="12.7109375" style="3" bestFit="1" customWidth="1"/>
    <col min="8960" max="8960" width="28.42578125" style="3" bestFit="1" customWidth="1"/>
    <col min="8961" max="8961" width="27.42578125" style="3" bestFit="1" customWidth="1"/>
    <col min="8962" max="8962" width="11.42578125" style="3" customWidth="1"/>
    <col min="8963" max="8963" width="9.7109375" style="3" bestFit="1" customWidth="1"/>
    <col min="8964" max="8964" width="31.28515625" style="3" bestFit="1" customWidth="1"/>
    <col min="8965" max="8965" width="75.28515625" style="3" bestFit="1" customWidth="1"/>
    <col min="8966" max="8966" width="18.28515625" style="3" bestFit="1" customWidth="1"/>
    <col min="8967" max="8967" width="17.5703125" style="3" bestFit="1" customWidth="1"/>
    <col min="8968" max="8968" width="12.5703125" style="3" customWidth="1"/>
    <col min="8969" max="8969" width="14.28515625" style="3" bestFit="1" customWidth="1"/>
    <col min="8970" max="8970" width="26.42578125" style="3" bestFit="1" customWidth="1"/>
    <col min="8971" max="8971" width="24.28515625" style="3" bestFit="1" customWidth="1"/>
    <col min="8972" max="8972" width="18.85546875" style="3" bestFit="1" customWidth="1"/>
    <col min="8973" max="8973" width="14.28515625" style="3" bestFit="1" customWidth="1"/>
    <col min="8974" max="8974" width="4.7109375" style="3" bestFit="1" customWidth="1"/>
    <col min="8975" max="9214" width="9.140625" style="3"/>
    <col min="9215" max="9215" width="12.7109375" style="3" bestFit="1" customWidth="1"/>
    <col min="9216" max="9216" width="28.42578125" style="3" bestFit="1" customWidth="1"/>
    <col min="9217" max="9217" width="27.42578125" style="3" bestFit="1" customWidth="1"/>
    <col min="9218" max="9218" width="11.42578125" style="3" customWidth="1"/>
    <col min="9219" max="9219" width="9.7109375" style="3" bestFit="1" customWidth="1"/>
    <col min="9220" max="9220" width="31.28515625" style="3" bestFit="1" customWidth="1"/>
    <col min="9221" max="9221" width="75.28515625" style="3" bestFit="1" customWidth="1"/>
    <col min="9222" max="9222" width="18.28515625" style="3" bestFit="1" customWidth="1"/>
    <col min="9223" max="9223" width="17.5703125" style="3" bestFit="1" customWidth="1"/>
    <col min="9224" max="9224" width="12.5703125" style="3" customWidth="1"/>
    <col min="9225" max="9225" width="14.28515625" style="3" bestFit="1" customWidth="1"/>
    <col min="9226" max="9226" width="26.42578125" style="3" bestFit="1" customWidth="1"/>
    <col min="9227" max="9227" width="24.28515625" style="3" bestFit="1" customWidth="1"/>
    <col min="9228" max="9228" width="18.85546875" style="3" bestFit="1" customWidth="1"/>
    <col min="9229" max="9229" width="14.28515625" style="3" bestFit="1" customWidth="1"/>
    <col min="9230" max="9230" width="4.7109375" style="3" bestFit="1" customWidth="1"/>
    <col min="9231" max="9470" width="9.140625" style="3"/>
    <col min="9471" max="9471" width="12.7109375" style="3" bestFit="1" customWidth="1"/>
    <col min="9472" max="9472" width="28.42578125" style="3" bestFit="1" customWidth="1"/>
    <col min="9473" max="9473" width="27.42578125" style="3" bestFit="1" customWidth="1"/>
    <col min="9474" max="9474" width="11.42578125" style="3" customWidth="1"/>
    <col min="9475" max="9475" width="9.7109375" style="3" bestFit="1" customWidth="1"/>
    <col min="9476" max="9476" width="31.28515625" style="3" bestFit="1" customWidth="1"/>
    <col min="9477" max="9477" width="75.28515625" style="3" bestFit="1" customWidth="1"/>
    <col min="9478" max="9478" width="18.28515625" style="3" bestFit="1" customWidth="1"/>
    <col min="9479" max="9479" width="17.5703125" style="3" bestFit="1" customWidth="1"/>
    <col min="9480" max="9480" width="12.5703125" style="3" customWidth="1"/>
    <col min="9481" max="9481" width="14.28515625" style="3" bestFit="1" customWidth="1"/>
    <col min="9482" max="9482" width="26.42578125" style="3" bestFit="1" customWidth="1"/>
    <col min="9483" max="9483" width="24.28515625" style="3" bestFit="1" customWidth="1"/>
    <col min="9484" max="9484" width="18.85546875" style="3" bestFit="1" customWidth="1"/>
    <col min="9485" max="9485" width="14.28515625" style="3" bestFit="1" customWidth="1"/>
    <col min="9486" max="9486" width="4.7109375" style="3" bestFit="1" customWidth="1"/>
    <col min="9487" max="9726" width="9.140625" style="3"/>
    <col min="9727" max="9727" width="12.7109375" style="3" bestFit="1" customWidth="1"/>
    <col min="9728" max="9728" width="28.42578125" style="3" bestFit="1" customWidth="1"/>
    <col min="9729" max="9729" width="27.42578125" style="3" bestFit="1" customWidth="1"/>
    <col min="9730" max="9730" width="11.42578125" style="3" customWidth="1"/>
    <col min="9731" max="9731" width="9.7109375" style="3" bestFit="1" customWidth="1"/>
    <col min="9732" max="9732" width="31.28515625" style="3" bestFit="1" customWidth="1"/>
    <col min="9733" max="9733" width="75.28515625" style="3" bestFit="1" customWidth="1"/>
    <col min="9734" max="9734" width="18.28515625" style="3" bestFit="1" customWidth="1"/>
    <col min="9735" max="9735" width="17.5703125" style="3" bestFit="1" customWidth="1"/>
    <col min="9736" max="9736" width="12.5703125" style="3" customWidth="1"/>
    <col min="9737" max="9737" width="14.28515625" style="3" bestFit="1" customWidth="1"/>
    <col min="9738" max="9738" width="26.42578125" style="3" bestFit="1" customWidth="1"/>
    <col min="9739" max="9739" width="24.28515625" style="3" bestFit="1" customWidth="1"/>
    <col min="9740" max="9740" width="18.85546875" style="3" bestFit="1" customWidth="1"/>
    <col min="9741" max="9741" width="14.28515625" style="3" bestFit="1" customWidth="1"/>
    <col min="9742" max="9742" width="4.7109375" style="3" bestFit="1" customWidth="1"/>
    <col min="9743" max="9982" width="9.140625" style="3"/>
    <col min="9983" max="9983" width="12.7109375" style="3" bestFit="1" customWidth="1"/>
    <col min="9984" max="9984" width="28.42578125" style="3" bestFit="1" customWidth="1"/>
    <col min="9985" max="9985" width="27.42578125" style="3" bestFit="1" customWidth="1"/>
    <col min="9986" max="9986" width="11.42578125" style="3" customWidth="1"/>
    <col min="9987" max="9987" width="9.7109375" style="3" bestFit="1" customWidth="1"/>
    <col min="9988" max="9988" width="31.28515625" style="3" bestFit="1" customWidth="1"/>
    <col min="9989" max="9989" width="75.28515625" style="3" bestFit="1" customWidth="1"/>
    <col min="9990" max="9990" width="18.28515625" style="3" bestFit="1" customWidth="1"/>
    <col min="9991" max="9991" width="17.5703125" style="3" bestFit="1" customWidth="1"/>
    <col min="9992" max="9992" width="12.5703125" style="3" customWidth="1"/>
    <col min="9993" max="9993" width="14.28515625" style="3" bestFit="1" customWidth="1"/>
    <col min="9994" max="9994" width="26.42578125" style="3" bestFit="1" customWidth="1"/>
    <col min="9995" max="9995" width="24.28515625" style="3" bestFit="1" customWidth="1"/>
    <col min="9996" max="9996" width="18.85546875" style="3" bestFit="1" customWidth="1"/>
    <col min="9997" max="9997" width="14.28515625" style="3" bestFit="1" customWidth="1"/>
    <col min="9998" max="9998" width="4.7109375" style="3" bestFit="1" customWidth="1"/>
    <col min="9999" max="10238" width="9.140625" style="3"/>
    <col min="10239" max="10239" width="12.7109375" style="3" bestFit="1" customWidth="1"/>
    <col min="10240" max="10240" width="28.42578125" style="3" bestFit="1" customWidth="1"/>
    <col min="10241" max="10241" width="27.42578125" style="3" bestFit="1" customWidth="1"/>
    <col min="10242" max="10242" width="11.42578125" style="3" customWidth="1"/>
    <col min="10243" max="10243" width="9.7109375" style="3" bestFit="1" customWidth="1"/>
    <col min="10244" max="10244" width="31.28515625" style="3" bestFit="1" customWidth="1"/>
    <col min="10245" max="10245" width="75.28515625" style="3" bestFit="1" customWidth="1"/>
    <col min="10246" max="10246" width="18.28515625" style="3" bestFit="1" customWidth="1"/>
    <col min="10247" max="10247" width="17.5703125" style="3" bestFit="1" customWidth="1"/>
    <col min="10248" max="10248" width="12.5703125" style="3" customWidth="1"/>
    <col min="10249" max="10249" width="14.28515625" style="3" bestFit="1" customWidth="1"/>
    <col min="10250" max="10250" width="26.42578125" style="3" bestFit="1" customWidth="1"/>
    <col min="10251" max="10251" width="24.28515625" style="3" bestFit="1" customWidth="1"/>
    <col min="10252" max="10252" width="18.85546875" style="3" bestFit="1" customWidth="1"/>
    <col min="10253" max="10253" width="14.28515625" style="3" bestFit="1" customWidth="1"/>
    <col min="10254" max="10254" width="4.7109375" style="3" bestFit="1" customWidth="1"/>
    <col min="10255" max="10494" width="9.140625" style="3"/>
    <col min="10495" max="10495" width="12.7109375" style="3" bestFit="1" customWidth="1"/>
    <col min="10496" max="10496" width="28.42578125" style="3" bestFit="1" customWidth="1"/>
    <col min="10497" max="10497" width="27.42578125" style="3" bestFit="1" customWidth="1"/>
    <col min="10498" max="10498" width="11.42578125" style="3" customWidth="1"/>
    <col min="10499" max="10499" width="9.7109375" style="3" bestFit="1" customWidth="1"/>
    <col min="10500" max="10500" width="31.28515625" style="3" bestFit="1" customWidth="1"/>
    <col min="10501" max="10501" width="75.28515625" style="3" bestFit="1" customWidth="1"/>
    <col min="10502" max="10502" width="18.28515625" style="3" bestFit="1" customWidth="1"/>
    <col min="10503" max="10503" width="17.5703125" style="3" bestFit="1" customWidth="1"/>
    <col min="10504" max="10504" width="12.5703125" style="3" customWidth="1"/>
    <col min="10505" max="10505" width="14.28515625" style="3" bestFit="1" customWidth="1"/>
    <col min="10506" max="10506" width="26.42578125" style="3" bestFit="1" customWidth="1"/>
    <col min="10507" max="10507" width="24.28515625" style="3" bestFit="1" customWidth="1"/>
    <col min="10508" max="10508" width="18.85546875" style="3" bestFit="1" customWidth="1"/>
    <col min="10509" max="10509" width="14.28515625" style="3" bestFit="1" customWidth="1"/>
    <col min="10510" max="10510" width="4.7109375" style="3" bestFit="1" customWidth="1"/>
    <col min="10511" max="10750" width="9.140625" style="3"/>
    <col min="10751" max="10751" width="12.7109375" style="3" bestFit="1" customWidth="1"/>
    <col min="10752" max="10752" width="28.42578125" style="3" bestFit="1" customWidth="1"/>
    <col min="10753" max="10753" width="27.42578125" style="3" bestFit="1" customWidth="1"/>
    <col min="10754" max="10754" width="11.42578125" style="3" customWidth="1"/>
    <col min="10755" max="10755" width="9.7109375" style="3" bestFit="1" customWidth="1"/>
    <col min="10756" max="10756" width="31.28515625" style="3" bestFit="1" customWidth="1"/>
    <col min="10757" max="10757" width="75.28515625" style="3" bestFit="1" customWidth="1"/>
    <col min="10758" max="10758" width="18.28515625" style="3" bestFit="1" customWidth="1"/>
    <col min="10759" max="10759" width="17.5703125" style="3" bestFit="1" customWidth="1"/>
    <col min="10760" max="10760" width="12.5703125" style="3" customWidth="1"/>
    <col min="10761" max="10761" width="14.28515625" style="3" bestFit="1" customWidth="1"/>
    <col min="10762" max="10762" width="26.42578125" style="3" bestFit="1" customWidth="1"/>
    <col min="10763" max="10763" width="24.28515625" style="3" bestFit="1" customWidth="1"/>
    <col min="10764" max="10764" width="18.85546875" style="3" bestFit="1" customWidth="1"/>
    <col min="10765" max="10765" width="14.28515625" style="3" bestFit="1" customWidth="1"/>
    <col min="10766" max="10766" width="4.7109375" style="3" bestFit="1" customWidth="1"/>
    <col min="10767" max="11006" width="9.140625" style="3"/>
    <col min="11007" max="11007" width="12.7109375" style="3" bestFit="1" customWidth="1"/>
    <col min="11008" max="11008" width="28.42578125" style="3" bestFit="1" customWidth="1"/>
    <col min="11009" max="11009" width="27.42578125" style="3" bestFit="1" customWidth="1"/>
    <col min="11010" max="11010" width="11.42578125" style="3" customWidth="1"/>
    <col min="11011" max="11011" width="9.7109375" style="3" bestFit="1" customWidth="1"/>
    <col min="11012" max="11012" width="31.28515625" style="3" bestFit="1" customWidth="1"/>
    <col min="11013" max="11013" width="75.28515625" style="3" bestFit="1" customWidth="1"/>
    <col min="11014" max="11014" width="18.28515625" style="3" bestFit="1" customWidth="1"/>
    <col min="11015" max="11015" width="17.5703125" style="3" bestFit="1" customWidth="1"/>
    <col min="11016" max="11016" width="12.5703125" style="3" customWidth="1"/>
    <col min="11017" max="11017" width="14.28515625" style="3" bestFit="1" customWidth="1"/>
    <col min="11018" max="11018" width="26.42578125" style="3" bestFit="1" customWidth="1"/>
    <col min="11019" max="11019" width="24.28515625" style="3" bestFit="1" customWidth="1"/>
    <col min="11020" max="11020" width="18.85546875" style="3" bestFit="1" customWidth="1"/>
    <col min="11021" max="11021" width="14.28515625" style="3" bestFit="1" customWidth="1"/>
    <col min="11022" max="11022" width="4.7109375" style="3" bestFit="1" customWidth="1"/>
    <col min="11023" max="11262" width="9.140625" style="3"/>
    <col min="11263" max="11263" width="12.7109375" style="3" bestFit="1" customWidth="1"/>
    <col min="11264" max="11264" width="28.42578125" style="3" bestFit="1" customWidth="1"/>
    <col min="11265" max="11265" width="27.42578125" style="3" bestFit="1" customWidth="1"/>
    <col min="11266" max="11266" width="11.42578125" style="3" customWidth="1"/>
    <col min="11267" max="11267" width="9.7109375" style="3" bestFit="1" customWidth="1"/>
    <col min="11268" max="11268" width="31.28515625" style="3" bestFit="1" customWidth="1"/>
    <col min="11269" max="11269" width="75.28515625" style="3" bestFit="1" customWidth="1"/>
    <col min="11270" max="11270" width="18.28515625" style="3" bestFit="1" customWidth="1"/>
    <col min="11271" max="11271" width="17.5703125" style="3" bestFit="1" customWidth="1"/>
    <col min="11272" max="11272" width="12.5703125" style="3" customWidth="1"/>
    <col min="11273" max="11273" width="14.28515625" style="3" bestFit="1" customWidth="1"/>
    <col min="11274" max="11274" width="26.42578125" style="3" bestFit="1" customWidth="1"/>
    <col min="11275" max="11275" width="24.28515625" style="3" bestFit="1" customWidth="1"/>
    <col min="11276" max="11276" width="18.85546875" style="3" bestFit="1" customWidth="1"/>
    <col min="11277" max="11277" width="14.28515625" style="3" bestFit="1" customWidth="1"/>
    <col min="11278" max="11278" width="4.7109375" style="3" bestFit="1" customWidth="1"/>
    <col min="11279" max="11518" width="9.140625" style="3"/>
    <col min="11519" max="11519" width="12.7109375" style="3" bestFit="1" customWidth="1"/>
    <col min="11520" max="11520" width="28.42578125" style="3" bestFit="1" customWidth="1"/>
    <col min="11521" max="11521" width="27.42578125" style="3" bestFit="1" customWidth="1"/>
    <col min="11522" max="11522" width="11.42578125" style="3" customWidth="1"/>
    <col min="11523" max="11523" width="9.7109375" style="3" bestFit="1" customWidth="1"/>
    <col min="11524" max="11524" width="31.28515625" style="3" bestFit="1" customWidth="1"/>
    <col min="11525" max="11525" width="75.28515625" style="3" bestFit="1" customWidth="1"/>
    <col min="11526" max="11526" width="18.28515625" style="3" bestFit="1" customWidth="1"/>
    <col min="11527" max="11527" width="17.5703125" style="3" bestFit="1" customWidth="1"/>
    <col min="11528" max="11528" width="12.5703125" style="3" customWidth="1"/>
    <col min="11529" max="11529" width="14.28515625" style="3" bestFit="1" customWidth="1"/>
    <col min="11530" max="11530" width="26.42578125" style="3" bestFit="1" customWidth="1"/>
    <col min="11531" max="11531" width="24.28515625" style="3" bestFit="1" customWidth="1"/>
    <col min="11532" max="11532" width="18.85546875" style="3" bestFit="1" customWidth="1"/>
    <col min="11533" max="11533" width="14.28515625" style="3" bestFit="1" customWidth="1"/>
    <col min="11534" max="11534" width="4.7109375" style="3" bestFit="1" customWidth="1"/>
    <col min="11535" max="11774" width="9.140625" style="3"/>
    <col min="11775" max="11775" width="12.7109375" style="3" bestFit="1" customWidth="1"/>
    <col min="11776" max="11776" width="28.42578125" style="3" bestFit="1" customWidth="1"/>
    <col min="11777" max="11777" width="27.42578125" style="3" bestFit="1" customWidth="1"/>
    <col min="11778" max="11778" width="11.42578125" style="3" customWidth="1"/>
    <col min="11779" max="11779" width="9.7109375" style="3" bestFit="1" customWidth="1"/>
    <col min="11780" max="11780" width="31.28515625" style="3" bestFit="1" customWidth="1"/>
    <col min="11781" max="11781" width="75.28515625" style="3" bestFit="1" customWidth="1"/>
    <col min="11782" max="11782" width="18.28515625" style="3" bestFit="1" customWidth="1"/>
    <col min="11783" max="11783" width="17.5703125" style="3" bestFit="1" customWidth="1"/>
    <col min="11784" max="11784" width="12.5703125" style="3" customWidth="1"/>
    <col min="11785" max="11785" width="14.28515625" style="3" bestFit="1" customWidth="1"/>
    <col min="11786" max="11786" width="26.42578125" style="3" bestFit="1" customWidth="1"/>
    <col min="11787" max="11787" width="24.28515625" style="3" bestFit="1" customWidth="1"/>
    <col min="11788" max="11788" width="18.85546875" style="3" bestFit="1" customWidth="1"/>
    <col min="11789" max="11789" width="14.28515625" style="3" bestFit="1" customWidth="1"/>
    <col min="11790" max="11790" width="4.7109375" style="3" bestFit="1" customWidth="1"/>
    <col min="11791" max="12030" width="9.140625" style="3"/>
    <col min="12031" max="12031" width="12.7109375" style="3" bestFit="1" customWidth="1"/>
    <col min="12032" max="12032" width="28.42578125" style="3" bestFit="1" customWidth="1"/>
    <col min="12033" max="12033" width="27.42578125" style="3" bestFit="1" customWidth="1"/>
    <col min="12034" max="12034" width="11.42578125" style="3" customWidth="1"/>
    <col min="12035" max="12035" width="9.7109375" style="3" bestFit="1" customWidth="1"/>
    <col min="12036" max="12036" width="31.28515625" style="3" bestFit="1" customWidth="1"/>
    <col min="12037" max="12037" width="75.28515625" style="3" bestFit="1" customWidth="1"/>
    <col min="12038" max="12038" width="18.28515625" style="3" bestFit="1" customWidth="1"/>
    <col min="12039" max="12039" width="17.5703125" style="3" bestFit="1" customWidth="1"/>
    <col min="12040" max="12040" width="12.5703125" style="3" customWidth="1"/>
    <col min="12041" max="12041" width="14.28515625" style="3" bestFit="1" customWidth="1"/>
    <col min="12042" max="12042" width="26.42578125" style="3" bestFit="1" customWidth="1"/>
    <col min="12043" max="12043" width="24.28515625" style="3" bestFit="1" customWidth="1"/>
    <col min="12044" max="12044" width="18.85546875" style="3" bestFit="1" customWidth="1"/>
    <col min="12045" max="12045" width="14.28515625" style="3" bestFit="1" customWidth="1"/>
    <col min="12046" max="12046" width="4.7109375" style="3" bestFit="1" customWidth="1"/>
    <col min="12047" max="12286" width="9.140625" style="3"/>
    <col min="12287" max="12287" width="12.7109375" style="3" bestFit="1" customWidth="1"/>
    <col min="12288" max="12288" width="28.42578125" style="3" bestFit="1" customWidth="1"/>
    <col min="12289" max="12289" width="27.42578125" style="3" bestFit="1" customWidth="1"/>
    <col min="12290" max="12290" width="11.42578125" style="3" customWidth="1"/>
    <col min="12291" max="12291" width="9.7109375" style="3" bestFit="1" customWidth="1"/>
    <col min="12292" max="12292" width="31.28515625" style="3" bestFit="1" customWidth="1"/>
    <col min="12293" max="12293" width="75.28515625" style="3" bestFit="1" customWidth="1"/>
    <col min="12294" max="12294" width="18.28515625" style="3" bestFit="1" customWidth="1"/>
    <col min="12295" max="12295" width="17.5703125" style="3" bestFit="1" customWidth="1"/>
    <col min="12296" max="12296" width="12.5703125" style="3" customWidth="1"/>
    <col min="12297" max="12297" width="14.28515625" style="3" bestFit="1" customWidth="1"/>
    <col min="12298" max="12298" width="26.42578125" style="3" bestFit="1" customWidth="1"/>
    <col min="12299" max="12299" width="24.28515625" style="3" bestFit="1" customWidth="1"/>
    <col min="12300" max="12300" width="18.85546875" style="3" bestFit="1" customWidth="1"/>
    <col min="12301" max="12301" width="14.28515625" style="3" bestFit="1" customWidth="1"/>
    <col min="12302" max="12302" width="4.7109375" style="3" bestFit="1" customWidth="1"/>
    <col min="12303" max="12542" width="9.140625" style="3"/>
    <col min="12543" max="12543" width="12.7109375" style="3" bestFit="1" customWidth="1"/>
    <col min="12544" max="12544" width="28.42578125" style="3" bestFit="1" customWidth="1"/>
    <col min="12545" max="12545" width="27.42578125" style="3" bestFit="1" customWidth="1"/>
    <col min="12546" max="12546" width="11.42578125" style="3" customWidth="1"/>
    <col min="12547" max="12547" width="9.7109375" style="3" bestFit="1" customWidth="1"/>
    <col min="12548" max="12548" width="31.28515625" style="3" bestFit="1" customWidth="1"/>
    <col min="12549" max="12549" width="75.28515625" style="3" bestFit="1" customWidth="1"/>
    <col min="12550" max="12550" width="18.28515625" style="3" bestFit="1" customWidth="1"/>
    <col min="12551" max="12551" width="17.5703125" style="3" bestFit="1" customWidth="1"/>
    <col min="12552" max="12552" width="12.5703125" style="3" customWidth="1"/>
    <col min="12553" max="12553" width="14.28515625" style="3" bestFit="1" customWidth="1"/>
    <col min="12554" max="12554" width="26.42578125" style="3" bestFit="1" customWidth="1"/>
    <col min="12555" max="12555" width="24.28515625" style="3" bestFit="1" customWidth="1"/>
    <col min="12556" max="12556" width="18.85546875" style="3" bestFit="1" customWidth="1"/>
    <col min="12557" max="12557" width="14.28515625" style="3" bestFit="1" customWidth="1"/>
    <col min="12558" max="12558" width="4.7109375" style="3" bestFit="1" customWidth="1"/>
    <col min="12559" max="12798" width="9.140625" style="3"/>
    <col min="12799" max="12799" width="12.7109375" style="3" bestFit="1" customWidth="1"/>
    <col min="12800" max="12800" width="28.42578125" style="3" bestFit="1" customWidth="1"/>
    <col min="12801" max="12801" width="27.42578125" style="3" bestFit="1" customWidth="1"/>
    <col min="12802" max="12802" width="11.42578125" style="3" customWidth="1"/>
    <col min="12803" max="12803" width="9.7109375" style="3" bestFit="1" customWidth="1"/>
    <col min="12804" max="12804" width="31.28515625" style="3" bestFit="1" customWidth="1"/>
    <col min="12805" max="12805" width="75.28515625" style="3" bestFit="1" customWidth="1"/>
    <col min="12806" max="12806" width="18.28515625" style="3" bestFit="1" customWidth="1"/>
    <col min="12807" max="12807" width="17.5703125" style="3" bestFit="1" customWidth="1"/>
    <col min="12808" max="12808" width="12.5703125" style="3" customWidth="1"/>
    <col min="12809" max="12809" width="14.28515625" style="3" bestFit="1" customWidth="1"/>
    <col min="12810" max="12810" width="26.42578125" style="3" bestFit="1" customWidth="1"/>
    <col min="12811" max="12811" width="24.28515625" style="3" bestFit="1" customWidth="1"/>
    <col min="12812" max="12812" width="18.85546875" style="3" bestFit="1" customWidth="1"/>
    <col min="12813" max="12813" width="14.28515625" style="3" bestFit="1" customWidth="1"/>
    <col min="12814" max="12814" width="4.7109375" style="3" bestFit="1" customWidth="1"/>
    <col min="12815" max="13054" width="9.140625" style="3"/>
    <col min="13055" max="13055" width="12.7109375" style="3" bestFit="1" customWidth="1"/>
    <col min="13056" max="13056" width="28.42578125" style="3" bestFit="1" customWidth="1"/>
    <col min="13057" max="13057" width="27.42578125" style="3" bestFit="1" customWidth="1"/>
    <col min="13058" max="13058" width="11.42578125" style="3" customWidth="1"/>
    <col min="13059" max="13059" width="9.7109375" style="3" bestFit="1" customWidth="1"/>
    <col min="13060" max="13060" width="31.28515625" style="3" bestFit="1" customWidth="1"/>
    <col min="13061" max="13061" width="75.28515625" style="3" bestFit="1" customWidth="1"/>
    <col min="13062" max="13062" width="18.28515625" style="3" bestFit="1" customWidth="1"/>
    <col min="13063" max="13063" width="17.5703125" style="3" bestFit="1" customWidth="1"/>
    <col min="13064" max="13064" width="12.5703125" style="3" customWidth="1"/>
    <col min="13065" max="13065" width="14.28515625" style="3" bestFit="1" customWidth="1"/>
    <col min="13066" max="13066" width="26.42578125" style="3" bestFit="1" customWidth="1"/>
    <col min="13067" max="13067" width="24.28515625" style="3" bestFit="1" customWidth="1"/>
    <col min="13068" max="13068" width="18.85546875" style="3" bestFit="1" customWidth="1"/>
    <col min="13069" max="13069" width="14.28515625" style="3" bestFit="1" customWidth="1"/>
    <col min="13070" max="13070" width="4.7109375" style="3" bestFit="1" customWidth="1"/>
    <col min="13071" max="13310" width="9.140625" style="3"/>
    <col min="13311" max="13311" width="12.7109375" style="3" bestFit="1" customWidth="1"/>
    <col min="13312" max="13312" width="28.42578125" style="3" bestFit="1" customWidth="1"/>
    <col min="13313" max="13313" width="27.42578125" style="3" bestFit="1" customWidth="1"/>
    <col min="13314" max="13314" width="11.42578125" style="3" customWidth="1"/>
    <col min="13315" max="13315" width="9.7109375" style="3" bestFit="1" customWidth="1"/>
    <col min="13316" max="13316" width="31.28515625" style="3" bestFit="1" customWidth="1"/>
    <col min="13317" max="13317" width="75.28515625" style="3" bestFit="1" customWidth="1"/>
    <col min="13318" max="13318" width="18.28515625" style="3" bestFit="1" customWidth="1"/>
    <col min="13319" max="13319" width="17.5703125" style="3" bestFit="1" customWidth="1"/>
    <col min="13320" max="13320" width="12.5703125" style="3" customWidth="1"/>
    <col min="13321" max="13321" width="14.28515625" style="3" bestFit="1" customWidth="1"/>
    <col min="13322" max="13322" width="26.42578125" style="3" bestFit="1" customWidth="1"/>
    <col min="13323" max="13323" width="24.28515625" style="3" bestFit="1" customWidth="1"/>
    <col min="13324" max="13324" width="18.85546875" style="3" bestFit="1" customWidth="1"/>
    <col min="13325" max="13325" width="14.28515625" style="3" bestFit="1" customWidth="1"/>
    <col min="13326" max="13326" width="4.7109375" style="3" bestFit="1" customWidth="1"/>
    <col min="13327" max="13566" width="9.140625" style="3"/>
    <col min="13567" max="13567" width="12.7109375" style="3" bestFit="1" customWidth="1"/>
    <col min="13568" max="13568" width="28.42578125" style="3" bestFit="1" customWidth="1"/>
    <col min="13569" max="13569" width="27.42578125" style="3" bestFit="1" customWidth="1"/>
    <col min="13570" max="13570" width="11.42578125" style="3" customWidth="1"/>
    <col min="13571" max="13571" width="9.7109375" style="3" bestFit="1" customWidth="1"/>
    <col min="13572" max="13572" width="31.28515625" style="3" bestFit="1" customWidth="1"/>
    <col min="13573" max="13573" width="75.28515625" style="3" bestFit="1" customWidth="1"/>
    <col min="13574" max="13574" width="18.28515625" style="3" bestFit="1" customWidth="1"/>
    <col min="13575" max="13575" width="17.5703125" style="3" bestFit="1" customWidth="1"/>
    <col min="13576" max="13576" width="12.5703125" style="3" customWidth="1"/>
    <col min="13577" max="13577" width="14.28515625" style="3" bestFit="1" customWidth="1"/>
    <col min="13578" max="13578" width="26.42578125" style="3" bestFit="1" customWidth="1"/>
    <col min="13579" max="13579" width="24.28515625" style="3" bestFit="1" customWidth="1"/>
    <col min="13580" max="13580" width="18.85546875" style="3" bestFit="1" customWidth="1"/>
    <col min="13581" max="13581" width="14.28515625" style="3" bestFit="1" customWidth="1"/>
    <col min="13582" max="13582" width="4.7109375" style="3" bestFit="1" customWidth="1"/>
    <col min="13583" max="13822" width="9.140625" style="3"/>
    <col min="13823" max="13823" width="12.7109375" style="3" bestFit="1" customWidth="1"/>
    <col min="13824" max="13824" width="28.42578125" style="3" bestFit="1" customWidth="1"/>
    <col min="13825" max="13825" width="27.42578125" style="3" bestFit="1" customWidth="1"/>
    <col min="13826" max="13826" width="11.42578125" style="3" customWidth="1"/>
    <col min="13827" max="13827" width="9.7109375" style="3" bestFit="1" customWidth="1"/>
    <col min="13828" max="13828" width="31.28515625" style="3" bestFit="1" customWidth="1"/>
    <col min="13829" max="13829" width="75.28515625" style="3" bestFit="1" customWidth="1"/>
    <col min="13830" max="13830" width="18.28515625" style="3" bestFit="1" customWidth="1"/>
    <col min="13831" max="13831" width="17.5703125" style="3" bestFit="1" customWidth="1"/>
    <col min="13832" max="13832" width="12.5703125" style="3" customWidth="1"/>
    <col min="13833" max="13833" width="14.28515625" style="3" bestFit="1" customWidth="1"/>
    <col min="13834" max="13834" width="26.42578125" style="3" bestFit="1" customWidth="1"/>
    <col min="13835" max="13835" width="24.28515625" style="3" bestFit="1" customWidth="1"/>
    <col min="13836" max="13836" width="18.85546875" style="3" bestFit="1" customWidth="1"/>
    <col min="13837" max="13837" width="14.28515625" style="3" bestFit="1" customWidth="1"/>
    <col min="13838" max="13838" width="4.7109375" style="3" bestFit="1" customWidth="1"/>
    <col min="13839" max="14078" width="9.140625" style="3"/>
    <col min="14079" max="14079" width="12.7109375" style="3" bestFit="1" customWidth="1"/>
    <col min="14080" max="14080" width="28.42578125" style="3" bestFit="1" customWidth="1"/>
    <col min="14081" max="14081" width="27.42578125" style="3" bestFit="1" customWidth="1"/>
    <col min="14082" max="14082" width="11.42578125" style="3" customWidth="1"/>
    <col min="14083" max="14083" width="9.7109375" style="3" bestFit="1" customWidth="1"/>
    <col min="14084" max="14084" width="31.28515625" style="3" bestFit="1" customWidth="1"/>
    <col min="14085" max="14085" width="75.28515625" style="3" bestFit="1" customWidth="1"/>
    <col min="14086" max="14086" width="18.28515625" style="3" bestFit="1" customWidth="1"/>
    <col min="14087" max="14087" width="17.5703125" style="3" bestFit="1" customWidth="1"/>
    <col min="14088" max="14088" width="12.5703125" style="3" customWidth="1"/>
    <col min="14089" max="14089" width="14.28515625" style="3" bestFit="1" customWidth="1"/>
    <col min="14090" max="14090" width="26.42578125" style="3" bestFit="1" customWidth="1"/>
    <col min="14091" max="14091" width="24.28515625" style="3" bestFit="1" customWidth="1"/>
    <col min="14092" max="14092" width="18.85546875" style="3" bestFit="1" customWidth="1"/>
    <col min="14093" max="14093" width="14.28515625" style="3" bestFit="1" customWidth="1"/>
    <col min="14094" max="14094" width="4.7109375" style="3" bestFit="1" customWidth="1"/>
    <col min="14095" max="14334" width="9.140625" style="3"/>
    <col min="14335" max="14335" width="12.7109375" style="3" bestFit="1" customWidth="1"/>
    <col min="14336" max="14336" width="28.42578125" style="3" bestFit="1" customWidth="1"/>
    <col min="14337" max="14337" width="27.42578125" style="3" bestFit="1" customWidth="1"/>
    <col min="14338" max="14338" width="11.42578125" style="3" customWidth="1"/>
    <col min="14339" max="14339" width="9.7109375" style="3" bestFit="1" customWidth="1"/>
    <col min="14340" max="14340" width="31.28515625" style="3" bestFit="1" customWidth="1"/>
    <col min="14341" max="14341" width="75.28515625" style="3" bestFit="1" customWidth="1"/>
    <col min="14342" max="14342" width="18.28515625" style="3" bestFit="1" customWidth="1"/>
    <col min="14343" max="14343" width="17.5703125" style="3" bestFit="1" customWidth="1"/>
    <col min="14344" max="14344" width="12.5703125" style="3" customWidth="1"/>
    <col min="14345" max="14345" width="14.28515625" style="3" bestFit="1" customWidth="1"/>
    <col min="14346" max="14346" width="26.42578125" style="3" bestFit="1" customWidth="1"/>
    <col min="14347" max="14347" width="24.28515625" style="3" bestFit="1" customWidth="1"/>
    <col min="14348" max="14348" width="18.85546875" style="3" bestFit="1" customWidth="1"/>
    <col min="14349" max="14349" width="14.28515625" style="3" bestFit="1" customWidth="1"/>
    <col min="14350" max="14350" width="4.7109375" style="3" bestFit="1" customWidth="1"/>
    <col min="14351" max="14590" width="9.140625" style="3"/>
    <col min="14591" max="14591" width="12.7109375" style="3" bestFit="1" customWidth="1"/>
    <col min="14592" max="14592" width="28.42578125" style="3" bestFit="1" customWidth="1"/>
    <col min="14593" max="14593" width="27.42578125" style="3" bestFit="1" customWidth="1"/>
    <col min="14594" max="14594" width="11.42578125" style="3" customWidth="1"/>
    <col min="14595" max="14595" width="9.7109375" style="3" bestFit="1" customWidth="1"/>
    <col min="14596" max="14596" width="31.28515625" style="3" bestFit="1" customWidth="1"/>
    <col min="14597" max="14597" width="75.28515625" style="3" bestFit="1" customWidth="1"/>
    <col min="14598" max="14598" width="18.28515625" style="3" bestFit="1" customWidth="1"/>
    <col min="14599" max="14599" width="17.5703125" style="3" bestFit="1" customWidth="1"/>
    <col min="14600" max="14600" width="12.5703125" style="3" customWidth="1"/>
    <col min="14601" max="14601" width="14.28515625" style="3" bestFit="1" customWidth="1"/>
    <col min="14602" max="14602" width="26.42578125" style="3" bestFit="1" customWidth="1"/>
    <col min="14603" max="14603" width="24.28515625" style="3" bestFit="1" customWidth="1"/>
    <col min="14604" max="14604" width="18.85546875" style="3" bestFit="1" customWidth="1"/>
    <col min="14605" max="14605" width="14.28515625" style="3" bestFit="1" customWidth="1"/>
    <col min="14606" max="14606" width="4.7109375" style="3" bestFit="1" customWidth="1"/>
    <col min="14607" max="14846" width="9.140625" style="3"/>
    <col min="14847" max="14847" width="12.7109375" style="3" bestFit="1" customWidth="1"/>
    <col min="14848" max="14848" width="28.42578125" style="3" bestFit="1" customWidth="1"/>
    <col min="14849" max="14849" width="27.42578125" style="3" bestFit="1" customWidth="1"/>
    <col min="14850" max="14850" width="11.42578125" style="3" customWidth="1"/>
    <col min="14851" max="14851" width="9.7109375" style="3" bestFit="1" customWidth="1"/>
    <col min="14852" max="14852" width="31.28515625" style="3" bestFit="1" customWidth="1"/>
    <col min="14853" max="14853" width="75.28515625" style="3" bestFit="1" customWidth="1"/>
    <col min="14854" max="14854" width="18.28515625" style="3" bestFit="1" customWidth="1"/>
    <col min="14855" max="14855" width="17.5703125" style="3" bestFit="1" customWidth="1"/>
    <col min="14856" max="14856" width="12.5703125" style="3" customWidth="1"/>
    <col min="14857" max="14857" width="14.28515625" style="3" bestFit="1" customWidth="1"/>
    <col min="14858" max="14858" width="26.42578125" style="3" bestFit="1" customWidth="1"/>
    <col min="14859" max="14859" width="24.28515625" style="3" bestFit="1" customWidth="1"/>
    <col min="14860" max="14860" width="18.85546875" style="3" bestFit="1" customWidth="1"/>
    <col min="14861" max="14861" width="14.28515625" style="3" bestFit="1" customWidth="1"/>
    <col min="14862" max="14862" width="4.7109375" style="3" bestFit="1" customWidth="1"/>
    <col min="14863" max="15102" width="9.140625" style="3"/>
    <col min="15103" max="15103" width="12.7109375" style="3" bestFit="1" customWidth="1"/>
    <col min="15104" max="15104" width="28.42578125" style="3" bestFit="1" customWidth="1"/>
    <col min="15105" max="15105" width="27.42578125" style="3" bestFit="1" customWidth="1"/>
    <col min="15106" max="15106" width="11.42578125" style="3" customWidth="1"/>
    <col min="15107" max="15107" width="9.7109375" style="3" bestFit="1" customWidth="1"/>
    <col min="15108" max="15108" width="31.28515625" style="3" bestFit="1" customWidth="1"/>
    <col min="15109" max="15109" width="75.28515625" style="3" bestFit="1" customWidth="1"/>
    <col min="15110" max="15110" width="18.28515625" style="3" bestFit="1" customWidth="1"/>
    <col min="15111" max="15111" width="17.5703125" style="3" bestFit="1" customWidth="1"/>
    <col min="15112" max="15112" width="12.5703125" style="3" customWidth="1"/>
    <col min="15113" max="15113" width="14.28515625" style="3" bestFit="1" customWidth="1"/>
    <col min="15114" max="15114" width="26.42578125" style="3" bestFit="1" customWidth="1"/>
    <col min="15115" max="15115" width="24.28515625" style="3" bestFit="1" customWidth="1"/>
    <col min="15116" max="15116" width="18.85546875" style="3" bestFit="1" customWidth="1"/>
    <col min="15117" max="15117" width="14.28515625" style="3" bestFit="1" customWidth="1"/>
    <col min="15118" max="15118" width="4.7109375" style="3" bestFit="1" customWidth="1"/>
    <col min="15119" max="15358" width="9.140625" style="3"/>
    <col min="15359" max="15359" width="12.7109375" style="3" bestFit="1" customWidth="1"/>
    <col min="15360" max="15360" width="28.42578125" style="3" bestFit="1" customWidth="1"/>
    <col min="15361" max="15361" width="27.42578125" style="3" bestFit="1" customWidth="1"/>
    <col min="15362" max="15362" width="11.42578125" style="3" customWidth="1"/>
    <col min="15363" max="15363" width="9.7109375" style="3" bestFit="1" customWidth="1"/>
    <col min="15364" max="15364" width="31.28515625" style="3" bestFit="1" customWidth="1"/>
    <col min="15365" max="15365" width="75.28515625" style="3" bestFit="1" customWidth="1"/>
    <col min="15366" max="15366" width="18.28515625" style="3" bestFit="1" customWidth="1"/>
    <col min="15367" max="15367" width="17.5703125" style="3" bestFit="1" customWidth="1"/>
    <col min="15368" max="15368" width="12.5703125" style="3" customWidth="1"/>
    <col min="15369" max="15369" width="14.28515625" style="3" bestFit="1" customWidth="1"/>
    <col min="15370" max="15370" width="26.42578125" style="3" bestFit="1" customWidth="1"/>
    <col min="15371" max="15371" width="24.28515625" style="3" bestFit="1" customWidth="1"/>
    <col min="15372" max="15372" width="18.85546875" style="3" bestFit="1" customWidth="1"/>
    <col min="15373" max="15373" width="14.28515625" style="3" bestFit="1" customWidth="1"/>
    <col min="15374" max="15374" width="4.7109375" style="3" bestFit="1" customWidth="1"/>
    <col min="15375" max="15614" width="9.140625" style="3"/>
    <col min="15615" max="15615" width="12.7109375" style="3" bestFit="1" customWidth="1"/>
    <col min="15616" max="15616" width="28.42578125" style="3" bestFit="1" customWidth="1"/>
    <col min="15617" max="15617" width="27.42578125" style="3" bestFit="1" customWidth="1"/>
    <col min="15618" max="15618" width="11.42578125" style="3" customWidth="1"/>
    <col min="15619" max="15619" width="9.7109375" style="3" bestFit="1" customWidth="1"/>
    <col min="15620" max="15620" width="31.28515625" style="3" bestFit="1" customWidth="1"/>
    <col min="15621" max="15621" width="75.28515625" style="3" bestFit="1" customWidth="1"/>
    <col min="15622" max="15622" width="18.28515625" style="3" bestFit="1" customWidth="1"/>
    <col min="15623" max="15623" width="17.5703125" style="3" bestFit="1" customWidth="1"/>
    <col min="15624" max="15624" width="12.5703125" style="3" customWidth="1"/>
    <col min="15625" max="15625" width="14.28515625" style="3" bestFit="1" customWidth="1"/>
    <col min="15626" max="15626" width="26.42578125" style="3" bestFit="1" customWidth="1"/>
    <col min="15627" max="15627" width="24.28515625" style="3" bestFit="1" customWidth="1"/>
    <col min="15628" max="15628" width="18.85546875" style="3" bestFit="1" customWidth="1"/>
    <col min="15629" max="15629" width="14.28515625" style="3" bestFit="1" customWidth="1"/>
    <col min="15630" max="15630" width="4.7109375" style="3" bestFit="1" customWidth="1"/>
    <col min="15631" max="15870" width="9.140625" style="3"/>
    <col min="15871" max="15871" width="12.7109375" style="3" bestFit="1" customWidth="1"/>
    <col min="15872" max="15872" width="28.42578125" style="3" bestFit="1" customWidth="1"/>
    <col min="15873" max="15873" width="27.42578125" style="3" bestFit="1" customWidth="1"/>
    <col min="15874" max="15874" width="11.42578125" style="3" customWidth="1"/>
    <col min="15875" max="15875" width="9.7109375" style="3" bestFit="1" customWidth="1"/>
    <col min="15876" max="15876" width="31.28515625" style="3" bestFit="1" customWidth="1"/>
    <col min="15877" max="15877" width="75.28515625" style="3" bestFit="1" customWidth="1"/>
    <col min="15878" max="15878" width="18.28515625" style="3" bestFit="1" customWidth="1"/>
    <col min="15879" max="15879" width="17.5703125" style="3" bestFit="1" customWidth="1"/>
    <col min="15880" max="15880" width="12.5703125" style="3" customWidth="1"/>
    <col min="15881" max="15881" width="14.28515625" style="3" bestFit="1" customWidth="1"/>
    <col min="15882" max="15882" width="26.42578125" style="3" bestFit="1" customWidth="1"/>
    <col min="15883" max="15883" width="24.28515625" style="3" bestFit="1" customWidth="1"/>
    <col min="15884" max="15884" width="18.85546875" style="3" bestFit="1" customWidth="1"/>
    <col min="15885" max="15885" width="14.28515625" style="3" bestFit="1" customWidth="1"/>
    <col min="15886" max="15886" width="4.7109375" style="3" bestFit="1" customWidth="1"/>
    <col min="15887" max="16126" width="9.140625" style="3"/>
    <col min="16127" max="16127" width="12.7109375" style="3" bestFit="1" customWidth="1"/>
    <col min="16128" max="16128" width="28.42578125" style="3" bestFit="1" customWidth="1"/>
    <col min="16129" max="16129" width="27.42578125" style="3" bestFit="1" customWidth="1"/>
    <col min="16130" max="16130" width="11.42578125" style="3" customWidth="1"/>
    <col min="16131" max="16131" width="9.7109375" style="3" bestFit="1" customWidth="1"/>
    <col min="16132" max="16132" width="31.28515625" style="3" bestFit="1" customWidth="1"/>
    <col min="16133" max="16133" width="75.28515625" style="3" bestFit="1" customWidth="1"/>
    <col min="16134" max="16134" width="18.28515625" style="3" bestFit="1" customWidth="1"/>
    <col min="16135" max="16135" width="17.5703125" style="3" bestFit="1" customWidth="1"/>
    <col min="16136" max="16136" width="12.5703125" style="3" customWidth="1"/>
    <col min="16137" max="16137" width="14.28515625" style="3" bestFit="1" customWidth="1"/>
    <col min="16138" max="16138" width="26.42578125" style="3" bestFit="1" customWidth="1"/>
    <col min="16139" max="16139" width="24.28515625" style="3" bestFit="1" customWidth="1"/>
    <col min="16140" max="16140" width="18.85546875" style="3" bestFit="1" customWidth="1"/>
    <col min="16141" max="16141" width="14.28515625" style="3" bestFit="1" customWidth="1"/>
    <col min="16142" max="16142" width="4.7109375" style="3" bestFit="1" customWidth="1"/>
    <col min="16143" max="16384" width="9.140625" style="3"/>
  </cols>
  <sheetData>
    <row r="1" spans="1:12" ht="30" x14ac:dyDescent="0.25">
      <c r="A1" s="1" t="s">
        <v>0</v>
      </c>
      <c r="B1" s="1" t="s">
        <v>36</v>
      </c>
      <c r="C1" s="1" t="s">
        <v>248</v>
      </c>
      <c r="D1" s="1" t="s">
        <v>2</v>
      </c>
      <c r="E1" s="1" t="s">
        <v>3</v>
      </c>
      <c r="F1" s="1" t="s">
        <v>47</v>
      </c>
      <c r="G1" s="1" t="s">
        <v>48</v>
      </c>
      <c r="H1" s="1" t="s">
        <v>4</v>
      </c>
      <c r="I1" s="1" t="s">
        <v>37</v>
      </c>
      <c r="J1" s="1" t="s">
        <v>6</v>
      </c>
      <c r="K1" s="1" t="s">
        <v>7</v>
      </c>
      <c r="L1" s="2" t="s">
        <v>8</v>
      </c>
    </row>
    <row r="2" spans="1:12" x14ac:dyDescent="0.25">
      <c r="A2" s="5">
        <v>44582</v>
      </c>
      <c r="B2" s="6" t="s">
        <v>249</v>
      </c>
      <c r="C2" s="6">
        <v>111100</v>
      </c>
      <c r="D2" s="7" t="s">
        <v>18</v>
      </c>
      <c r="E2" s="8" t="s">
        <v>9</v>
      </c>
      <c r="F2" s="10" t="s">
        <v>250</v>
      </c>
      <c r="G2" s="9" t="s">
        <v>251</v>
      </c>
      <c r="H2" s="7" t="s">
        <v>252</v>
      </c>
      <c r="I2" s="10" t="s">
        <v>253</v>
      </c>
      <c r="J2" s="11">
        <v>1586108.47</v>
      </c>
      <c r="K2" s="12">
        <v>62.7</v>
      </c>
      <c r="L2" s="13">
        <f>J2/K2</f>
        <v>25296.785805422645</v>
      </c>
    </row>
    <row r="3" spans="1:12" x14ac:dyDescent="0.25">
      <c r="A3" s="5">
        <v>44582</v>
      </c>
      <c r="B3" s="6" t="s">
        <v>254</v>
      </c>
      <c r="C3" s="7">
        <v>111100</v>
      </c>
      <c r="D3" s="7" t="s">
        <v>46</v>
      </c>
      <c r="E3" s="8" t="s">
        <v>9</v>
      </c>
      <c r="F3" s="10" t="s">
        <v>255</v>
      </c>
      <c r="G3" s="9" t="s">
        <v>256</v>
      </c>
      <c r="H3" s="7" t="s">
        <v>257</v>
      </c>
      <c r="I3" s="10" t="s">
        <v>258</v>
      </c>
      <c r="J3" s="11">
        <v>213826.2</v>
      </c>
      <c r="K3" s="12">
        <v>62.7</v>
      </c>
      <c r="L3" s="13">
        <f>J3/K3</f>
        <v>3410.3062200956938</v>
      </c>
    </row>
    <row r="4" spans="1:12" x14ac:dyDescent="0.25">
      <c r="A4" s="5">
        <v>44582</v>
      </c>
      <c r="B4" s="6" t="s">
        <v>259</v>
      </c>
      <c r="C4" s="7">
        <v>111100</v>
      </c>
      <c r="D4" s="7" t="s">
        <v>89</v>
      </c>
      <c r="E4" s="8" t="s">
        <v>9</v>
      </c>
      <c r="F4" s="10" t="s">
        <v>260</v>
      </c>
      <c r="G4" s="9" t="s">
        <v>261</v>
      </c>
      <c r="H4" s="7" t="s">
        <v>262</v>
      </c>
      <c r="I4" s="10" t="s">
        <v>263</v>
      </c>
      <c r="J4" s="11">
        <v>302895.88</v>
      </c>
      <c r="K4" s="12">
        <v>62.7</v>
      </c>
      <c r="L4" s="13">
        <f t="shared" ref="L4:L25" si="0">J4/K4</f>
        <v>4830.8752791068582</v>
      </c>
    </row>
    <row r="5" spans="1:12" x14ac:dyDescent="0.25">
      <c r="A5" s="5">
        <v>44582</v>
      </c>
      <c r="B5" s="6" t="s">
        <v>264</v>
      </c>
      <c r="C5" s="7">
        <v>111100</v>
      </c>
      <c r="D5" s="7" t="s">
        <v>18</v>
      </c>
      <c r="E5" s="8" t="s">
        <v>9</v>
      </c>
      <c r="F5" s="10" t="s">
        <v>250</v>
      </c>
      <c r="G5" s="9" t="s">
        <v>265</v>
      </c>
      <c r="H5" s="7" t="s">
        <v>270</v>
      </c>
      <c r="I5" s="10" t="s">
        <v>266</v>
      </c>
      <c r="J5" s="11">
        <v>6551312</v>
      </c>
      <c r="K5" s="12">
        <v>62.7</v>
      </c>
      <c r="L5" s="13">
        <f t="shared" si="0"/>
        <v>104486.63476874003</v>
      </c>
    </row>
    <row r="6" spans="1:12" x14ac:dyDescent="0.25">
      <c r="A6" s="5">
        <v>44582</v>
      </c>
      <c r="B6" s="6" t="s">
        <v>267</v>
      </c>
      <c r="C6" s="7">
        <v>111100</v>
      </c>
      <c r="D6" s="7" t="s">
        <v>46</v>
      </c>
      <c r="E6" s="8" t="s">
        <v>9</v>
      </c>
      <c r="F6" s="59" t="s">
        <v>255</v>
      </c>
      <c r="G6" s="9" t="s">
        <v>268</v>
      </c>
      <c r="H6" s="7" t="s">
        <v>269</v>
      </c>
      <c r="I6" s="10" t="s">
        <v>271</v>
      </c>
      <c r="J6" s="11">
        <v>1068080</v>
      </c>
      <c r="K6" s="12">
        <v>62.7</v>
      </c>
      <c r="L6" s="13">
        <f t="shared" si="0"/>
        <v>17034.768740031897</v>
      </c>
    </row>
    <row r="7" spans="1:12" x14ac:dyDescent="0.25">
      <c r="A7" s="5">
        <v>44582</v>
      </c>
      <c r="B7" s="7" t="s">
        <v>272</v>
      </c>
      <c r="C7" s="7">
        <v>111100</v>
      </c>
      <c r="D7" s="7" t="s">
        <v>89</v>
      </c>
      <c r="E7" s="8" t="s">
        <v>9</v>
      </c>
      <c r="F7" s="10" t="s">
        <v>260</v>
      </c>
      <c r="G7" s="7" t="s">
        <v>273</v>
      </c>
      <c r="H7" s="7" t="s">
        <v>274</v>
      </c>
      <c r="I7" s="10" t="s">
        <v>275</v>
      </c>
      <c r="J7" s="14">
        <v>1010252</v>
      </c>
      <c r="K7" s="12">
        <v>62.7</v>
      </c>
      <c r="L7" s="13">
        <f t="shared" si="0"/>
        <v>16112.472089314193</v>
      </c>
    </row>
    <row r="8" spans="1:12" x14ac:dyDescent="0.25">
      <c r="A8" s="5">
        <v>44582</v>
      </c>
      <c r="B8" s="7" t="s">
        <v>276</v>
      </c>
      <c r="C8" s="7">
        <v>111100</v>
      </c>
      <c r="D8" s="7" t="s">
        <v>41</v>
      </c>
      <c r="E8" s="8" t="s">
        <v>13</v>
      </c>
      <c r="F8" s="10" t="s">
        <v>277</v>
      </c>
      <c r="G8" s="15" t="s">
        <v>278</v>
      </c>
      <c r="H8" s="7" t="s">
        <v>279</v>
      </c>
      <c r="I8" s="10" t="s">
        <v>280</v>
      </c>
      <c r="J8" s="14">
        <v>528984</v>
      </c>
      <c r="K8" s="12">
        <v>62.7</v>
      </c>
      <c r="L8" s="13">
        <f t="shared" si="0"/>
        <v>8436.7464114832528</v>
      </c>
    </row>
    <row r="9" spans="1:12" x14ac:dyDescent="0.25">
      <c r="A9" s="5">
        <v>44587</v>
      </c>
      <c r="B9" s="7" t="s">
        <v>281</v>
      </c>
      <c r="C9" s="7">
        <v>112101</v>
      </c>
      <c r="D9" s="7" t="s">
        <v>282</v>
      </c>
      <c r="E9" s="8" t="s">
        <v>13</v>
      </c>
      <c r="F9" s="10" t="s">
        <v>283</v>
      </c>
      <c r="G9" s="9" t="s">
        <v>14</v>
      </c>
      <c r="H9" s="7" t="s">
        <v>284</v>
      </c>
      <c r="I9" s="10" t="s">
        <v>285</v>
      </c>
      <c r="J9" s="14">
        <f>224400+13800</f>
        <v>238200</v>
      </c>
      <c r="K9" s="12">
        <v>62.7</v>
      </c>
      <c r="L9" s="13">
        <f t="shared" si="0"/>
        <v>3799.0430622009567</v>
      </c>
    </row>
    <row r="10" spans="1:12" x14ac:dyDescent="0.25">
      <c r="A10" s="5">
        <v>44587</v>
      </c>
      <c r="B10" s="7" t="s">
        <v>286</v>
      </c>
      <c r="C10" s="7">
        <v>112101</v>
      </c>
      <c r="D10" s="7" t="s">
        <v>282</v>
      </c>
      <c r="E10" s="8" t="s">
        <v>13</v>
      </c>
      <c r="F10" s="10" t="s">
        <v>287</v>
      </c>
      <c r="G10" s="7" t="s">
        <v>14</v>
      </c>
      <c r="H10" s="7" t="s">
        <v>288</v>
      </c>
      <c r="I10" s="10" t="s">
        <v>289</v>
      </c>
      <c r="J10" s="14">
        <v>118800</v>
      </c>
      <c r="K10" s="12">
        <v>62.7</v>
      </c>
      <c r="L10" s="13">
        <f t="shared" si="0"/>
        <v>1894.7368421052631</v>
      </c>
    </row>
    <row r="11" spans="1:12" x14ac:dyDescent="0.25">
      <c r="A11" s="5">
        <v>44589</v>
      </c>
      <c r="B11" s="7" t="s">
        <v>290</v>
      </c>
      <c r="C11" s="7">
        <v>112101</v>
      </c>
      <c r="D11" s="7" t="s">
        <v>38</v>
      </c>
      <c r="E11" s="8" t="s">
        <v>13</v>
      </c>
      <c r="F11" s="10" t="s">
        <v>283</v>
      </c>
      <c r="G11" s="7" t="s">
        <v>14</v>
      </c>
      <c r="H11" s="7" t="s">
        <v>284</v>
      </c>
      <c r="I11" s="10" t="s">
        <v>291</v>
      </c>
      <c r="J11" s="14">
        <v>13800</v>
      </c>
      <c r="K11" s="12">
        <v>62.7</v>
      </c>
      <c r="L11" s="13">
        <f t="shared" si="0"/>
        <v>220.09569377990431</v>
      </c>
    </row>
    <row r="12" spans="1:12" x14ac:dyDescent="0.25">
      <c r="A12" s="5">
        <v>44592</v>
      </c>
      <c r="B12" s="7" t="s">
        <v>292</v>
      </c>
      <c r="C12" s="16">
        <v>112101</v>
      </c>
      <c r="D12" s="16" t="s">
        <v>282</v>
      </c>
      <c r="E12" s="8" t="s">
        <v>11</v>
      </c>
      <c r="F12" s="10" t="s">
        <v>293</v>
      </c>
      <c r="G12" s="17" t="s">
        <v>14</v>
      </c>
      <c r="H12" s="16" t="s">
        <v>294</v>
      </c>
      <c r="I12" s="10" t="s">
        <v>295</v>
      </c>
      <c r="J12" s="18">
        <v>866400</v>
      </c>
      <c r="K12" s="12">
        <v>62.7</v>
      </c>
      <c r="L12" s="13">
        <f t="shared" si="0"/>
        <v>13818.181818181818</v>
      </c>
    </row>
    <row r="13" spans="1:12" x14ac:dyDescent="0.25">
      <c r="A13" s="5">
        <v>44593</v>
      </c>
      <c r="B13" s="6" t="s">
        <v>296</v>
      </c>
      <c r="C13" s="6">
        <v>121001</v>
      </c>
      <c r="D13" s="7" t="s">
        <v>297</v>
      </c>
      <c r="E13" s="8" t="s">
        <v>11</v>
      </c>
      <c r="F13" s="10" t="s">
        <v>293</v>
      </c>
      <c r="G13" s="9" t="s">
        <v>298</v>
      </c>
      <c r="H13" s="16" t="s">
        <v>299</v>
      </c>
      <c r="I13" s="10" t="s">
        <v>303</v>
      </c>
      <c r="J13" s="14">
        <f>26284+13746+3783.6+9376.5+5497.6+13965.6+7897.2+3290.5+3184.5+5128+5205+4960.8</f>
        <v>102319.3</v>
      </c>
      <c r="K13" s="12">
        <v>62.7</v>
      </c>
      <c r="L13" s="13">
        <f t="shared" si="0"/>
        <v>1631.8867623604465</v>
      </c>
    </row>
    <row r="14" spans="1:12" x14ac:dyDescent="0.25">
      <c r="A14" s="5">
        <v>44596</v>
      </c>
      <c r="B14" s="6" t="s">
        <v>300</v>
      </c>
      <c r="C14" s="6">
        <v>112101</v>
      </c>
      <c r="D14" s="7" t="s">
        <v>38</v>
      </c>
      <c r="E14" s="8" t="s">
        <v>19</v>
      </c>
      <c r="F14" s="10" t="s">
        <v>446</v>
      </c>
      <c r="G14" s="9" t="s">
        <v>14</v>
      </c>
      <c r="H14" s="16" t="s">
        <v>301</v>
      </c>
      <c r="I14" s="10" t="s">
        <v>302</v>
      </c>
      <c r="J14" s="14">
        <v>79800</v>
      </c>
      <c r="K14" s="12">
        <v>62.7</v>
      </c>
      <c r="L14" s="13">
        <f t="shared" si="0"/>
        <v>1272.7272727272727</v>
      </c>
    </row>
    <row r="15" spans="1:12" x14ac:dyDescent="0.25">
      <c r="A15" s="5">
        <v>44596</v>
      </c>
      <c r="B15" s="7" t="s">
        <v>304</v>
      </c>
      <c r="C15" s="7">
        <v>121001</v>
      </c>
      <c r="D15" s="7" t="s">
        <v>305</v>
      </c>
      <c r="E15" s="8" t="s">
        <v>17</v>
      </c>
      <c r="F15" s="10" t="s">
        <v>306</v>
      </c>
      <c r="G15" s="9" t="s">
        <v>307</v>
      </c>
      <c r="H15" s="7" t="s">
        <v>308</v>
      </c>
      <c r="I15" s="10" t="s">
        <v>309</v>
      </c>
      <c r="J15" s="18">
        <v>450000</v>
      </c>
      <c r="K15" s="12">
        <v>62.7</v>
      </c>
      <c r="L15" s="13">
        <f t="shared" si="0"/>
        <v>7177.0334928229659</v>
      </c>
    </row>
    <row r="16" spans="1:12" x14ac:dyDescent="0.25">
      <c r="A16" s="5">
        <v>44596</v>
      </c>
      <c r="B16" s="7" t="s">
        <v>310</v>
      </c>
      <c r="C16" s="7">
        <v>121000</v>
      </c>
      <c r="D16" s="7" t="s">
        <v>34</v>
      </c>
      <c r="E16" s="8" t="s">
        <v>17</v>
      </c>
      <c r="F16" s="10" t="s">
        <v>311</v>
      </c>
      <c r="G16" s="7" t="s">
        <v>312</v>
      </c>
      <c r="H16" s="7" t="s">
        <v>313</v>
      </c>
      <c r="I16" s="10" t="s">
        <v>314</v>
      </c>
      <c r="J16" s="14">
        <f>43959.52+16450+2600+24986.78+45020.34</f>
        <v>133016.63999999998</v>
      </c>
      <c r="K16" s="12">
        <v>62.7</v>
      </c>
      <c r="L16" s="13">
        <f t="shared" si="0"/>
        <v>2121.477511961722</v>
      </c>
    </row>
    <row r="17" spans="1:12" x14ac:dyDescent="0.25">
      <c r="A17" s="5">
        <v>44602</v>
      </c>
      <c r="B17" s="7" t="s">
        <v>315</v>
      </c>
      <c r="C17" s="7">
        <v>112101</v>
      </c>
      <c r="D17" s="7" t="s">
        <v>282</v>
      </c>
      <c r="E17" s="8" t="s">
        <v>19</v>
      </c>
      <c r="F17" s="10" t="s">
        <v>316</v>
      </c>
      <c r="G17" s="15" t="s">
        <v>35</v>
      </c>
      <c r="H17" s="7" t="s">
        <v>317</v>
      </c>
      <c r="I17" s="10" t="s">
        <v>318</v>
      </c>
      <c r="J17" s="14">
        <v>310800</v>
      </c>
      <c r="K17" s="12">
        <v>62.7</v>
      </c>
      <c r="L17" s="13">
        <f t="shared" si="0"/>
        <v>4956.9377990430621</v>
      </c>
    </row>
    <row r="18" spans="1:12" x14ac:dyDescent="0.25">
      <c r="A18" s="5">
        <v>44602</v>
      </c>
      <c r="B18" s="7" t="s">
        <v>319</v>
      </c>
      <c r="C18" s="7">
        <v>122000</v>
      </c>
      <c r="D18" s="7" t="s">
        <v>320</v>
      </c>
      <c r="E18" s="8" t="s">
        <v>13</v>
      </c>
      <c r="F18" s="10" t="s">
        <v>287</v>
      </c>
      <c r="G18" s="7" t="s">
        <v>321</v>
      </c>
      <c r="H18" s="7" t="s">
        <v>323</v>
      </c>
      <c r="I18" s="10" t="s">
        <v>322</v>
      </c>
      <c r="J18" s="14">
        <v>83944</v>
      </c>
      <c r="K18" s="12">
        <v>62.7</v>
      </c>
      <c r="L18" s="13">
        <f t="shared" si="0"/>
        <v>1338.8197767145134</v>
      </c>
    </row>
    <row r="19" spans="1:12" x14ac:dyDescent="0.25">
      <c r="A19" s="5">
        <v>44602</v>
      </c>
      <c r="B19" s="6" t="s">
        <v>324</v>
      </c>
      <c r="C19" s="6">
        <v>122000</v>
      </c>
      <c r="D19" s="7" t="s">
        <v>320</v>
      </c>
      <c r="E19" s="8" t="s">
        <v>11</v>
      </c>
      <c r="F19" s="10" t="s">
        <v>293</v>
      </c>
      <c r="G19" s="7" t="s">
        <v>325</v>
      </c>
      <c r="H19" s="7" t="s">
        <v>525</v>
      </c>
      <c r="I19" s="10" t="s">
        <v>326</v>
      </c>
      <c r="J19" s="14">
        <v>29491.119999999999</v>
      </c>
      <c r="K19" s="12">
        <v>62.7</v>
      </c>
      <c r="L19" s="13">
        <f t="shared" si="0"/>
        <v>470.35279106858053</v>
      </c>
    </row>
    <row r="20" spans="1:12" x14ac:dyDescent="0.25">
      <c r="A20" s="5">
        <v>44602</v>
      </c>
      <c r="B20" s="6" t="s">
        <v>324</v>
      </c>
      <c r="C20" s="6">
        <v>122000</v>
      </c>
      <c r="D20" s="7" t="s">
        <v>320</v>
      </c>
      <c r="E20" s="8" t="s">
        <v>11</v>
      </c>
      <c r="F20" s="10" t="s">
        <v>293</v>
      </c>
      <c r="G20" s="7" t="s">
        <v>325</v>
      </c>
      <c r="H20" s="7" t="s">
        <v>526</v>
      </c>
      <c r="I20" s="10" t="s">
        <v>326</v>
      </c>
      <c r="J20" s="14">
        <v>54708.88</v>
      </c>
      <c r="K20" s="12">
        <v>63.2</v>
      </c>
      <c r="L20" s="13">
        <f t="shared" si="0"/>
        <v>865.64683544303784</v>
      </c>
    </row>
    <row r="21" spans="1:12" x14ac:dyDescent="0.25">
      <c r="A21" s="5">
        <v>44602</v>
      </c>
      <c r="B21" s="6" t="s">
        <v>327</v>
      </c>
      <c r="C21" s="6">
        <v>122000</v>
      </c>
      <c r="D21" s="7" t="s">
        <v>320</v>
      </c>
      <c r="E21" s="8" t="s">
        <v>13</v>
      </c>
      <c r="F21" s="10" t="s">
        <v>328</v>
      </c>
      <c r="G21" s="7" t="s">
        <v>329</v>
      </c>
      <c r="H21" s="7" t="s">
        <v>330</v>
      </c>
      <c r="I21" s="10" t="s">
        <v>331</v>
      </c>
      <c r="J21" s="14">
        <v>151200</v>
      </c>
      <c r="K21" s="12">
        <v>63.2</v>
      </c>
      <c r="L21" s="13">
        <f t="shared" si="0"/>
        <v>2392.405063291139</v>
      </c>
    </row>
    <row r="22" spans="1:12" x14ac:dyDescent="0.25">
      <c r="A22" s="5">
        <v>44607</v>
      </c>
      <c r="B22" s="6" t="s">
        <v>337</v>
      </c>
      <c r="C22" s="6">
        <v>121001</v>
      </c>
      <c r="D22" s="7" t="s">
        <v>40</v>
      </c>
      <c r="E22" s="8" t="s">
        <v>17</v>
      </c>
      <c r="F22" s="10" t="s">
        <v>338</v>
      </c>
      <c r="G22" s="7" t="s">
        <v>339</v>
      </c>
      <c r="H22" s="7" t="s">
        <v>340</v>
      </c>
      <c r="I22" s="10" t="s">
        <v>12</v>
      </c>
      <c r="J22" s="14">
        <v>322434.75</v>
      </c>
      <c r="K22" s="12">
        <v>63.2</v>
      </c>
      <c r="L22" s="13">
        <f t="shared" si="0"/>
        <v>5101.8156645569616</v>
      </c>
    </row>
    <row r="23" spans="1:12" x14ac:dyDescent="0.25">
      <c r="A23" s="5">
        <v>44607</v>
      </c>
      <c r="B23" s="6" t="s">
        <v>341</v>
      </c>
      <c r="C23" s="6">
        <v>211100</v>
      </c>
      <c r="D23" s="7" t="s">
        <v>342</v>
      </c>
      <c r="E23" s="8" t="s">
        <v>19</v>
      </c>
      <c r="F23" s="10" t="s">
        <v>343</v>
      </c>
      <c r="G23" s="7" t="s">
        <v>346</v>
      </c>
      <c r="H23" s="7" t="s">
        <v>344</v>
      </c>
      <c r="I23" s="10" t="s">
        <v>345</v>
      </c>
      <c r="J23" s="14">
        <v>3034789.01</v>
      </c>
      <c r="K23" s="12">
        <v>63.2</v>
      </c>
      <c r="L23" s="13">
        <f t="shared" si="0"/>
        <v>48018.81344936708</v>
      </c>
    </row>
    <row r="24" spans="1:12" x14ac:dyDescent="0.25">
      <c r="A24" s="5">
        <v>44608</v>
      </c>
      <c r="B24" s="6" t="s">
        <v>347</v>
      </c>
      <c r="C24" s="6">
        <v>111100</v>
      </c>
      <c r="D24" s="7" t="s">
        <v>18</v>
      </c>
      <c r="E24" s="8" t="s">
        <v>9</v>
      </c>
      <c r="F24" s="10" t="s">
        <v>250</v>
      </c>
      <c r="G24" s="9" t="s">
        <v>348</v>
      </c>
      <c r="H24" s="7" t="s">
        <v>349</v>
      </c>
      <c r="I24" s="10" t="s">
        <v>350</v>
      </c>
      <c r="J24" s="14">
        <v>6551312</v>
      </c>
      <c r="K24" s="12">
        <v>63.2</v>
      </c>
      <c r="L24" s="13">
        <f t="shared" si="0"/>
        <v>103660</v>
      </c>
    </row>
    <row r="25" spans="1:12" x14ac:dyDescent="0.25">
      <c r="A25" s="5">
        <v>44608</v>
      </c>
      <c r="B25" s="7" t="s">
        <v>351</v>
      </c>
      <c r="C25" s="7">
        <v>111100</v>
      </c>
      <c r="D25" s="7" t="s">
        <v>41</v>
      </c>
      <c r="E25" s="8" t="s">
        <v>13</v>
      </c>
      <c r="F25" s="10" t="s">
        <v>277</v>
      </c>
      <c r="G25" s="15" t="s">
        <v>352</v>
      </c>
      <c r="H25" s="7" t="s">
        <v>353</v>
      </c>
      <c r="I25" s="10" t="s">
        <v>354</v>
      </c>
      <c r="J25" s="14">
        <v>528984</v>
      </c>
      <c r="K25" s="12">
        <v>63.2</v>
      </c>
      <c r="L25" s="13">
        <f t="shared" si="0"/>
        <v>8370</v>
      </c>
    </row>
    <row r="26" spans="1:12" x14ac:dyDescent="0.25">
      <c r="A26" s="5">
        <v>44608</v>
      </c>
      <c r="B26" s="7" t="s">
        <v>355</v>
      </c>
      <c r="C26" s="7">
        <v>111100</v>
      </c>
      <c r="D26" s="7" t="s">
        <v>89</v>
      </c>
      <c r="E26" s="8" t="s">
        <v>9</v>
      </c>
      <c r="F26" s="10" t="s">
        <v>260</v>
      </c>
      <c r="G26" s="7" t="s">
        <v>356</v>
      </c>
      <c r="H26" s="7" t="s">
        <v>357</v>
      </c>
      <c r="I26" s="10" t="s">
        <v>358</v>
      </c>
      <c r="J26" s="14">
        <v>1010252</v>
      </c>
      <c r="K26" s="12">
        <v>63.2</v>
      </c>
      <c r="L26" s="13">
        <f>J26/K26</f>
        <v>15985</v>
      </c>
    </row>
    <row r="27" spans="1:12" x14ac:dyDescent="0.25">
      <c r="A27" s="5">
        <v>44608</v>
      </c>
      <c r="B27" s="6" t="s">
        <v>359</v>
      </c>
      <c r="C27" s="6">
        <v>111100</v>
      </c>
      <c r="D27" s="7" t="s">
        <v>46</v>
      </c>
      <c r="E27" s="8" t="s">
        <v>9</v>
      </c>
      <c r="F27" s="59" t="s">
        <v>255</v>
      </c>
      <c r="G27" s="9" t="s">
        <v>360</v>
      </c>
      <c r="H27" s="7" t="s">
        <v>361</v>
      </c>
      <c r="I27" s="10" t="s">
        <v>362</v>
      </c>
      <c r="J27" s="14">
        <v>1068080</v>
      </c>
      <c r="K27" s="12">
        <v>63.2</v>
      </c>
      <c r="L27" s="13">
        <f t="shared" ref="L27:L67" si="1">J27/K27</f>
        <v>16900</v>
      </c>
    </row>
    <row r="28" spans="1:12" x14ac:dyDescent="0.25">
      <c r="A28" s="5">
        <v>44609</v>
      </c>
      <c r="B28" s="6" t="s">
        <v>363</v>
      </c>
      <c r="C28" s="6">
        <v>212000</v>
      </c>
      <c r="D28" s="7" t="s">
        <v>364</v>
      </c>
      <c r="E28" s="8" t="s">
        <v>17</v>
      </c>
      <c r="F28" s="10" t="s">
        <v>528</v>
      </c>
      <c r="G28" s="7" t="s">
        <v>481</v>
      </c>
      <c r="H28" s="7" t="s">
        <v>365</v>
      </c>
      <c r="I28" s="10" t="s">
        <v>366</v>
      </c>
      <c r="J28" s="14">
        <f>505440+175180.5+130455+40950+1800</f>
        <v>853825.5</v>
      </c>
      <c r="K28" s="12">
        <v>63.2</v>
      </c>
      <c r="L28" s="13">
        <f t="shared" si="1"/>
        <v>13509.897151898733</v>
      </c>
    </row>
    <row r="29" spans="1:12" x14ac:dyDescent="0.25">
      <c r="A29" s="5">
        <v>44609</v>
      </c>
      <c r="B29" s="6" t="s">
        <v>368</v>
      </c>
      <c r="C29" s="6">
        <v>122000</v>
      </c>
      <c r="D29" s="7" t="s">
        <v>369</v>
      </c>
      <c r="E29" s="8" t="s">
        <v>17</v>
      </c>
      <c r="F29" s="10" t="s">
        <v>370</v>
      </c>
      <c r="G29" s="7" t="s">
        <v>371</v>
      </c>
      <c r="H29" s="7" t="s">
        <v>372</v>
      </c>
      <c r="I29" s="10" t="s">
        <v>373</v>
      </c>
      <c r="J29" s="14">
        <v>425200</v>
      </c>
      <c r="K29" s="12">
        <v>63.2</v>
      </c>
      <c r="L29" s="13">
        <f t="shared" si="1"/>
        <v>6727.8481012658222</v>
      </c>
    </row>
    <row r="30" spans="1:12" x14ac:dyDescent="0.25">
      <c r="A30" s="5">
        <v>44609</v>
      </c>
      <c r="B30" s="6" t="s">
        <v>374</v>
      </c>
      <c r="C30" s="6">
        <v>122000</v>
      </c>
      <c r="D30" s="7" t="s">
        <v>375</v>
      </c>
      <c r="E30" s="8" t="s">
        <v>17</v>
      </c>
      <c r="F30" s="10" t="s">
        <v>334</v>
      </c>
      <c r="G30" s="7" t="s">
        <v>376</v>
      </c>
      <c r="H30" s="7" t="s">
        <v>377</v>
      </c>
      <c r="I30" s="10" t="s">
        <v>378</v>
      </c>
      <c r="J30" s="14">
        <v>18778.5</v>
      </c>
      <c r="K30" s="12">
        <v>63.2</v>
      </c>
      <c r="L30" s="13">
        <f t="shared" si="1"/>
        <v>297.12816455696202</v>
      </c>
    </row>
    <row r="31" spans="1:12" x14ac:dyDescent="0.25">
      <c r="A31" s="5">
        <v>44610</v>
      </c>
      <c r="B31" s="6" t="s">
        <v>379</v>
      </c>
      <c r="C31" s="6">
        <v>112101</v>
      </c>
      <c r="D31" s="7" t="s">
        <v>380</v>
      </c>
      <c r="E31" s="8" t="s">
        <v>13</v>
      </c>
      <c r="F31" s="10" t="s">
        <v>381</v>
      </c>
      <c r="G31" s="7" t="s">
        <v>14</v>
      </c>
      <c r="H31" s="7" t="s">
        <v>382</v>
      </c>
      <c r="I31" s="10" t="s">
        <v>383</v>
      </c>
      <c r="J31" s="14">
        <v>71400</v>
      </c>
      <c r="K31" s="12">
        <v>63.2</v>
      </c>
      <c r="L31" s="13">
        <f t="shared" si="1"/>
        <v>1129.746835443038</v>
      </c>
    </row>
    <row r="32" spans="1:12" x14ac:dyDescent="0.25">
      <c r="A32" s="5">
        <v>44615</v>
      </c>
      <c r="B32" s="7" t="s">
        <v>384</v>
      </c>
      <c r="C32" s="7">
        <v>112101</v>
      </c>
      <c r="D32" s="7" t="s">
        <v>282</v>
      </c>
      <c r="E32" s="8" t="s">
        <v>13</v>
      </c>
      <c r="F32" s="10" t="s">
        <v>328</v>
      </c>
      <c r="G32" s="7" t="s">
        <v>14</v>
      </c>
      <c r="H32" s="7" t="s">
        <v>385</v>
      </c>
      <c r="I32" s="21" t="s">
        <v>386</v>
      </c>
      <c r="J32" s="13">
        <f>1574400+5400</f>
        <v>1579800</v>
      </c>
      <c r="K32" s="12">
        <v>63.2</v>
      </c>
      <c r="L32" s="13">
        <f t="shared" si="1"/>
        <v>24996.835443037973</v>
      </c>
    </row>
    <row r="33" spans="1:13" x14ac:dyDescent="0.25">
      <c r="A33" s="5">
        <v>44616</v>
      </c>
      <c r="B33" s="22" t="s">
        <v>387</v>
      </c>
      <c r="C33" s="22">
        <v>222099</v>
      </c>
      <c r="D33" s="23" t="s">
        <v>388</v>
      </c>
      <c r="E33" s="8" t="s">
        <v>13</v>
      </c>
      <c r="F33" s="10" t="s">
        <v>440</v>
      </c>
      <c r="G33" s="17" t="s">
        <v>389</v>
      </c>
      <c r="H33" s="7" t="s">
        <v>390</v>
      </c>
      <c r="I33" s="10" t="s">
        <v>391</v>
      </c>
      <c r="J33" s="13">
        <v>10589424.24</v>
      </c>
      <c r="K33" s="12">
        <v>63.2</v>
      </c>
      <c r="L33" s="13">
        <f t="shared" si="1"/>
        <v>167554.18101265823</v>
      </c>
    </row>
    <row r="34" spans="1:13" x14ac:dyDescent="0.25">
      <c r="A34" s="5">
        <v>44623</v>
      </c>
      <c r="B34" s="22" t="s">
        <v>431</v>
      </c>
      <c r="C34" s="22">
        <v>121001</v>
      </c>
      <c r="D34" s="23" t="s">
        <v>432</v>
      </c>
      <c r="E34" s="8" t="s">
        <v>19</v>
      </c>
      <c r="F34" s="10" t="s">
        <v>316</v>
      </c>
      <c r="G34" s="19" t="s">
        <v>433</v>
      </c>
      <c r="H34" s="7" t="s">
        <v>434</v>
      </c>
      <c r="I34" s="10" t="s">
        <v>435</v>
      </c>
      <c r="J34" s="13">
        <v>10489.6</v>
      </c>
      <c r="K34" s="12">
        <v>63.2</v>
      </c>
      <c r="L34" s="13">
        <f t="shared" si="1"/>
        <v>165.97468354430379</v>
      </c>
    </row>
    <row r="35" spans="1:13" x14ac:dyDescent="0.25">
      <c r="A35" s="5">
        <v>44623</v>
      </c>
      <c r="B35" s="7" t="s">
        <v>332</v>
      </c>
      <c r="C35" s="7">
        <v>112101</v>
      </c>
      <c r="D35" s="7" t="s">
        <v>333</v>
      </c>
      <c r="E35" s="8" t="s">
        <v>17</v>
      </c>
      <c r="F35" s="10" t="s">
        <v>334</v>
      </c>
      <c r="G35" s="19" t="s">
        <v>14</v>
      </c>
      <c r="H35" s="20" t="s">
        <v>335</v>
      </c>
      <c r="I35" s="21" t="s">
        <v>336</v>
      </c>
      <c r="J35" s="13">
        <v>10800</v>
      </c>
      <c r="K35" s="12">
        <v>63.2</v>
      </c>
      <c r="L35" s="13">
        <f t="shared" ref="L35" si="2">J35/K35</f>
        <v>170.88607594936707</v>
      </c>
    </row>
    <row r="36" spans="1:13" x14ac:dyDescent="0.25">
      <c r="A36" s="5">
        <v>44627</v>
      </c>
      <c r="B36" s="7" t="s">
        <v>392</v>
      </c>
      <c r="C36" s="7">
        <v>122000</v>
      </c>
      <c r="D36" s="7" t="s">
        <v>393</v>
      </c>
      <c r="E36" s="8" t="s">
        <v>17</v>
      </c>
      <c r="F36" s="10" t="s">
        <v>394</v>
      </c>
      <c r="G36" s="7" t="s">
        <v>395</v>
      </c>
      <c r="H36" s="7" t="s">
        <v>396</v>
      </c>
      <c r="I36" s="10" t="s">
        <v>397</v>
      </c>
      <c r="J36" s="13">
        <v>94302</v>
      </c>
      <c r="K36" s="12">
        <v>63.2</v>
      </c>
      <c r="L36" s="13">
        <f t="shared" si="1"/>
        <v>1492.120253164557</v>
      </c>
    </row>
    <row r="37" spans="1:13" x14ac:dyDescent="0.25">
      <c r="A37" s="5">
        <v>44627</v>
      </c>
      <c r="B37" s="7" t="s">
        <v>398</v>
      </c>
      <c r="C37" s="7">
        <v>122000</v>
      </c>
      <c r="D37" s="7" t="s">
        <v>103</v>
      </c>
      <c r="E37" s="8" t="s">
        <v>17</v>
      </c>
      <c r="F37" s="30" t="s">
        <v>399</v>
      </c>
      <c r="G37" s="22" t="s">
        <v>400</v>
      </c>
      <c r="H37" s="25" t="s">
        <v>401</v>
      </c>
      <c r="I37" s="26" t="s">
        <v>402</v>
      </c>
      <c r="J37" s="13">
        <v>83216.259999999995</v>
      </c>
      <c r="K37" s="12">
        <v>63.2</v>
      </c>
      <c r="L37" s="13">
        <f t="shared" si="1"/>
        <v>1316.7129746835442</v>
      </c>
    </row>
    <row r="38" spans="1:13" x14ac:dyDescent="0.25">
      <c r="A38" s="5">
        <v>44627</v>
      </c>
      <c r="B38" s="7" t="s">
        <v>403</v>
      </c>
      <c r="C38" s="7">
        <v>122000</v>
      </c>
      <c r="D38" s="7" t="s">
        <v>404</v>
      </c>
      <c r="E38" s="8" t="s">
        <v>17</v>
      </c>
      <c r="F38" s="10" t="s">
        <v>527</v>
      </c>
      <c r="G38" s="7" t="s">
        <v>405</v>
      </c>
      <c r="H38" s="7" t="s">
        <v>406</v>
      </c>
      <c r="I38" s="24" t="s">
        <v>407</v>
      </c>
      <c r="J38" s="13">
        <v>216000</v>
      </c>
      <c r="K38" s="12">
        <v>63.2</v>
      </c>
      <c r="L38" s="13">
        <f t="shared" si="1"/>
        <v>3417.7215189873418</v>
      </c>
    </row>
    <row r="39" spans="1:13" x14ac:dyDescent="0.25">
      <c r="A39" s="5">
        <v>44634</v>
      </c>
      <c r="B39" s="7" t="s">
        <v>408</v>
      </c>
      <c r="C39" s="7">
        <v>112101</v>
      </c>
      <c r="D39" s="27" t="s">
        <v>282</v>
      </c>
      <c r="E39" s="8" t="s">
        <v>13</v>
      </c>
      <c r="F39" s="10" t="s">
        <v>409</v>
      </c>
      <c r="G39" s="7" t="s">
        <v>14</v>
      </c>
      <c r="H39" s="7" t="s">
        <v>410</v>
      </c>
      <c r="I39" s="10" t="s">
        <v>411</v>
      </c>
      <c r="J39" s="13">
        <v>978000</v>
      </c>
      <c r="K39" s="12">
        <v>63.2</v>
      </c>
      <c r="L39" s="13">
        <f t="shared" si="1"/>
        <v>15474.683544303796</v>
      </c>
    </row>
    <row r="40" spans="1:13" x14ac:dyDescent="0.25">
      <c r="A40" s="5">
        <v>44634</v>
      </c>
      <c r="B40" s="7" t="s">
        <v>412</v>
      </c>
      <c r="C40" s="7">
        <v>111100</v>
      </c>
      <c r="D40" s="7" t="s">
        <v>18</v>
      </c>
      <c r="E40" s="8" t="s">
        <v>9</v>
      </c>
      <c r="F40" s="10" t="s">
        <v>250</v>
      </c>
      <c r="G40" s="9" t="s">
        <v>413</v>
      </c>
      <c r="H40" s="7" t="s">
        <v>414</v>
      </c>
      <c r="I40" s="10" t="s">
        <v>415</v>
      </c>
      <c r="J40" s="13">
        <v>6551312</v>
      </c>
      <c r="K40" s="12">
        <v>63.2</v>
      </c>
      <c r="L40" s="13">
        <f t="shared" si="1"/>
        <v>103660</v>
      </c>
    </row>
    <row r="41" spans="1:13" x14ac:dyDescent="0.25">
      <c r="A41" s="5">
        <v>44634</v>
      </c>
      <c r="B41" s="7" t="s">
        <v>416</v>
      </c>
      <c r="C41" s="7">
        <v>111100</v>
      </c>
      <c r="D41" s="7" t="s">
        <v>46</v>
      </c>
      <c r="E41" s="8" t="s">
        <v>9</v>
      </c>
      <c r="F41" s="59" t="s">
        <v>255</v>
      </c>
      <c r="G41" s="9" t="s">
        <v>417</v>
      </c>
      <c r="H41" s="7" t="s">
        <v>418</v>
      </c>
      <c r="I41" s="10" t="s">
        <v>419</v>
      </c>
      <c r="J41" s="13">
        <v>1068080</v>
      </c>
      <c r="K41" s="12">
        <v>63.2</v>
      </c>
      <c r="L41" s="13">
        <f t="shared" si="1"/>
        <v>16900</v>
      </c>
    </row>
    <row r="42" spans="1:13" x14ac:dyDescent="0.25">
      <c r="A42" s="5">
        <v>44634</v>
      </c>
      <c r="B42" s="7" t="s">
        <v>420</v>
      </c>
      <c r="C42" s="7">
        <v>111100</v>
      </c>
      <c r="D42" s="7" t="s">
        <v>89</v>
      </c>
      <c r="E42" s="8" t="s">
        <v>9</v>
      </c>
      <c r="F42" s="10" t="s">
        <v>260</v>
      </c>
      <c r="G42" s="7" t="s">
        <v>421</v>
      </c>
      <c r="H42" s="7" t="s">
        <v>422</v>
      </c>
      <c r="I42" s="10" t="s">
        <v>423</v>
      </c>
      <c r="J42" s="13">
        <v>1010252</v>
      </c>
      <c r="K42" s="12">
        <v>63.2</v>
      </c>
      <c r="L42" s="13">
        <f t="shared" si="1"/>
        <v>15985</v>
      </c>
    </row>
    <row r="43" spans="1:13" x14ac:dyDescent="0.25">
      <c r="A43" s="5">
        <v>44634</v>
      </c>
      <c r="B43" s="7" t="s">
        <v>424</v>
      </c>
      <c r="C43" s="7">
        <v>111100</v>
      </c>
      <c r="D43" s="7" t="s">
        <v>32</v>
      </c>
      <c r="E43" s="8" t="s">
        <v>13</v>
      </c>
      <c r="F43" s="10" t="s">
        <v>277</v>
      </c>
      <c r="G43" s="15" t="s">
        <v>425</v>
      </c>
      <c r="H43" s="7" t="s">
        <v>426</v>
      </c>
      <c r="I43" s="10" t="s">
        <v>427</v>
      </c>
      <c r="J43" s="13">
        <v>528984</v>
      </c>
      <c r="K43" s="12">
        <v>63.2</v>
      </c>
      <c r="L43" s="13">
        <f t="shared" si="1"/>
        <v>8370</v>
      </c>
    </row>
    <row r="44" spans="1:13" x14ac:dyDescent="0.25">
      <c r="A44" s="5">
        <v>44634</v>
      </c>
      <c r="B44" s="7" t="s">
        <v>428</v>
      </c>
      <c r="C44" s="7">
        <v>111100</v>
      </c>
      <c r="D44" s="7" t="s">
        <v>32</v>
      </c>
      <c r="E44" s="8" t="s">
        <v>13</v>
      </c>
      <c r="F44" s="10" t="s">
        <v>277</v>
      </c>
      <c r="G44" s="15" t="s">
        <v>278</v>
      </c>
      <c r="H44" s="7" t="s">
        <v>429</v>
      </c>
      <c r="I44" s="10" t="s">
        <v>430</v>
      </c>
      <c r="J44" s="13">
        <v>189600</v>
      </c>
      <c r="K44" s="12">
        <v>63.2</v>
      </c>
      <c r="L44" s="13">
        <f t="shared" si="1"/>
        <v>3000</v>
      </c>
    </row>
    <row r="45" spans="1:13" x14ac:dyDescent="0.25">
      <c r="A45" s="5">
        <v>44636</v>
      </c>
      <c r="B45" s="28" t="s">
        <v>368</v>
      </c>
      <c r="C45" s="28">
        <v>122000</v>
      </c>
      <c r="D45" s="27" t="s">
        <v>375</v>
      </c>
      <c r="E45" s="8" t="s">
        <v>17</v>
      </c>
      <c r="F45" s="10" t="s">
        <v>436</v>
      </c>
      <c r="G45" s="29" t="s">
        <v>437</v>
      </c>
      <c r="H45" s="25" t="s">
        <v>438</v>
      </c>
      <c r="I45" s="30" t="s">
        <v>439</v>
      </c>
      <c r="J45" s="13">
        <v>88133.759999999995</v>
      </c>
      <c r="K45" s="12">
        <v>63.2</v>
      </c>
      <c r="L45" s="13">
        <f t="shared" si="1"/>
        <v>1394.5215189873416</v>
      </c>
    </row>
    <row r="46" spans="1:13" x14ac:dyDescent="0.25">
      <c r="A46" s="5">
        <v>44636</v>
      </c>
      <c r="B46" s="7" t="s">
        <v>444</v>
      </c>
      <c r="C46" s="7">
        <v>112101</v>
      </c>
      <c r="D46" s="7" t="s">
        <v>441</v>
      </c>
      <c r="E46" s="8" t="s">
        <v>13</v>
      </c>
      <c r="F46" s="10" t="s">
        <v>440</v>
      </c>
      <c r="G46" s="17" t="s">
        <v>14</v>
      </c>
      <c r="H46" s="7" t="s">
        <v>442</v>
      </c>
      <c r="I46" s="10" t="s">
        <v>20</v>
      </c>
      <c r="J46" s="13">
        <v>7800</v>
      </c>
      <c r="K46" s="12">
        <v>63.2</v>
      </c>
      <c r="L46" s="13">
        <f t="shared" si="1"/>
        <v>123.41772151898734</v>
      </c>
    </row>
    <row r="47" spans="1:13" x14ac:dyDescent="0.25">
      <c r="A47" s="5">
        <v>44636</v>
      </c>
      <c r="B47" s="7" t="s">
        <v>443</v>
      </c>
      <c r="C47" s="7">
        <v>112101</v>
      </c>
      <c r="D47" s="7" t="s">
        <v>445</v>
      </c>
      <c r="E47" s="8" t="s">
        <v>13</v>
      </c>
      <c r="F47" s="10" t="s">
        <v>447</v>
      </c>
      <c r="G47" s="9" t="s">
        <v>14</v>
      </c>
      <c r="H47" s="16" t="s">
        <v>448</v>
      </c>
      <c r="I47" s="10" t="s">
        <v>21</v>
      </c>
      <c r="J47" s="13">
        <v>27600</v>
      </c>
      <c r="K47" s="12">
        <v>63.2</v>
      </c>
      <c r="L47" s="13">
        <f t="shared" si="1"/>
        <v>436.70886075949363</v>
      </c>
    </row>
    <row r="48" spans="1:13" x14ac:dyDescent="0.25">
      <c r="A48" s="5">
        <v>44636</v>
      </c>
      <c r="B48" s="7" t="s">
        <v>449</v>
      </c>
      <c r="C48" s="7">
        <v>122000</v>
      </c>
      <c r="D48" s="7" t="s">
        <v>23</v>
      </c>
      <c r="E48" s="8" t="s">
        <v>17</v>
      </c>
      <c r="F48" s="10" t="s">
        <v>450</v>
      </c>
      <c r="G48" s="29" t="s">
        <v>451</v>
      </c>
      <c r="H48" s="7" t="s">
        <v>452</v>
      </c>
      <c r="I48" s="10" t="s">
        <v>453</v>
      </c>
      <c r="J48" s="13">
        <v>1797.17</v>
      </c>
      <c r="K48" s="12">
        <v>63.2</v>
      </c>
      <c r="L48" s="13">
        <f t="shared" si="1"/>
        <v>28.436234177215191</v>
      </c>
    </row>
    <row r="49" spans="1:12" x14ac:dyDescent="0.25">
      <c r="A49" s="5">
        <v>44636</v>
      </c>
      <c r="B49" s="7" t="s">
        <v>454</v>
      </c>
      <c r="C49" s="7">
        <v>121000</v>
      </c>
      <c r="D49" s="7" t="s">
        <v>455</v>
      </c>
      <c r="E49" s="8" t="s">
        <v>17</v>
      </c>
      <c r="F49" s="10" t="s">
        <v>456</v>
      </c>
      <c r="G49" s="7" t="s">
        <v>457</v>
      </c>
      <c r="H49" s="7" t="s">
        <v>406</v>
      </c>
      <c r="I49" s="10" t="s">
        <v>22</v>
      </c>
      <c r="J49" s="13">
        <v>7500</v>
      </c>
      <c r="K49" s="12">
        <v>63.2</v>
      </c>
      <c r="L49" s="13">
        <f t="shared" si="1"/>
        <v>118.67088607594935</v>
      </c>
    </row>
    <row r="50" spans="1:12" x14ac:dyDescent="0.25">
      <c r="A50" s="5">
        <v>44637</v>
      </c>
      <c r="B50" s="7" t="s">
        <v>458</v>
      </c>
      <c r="C50" s="7">
        <v>211100</v>
      </c>
      <c r="D50" s="7" t="s">
        <v>43</v>
      </c>
      <c r="E50" s="8" t="s">
        <v>11</v>
      </c>
      <c r="F50" s="10" t="s">
        <v>459</v>
      </c>
      <c r="G50" s="7" t="s">
        <v>460</v>
      </c>
      <c r="H50" s="7" t="s">
        <v>461</v>
      </c>
      <c r="I50" s="10" t="s">
        <v>462</v>
      </c>
      <c r="J50" s="13">
        <v>172287.62</v>
      </c>
      <c r="K50" s="12">
        <v>63.2</v>
      </c>
      <c r="L50" s="13">
        <f t="shared" si="1"/>
        <v>2726.0699367088605</v>
      </c>
    </row>
    <row r="51" spans="1:12" x14ac:dyDescent="0.25">
      <c r="A51" s="5">
        <v>44637</v>
      </c>
      <c r="B51" s="6" t="s">
        <v>463</v>
      </c>
      <c r="C51" s="6">
        <v>121001</v>
      </c>
      <c r="D51" s="7" t="s">
        <v>40</v>
      </c>
      <c r="E51" s="8" t="s">
        <v>17</v>
      </c>
      <c r="F51" s="10" t="s">
        <v>338</v>
      </c>
      <c r="G51" s="7" t="s">
        <v>464</v>
      </c>
      <c r="H51" s="7" t="s">
        <v>340</v>
      </c>
      <c r="I51" s="10" t="s">
        <v>465</v>
      </c>
      <c r="J51" s="13">
        <v>322434.75</v>
      </c>
      <c r="K51" s="12">
        <v>63.2</v>
      </c>
      <c r="L51" s="13">
        <f t="shared" si="1"/>
        <v>5101.8156645569616</v>
      </c>
    </row>
    <row r="52" spans="1:12" x14ac:dyDescent="0.25">
      <c r="A52" s="5">
        <v>44637</v>
      </c>
      <c r="B52" s="7" t="s">
        <v>466</v>
      </c>
      <c r="C52" s="28">
        <v>112101</v>
      </c>
      <c r="D52" s="28" t="s">
        <v>467</v>
      </c>
      <c r="E52" s="8" t="s">
        <v>13</v>
      </c>
      <c r="F52" s="10" t="s">
        <v>381</v>
      </c>
      <c r="G52" s="7" t="s">
        <v>14</v>
      </c>
      <c r="H52" s="7" t="s">
        <v>468</v>
      </c>
      <c r="I52" s="10" t="s">
        <v>469</v>
      </c>
      <c r="J52" s="13">
        <v>10800</v>
      </c>
      <c r="K52" s="12">
        <v>63.2</v>
      </c>
      <c r="L52" s="13">
        <f t="shared" si="1"/>
        <v>170.88607594936707</v>
      </c>
    </row>
    <row r="53" spans="1:12" x14ac:dyDescent="0.25">
      <c r="A53" s="5">
        <v>44637</v>
      </c>
      <c r="B53" s="7" t="s">
        <v>470</v>
      </c>
      <c r="C53" s="7">
        <v>122000</v>
      </c>
      <c r="D53" s="7" t="s">
        <v>16</v>
      </c>
      <c r="E53" s="8" t="s">
        <v>17</v>
      </c>
      <c r="F53" s="10" t="s">
        <v>471</v>
      </c>
      <c r="G53" s="7" t="s">
        <v>15</v>
      </c>
      <c r="H53" s="7" t="s">
        <v>472</v>
      </c>
      <c r="I53" s="24" t="s">
        <v>473</v>
      </c>
      <c r="J53" s="13">
        <v>70000</v>
      </c>
      <c r="K53" s="12">
        <v>63.2</v>
      </c>
      <c r="L53" s="13">
        <f t="shared" si="1"/>
        <v>1107.5949367088608</v>
      </c>
    </row>
    <row r="54" spans="1:12" x14ac:dyDescent="0.25">
      <c r="A54" s="5">
        <v>44638</v>
      </c>
      <c r="B54" s="7" t="s">
        <v>474</v>
      </c>
      <c r="C54" s="7">
        <v>121001</v>
      </c>
      <c r="D54" s="27" t="s">
        <v>475</v>
      </c>
      <c r="E54" s="8" t="s">
        <v>13</v>
      </c>
      <c r="F54" s="10" t="s">
        <v>409</v>
      </c>
      <c r="G54" s="7" t="s">
        <v>476</v>
      </c>
      <c r="H54" s="7" t="s">
        <v>477</v>
      </c>
      <c r="I54" s="10" t="s">
        <v>478</v>
      </c>
      <c r="J54" s="13">
        <v>38782.400000000001</v>
      </c>
      <c r="K54" s="12">
        <v>63.2</v>
      </c>
      <c r="L54" s="13">
        <f t="shared" si="1"/>
        <v>613.64556962025313</v>
      </c>
    </row>
    <row r="55" spans="1:12" x14ac:dyDescent="0.25">
      <c r="A55" s="5">
        <v>44642</v>
      </c>
      <c r="B55" s="7" t="s">
        <v>449</v>
      </c>
      <c r="C55" s="7">
        <v>122000</v>
      </c>
      <c r="D55" s="7" t="s">
        <v>479</v>
      </c>
      <c r="E55" s="8" t="s">
        <v>17</v>
      </c>
      <c r="F55" s="10" t="s">
        <v>480</v>
      </c>
      <c r="G55" s="29" t="s">
        <v>481</v>
      </c>
      <c r="H55" s="7" t="s">
        <v>482</v>
      </c>
      <c r="I55" s="10" t="s">
        <v>24</v>
      </c>
      <c r="J55" s="13">
        <v>396343.35</v>
      </c>
      <c r="K55" s="12">
        <v>63.2</v>
      </c>
      <c r="L55" s="13">
        <f t="shared" si="1"/>
        <v>6271.2555379746827</v>
      </c>
    </row>
    <row r="56" spans="1:12" x14ac:dyDescent="0.25">
      <c r="A56" s="5">
        <v>44642</v>
      </c>
      <c r="B56" s="7" t="s">
        <v>483</v>
      </c>
      <c r="C56" s="7">
        <v>122000</v>
      </c>
      <c r="D56" s="7" t="s">
        <v>393</v>
      </c>
      <c r="E56" s="8" t="s">
        <v>17</v>
      </c>
      <c r="F56" s="10" t="s">
        <v>394</v>
      </c>
      <c r="G56" s="7" t="s">
        <v>484</v>
      </c>
      <c r="H56" s="7" t="s">
        <v>485</v>
      </c>
      <c r="I56" s="10" t="s">
        <v>25</v>
      </c>
      <c r="J56" s="13">
        <v>47151</v>
      </c>
      <c r="K56" s="12">
        <v>63.2</v>
      </c>
      <c r="L56" s="13">
        <f t="shared" si="1"/>
        <v>746.06012658227849</v>
      </c>
    </row>
    <row r="57" spans="1:12" x14ac:dyDescent="0.25">
      <c r="A57" s="5">
        <v>44642</v>
      </c>
      <c r="B57" s="7" t="s">
        <v>463</v>
      </c>
      <c r="C57" s="7">
        <v>121001</v>
      </c>
      <c r="D57" s="7" t="s">
        <v>486</v>
      </c>
      <c r="E57" s="8" t="s">
        <v>13</v>
      </c>
      <c r="F57" s="10" t="s">
        <v>409</v>
      </c>
      <c r="G57" s="7" t="s">
        <v>487</v>
      </c>
      <c r="H57" s="16" t="s">
        <v>488</v>
      </c>
      <c r="I57" s="10" t="s">
        <v>489</v>
      </c>
      <c r="J57" s="13">
        <v>9126.4599999999991</v>
      </c>
      <c r="K57" s="12">
        <v>63.2</v>
      </c>
      <c r="L57" s="13">
        <f t="shared" si="1"/>
        <v>144.40601265822784</v>
      </c>
    </row>
    <row r="58" spans="1:12" x14ac:dyDescent="0.25">
      <c r="A58" s="5">
        <v>44644</v>
      </c>
      <c r="B58" s="7" t="s">
        <v>490</v>
      </c>
      <c r="C58" s="7">
        <v>112101</v>
      </c>
      <c r="D58" s="7" t="s">
        <v>282</v>
      </c>
      <c r="E58" s="8" t="s">
        <v>19</v>
      </c>
      <c r="F58" s="10" t="s">
        <v>316</v>
      </c>
      <c r="G58" s="15" t="s">
        <v>35</v>
      </c>
      <c r="H58" s="7" t="s">
        <v>317</v>
      </c>
      <c r="I58" s="10" t="s">
        <v>491</v>
      </c>
      <c r="J58" s="13">
        <v>30600</v>
      </c>
      <c r="K58" s="12">
        <v>63.2</v>
      </c>
      <c r="L58" s="13">
        <f t="shared" si="1"/>
        <v>484.17721518987338</v>
      </c>
    </row>
    <row r="59" spans="1:12" x14ac:dyDescent="0.25">
      <c r="A59" s="5">
        <v>44645</v>
      </c>
      <c r="B59" s="7" t="s">
        <v>492</v>
      </c>
      <c r="C59" s="7">
        <v>122000</v>
      </c>
      <c r="D59" s="7" t="s">
        <v>493</v>
      </c>
      <c r="E59" s="8" t="s">
        <v>13</v>
      </c>
      <c r="F59" s="10" t="s">
        <v>381</v>
      </c>
      <c r="G59" s="7" t="s">
        <v>494</v>
      </c>
      <c r="H59" s="7" t="s">
        <v>495</v>
      </c>
      <c r="I59" s="10" t="s">
        <v>26</v>
      </c>
      <c r="J59" s="13">
        <v>65930</v>
      </c>
      <c r="K59" s="12">
        <v>63.2</v>
      </c>
      <c r="L59" s="13">
        <f t="shared" si="1"/>
        <v>1043.1962025316454</v>
      </c>
    </row>
    <row r="60" spans="1:12" x14ac:dyDescent="0.25">
      <c r="A60" s="5">
        <v>44645</v>
      </c>
      <c r="B60" s="7" t="s">
        <v>496</v>
      </c>
      <c r="C60" s="7">
        <v>122000</v>
      </c>
      <c r="D60" s="7" t="s">
        <v>375</v>
      </c>
      <c r="E60" s="8" t="s">
        <v>17</v>
      </c>
      <c r="F60" s="10" t="s">
        <v>436</v>
      </c>
      <c r="G60" s="7" t="s">
        <v>497</v>
      </c>
      <c r="H60" s="7" t="s">
        <v>498</v>
      </c>
      <c r="I60" s="10" t="s">
        <v>499</v>
      </c>
      <c r="J60" s="13">
        <f>24102+21089.25+66486.95</f>
        <v>111678.2</v>
      </c>
      <c r="K60" s="12">
        <v>63.2</v>
      </c>
      <c r="L60" s="13">
        <f t="shared" si="1"/>
        <v>1767.0601265822784</v>
      </c>
    </row>
    <row r="61" spans="1:12" x14ac:dyDescent="0.25">
      <c r="A61" s="5">
        <v>44645</v>
      </c>
      <c r="B61" s="7" t="s">
        <v>398</v>
      </c>
      <c r="C61" s="7">
        <v>122000</v>
      </c>
      <c r="D61" s="7" t="s">
        <v>44</v>
      </c>
      <c r="E61" s="8" t="s">
        <v>17</v>
      </c>
      <c r="F61" s="10" t="s">
        <v>480</v>
      </c>
      <c r="G61" s="7" t="s">
        <v>481</v>
      </c>
      <c r="H61" s="7" t="s">
        <v>500</v>
      </c>
      <c r="I61" s="10" t="s">
        <v>501</v>
      </c>
      <c r="J61" s="13">
        <f>20421.65+396201.77</f>
        <v>416623.42000000004</v>
      </c>
      <c r="K61" s="12">
        <v>63.2</v>
      </c>
      <c r="L61" s="13">
        <f t="shared" si="1"/>
        <v>6592.1427215189879</v>
      </c>
    </row>
    <row r="62" spans="1:12" x14ac:dyDescent="0.25">
      <c r="A62" s="5">
        <v>44649</v>
      </c>
      <c r="B62" s="7" t="s">
        <v>502</v>
      </c>
      <c r="C62" s="7">
        <v>112101</v>
      </c>
      <c r="D62" s="7" t="s">
        <v>503</v>
      </c>
      <c r="E62" s="8" t="s">
        <v>19</v>
      </c>
      <c r="F62" s="10" t="s">
        <v>504</v>
      </c>
      <c r="G62" s="29" t="s">
        <v>14</v>
      </c>
      <c r="H62" s="7" t="s">
        <v>505</v>
      </c>
      <c r="I62" s="10" t="s">
        <v>506</v>
      </c>
      <c r="J62" s="13">
        <v>51600</v>
      </c>
      <c r="K62" s="12">
        <v>63.2</v>
      </c>
      <c r="L62" s="13">
        <f t="shared" si="1"/>
        <v>816.45569620253161</v>
      </c>
    </row>
    <row r="63" spans="1:12" x14ac:dyDescent="0.25">
      <c r="A63" s="5">
        <v>44650</v>
      </c>
      <c r="B63" s="7" t="s">
        <v>507</v>
      </c>
      <c r="C63" s="7">
        <v>211100</v>
      </c>
      <c r="D63" s="7" t="s">
        <v>342</v>
      </c>
      <c r="E63" s="8" t="s">
        <v>19</v>
      </c>
      <c r="F63" s="10" t="s">
        <v>343</v>
      </c>
      <c r="G63" s="7" t="s">
        <v>508</v>
      </c>
      <c r="H63" s="7" t="s">
        <v>509</v>
      </c>
      <c r="I63" s="10" t="s">
        <v>27</v>
      </c>
      <c r="J63" s="13">
        <v>1346255.19</v>
      </c>
      <c r="K63" s="12">
        <v>63.2</v>
      </c>
      <c r="L63" s="13">
        <f t="shared" si="1"/>
        <v>21301.506170886074</v>
      </c>
    </row>
    <row r="64" spans="1:12" x14ac:dyDescent="0.25">
      <c r="A64" s="5">
        <v>44650</v>
      </c>
      <c r="B64" s="7" t="s">
        <v>510</v>
      </c>
      <c r="C64" s="7">
        <v>112101</v>
      </c>
      <c r="D64" s="7" t="s">
        <v>282</v>
      </c>
      <c r="E64" s="8" t="s">
        <v>13</v>
      </c>
      <c r="F64" s="10" t="s">
        <v>287</v>
      </c>
      <c r="G64" s="7" t="s">
        <v>14</v>
      </c>
      <c r="H64" s="7" t="s">
        <v>511</v>
      </c>
      <c r="I64" s="10" t="s">
        <v>512</v>
      </c>
      <c r="J64" s="13">
        <v>391800</v>
      </c>
      <c r="K64" s="12">
        <v>63.2</v>
      </c>
      <c r="L64" s="13">
        <f t="shared" si="1"/>
        <v>6199.3670886075943</v>
      </c>
    </row>
    <row r="65" spans="1:12" x14ac:dyDescent="0.25">
      <c r="A65" s="5">
        <v>44650</v>
      </c>
      <c r="B65" s="7" t="s">
        <v>513</v>
      </c>
      <c r="C65" s="7">
        <v>112101</v>
      </c>
      <c r="D65" s="7" t="s">
        <v>514</v>
      </c>
      <c r="E65" s="8" t="s">
        <v>19</v>
      </c>
      <c r="F65" s="10" t="s">
        <v>504</v>
      </c>
      <c r="G65" s="29" t="s">
        <v>14</v>
      </c>
      <c r="H65" s="7" t="s">
        <v>505</v>
      </c>
      <c r="I65" s="10" t="s">
        <v>515</v>
      </c>
      <c r="J65" s="58">
        <f>25800+25800</f>
        <v>51600</v>
      </c>
      <c r="K65" s="12">
        <v>63.2</v>
      </c>
      <c r="L65" s="13">
        <f t="shared" si="1"/>
        <v>816.45569620253161</v>
      </c>
    </row>
    <row r="66" spans="1:12" x14ac:dyDescent="0.25">
      <c r="A66" s="5">
        <v>44651</v>
      </c>
      <c r="B66" s="7" t="s">
        <v>516</v>
      </c>
      <c r="C66" s="7">
        <v>122000</v>
      </c>
      <c r="D66" s="7" t="s">
        <v>517</v>
      </c>
      <c r="E66" s="8" t="s">
        <v>13</v>
      </c>
      <c r="F66" s="10" t="s">
        <v>518</v>
      </c>
      <c r="G66" s="29" t="s">
        <v>519</v>
      </c>
      <c r="H66" s="7" t="s">
        <v>520</v>
      </c>
      <c r="I66" s="10" t="s">
        <v>521</v>
      </c>
      <c r="J66" s="58">
        <v>53000</v>
      </c>
      <c r="K66" s="12">
        <v>63.2</v>
      </c>
      <c r="L66" s="13">
        <f t="shared" si="1"/>
        <v>838.60759493670878</v>
      </c>
    </row>
    <row r="67" spans="1:12" x14ac:dyDescent="0.25">
      <c r="A67" s="5">
        <v>44651</v>
      </c>
      <c r="B67" s="7" t="s">
        <v>412</v>
      </c>
      <c r="C67" s="7">
        <v>122000</v>
      </c>
      <c r="D67" s="7" t="s">
        <v>103</v>
      </c>
      <c r="E67" s="8" t="s">
        <v>17</v>
      </c>
      <c r="F67" s="10" t="s">
        <v>399</v>
      </c>
      <c r="G67" s="29" t="s">
        <v>522</v>
      </c>
      <c r="H67" s="25" t="s">
        <v>523</v>
      </c>
      <c r="I67" s="10" t="s">
        <v>524</v>
      </c>
      <c r="J67" s="58">
        <v>124824.39</v>
      </c>
      <c r="K67" s="12">
        <v>63.2</v>
      </c>
      <c r="L67" s="13">
        <f t="shared" si="1"/>
        <v>1975.0694620253164</v>
      </c>
    </row>
    <row r="68" spans="1:12" x14ac:dyDescent="0.25">
      <c r="A68" s="221" t="s">
        <v>529</v>
      </c>
      <c r="B68" s="222"/>
      <c r="C68" s="222"/>
      <c r="D68" s="222"/>
      <c r="E68" s="222"/>
      <c r="F68" s="222"/>
      <c r="G68" s="222"/>
      <c r="H68" s="223"/>
      <c r="I68" s="10"/>
      <c r="J68" s="80">
        <f>SUM(J2:J67)</f>
        <v>54532922.060000002</v>
      </c>
      <c r="K68" s="80"/>
      <c r="L68" s="80">
        <f>SUM(L2:L67)</f>
        <v>864589.82596627518</v>
      </c>
    </row>
    <row r="69" spans="1:12" x14ac:dyDescent="0.25">
      <c r="J69" s="31"/>
      <c r="K69" s="37"/>
    </row>
    <row r="70" spans="1:12" x14ac:dyDescent="0.25">
      <c r="J70" s="31"/>
      <c r="K70" s="37"/>
    </row>
    <row r="71" spans="1:12" x14ac:dyDescent="0.25">
      <c r="J71" s="4"/>
      <c r="K71" s="37"/>
    </row>
    <row r="72" spans="1:12" x14ac:dyDescent="0.25">
      <c r="J72" s="31"/>
      <c r="K72" s="37"/>
    </row>
    <row r="73" spans="1:12" x14ac:dyDescent="0.25">
      <c r="K73" s="37"/>
    </row>
    <row r="77" spans="1:12" x14ac:dyDescent="0.25">
      <c r="J77" s="31"/>
    </row>
  </sheetData>
  <autoFilter ref="A1:WVV68" xr:uid="{00000000-0009-0000-0000-000000000000}"/>
  <mergeCells count="1">
    <mergeCell ref="A68:H68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C91B-60CA-442F-BF89-5112B1E2C7A8}">
  <dimension ref="A3:D22"/>
  <sheetViews>
    <sheetView zoomScale="160" zoomScaleNormal="160" workbookViewId="0">
      <selection activeCell="D22" sqref="A4:D22"/>
    </sheetView>
  </sheetViews>
  <sheetFormatPr defaultRowHeight="15" x14ac:dyDescent="0.25"/>
  <cols>
    <col min="1" max="1" width="19" bestFit="1" customWidth="1"/>
    <col min="2" max="2" width="16.42578125" style="66" bestFit="1" customWidth="1"/>
    <col min="3" max="4" width="13.42578125" style="66" bestFit="1" customWidth="1"/>
    <col min="5" max="24" width="12" bestFit="1" customWidth="1"/>
  </cols>
  <sheetData>
    <row r="3" spans="1:4" x14ac:dyDescent="0.25">
      <c r="A3" s="183" t="s">
        <v>1379</v>
      </c>
      <c r="B3" s="183" t="s">
        <v>1382</v>
      </c>
      <c r="C3"/>
      <c r="D3"/>
    </row>
    <row r="4" spans="1:4" x14ac:dyDescent="0.25">
      <c r="A4" s="183" t="s">
        <v>1377</v>
      </c>
      <c r="B4" t="s">
        <v>1381</v>
      </c>
      <c r="C4" t="s">
        <v>1380</v>
      </c>
      <c r="D4" t="s">
        <v>1378</v>
      </c>
    </row>
    <row r="5" spans="1:4" x14ac:dyDescent="0.25">
      <c r="A5" s="184" t="s">
        <v>1207</v>
      </c>
      <c r="B5" s="185"/>
      <c r="C5" s="185">
        <v>13374.889293057095</v>
      </c>
      <c r="D5" s="185">
        <v>13374.889293057095</v>
      </c>
    </row>
    <row r="6" spans="1:4" x14ac:dyDescent="0.25">
      <c r="A6" s="184" t="s">
        <v>561</v>
      </c>
      <c r="B6" s="185"/>
      <c r="C6" s="185">
        <v>147671.38494385578</v>
      </c>
      <c r="D6" s="185">
        <v>147671.38494385578</v>
      </c>
    </row>
    <row r="7" spans="1:4" x14ac:dyDescent="0.25">
      <c r="A7" s="184" t="s">
        <v>1386</v>
      </c>
      <c r="B7" s="185"/>
      <c r="C7" s="185">
        <v>190664.54634176614</v>
      </c>
      <c r="D7" s="185">
        <v>190664.54634176614</v>
      </c>
    </row>
    <row r="8" spans="1:4" x14ac:dyDescent="0.25">
      <c r="A8" s="184" t="s">
        <v>565</v>
      </c>
      <c r="B8" s="185"/>
      <c r="C8" s="185">
        <v>45725.68467139257</v>
      </c>
      <c r="D8" s="185">
        <v>45725.68467139257</v>
      </c>
    </row>
    <row r="9" spans="1:4" x14ac:dyDescent="0.25">
      <c r="A9" s="184" t="s">
        <v>532</v>
      </c>
      <c r="B9" s="185"/>
      <c r="C9" s="185">
        <v>72235.955959932297</v>
      </c>
      <c r="D9" s="185">
        <v>72235.955959932297</v>
      </c>
    </row>
    <row r="10" spans="1:4" x14ac:dyDescent="0.25">
      <c r="A10" s="184" t="s">
        <v>982</v>
      </c>
      <c r="B10" s="185">
        <v>47331.248259493674</v>
      </c>
      <c r="C10" s="185">
        <v>139150.55954452002</v>
      </c>
      <c r="D10" s="185">
        <v>186481.80780401369</v>
      </c>
    </row>
    <row r="11" spans="1:4" x14ac:dyDescent="0.25">
      <c r="A11" s="184" t="s">
        <v>586</v>
      </c>
      <c r="B11" s="185"/>
      <c r="C11" s="185">
        <v>66980.120523175399</v>
      </c>
      <c r="D11" s="185">
        <v>66980.120523175399</v>
      </c>
    </row>
    <row r="12" spans="1:4" x14ac:dyDescent="0.25">
      <c r="A12" s="184" t="s">
        <v>681</v>
      </c>
      <c r="B12" s="185"/>
      <c r="C12" s="185">
        <v>37567.184880594657</v>
      </c>
      <c r="D12" s="185">
        <v>37567.184880594657</v>
      </c>
    </row>
    <row r="13" spans="1:4" x14ac:dyDescent="0.25">
      <c r="A13" s="184" t="s">
        <v>1018</v>
      </c>
      <c r="B13" s="185"/>
      <c r="C13" s="185">
        <v>178862.97564447258</v>
      </c>
      <c r="D13" s="185">
        <v>178862.97564447258</v>
      </c>
    </row>
    <row r="14" spans="1:4" x14ac:dyDescent="0.25">
      <c r="A14" s="184" t="s">
        <v>560</v>
      </c>
      <c r="B14" s="185"/>
      <c r="C14" s="185">
        <v>11378.164556962025</v>
      </c>
      <c r="D14" s="185">
        <v>11378.164556962025</v>
      </c>
    </row>
    <row r="15" spans="1:4" x14ac:dyDescent="0.25">
      <c r="A15" s="184" t="s">
        <v>572</v>
      </c>
      <c r="B15" s="185"/>
      <c r="C15" s="185">
        <v>289461.24201003165</v>
      </c>
      <c r="D15" s="185">
        <v>289461.24201003165</v>
      </c>
    </row>
    <row r="16" spans="1:4" x14ac:dyDescent="0.25">
      <c r="A16" s="184" t="s">
        <v>583</v>
      </c>
      <c r="B16" s="185"/>
      <c r="C16" s="185">
        <v>24294.846202531644</v>
      </c>
      <c r="D16" s="185">
        <v>24294.846202531644</v>
      </c>
    </row>
    <row r="17" spans="1:4" x14ac:dyDescent="0.25">
      <c r="A17" s="184" t="s">
        <v>575</v>
      </c>
      <c r="B17" s="185"/>
      <c r="C17" s="185">
        <v>279133.20174050634</v>
      </c>
      <c r="D17" s="185">
        <v>279133.20174050634</v>
      </c>
    </row>
    <row r="18" spans="1:4" x14ac:dyDescent="0.25">
      <c r="A18" s="184" t="s">
        <v>1211</v>
      </c>
      <c r="B18" s="185"/>
      <c r="C18" s="185">
        <v>131.58310928356792</v>
      </c>
      <c r="D18" s="185">
        <v>131.58310928356792</v>
      </c>
    </row>
    <row r="19" spans="1:4" x14ac:dyDescent="0.25">
      <c r="A19" s="184" t="s">
        <v>1335</v>
      </c>
      <c r="B19" s="185">
        <v>91.37658227848101</v>
      </c>
      <c r="C19" s="185"/>
      <c r="D19" s="185">
        <v>91.37658227848101</v>
      </c>
    </row>
    <row r="20" spans="1:4" x14ac:dyDescent="0.25">
      <c r="A20" s="184" t="s">
        <v>1044</v>
      </c>
      <c r="B20" s="185"/>
      <c r="C20" s="185">
        <v>4041.7932172478618</v>
      </c>
      <c r="D20" s="185">
        <v>4041.7932172478618</v>
      </c>
    </row>
    <row r="21" spans="1:4" x14ac:dyDescent="0.25">
      <c r="A21" s="184" t="s">
        <v>1387</v>
      </c>
      <c r="B21" s="185"/>
      <c r="C21" s="185">
        <v>90657.113312209578</v>
      </c>
      <c r="D21" s="185">
        <v>90657.113312209578</v>
      </c>
    </row>
    <row r="22" spans="1:4" x14ac:dyDescent="0.25">
      <c r="A22" s="184" t="s">
        <v>1378</v>
      </c>
      <c r="B22" s="185">
        <v>47422.624841772158</v>
      </c>
      <c r="C22" s="185">
        <v>1591331.2459515389</v>
      </c>
      <c r="D22" s="185">
        <v>1638753.8707933109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82"/>
  <sheetViews>
    <sheetView showGridLines="0" tabSelected="1" topLeftCell="K1" zoomScale="145" zoomScaleNormal="145" workbookViewId="0">
      <selection activeCell="L177" sqref="L177"/>
    </sheetView>
  </sheetViews>
  <sheetFormatPr defaultRowHeight="14.25" x14ac:dyDescent="0.25"/>
  <cols>
    <col min="1" max="1" width="25.7109375" style="33" bestFit="1" customWidth="1"/>
    <col min="2" max="2" width="22.85546875" style="34" bestFit="1" customWidth="1"/>
    <col min="3" max="3" width="22.7109375" style="34" customWidth="1"/>
    <col min="4" max="4" width="46" style="34" bestFit="1" customWidth="1"/>
    <col min="5" max="5" width="14.7109375" style="35" bestFit="1" customWidth="1"/>
    <col min="6" max="6" width="17.28515625" style="33" bestFit="1" customWidth="1"/>
    <col min="7" max="7" width="19.7109375" style="33" bestFit="1" customWidth="1"/>
    <col min="8" max="8" width="14.42578125" style="33" hidden="1" customWidth="1"/>
    <col min="9" max="9" width="41.42578125" style="34" hidden="1" customWidth="1"/>
    <col min="10" max="10" width="102.7109375" style="34" customWidth="1"/>
    <col min="11" max="11" width="29.7109375" style="33" bestFit="1" customWidth="1"/>
    <col min="12" max="12" width="19" style="3" bestFit="1" customWidth="1"/>
    <col min="13" max="13" width="21" style="34" bestFit="1" customWidth="1"/>
    <col min="14" max="14" width="19.28515625" style="4" bestFit="1" customWidth="1"/>
    <col min="15" max="15" width="20.85546875" style="3" bestFit="1" customWidth="1"/>
    <col min="16" max="16" width="46.140625" style="3" bestFit="1" customWidth="1"/>
    <col min="17" max="17" width="17.85546875" style="3" bestFit="1" customWidth="1"/>
    <col min="18" max="18" width="12.140625" style="3" bestFit="1" customWidth="1"/>
    <col min="19" max="255" width="9.140625" style="3"/>
    <col min="256" max="256" width="12.7109375" style="3" bestFit="1" customWidth="1"/>
    <col min="257" max="257" width="28.42578125" style="3" bestFit="1" customWidth="1"/>
    <col min="258" max="258" width="27.42578125" style="3" bestFit="1" customWidth="1"/>
    <col min="259" max="259" width="11.42578125" style="3" customWidth="1"/>
    <col min="260" max="260" width="9.7109375" style="3" bestFit="1" customWidth="1"/>
    <col min="261" max="261" width="31.28515625" style="3" bestFit="1" customWidth="1"/>
    <col min="262" max="262" width="75.28515625" style="3" bestFit="1" customWidth="1"/>
    <col min="263" max="263" width="18.28515625" style="3" bestFit="1" customWidth="1"/>
    <col min="264" max="264" width="17.5703125" style="3" bestFit="1" customWidth="1"/>
    <col min="265" max="265" width="12.5703125" style="3" customWidth="1"/>
    <col min="266" max="266" width="14.28515625" style="3" bestFit="1" customWidth="1"/>
    <col min="267" max="267" width="26.42578125" style="3" bestFit="1" customWidth="1"/>
    <col min="268" max="268" width="24.28515625" style="3" bestFit="1" customWidth="1"/>
    <col min="269" max="269" width="18.85546875" style="3" bestFit="1" customWidth="1"/>
    <col min="270" max="270" width="14.28515625" style="3" bestFit="1" customWidth="1"/>
    <col min="271" max="271" width="4.7109375" style="3" bestFit="1" customWidth="1"/>
    <col min="272" max="511" width="9.140625" style="3"/>
    <col min="512" max="512" width="12.7109375" style="3" bestFit="1" customWidth="1"/>
    <col min="513" max="513" width="28.42578125" style="3" bestFit="1" customWidth="1"/>
    <col min="514" max="514" width="27.42578125" style="3" bestFit="1" customWidth="1"/>
    <col min="515" max="515" width="11.42578125" style="3" customWidth="1"/>
    <col min="516" max="516" width="9.7109375" style="3" bestFit="1" customWidth="1"/>
    <col min="517" max="517" width="31.28515625" style="3" bestFit="1" customWidth="1"/>
    <col min="518" max="518" width="75.28515625" style="3" bestFit="1" customWidth="1"/>
    <col min="519" max="519" width="18.28515625" style="3" bestFit="1" customWidth="1"/>
    <col min="520" max="520" width="17.5703125" style="3" bestFit="1" customWidth="1"/>
    <col min="521" max="521" width="12.5703125" style="3" customWidth="1"/>
    <col min="522" max="522" width="14.28515625" style="3" bestFit="1" customWidth="1"/>
    <col min="523" max="523" width="26.42578125" style="3" bestFit="1" customWidth="1"/>
    <col min="524" max="524" width="24.28515625" style="3" bestFit="1" customWidth="1"/>
    <col min="525" max="525" width="18.85546875" style="3" bestFit="1" customWidth="1"/>
    <col min="526" max="526" width="14.28515625" style="3" bestFit="1" customWidth="1"/>
    <col min="527" max="527" width="4.7109375" style="3" bestFit="1" customWidth="1"/>
    <col min="528" max="767" width="9.140625" style="3"/>
    <col min="768" max="768" width="12.7109375" style="3" bestFit="1" customWidth="1"/>
    <col min="769" max="769" width="28.42578125" style="3" bestFit="1" customWidth="1"/>
    <col min="770" max="770" width="27.42578125" style="3" bestFit="1" customWidth="1"/>
    <col min="771" max="771" width="11.42578125" style="3" customWidth="1"/>
    <col min="772" max="772" width="9.7109375" style="3" bestFit="1" customWidth="1"/>
    <col min="773" max="773" width="31.28515625" style="3" bestFit="1" customWidth="1"/>
    <col min="774" max="774" width="75.28515625" style="3" bestFit="1" customWidth="1"/>
    <col min="775" max="775" width="18.28515625" style="3" bestFit="1" customWidth="1"/>
    <col min="776" max="776" width="17.5703125" style="3" bestFit="1" customWidth="1"/>
    <col min="777" max="777" width="12.5703125" style="3" customWidth="1"/>
    <col min="778" max="778" width="14.28515625" style="3" bestFit="1" customWidth="1"/>
    <col min="779" max="779" width="26.42578125" style="3" bestFit="1" customWidth="1"/>
    <col min="780" max="780" width="24.28515625" style="3" bestFit="1" customWidth="1"/>
    <col min="781" max="781" width="18.85546875" style="3" bestFit="1" customWidth="1"/>
    <col min="782" max="782" width="14.28515625" style="3" bestFit="1" customWidth="1"/>
    <col min="783" max="783" width="4.7109375" style="3" bestFit="1" customWidth="1"/>
    <col min="784" max="1023" width="9.140625" style="3"/>
    <col min="1024" max="1024" width="12.7109375" style="3" bestFit="1" customWidth="1"/>
    <col min="1025" max="1025" width="28.42578125" style="3" bestFit="1" customWidth="1"/>
    <col min="1026" max="1026" width="27.42578125" style="3" bestFit="1" customWidth="1"/>
    <col min="1027" max="1027" width="11.42578125" style="3" customWidth="1"/>
    <col min="1028" max="1028" width="9.7109375" style="3" bestFit="1" customWidth="1"/>
    <col min="1029" max="1029" width="31.28515625" style="3" bestFit="1" customWidth="1"/>
    <col min="1030" max="1030" width="75.28515625" style="3" bestFit="1" customWidth="1"/>
    <col min="1031" max="1031" width="18.28515625" style="3" bestFit="1" customWidth="1"/>
    <col min="1032" max="1032" width="17.5703125" style="3" bestFit="1" customWidth="1"/>
    <col min="1033" max="1033" width="12.5703125" style="3" customWidth="1"/>
    <col min="1034" max="1034" width="14.28515625" style="3" bestFit="1" customWidth="1"/>
    <col min="1035" max="1035" width="26.42578125" style="3" bestFit="1" customWidth="1"/>
    <col min="1036" max="1036" width="24.28515625" style="3" bestFit="1" customWidth="1"/>
    <col min="1037" max="1037" width="18.85546875" style="3" bestFit="1" customWidth="1"/>
    <col min="1038" max="1038" width="14.28515625" style="3" bestFit="1" customWidth="1"/>
    <col min="1039" max="1039" width="4.7109375" style="3" bestFit="1" customWidth="1"/>
    <col min="1040" max="1279" width="9.140625" style="3"/>
    <col min="1280" max="1280" width="12.7109375" style="3" bestFit="1" customWidth="1"/>
    <col min="1281" max="1281" width="28.42578125" style="3" bestFit="1" customWidth="1"/>
    <col min="1282" max="1282" width="27.42578125" style="3" bestFit="1" customWidth="1"/>
    <col min="1283" max="1283" width="11.42578125" style="3" customWidth="1"/>
    <col min="1284" max="1284" width="9.7109375" style="3" bestFit="1" customWidth="1"/>
    <col min="1285" max="1285" width="31.28515625" style="3" bestFit="1" customWidth="1"/>
    <col min="1286" max="1286" width="75.28515625" style="3" bestFit="1" customWidth="1"/>
    <col min="1287" max="1287" width="18.28515625" style="3" bestFit="1" customWidth="1"/>
    <col min="1288" max="1288" width="17.5703125" style="3" bestFit="1" customWidth="1"/>
    <col min="1289" max="1289" width="12.5703125" style="3" customWidth="1"/>
    <col min="1290" max="1290" width="14.28515625" style="3" bestFit="1" customWidth="1"/>
    <col min="1291" max="1291" width="26.42578125" style="3" bestFit="1" customWidth="1"/>
    <col min="1292" max="1292" width="24.28515625" style="3" bestFit="1" customWidth="1"/>
    <col min="1293" max="1293" width="18.85546875" style="3" bestFit="1" customWidth="1"/>
    <col min="1294" max="1294" width="14.28515625" style="3" bestFit="1" customWidth="1"/>
    <col min="1295" max="1295" width="4.7109375" style="3" bestFit="1" customWidth="1"/>
    <col min="1296" max="1535" width="9.140625" style="3"/>
    <col min="1536" max="1536" width="12.7109375" style="3" bestFit="1" customWidth="1"/>
    <col min="1537" max="1537" width="28.42578125" style="3" bestFit="1" customWidth="1"/>
    <col min="1538" max="1538" width="27.42578125" style="3" bestFit="1" customWidth="1"/>
    <col min="1539" max="1539" width="11.42578125" style="3" customWidth="1"/>
    <col min="1540" max="1540" width="9.7109375" style="3" bestFit="1" customWidth="1"/>
    <col min="1541" max="1541" width="31.28515625" style="3" bestFit="1" customWidth="1"/>
    <col min="1542" max="1542" width="75.28515625" style="3" bestFit="1" customWidth="1"/>
    <col min="1543" max="1543" width="18.28515625" style="3" bestFit="1" customWidth="1"/>
    <col min="1544" max="1544" width="17.5703125" style="3" bestFit="1" customWidth="1"/>
    <col min="1545" max="1545" width="12.5703125" style="3" customWidth="1"/>
    <col min="1546" max="1546" width="14.28515625" style="3" bestFit="1" customWidth="1"/>
    <col min="1547" max="1547" width="26.42578125" style="3" bestFit="1" customWidth="1"/>
    <col min="1548" max="1548" width="24.28515625" style="3" bestFit="1" customWidth="1"/>
    <col min="1549" max="1549" width="18.85546875" style="3" bestFit="1" customWidth="1"/>
    <col min="1550" max="1550" width="14.28515625" style="3" bestFit="1" customWidth="1"/>
    <col min="1551" max="1551" width="4.7109375" style="3" bestFit="1" customWidth="1"/>
    <col min="1552" max="1791" width="9.140625" style="3"/>
    <col min="1792" max="1792" width="12.7109375" style="3" bestFit="1" customWidth="1"/>
    <col min="1793" max="1793" width="28.42578125" style="3" bestFit="1" customWidth="1"/>
    <col min="1794" max="1794" width="27.42578125" style="3" bestFit="1" customWidth="1"/>
    <col min="1795" max="1795" width="11.42578125" style="3" customWidth="1"/>
    <col min="1796" max="1796" width="9.7109375" style="3" bestFit="1" customWidth="1"/>
    <col min="1797" max="1797" width="31.28515625" style="3" bestFit="1" customWidth="1"/>
    <col min="1798" max="1798" width="75.28515625" style="3" bestFit="1" customWidth="1"/>
    <col min="1799" max="1799" width="18.28515625" style="3" bestFit="1" customWidth="1"/>
    <col min="1800" max="1800" width="17.5703125" style="3" bestFit="1" customWidth="1"/>
    <col min="1801" max="1801" width="12.5703125" style="3" customWidth="1"/>
    <col min="1802" max="1802" width="14.28515625" style="3" bestFit="1" customWidth="1"/>
    <col min="1803" max="1803" width="26.42578125" style="3" bestFit="1" customWidth="1"/>
    <col min="1804" max="1804" width="24.28515625" style="3" bestFit="1" customWidth="1"/>
    <col min="1805" max="1805" width="18.85546875" style="3" bestFit="1" customWidth="1"/>
    <col min="1806" max="1806" width="14.28515625" style="3" bestFit="1" customWidth="1"/>
    <col min="1807" max="1807" width="4.7109375" style="3" bestFit="1" customWidth="1"/>
    <col min="1808" max="2047" width="9.140625" style="3"/>
    <col min="2048" max="2048" width="12.7109375" style="3" bestFit="1" customWidth="1"/>
    <col min="2049" max="2049" width="28.42578125" style="3" bestFit="1" customWidth="1"/>
    <col min="2050" max="2050" width="27.42578125" style="3" bestFit="1" customWidth="1"/>
    <col min="2051" max="2051" width="11.42578125" style="3" customWidth="1"/>
    <col min="2052" max="2052" width="9.7109375" style="3" bestFit="1" customWidth="1"/>
    <col min="2053" max="2053" width="31.28515625" style="3" bestFit="1" customWidth="1"/>
    <col min="2054" max="2054" width="75.28515625" style="3" bestFit="1" customWidth="1"/>
    <col min="2055" max="2055" width="18.28515625" style="3" bestFit="1" customWidth="1"/>
    <col min="2056" max="2056" width="17.5703125" style="3" bestFit="1" customWidth="1"/>
    <col min="2057" max="2057" width="12.5703125" style="3" customWidth="1"/>
    <col min="2058" max="2058" width="14.28515625" style="3" bestFit="1" customWidth="1"/>
    <col min="2059" max="2059" width="26.42578125" style="3" bestFit="1" customWidth="1"/>
    <col min="2060" max="2060" width="24.28515625" style="3" bestFit="1" customWidth="1"/>
    <col min="2061" max="2061" width="18.85546875" style="3" bestFit="1" customWidth="1"/>
    <col min="2062" max="2062" width="14.28515625" style="3" bestFit="1" customWidth="1"/>
    <col min="2063" max="2063" width="4.7109375" style="3" bestFit="1" customWidth="1"/>
    <col min="2064" max="2303" width="9.140625" style="3"/>
    <col min="2304" max="2304" width="12.7109375" style="3" bestFit="1" customWidth="1"/>
    <col min="2305" max="2305" width="28.42578125" style="3" bestFit="1" customWidth="1"/>
    <col min="2306" max="2306" width="27.42578125" style="3" bestFit="1" customWidth="1"/>
    <col min="2307" max="2307" width="11.42578125" style="3" customWidth="1"/>
    <col min="2308" max="2308" width="9.7109375" style="3" bestFit="1" customWidth="1"/>
    <col min="2309" max="2309" width="31.28515625" style="3" bestFit="1" customWidth="1"/>
    <col min="2310" max="2310" width="75.28515625" style="3" bestFit="1" customWidth="1"/>
    <col min="2311" max="2311" width="18.28515625" style="3" bestFit="1" customWidth="1"/>
    <col min="2312" max="2312" width="17.5703125" style="3" bestFit="1" customWidth="1"/>
    <col min="2313" max="2313" width="12.5703125" style="3" customWidth="1"/>
    <col min="2314" max="2314" width="14.28515625" style="3" bestFit="1" customWidth="1"/>
    <col min="2315" max="2315" width="26.42578125" style="3" bestFit="1" customWidth="1"/>
    <col min="2316" max="2316" width="24.28515625" style="3" bestFit="1" customWidth="1"/>
    <col min="2317" max="2317" width="18.85546875" style="3" bestFit="1" customWidth="1"/>
    <col min="2318" max="2318" width="14.28515625" style="3" bestFit="1" customWidth="1"/>
    <col min="2319" max="2319" width="4.7109375" style="3" bestFit="1" customWidth="1"/>
    <col min="2320" max="2559" width="9.140625" style="3"/>
    <col min="2560" max="2560" width="12.7109375" style="3" bestFit="1" customWidth="1"/>
    <col min="2561" max="2561" width="28.42578125" style="3" bestFit="1" customWidth="1"/>
    <col min="2562" max="2562" width="27.42578125" style="3" bestFit="1" customWidth="1"/>
    <col min="2563" max="2563" width="11.42578125" style="3" customWidth="1"/>
    <col min="2564" max="2564" width="9.7109375" style="3" bestFit="1" customWidth="1"/>
    <col min="2565" max="2565" width="31.28515625" style="3" bestFit="1" customWidth="1"/>
    <col min="2566" max="2566" width="75.28515625" style="3" bestFit="1" customWidth="1"/>
    <col min="2567" max="2567" width="18.28515625" style="3" bestFit="1" customWidth="1"/>
    <col min="2568" max="2568" width="17.5703125" style="3" bestFit="1" customWidth="1"/>
    <col min="2569" max="2569" width="12.5703125" style="3" customWidth="1"/>
    <col min="2570" max="2570" width="14.28515625" style="3" bestFit="1" customWidth="1"/>
    <col min="2571" max="2571" width="26.42578125" style="3" bestFit="1" customWidth="1"/>
    <col min="2572" max="2572" width="24.28515625" style="3" bestFit="1" customWidth="1"/>
    <col min="2573" max="2573" width="18.85546875" style="3" bestFit="1" customWidth="1"/>
    <col min="2574" max="2574" width="14.28515625" style="3" bestFit="1" customWidth="1"/>
    <col min="2575" max="2575" width="4.7109375" style="3" bestFit="1" customWidth="1"/>
    <col min="2576" max="2815" width="9.140625" style="3"/>
    <col min="2816" max="2816" width="12.7109375" style="3" bestFit="1" customWidth="1"/>
    <col min="2817" max="2817" width="28.42578125" style="3" bestFit="1" customWidth="1"/>
    <col min="2818" max="2818" width="27.42578125" style="3" bestFit="1" customWidth="1"/>
    <col min="2819" max="2819" width="11.42578125" style="3" customWidth="1"/>
    <col min="2820" max="2820" width="9.7109375" style="3" bestFit="1" customWidth="1"/>
    <col min="2821" max="2821" width="31.28515625" style="3" bestFit="1" customWidth="1"/>
    <col min="2822" max="2822" width="75.28515625" style="3" bestFit="1" customWidth="1"/>
    <col min="2823" max="2823" width="18.28515625" style="3" bestFit="1" customWidth="1"/>
    <col min="2824" max="2824" width="17.5703125" style="3" bestFit="1" customWidth="1"/>
    <col min="2825" max="2825" width="12.5703125" style="3" customWidth="1"/>
    <col min="2826" max="2826" width="14.28515625" style="3" bestFit="1" customWidth="1"/>
    <col min="2827" max="2827" width="26.42578125" style="3" bestFit="1" customWidth="1"/>
    <col min="2828" max="2828" width="24.28515625" style="3" bestFit="1" customWidth="1"/>
    <col min="2829" max="2829" width="18.85546875" style="3" bestFit="1" customWidth="1"/>
    <col min="2830" max="2830" width="14.28515625" style="3" bestFit="1" customWidth="1"/>
    <col min="2831" max="2831" width="4.7109375" style="3" bestFit="1" customWidth="1"/>
    <col min="2832" max="3071" width="9.140625" style="3"/>
    <col min="3072" max="3072" width="12.7109375" style="3" bestFit="1" customWidth="1"/>
    <col min="3073" max="3073" width="28.42578125" style="3" bestFit="1" customWidth="1"/>
    <col min="3074" max="3074" width="27.42578125" style="3" bestFit="1" customWidth="1"/>
    <col min="3075" max="3075" width="11.42578125" style="3" customWidth="1"/>
    <col min="3076" max="3076" width="9.7109375" style="3" bestFit="1" customWidth="1"/>
    <col min="3077" max="3077" width="31.28515625" style="3" bestFit="1" customWidth="1"/>
    <col min="3078" max="3078" width="75.28515625" style="3" bestFit="1" customWidth="1"/>
    <col min="3079" max="3079" width="18.28515625" style="3" bestFit="1" customWidth="1"/>
    <col min="3080" max="3080" width="17.5703125" style="3" bestFit="1" customWidth="1"/>
    <col min="3081" max="3081" width="12.5703125" style="3" customWidth="1"/>
    <col min="3082" max="3082" width="14.28515625" style="3" bestFit="1" customWidth="1"/>
    <col min="3083" max="3083" width="26.42578125" style="3" bestFit="1" customWidth="1"/>
    <col min="3084" max="3084" width="24.28515625" style="3" bestFit="1" customWidth="1"/>
    <col min="3085" max="3085" width="18.85546875" style="3" bestFit="1" customWidth="1"/>
    <col min="3086" max="3086" width="14.28515625" style="3" bestFit="1" customWidth="1"/>
    <col min="3087" max="3087" width="4.7109375" style="3" bestFit="1" customWidth="1"/>
    <col min="3088" max="3327" width="9.140625" style="3"/>
    <col min="3328" max="3328" width="12.7109375" style="3" bestFit="1" customWidth="1"/>
    <col min="3329" max="3329" width="28.42578125" style="3" bestFit="1" customWidth="1"/>
    <col min="3330" max="3330" width="27.42578125" style="3" bestFit="1" customWidth="1"/>
    <col min="3331" max="3331" width="11.42578125" style="3" customWidth="1"/>
    <col min="3332" max="3332" width="9.7109375" style="3" bestFit="1" customWidth="1"/>
    <col min="3333" max="3333" width="31.28515625" style="3" bestFit="1" customWidth="1"/>
    <col min="3334" max="3334" width="75.28515625" style="3" bestFit="1" customWidth="1"/>
    <col min="3335" max="3335" width="18.28515625" style="3" bestFit="1" customWidth="1"/>
    <col min="3336" max="3336" width="17.5703125" style="3" bestFit="1" customWidth="1"/>
    <col min="3337" max="3337" width="12.5703125" style="3" customWidth="1"/>
    <col min="3338" max="3338" width="14.28515625" style="3" bestFit="1" customWidth="1"/>
    <col min="3339" max="3339" width="26.42578125" style="3" bestFit="1" customWidth="1"/>
    <col min="3340" max="3340" width="24.28515625" style="3" bestFit="1" customWidth="1"/>
    <col min="3341" max="3341" width="18.85546875" style="3" bestFit="1" customWidth="1"/>
    <col min="3342" max="3342" width="14.28515625" style="3" bestFit="1" customWidth="1"/>
    <col min="3343" max="3343" width="4.7109375" style="3" bestFit="1" customWidth="1"/>
    <col min="3344" max="3583" width="9.140625" style="3"/>
    <col min="3584" max="3584" width="12.7109375" style="3" bestFit="1" customWidth="1"/>
    <col min="3585" max="3585" width="28.42578125" style="3" bestFit="1" customWidth="1"/>
    <col min="3586" max="3586" width="27.42578125" style="3" bestFit="1" customWidth="1"/>
    <col min="3587" max="3587" width="11.42578125" style="3" customWidth="1"/>
    <col min="3588" max="3588" width="9.7109375" style="3" bestFit="1" customWidth="1"/>
    <col min="3589" max="3589" width="31.28515625" style="3" bestFit="1" customWidth="1"/>
    <col min="3590" max="3590" width="75.28515625" style="3" bestFit="1" customWidth="1"/>
    <col min="3591" max="3591" width="18.28515625" style="3" bestFit="1" customWidth="1"/>
    <col min="3592" max="3592" width="17.5703125" style="3" bestFit="1" customWidth="1"/>
    <col min="3593" max="3593" width="12.5703125" style="3" customWidth="1"/>
    <col min="3594" max="3594" width="14.28515625" style="3" bestFit="1" customWidth="1"/>
    <col min="3595" max="3595" width="26.42578125" style="3" bestFit="1" customWidth="1"/>
    <col min="3596" max="3596" width="24.28515625" style="3" bestFit="1" customWidth="1"/>
    <col min="3597" max="3597" width="18.85546875" style="3" bestFit="1" customWidth="1"/>
    <col min="3598" max="3598" width="14.28515625" style="3" bestFit="1" customWidth="1"/>
    <col min="3599" max="3599" width="4.7109375" style="3" bestFit="1" customWidth="1"/>
    <col min="3600" max="3839" width="9.140625" style="3"/>
    <col min="3840" max="3840" width="12.7109375" style="3" bestFit="1" customWidth="1"/>
    <col min="3841" max="3841" width="28.42578125" style="3" bestFit="1" customWidth="1"/>
    <col min="3842" max="3842" width="27.42578125" style="3" bestFit="1" customWidth="1"/>
    <col min="3843" max="3843" width="11.42578125" style="3" customWidth="1"/>
    <col min="3844" max="3844" width="9.7109375" style="3" bestFit="1" customWidth="1"/>
    <col min="3845" max="3845" width="31.28515625" style="3" bestFit="1" customWidth="1"/>
    <col min="3846" max="3846" width="75.28515625" style="3" bestFit="1" customWidth="1"/>
    <col min="3847" max="3847" width="18.28515625" style="3" bestFit="1" customWidth="1"/>
    <col min="3848" max="3848" width="17.5703125" style="3" bestFit="1" customWidth="1"/>
    <col min="3849" max="3849" width="12.5703125" style="3" customWidth="1"/>
    <col min="3850" max="3850" width="14.28515625" style="3" bestFit="1" customWidth="1"/>
    <col min="3851" max="3851" width="26.42578125" style="3" bestFit="1" customWidth="1"/>
    <col min="3852" max="3852" width="24.28515625" style="3" bestFit="1" customWidth="1"/>
    <col min="3853" max="3853" width="18.85546875" style="3" bestFit="1" customWidth="1"/>
    <col min="3854" max="3854" width="14.28515625" style="3" bestFit="1" customWidth="1"/>
    <col min="3855" max="3855" width="4.7109375" style="3" bestFit="1" customWidth="1"/>
    <col min="3856" max="4095" width="9.140625" style="3"/>
    <col min="4096" max="4096" width="12.7109375" style="3" bestFit="1" customWidth="1"/>
    <col min="4097" max="4097" width="28.42578125" style="3" bestFit="1" customWidth="1"/>
    <col min="4098" max="4098" width="27.42578125" style="3" bestFit="1" customWidth="1"/>
    <col min="4099" max="4099" width="11.42578125" style="3" customWidth="1"/>
    <col min="4100" max="4100" width="9.7109375" style="3" bestFit="1" customWidth="1"/>
    <col min="4101" max="4101" width="31.28515625" style="3" bestFit="1" customWidth="1"/>
    <col min="4102" max="4102" width="75.28515625" style="3" bestFit="1" customWidth="1"/>
    <col min="4103" max="4103" width="18.28515625" style="3" bestFit="1" customWidth="1"/>
    <col min="4104" max="4104" width="17.5703125" style="3" bestFit="1" customWidth="1"/>
    <col min="4105" max="4105" width="12.5703125" style="3" customWidth="1"/>
    <col min="4106" max="4106" width="14.28515625" style="3" bestFit="1" customWidth="1"/>
    <col min="4107" max="4107" width="26.42578125" style="3" bestFit="1" customWidth="1"/>
    <col min="4108" max="4108" width="24.28515625" style="3" bestFit="1" customWidth="1"/>
    <col min="4109" max="4109" width="18.85546875" style="3" bestFit="1" customWidth="1"/>
    <col min="4110" max="4110" width="14.28515625" style="3" bestFit="1" customWidth="1"/>
    <col min="4111" max="4111" width="4.7109375" style="3" bestFit="1" customWidth="1"/>
    <col min="4112" max="4351" width="9.140625" style="3"/>
    <col min="4352" max="4352" width="12.7109375" style="3" bestFit="1" customWidth="1"/>
    <col min="4353" max="4353" width="28.42578125" style="3" bestFit="1" customWidth="1"/>
    <col min="4354" max="4354" width="27.42578125" style="3" bestFit="1" customWidth="1"/>
    <col min="4355" max="4355" width="11.42578125" style="3" customWidth="1"/>
    <col min="4356" max="4356" width="9.7109375" style="3" bestFit="1" customWidth="1"/>
    <col min="4357" max="4357" width="31.28515625" style="3" bestFit="1" customWidth="1"/>
    <col min="4358" max="4358" width="75.28515625" style="3" bestFit="1" customWidth="1"/>
    <col min="4359" max="4359" width="18.28515625" style="3" bestFit="1" customWidth="1"/>
    <col min="4360" max="4360" width="17.5703125" style="3" bestFit="1" customWidth="1"/>
    <col min="4361" max="4361" width="12.5703125" style="3" customWidth="1"/>
    <col min="4362" max="4362" width="14.28515625" style="3" bestFit="1" customWidth="1"/>
    <col min="4363" max="4363" width="26.42578125" style="3" bestFit="1" customWidth="1"/>
    <col min="4364" max="4364" width="24.28515625" style="3" bestFit="1" customWidth="1"/>
    <col min="4365" max="4365" width="18.85546875" style="3" bestFit="1" customWidth="1"/>
    <col min="4366" max="4366" width="14.28515625" style="3" bestFit="1" customWidth="1"/>
    <col min="4367" max="4367" width="4.7109375" style="3" bestFit="1" customWidth="1"/>
    <col min="4368" max="4607" width="9.140625" style="3"/>
    <col min="4608" max="4608" width="12.7109375" style="3" bestFit="1" customWidth="1"/>
    <col min="4609" max="4609" width="28.42578125" style="3" bestFit="1" customWidth="1"/>
    <col min="4610" max="4610" width="27.42578125" style="3" bestFit="1" customWidth="1"/>
    <col min="4611" max="4611" width="11.42578125" style="3" customWidth="1"/>
    <col min="4612" max="4612" width="9.7109375" style="3" bestFit="1" customWidth="1"/>
    <col min="4613" max="4613" width="31.28515625" style="3" bestFit="1" customWidth="1"/>
    <col min="4614" max="4614" width="75.28515625" style="3" bestFit="1" customWidth="1"/>
    <col min="4615" max="4615" width="18.28515625" style="3" bestFit="1" customWidth="1"/>
    <col min="4616" max="4616" width="17.5703125" style="3" bestFit="1" customWidth="1"/>
    <col min="4617" max="4617" width="12.5703125" style="3" customWidth="1"/>
    <col min="4618" max="4618" width="14.28515625" style="3" bestFit="1" customWidth="1"/>
    <col min="4619" max="4619" width="26.42578125" style="3" bestFit="1" customWidth="1"/>
    <col min="4620" max="4620" width="24.28515625" style="3" bestFit="1" customWidth="1"/>
    <col min="4621" max="4621" width="18.85546875" style="3" bestFit="1" customWidth="1"/>
    <col min="4622" max="4622" width="14.28515625" style="3" bestFit="1" customWidth="1"/>
    <col min="4623" max="4623" width="4.7109375" style="3" bestFit="1" customWidth="1"/>
    <col min="4624" max="4863" width="9.140625" style="3"/>
    <col min="4864" max="4864" width="12.7109375" style="3" bestFit="1" customWidth="1"/>
    <col min="4865" max="4865" width="28.42578125" style="3" bestFit="1" customWidth="1"/>
    <col min="4866" max="4866" width="27.42578125" style="3" bestFit="1" customWidth="1"/>
    <col min="4867" max="4867" width="11.42578125" style="3" customWidth="1"/>
    <col min="4868" max="4868" width="9.7109375" style="3" bestFit="1" customWidth="1"/>
    <col min="4869" max="4869" width="31.28515625" style="3" bestFit="1" customWidth="1"/>
    <col min="4870" max="4870" width="75.28515625" style="3" bestFit="1" customWidth="1"/>
    <col min="4871" max="4871" width="18.28515625" style="3" bestFit="1" customWidth="1"/>
    <col min="4872" max="4872" width="17.5703125" style="3" bestFit="1" customWidth="1"/>
    <col min="4873" max="4873" width="12.5703125" style="3" customWidth="1"/>
    <col min="4874" max="4874" width="14.28515625" style="3" bestFit="1" customWidth="1"/>
    <col min="4875" max="4875" width="26.42578125" style="3" bestFit="1" customWidth="1"/>
    <col min="4876" max="4876" width="24.28515625" style="3" bestFit="1" customWidth="1"/>
    <col min="4877" max="4877" width="18.85546875" style="3" bestFit="1" customWidth="1"/>
    <col min="4878" max="4878" width="14.28515625" style="3" bestFit="1" customWidth="1"/>
    <col min="4879" max="4879" width="4.7109375" style="3" bestFit="1" customWidth="1"/>
    <col min="4880" max="5119" width="9.140625" style="3"/>
    <col min="5120" max="5120" width="12.7109375" style="3" bestFit="1" customWidth="1"/>
    <col min="5121" max="5121" width="28.42578125" style="3" bestFit="1" customWidth="1"/>
    <col min="5122" max="5122" width="27.42578125" style="3" bestFit="1" customWidth="1"/>
    <col min="5123" max="5123" width="11.42578125" style="3" customWidth="1"/>
    <col min="5124" max="5124" width="9.7109375" style="3" bestFit="1" customWidth="1"/>
    <col min="5125" max="5125" width="31.28515625" style="3" bestFit="1" customWidth="1"/>
    <col min="5126" max="5126" width="75.28515625" style="3" bestFit="1" customWidth="1"/>
    <col min="5127" max="5127" width="18.28515625" style="3" bestFit="1" customWidth="1"/>
    <col min="5128" max="5128" width="17.5703125" style="3" bestFit="1" customWidth="1"/>
    <col min="5129" max="5129" width="12.5703125" style="3" customWidth="1"/>
    <col min="5130" max="5130" width="14.28515625" style="3" bestFit="1" customWidth="1"/>
    <col min="5131" max="5131" width="26.42578125" style="3" bestFit="1" customWidth="1"/>
    <col min="5132" max="5132" width="24.28515625" style="3" bestFit="1" customWidth="1"/>
    <col min="5133" max="5133" width="18.85546875" style="3" bestFit="1" customWidth="1"/>
    <col min="5134" max="5134" width="14.28515625" style="3" bestFit="1" customWidth="1"/>
    <col min="5135" max="5135" width="4.7109375" style="3" bestFit="1" customWidth="1"/>
    <col min="5136" max="5375" width="9.140625" style="3"/>
    <col min="5376" max="5376" width="12.7109375" style="3" bestFit="1" customWidth="1"/>
    <col min="5377" max="5377" width="28.42578125" style="3" bestFit="1" customWidth="1"/>
    <col min="5378" max="5378" width="27.42578125" style="3" bestFit="1" customWidth="1"/>
    <col min="5379" max="5379" width="11.42578125" style="3" customWidth="1"/>
    <col min="5380" max="5380" width="9.7109375" style="3" bestFit="1" customWidth="1"/>
    <col min="5381" max="5381" width="31.28515625" style="3" bestFit="1" customWidth="1"/>
    <col min="5382" max="5382" width="75.28515625" style="3" bestFit="1" customWidth="1"/>
    <col min="5383" max="5383" width="18.28515625" style="3" bestFit="1" customWidth="1"/>
    <col min="5384" max="5384" width="17.5703125" style="3" bestFit="1" customWidth="1"/>
    <col min="5385" max="5385" width="12.5703125" style="3" customWidth="1"/>
    <col min="5386" max="5386" width="14.28515625" style="3" bestFit="1" customWidth="1"/>
    <col min="5387" max="5387" width="26.42578125" style="3" bestFit="1" customWidth="1"/>
    <col min="5388" max="5388" width="24.28515625" style="3" bestFit="1" customWidth="1"/>
    <col min="5389" max="5389" width="18.85546875" style="3" bestFit="1" customWidth="1"/>
    <col min="5390" max="5390" width="14.28515625" style="3" bestFit="1" customWidth="1"/>
    <col min="5391" max="5391" width="4.7109375" style="3" bestFit="1" customWidth="1"/>
    <col min="5392" max="5631" width="9.140625" style="3"/>
    <col min="5632" max="5632" width="12.7109375" style="3" bestFit="1" customWidth="1"/>
    <col min="5633" max="5633" width="28.42578125" style="3" bestFit="1" customWidth="1"/>
    <col min="5634" max="5634" width="27.42578125" style="3" bestFit="1" customWidth="1"/>
    <col min="5635" max="5635" width="11.42578125" style="3" customWidth="1"/>
    <col min="5636" max="5636" width="9.7109375" style="3" bestFit="1" customWidth="1"/>
    <col min="5637" max="5637" width="31.28515625" style="3" bestFit="1" customWidth="1"/>
    <col min="5638" max="5638" width="75.28515625" style="3" bestFit="1" customWidth="1"/>
    <col min="5639" max="5639" width="18.28515625" style="3" bestFit="1" customWidth="1"/>
    <col min="5640" max="5640" width="17.5703125" style="3" bestFit="1" customWidth="1"/>
    <col min="5641" max="5641" width="12.5703125" style="3" customWidth="1"/>
    <col min="5642" max="5642" width="14.28515625" style="3" bestFit="1" customWidth="1"/>
    <col min="5643" max="5643" width="26.42578125" style="3" bestFit="1" customWidth="1"/>
    <col min="5644" max="5644" width="24.28515625" style="3" bestFit="1" customWidth="1"/>
    <col min="5645" max="5645" width="18.85546875" style="3" bestFit="1" customWidth="1"/>
    <col min="5646" max="5646" width="14.28515625" style="3" bestFit="1" customWidth="1"/>
    <col min="5647" max="5647" width="4.7109375" style="3" bestFit="1" customWidth="1"/>
    <col min="5648" max="5887" width="9.140625" style="3"/>
    <col min="5888" max="5888" width="12.7109375" style="3" bestFit="1" customWidth="1"/>
    <col min="5889" max="5889" width="28.42578125" style="3" bestFit="1" customWidth="1"/>
    <col min="5890" max="5890" width="27.42578125" style="3" bestFit="1" customWidth="1"/>
    <col min="5891" max="5891" width="11.42578125" style="3" customWidth="1"/>
    <col min="5892" max="5892" width="9.7109375" style="3" bestFit="1" customWidth="1"/>
    <col min="5893" max="5893" width="31.28515625" style="3" bestFit="1" customWidth="1"/>
    <col min="5894" max="5894" width="75.28515625" style="3" bestFit="1" customWidth="1"/>
    <col min="5895" max="5895" width="18.28515625" style="3" bestFit="1" customWidth="1"/>
    <col min="5896" max="5896" width="17.5703125" style="3" bestFit="1" customWidth="1"/>
    <col min="5897" max="5897" width="12.5703125" style="3" customWidth="1"/>
    <col min="5898" max="5898" width="14.28515625" style="3" bestFit="1" customWidth="1"/>
    <col min="5899" max="5899" width="26.42578125" style="3" bestFit="1" customWidth="1"/>
    <col min="5900" max="5900" width="24.28515625" style="3" bestFit="1" customWidth="1"/>
    <col min="5901" max="5901" width="18.85546875" style="3" bestFit="1" customWidth="1"/>
    <col min="5902" max="5902" width="14.28515625" style="3" bestFit="1" customWidth="1"/>
    <col min="5903" max="5903" width="4.7109375" style="3" bestFit="1" customWidth="1"/>
    <col min="5904" max="6143" width="9.140625" style="3"/>
    <col min="6144" max="6144" width="12.7109375" style="3" bestFit="1" customWidth="1"/>
    <col min="6145" max="6145" width="28.42578125" style="3" bestFit="1" customWidth="1"/>
    <col min="6146" max="6146" width="27.42578125" style="3" bestFit="1" customWidth="1"/>
    <col min="6147" max="6147" width="11.42578125" style="3" customWidth="1"/>
    <col min="6148" max="6148" width="9.7109375" style="3" bestFit="1" customWidth="1"/>
    <col min="6149" max="6149" width="31.28515625" style="3" bestFit="1" customWidth="1"/>
    <col min="6150" max="6150" width="75.28515625" style="3" bestFit="1" customWidth="1"/>
    <col min="6151" max="6151" width="18.28515625" style="3" bestFit="1" customWidth="1"/>
    <col min="6152" max="6152" width="17.5703125" style="3" bestFit="1" customWidth="1"/>
    <col min="6153" max="6153" width="12.5703125" style="3" customWidth="1"/>
    <col min="6154" max="6154" width="14.28515625" style="3" bestFit="1" customWidth="1"/>
    <col min="6155" max="6155" width="26.42578125" style="3" bestFit="1" customWidth="1"/>
    <col min="6156" max="6156" width="24.28515625" style="3" bestFit="1" customWidth="1"/>
    <col min="6157" max="6157" width="18.85546875" style="3" bestFit="1" customWidth="1"/>
    <col min="6158" max="6158" width="14.28515625" style="3" bestFit="1" customWidth="1"/>
    <col min="6159" max="6159" width="4.7109375" style="3" bestFit="1" customWidth="1"/>
    <col min="6160" max="6399" width="9.140625" style="3"/>
    <col min="6400" max="6400" width="12.7109375" style="3" bestFit="1" customWidth="1"/>
    <col min="6401" max="6401" width="28.42578125" style="3" bestFit="1" customWidth="1"/>
    <col min="6402" max="6402" width="27.42578125" style="3" bestFit="1" customWidth="1"/>
    <col min="6403" max="6403" width="11.42578125" style="3" customWidth="1"/>
    <col min="6404" max="6404" width="9.7109375" style="3" bestFit="1" customWidth="1"/>
    <col min="6405" max="6405" width="31.28515625" style="3" bestFit="1" customWidth="1"/>
    <col min="6406" max="6406" width="75.28515625" style="3" bestFit="1" customWidth="1"/>
    <col min="6407" max="6407" width="18.28515625" style="3" bestFit="1" customWidth="1"/>
    <col min="6408" max="6408" width="17.5703125" style="3" bestFit="1" customWidth="1"/>
    <col min="6409" max="6409" width="12.5703125" style="3" customWidth="1"/>
    <col min="6410" max="6410" width="14.28515625" style="3" bestFit="1" customWidth="1"/>
    <col min="6411" max="6411" width="26.42578125" style="3" bestFit="1" customWidth="1"/>
    <col min="6412" max="6412" width="24.28515625" style="3" bestFit="1" customWidth="1"/>
    <col min="6413" max="6413" width="18.85546875" style="3" bestFit="1" customWidth="1"/>
    <col min="6414" max="6414" width="14.28515625" style="3" bestFit="1" customWidth="1"/>
    <col min="6415" max="6415" width="4.7109375" style="3" bestFit="1" customWidth="1"/>
    <col min="6416" max="6655" width="9.140625" style="3"/>
    <col min="6656" max="6656" width="12.7109375" style="3" bestFit="1" customWidth="1"/>
    <col min="6657" max="6657" width="28.42578125" style="3" bestFit="1" customWidth="1"/>
    <col min="6658" max="6658" width="27.42578125" style="3" bestFit="1" customWidth="1"/>
    <col min="6659" max="6659" width="11.42578125" style="3" customWidth="1"/>
    <col min="6660" max="6660" width="9.7109375" style="3" bestFit="1" customWidth="1"/>
    <col min="6661" max="6661" width="31.28515625" style="3" bestFit="1" customWidth="1"/>
    <col min="6662" max="6662" width="75.28515625" style="3" bestFit="1" customWidth="1"/>
    <col min="6663" max="6663" width="18.28515625" style="3" bestFit="1" customWidth="1"/>
    <col min="6664" max="6664" width="17.5703125" style="3" bestFit="1" customWidth="1"/>
    <col min="6665" max="6665" width="12.5703125" style="3" customWidth="1"/>
    <col min="6666" max="6666" width="14.28515625" style="3" bestFit="1" customWidth="1"/>
    <col min="6667" max="6667" width="26.42578125" style="3" bestFit="1" customWidth="1"/>
    <col min="6668" max="6668" width="24.28515625" style="3" bestFit="1" customWidth="1"/>
    <col min="6669" max="6669" width="18.85546875" style="3" bestFit="1" customWidth="1"/>
    <col min="6670" max="6670" width="14.28515625" style="3" bestFit="1" customWidth="1"/>
    <col min="6671" max="6671" width="4.7109375" style="3" bestFit="1" customWidth="1"/>
    <col min="6672" max="6911" width="9.140625" style="3"/>
    <col min="6912" max="6912" width="12.7109375" style="3" bestFit="1" customWidth="1"/>
    <col min="6913" max="6913" width="28.42578125" style="3" bestFit="1" customWidth="1"/>
    <col min="6914" max="6914" width="27.42578125" style="3" bestFit="1" customWidth="1"/>
    <col min="6915" max="6915" width="11.42578125" style="3" customWidth="1"/>
    <col min="6916" max="6916" width="9.7109375" style="3" bestFit="1" customWidth="1"/>
    <col min="6917" max="6917" width="31.28515625" style="3" bestFit="1" customWidth="1"/>
    <col min="6918" max="6918" width="75.28515625" style="3" bestFit="1" customWidth="1"/>
    <col min="6919" max="6919" width="18.28515625" style="3" bestFit="1" customWidth="1"/>
    <col min="6920" max="6920" width="17.5703125" style="3" bestFit="1" customWidth="1"/>
    <col min="6921" max="6921" width="12.5703125" style="3" customWidth="1"/>
    <col min="6922" max="6922" width="14.28515625" style="3" bestFit="1" customWidth="1"/>
    <col min="6923" max="6923" width="26.42578125" style="3" bestFit="1" customWidth="1"/>
    <col min="6924" max="6924" width="24.28515625" style="3" bestFit="1" customWidth="1"/>
    <col min="6925" max="6925" width="18.85546875" style="3" bestFit="1" customWidth="1"/>
    <col min="6926" max="6926" width="14.28515625" style="3" bestFit="1" customWidth="1"/>
    <col min="6927" max="6927" width="4.7109375" style="3" bestFit="1" customWidth="1"/>
    <col min="6928" max="7167" width="9.140625" style="3"/>
    <col min="7168" max="7168" width="12.7109375" style="3" bestFit="1" customWidth="1"/>
    <col min="7169" max="7169" width="28.42578125" style="3" bestFit="1" customWidth="1"/>
    <col min="7170" max="7170" width="27.42578125" style="3" bestFit="1" customWidth="1"/>
    <col min="7171" max="7171" width="11.42578125" style="3" customWidth="1"/>
    <col min="7172" max="7172" width="9.7109375" style="3" bestFit="1" customWidth="1"/>
    <col min="7173" max="7173" width="31.28515625" style="3" bestFit="1" customWidth="1"/>
    <col min="7174" max="7174" width="75.28515625" style="3" bestFit="1" customWidth="1"/>
    <col min="7175" max="7175" width="18.28515625" style="3" bestFit="1" customWidth="1"/>
    <col min="7176" max="7176" width="17.5703125" style="3" bestFit="1" customWidth="1"/>
    <col min="7177" max="7177" width="12.5703125" style="3" customWidth="1"/>
    <col min="7178" max="7178" width="14.28515625" style="3" bestFit="1" customWidth="1"/>
    <col min="7179" max="7179" width="26.42578125" style="3" bestFit="1" customWidth="1"/>
    <col min="7180" max="7180" width="24.28515625" style="3" bestFit="1" customWidth="1"/>
    <col min="7181" max="7181" width="18.85546875" style="3" bestFit="1" customWidth="1"/>
    <col min="7182" max="7182" width="14.28515625" style="3" bestFit="1" customWidth="1"/>
    <col min="7183" max="7183" width="4.7109375" style="3" bestFit="1" customWidth="1"/>
    <col min="7184" max="7423" width="9.140625" style="3"/>
    <col min="7424" max="7424" width="12.7109375" style="3" bestFit="1" customWidth="1"/>
    <col min="7425" max="7425" width="28.42578125" style="3" bestFit="1" customWidth="1"/>
    <col min="7426" max="7426" width="27.42578125" style="3" bestFit="1" customWidth="1"/>
    <col min="7427" max="7427" width="11.42578125" style="3" customWidth="1"/>
    <col min="7428" max="7428" width="9.7109375" style="3" bestFit="1" customWidth="1"/>
    <col min="7429" max="7429" width="31.28515625" style="3" bestFit="1" customWidth="1"/>
    <col min="7430" max="7430" width="75.28515625" style="3" bestFit="1" customWidth="1"/>
    <col min="7431" max="7431" width="18.28515625" style="3" bestFit="1" customWidth="1"/>
    <col min="7432" max="7432" width="17.5703125" style="3" bestFit="1" customWidth="1"/>
    <col min="7433" max="7433" width="12.5703125" style="3" customWidth="1"/>
    <col min="7434" max="7434" width="14.28515625" style="3" bestFit="1" customWidth="1"/>
    <col min="7435" max="7435" width="26.42578125" style="3" bestFit="1" customWidth="1"/>
    <col min="7436" max="7436" width="24.28515625" style="3" bestFit="1" customWidth="1"/>
    <col min="7437" max="7437" width="18.85546875" style="3" bestFit="1" customWidth="1"/>
    <col min="7438" max="7438" width="14.28515625" style="3" bestFit="1" customWidth="1"/>
    <col min="7439" max="7439" width="4.7109375" style="3" bestFit="1" customWidth="1"/>
    <col min="7440" max="7679" width="9.140625" style="3"/>
    <col min="7680" max="7680" width="12.7109375" style="3" bestFit="1" customWidth="1"/>
    <col min="7681" max="7681" width="28.42578125" style="3" bestFit="1" customWidth="1"/>
    <col min="7682" max="7682" width="27.42578125" style="3" bestFit="1" customWidth="1"/>
    <col min="7683" max="7683" width="11.42578125" style="3" customWidth="1"/>
    <col min="7684" max="7684" width="9.7109375" style="3" bestFit="1" customWidth="1"/>
    <col min="7685" max="7685" width="31.28515625" style="3" bestFit="1" customWidth="1"/>
    <col min="7686" max="7686" width="75.28515625" style="3" bestFit="1" customWidth="1"/>
    <col min="7687" max="7687" width="18.28515625" style="3" bestFit="1" customWidth="1"/>
    <col min="7688" max="7688" width="17.5703125" style="3" bestFit="1" customWidth="1"/>
    <col min="7689" max="7689" width="12.5703125" style="3" customWidth="1"/>
    <col min="7690" max="7690" width="14.28515625" style="3" bestFit="1" customWidth="1"/>
    <col min="7691" max="7691" width="26.42578125" style="3" bestFit="1" customWidth="1"/>
    <col min="7692" max="7692" width="24.28515625" style="3" bestFit="1" customWidth="1"/>
    <col min="7693" max="7693" width="18.85546875" style="3" bestFit="1" customWidth="1"/>
    <col min="7694" max="7694" width="14.28515625" style="3" bestFit="1" customWidth="1"/>
    <col min="7695" max="7695" width="4.7109375" style="3" bestFit="1" customWidth="1"/>
    <col min="7696" max="7935" width="9.140625" style="3"/>
    <col min="7936" max="7936" width="12.7109375" style="3" bestFit="1" customWidth="1"/>
    <col min="7937" max="7937" width="28.42578125" style="3" bestFit="1" customWidth="1"/>
    <col min="7938" max="7938" width="27.42578125" style="3" bestFit="1" customWidth="1"/>
    <col min="7939" max="7939" width="11.42578125" style="3" customWidth="1"/>
    <col min="7940" max="7940" width="9.7109375" style="3" bestFit="1" customWidth="1"/>
    <col min="7941" max="7941" width="31.28515625" style="3" bestFit="1" customWidth="1"/>
    <col min="7942" max="7942" width="75.28515625" style="3" bestFit="1" customWidth="1"/>
    <col min="7943" max="7943" width="18.28515625" style="3" bestFit="1" customWidth="1"/>
    <col min="7944" max="7944" width="17.5703125" style="3" bestFit="1" customWidth="1"/>
    <col min="7945" max="7945" width="12.5703125" style="3" customWidth="1"/>
    <col min="7946" max="7946" width="14.28515625" style="3" bestFit="1" customWidth="1"/>
    <col min="7947" max="7947" width="26.42578125" style="3" bestFit="1" customWidth="1"/>
    <col min="7948" max="7948" width="24.28515625" style="3" bestFit="1" customWidth="1"/>
    <col min="7949" max="7949" width="18.85546875" style="3" bestFit="1" customWidth="1"/>
    <col min="7950" max="7950" width="14.28515625" style="3" bestFit="1" customWidth="1"/>
    <col min="7951" max="7951" width="4.7109375" style="3" bestFit="1" customWidth="1"/>
    <col min="7952" max="8191" width="9.140625" style="3"/>
    <col min="8192" max="8192" width="12.7109375" style="3" bestFit="1" customWidth="1"/>
    <col min="8193" max="8193" width="28.42578125" style="3" bestFit="1" customWidth="1"/>
    <col min="8194" max="8194" width="27.42578125" style="3" bestFit="1" customWidth="1"/>
    <col min="8195" max="8195" width="11.42578125" style="3" customWidth="1"/>
    <col min="8196" max="8196" width="9.7109375" style="3" bestFit="1" customWidth="1"/>
    <col min="8197" max="8197" width="31.28515625" style="3" bestFit="1" customWidth="1"/>
    <col min="8198" max="8198" width="75.28515625" style="3" bestFit="1" customWidth="1"/>
    <col min="8199" max="8199" width="18.28515625" style="3" bestFit="1" customWidth="1"/>
    <col min="8200" max="8200" width="17.5703125" style="3" bestFit="1" customWidth="1"/>
    <col min="8201" max="8201" width="12.5703125" style="3" customWidth="1"/>
    <col min="8202" max="8202" width="14.28515625" style="3" bestFit="1" customWidth="1"/>
    <col min="8203" max="8203" width="26.42578125" style="3" bestFit="1" customWidth="1"/>
    <col min="8204" max="8204" width="24.28515625" style="3" bestFit="1" customWidth="1"/>
    <col min="8205" max="8205" width="18.85546875" style="3" bestFit="1" customWidth="1"/>
    <col min="8206" max="8206" width="14.28515625" style="3" bestFit="1" customWidth="1"/>
    <col min="8207" max="8207" width="4.7109375" style="3" bestFit="1" customWidth="1"/>
    <col min="8208" max="8447" width="9.140625" style="3"/>
    <col min="8448" max="8448" width="12.7109375" style="3" bestFit="1" customWidth="1"/>
    <col min="8449" max="8449" width="28.42578125" style="3" bestFit="1" customWidth="1"/>
    <col min="8450" max="8450" width="27.42578125" style="3" bestFit="1" customWidth="1"/>
    <col min="8451" max="8451" width="11.42578125" style="3" customWidth="1"/>
    <col min="8452" max="8452" width="9.7109375" style="3" bestFit="1" customWidth="1"/>
    <col min="8453" max="8453" width="31.28515625" style="3" bestFit="1" customWidth="1"/>
    <col min="8454" max="8454" width="75.28515625" style="3" bestFit="1" customWidth="1"/>
    <col min="8455" max="8455" width="18.28515625" style="3" bestFit="1" customWidth="1"/>
    <col min="8456" max="8456" width="17.5703125" style="3" bestFit="1" customWidth="1"/>
    <col min="8457" max="8457" width="12.5703125" style="3" customWidth="1"/>
    <col min="8458" max="8458" width="14.28515625" style="3" bestFit="1" customWidth="1"/>
    <col min="8459" max="8459" width="26.42578125" style="3" bestFit="1" customWidth="1"/>
    <col min="8460" max="8460" width="24.28515625" style="3" bestFit="1" customWidth="1"/>
    <col min="8461" max="8461" width="18.85546875" style="3" bestFit="1" customWidth="1"/>
    <col min="8462" max="8462" width="14.28515625" style="3" bestFit="1" customWidth="1"/>
    <col min="8463" max="8463" width="4.7109375" style="3" bestFit="1" customWidth="1"/>
    <col min="8464" max="8703" width="9.140625" style="3"/>
    <col min="8704" max="8704" width="12.7109375" style="3" bestFit="1" customWidth="1"/>
    <col min="8705" max="8705" width="28.42578125" style="3" bestFit="1" customWidth="1"/>
    <col min="8706" max="8706" width="27.42578125" style="3" bestFit="1" customWidth="1"/>
    <col min="8707" max="8707" width="11.42578125" style="3" customWidth="1"/>
    <col min="8708" max="8708" width="9.7109375" style="3" bestFit="1" customWidth="1"/>
    <col min="8709" max="8709" width="31.28515625" style="3" bestFit="1" customWidth="1"/>
    <col min="8710" max="8710" width="75.28515625" style="3" bestFit="1" customWidth="1"/>
    <col min="8711" max="8711" width="18.28515625" style="3" bestFit="1" customWidth="1"/>
    <col min="8712" max="8712" width="17.5703125" style="3" bestFit="1" customWidth="1"/>
    <col min="8713" max="8713" width="12.5703125" style="3" customWidth="1"/>
    <col min="8714" max="8714" width="14.28515625" style="3" bestFit="1" customWidth="1"/>
    <col min="8715" max="8715" width="26.42578125" style="3" bestFit="1" customWidth="1"/>
    <col min="8716" max="8716" width="24.28515625" style="3" bestFit="1" customWidth="1"/>
    <col min="8717" max="8717" width="18.85546875" style="3" bestFit="1" customWidth="1"/>
    <col min="8718" max="8718" width="14.28515625" style="3" bestFit="1" customWidth="1"/>
    <col min="8719" max="8719" width="4.7109375" style="3" bestFit="1" customWidth="1"/>
    <col min="8720" max="8959" width="9.140625" style="3"/>
    <col min="8960" max="8960" width="12.7109375" style="3" bestFit="1" customWidth="1"/>
    <col min="8961" max="8961" width="28.42578125" style="3" bestFit="1" customWidth="1"/>
    <col min="8962" max="8962" width="27.42578125" style="3" bestFit="1" customWidth="1"/>
    <col min="8963" max="8963" width="11.42578125" style="3" customWidth="1"/>
    <col min="8964" max="8964" width="9.7109375" style="3" bestFit="1" customWidth="1"/>
    <col min="8965" max="8965" width="31.28515625" style="3" bestFit="1" customWidth="1"/>
    <col min="8966" max="8966" width="75.28515625" style="3" bestFit="1" customWidth="1"/>
    <col min="8967" max="8967" width="18.28515625" style="3" bestFit="1" customWidth="1"/>
    <col min="8968" max="8968" width="17.5703125" style="3" bestFit="1" customWidth="1"/>
    <col min="8969" max="8969" width="12.5703125" style="3" customWidth="1"/>
    <col min="8970" max="8970" width="14.28515625" style="3" bestFit="1" customWidth="1"/>
    <col min="8971" max="8971" width="26.42578125" style="3" bestFit="1" customWidth="1"/>
    <col min="8972" max="8972" width="24.28515625" style="3" bestFit="1" customWidth="1"/>
    <col min="8973" max="8973" width="18.85546875" style="3" bestFit="1" customWidth="1"/>
    <col min="8974" max="8974" width="14.28515625" style="3" bestFit="1" customWidth="1"/>
    <col min="8975" max="8975" width="4.7109375" style="3" bestFit="1" customWidth="1"/>
    <col min="8976" max="9215" width="9.140625" style="3"/>
    <col min="9216" max="9216" width="12.7109375" style="3" bestFit="1" customWidth="1"/>
    <col min="9217" max="9217" width="28.42578125" style="3" bestFit="1" customWidth="1"/>
    <col min="9218" max="9218" width="27.42578125" style="3" bestFit="1" customWidth="1"/>
    <col min="9219" max="9219" width="11.42578125" style="3" customWidth="1"/>
    <col min="9220" max="9220" width="9.7109375" style="3" bestFit="1" customWidth="1"/>
    <col min="9221" max="9221" width="31.28515625" style="3" bestFit="1" customWidth="1"/>
    <col min="9222" max="9222" width="75.28515625" style="3" bestFit="1" customWidth="1"/>
    <col min="9223" max="9223" width="18.28515625" style="3" bestFit="1" customWidth="1"/>
    <col min="9224" max="9224" width="17.5703125" style="3" bestFit="1" customWidth="1"/>
    <col min="9225" max="9225" width="12.5703125" style="3" customWidth="1"/>
    <col min="9226" max="9226" width="14.28515625" style="3" bestFit="1" customWidth="1"/>
    <col min="9227" max="9227" width="26.42578125" style="3" bestFit="1" customWidth="1"/>
    <col min="9228" max="9228" width="24.28515625" style="3" bestFit="1" customWidth="1"/>
    <col min="9229" max="9229" width="18.85546875" style="3" bestFit="1" customWidth="1"/>
    <col min="9230" max="9230" width="14.28515625" style="3" bestFit="1" customWidth="1"/>
    <col min="9231" max="9231" width="4.7109375" style="3" bestFit="1" customWidth="1"/>
    <col min="9232" max="9471" width="9.140625" style="3"/>
    <col min="9472" max="9472" width="12.7109375" style="3" bestFit="1" customWidth="1"/>
    <col min="9473" max="9473" width="28.42578125" style="3" bestFit="1" customWidth="1"/>
    <col min="9474" max="9474" width="27.42578125" style="3" bestFit="1" customWidth="1"/>
    <col min="9475" max="9475" width="11.42578125" style="3" customWidth="1"/>
    <col min="9476" max="9476" width="9.7109375" style="3" bestFit="1" customWidth="1"/>
    <col min="9477" max="9477" width="31.28515625" style="3" bestFit="1" customWidth="1"/>
    <col min="9478" max="9478" width="75.28515625" style="3" bestFit="1" customWidth="1"/>
    <col min="9479" max="9479" width="18.28515625" style="3" bestFit="1" customWidth="1"/>
    <col min="9480" max="9480" width="17.5703125" style="3" bestFit="1" customWidth="1"/>
    <col min="9481" max="9481" width="12.5703125" style="3" customWidth="1"/>
    <col min="9482" max="9482" width="14.28515625" style="3" bestFit="1" customWidth="1"/>
    <col min="9483" max="9483" width="26.42578125" style="3" bestFit="1" customWidth="1"/>
    <col min="9484" max="9484" width="24.28515625" style="3" bestFit="1" customWidth="1"/>
    <col min="9485" max="9485" width="18.85546875" style="3" bestFit="1" customWidth="1"/>
    <col min="9486" max="9486" width="14.28515625" style="3" bestFit="1" customWidth="1"/>
    <col min="9487" max="9487" width="4.7109375" style="3" bestFit="1" customWidth="1"/>
    <col min="9488" max="9727" width="9.140625" style="3"/>
    <col min="9728" max="9728" width="12.7109375" style="3" bestFit="1" customWidth="1"/>
    <col min="9729" max="9729" width="28.42578125" style="3" bestFit="1" customWidth="1"/>
    <col min="9730" max="9730" width="27.42578125" style="3" bestFit="1" customWidth="1"/>
    <col min="9731" max="9731" width="11.42578125" style="3" customWidth="1"/>
    <col min="9732" max="9732" width="9.7109375" style="3" bestFit="1" customWidth="1"/>
    <col min="9733" max="9733" width="31.28515625" style="3" bestFit="1" customWidth="1"/>
    <col min="9734" max="9734" width="75.28515625" style="3" bestFit="1" customWidth="1"/>
    <col min="9735" max="9735" width="18.28515625" style="3" bestFit="1" customWidth="1"/>
    <col min="9736" max="9736" width="17.5703125" style="3" bestFit="1" customWidth="1"/>
    <col min="9737" max="9737" width="12.5703125" style="3" customWidth="1"/>
    <col min="9738" max="9738" width="14.28515625" style="3" bestFit="1" customWidth="1"/>
    <col min="9739" max="9739" width="26.42578125" style="3" bestFit="1" customWidth="1"/>
    <col min="9740" max="9740" width="24.28515625" style="3" bestFit="1" customWidth="1"/>
    <col min="9741" max="9741" width="18.85546875" style="3" bestFit="1" customWidth="1"/>
    <col min="9742" max="9742" width="14.28515625" style="3" bestFit="1" customWidth="1"/>
    <col min="9743" max="9743" width="4.7109375" style="3" bestFit="1" customWidth="1"/>
    <col min="9744" max="9983" width="9.140625" style="3"/>
    <col min="9984" max="9984" width="12.7109375" style="3" bestFit="1" customWidth="1"/>
    <col min="9985" max="9985" width="28.42578125" style="3" bestFit="1" customWidth="1"/>
    <col min="9986" max="9986" width="27.42578125" style="3" bestFit="1" customWidth="1"/>
    <col min="9987" max="9987" width="11.42578125" style="3" customWidth="1"/>
    <col min="9988" max="9988" width="9.7109375" style="3" bestFit="1" customWidth="1"/>
    <col min="9989" max="9989" width="31.28515625" style="3" bestFit="1" customWidth="1"/>
    <col min="9990" max="9990" width="75.28515625" style="3" bestFit="1" customWidth="1"/>
    <col min="9991" max="9991" width="18.28515625" style="3" bestFit="1" customWidth="1"/>
    <col min="9992" max="9992" width="17.5703125" style="3" bestFit="1" customWidth="1"/>
    <col min="9993" max="9993" width="12.5703125" style="3" customWidth="1"/>
    <col min="9994" max="9994" width="14.28515625" style="3" bestFit="1" customWidth="1"/>
    <col min="9995" max="9995" width="26.42578125" style="3" bestFit="1" customWidth="1"/>
    <col min="9996" max="9996" width="24.28515625" style="3" bestFit="1" customWidth="1"/>
    <col min="9997" max="9997" width="18.85546875" style="3" bestFit="1" customWidth="1"/>
    <col min="9998" max="9998" width="14.28515625" style="3" bestFit="1" customWidth="1"/>
    <col min="9999" max="9999" width="4.7109375" style="3" bestFit="1" customWidth="1"/>
    <col min="10000" max="10239" width="9.140625" style="3"/>
    <col min="10240" max="10240" width="12.7109375" style="3" bestFit="1" customWidth="1"/>
    <col min="10241" max="10241" width="28.42578125" style="3" bestFit="1" customWidth="1"/>
    <col min="10242" max="10242" width="27.42578125" style="3" bestFit="1" customWidth="1"/>
    <col min="10243" max="10243" width="11.42578125" style="3" customWidth="1"/>
    <col min="10244" max="10244" width="9.7109375" style="3" bestFit="1" customWidth="1"/>
    <col min="10245" max="10245" width="31.28515625" style="3" bestFit="1" customWidth="1"/>
    <col min="10246" max="10246" width="75.28515625" style="3" bestFit="1" customWidth="1"/>
    <col min="10247" max="10247" width="18.28515625" style="3" bestFit="1" customWidth="1"/>
    <col min="10248" max="10248" width="17.5703125" style="3" bestFit="1" customWidth="1"/>
    <col min="10249" max="10249" width="12.5703125" style="3" customWidth="1"/>
    <col min="10250" max="10250" width="14.28515625" style="3" bestFit="1" customWidth="1"/>
    <col min="10251" max="10251" width="26.42578125" style="3" bestFit="1" customWidth="1"/>
    <col min="10252" max="10252" width="24.28515625" style="3" bestFit="1" customWidth="1"/>
    <col min="10253" max="10253" width="18.85546875" style="3" bestFit="1" customWidth="1"/>
    <col min="10254" max="10254" width="14.28515625" style="3" bestFit="1" customWidth="1"/>
    <col min="10255" max="10255" width="4.7109375" style="3" bestFit="1" customWidth="1"/>
    <col min="10256" max="10495" width="9.140625" style="3"/>
    <col min="10496" max="10496" width="12.7109375" style="3" bestFit="1" customWidth="1"/>
    <col min="10497" max="10497" width="28.42578125" style="3" bestFit="1" customWidth="1"/>
    <col min="10498" max="10498" width="27.42578125" style="3" bestFit="1" customWidth="1"/>
    <col min="10499" max="10499" width="11.42578125" style="3" customWidth="1"/>
    <col min="10500" max="10500" width="9.7109375" style="3" bestFit="1" customWidth="1"/>
    <col min="10501" max="10501" width="31.28515625" style="3" bestFit="1" customWidth="1"/>
    <col min="10502" max="10502" width="75.28515625" style="3" bestFit="1" customWidth="1"/>
    <col min="10503" max="10503" width="18.28515625" style="3" bestFit="1" customWidth="1"/>
    <col min="10504" max="10504" width="17.5703125" style="3" bestFit="1" customWidth="1"/>
    <col min="10505" max="10505" width="12.5703125" style="3" customWidth="1"/>
    <col min="10506" max="10506" width="14.28515625" style="3" bestFit="1" customWidth="1"/>
    <col min="10507" max="10507" width="26.42578125" style="3" bestFit="1" customWidth="1"/>
    <col min="10508" max="10508" width="24.28515625" style="3" bestFit="1" customWidth="1"/>
    <col min="10509" max="10509" width="18.85546875" style="3" bestFit="1" customWidth="1"/>
    <col min="10510" max="10510" width="14.28515625" style="3" bestFit="1" customWidth="1"/>
    <col min="10511" max="10511" width="4.7109375" style="3" bestFit="1" customWidth="1"/>
    <col min="10512" max="10751" width="9.140625" style="3"/>
    <col min="10752" max="10752" width="12.7109375" style="3" bestFit="1" customWidth="1"/>
    <col min="10753" max="10753" width="28.42578125" style="3" bestFit="1" customWidth="1"/>
    <col min="10754" max="10754" width="27.42578125" style="3" bestFit="1" customWidth="1"/>
    <col min="10755" max="10755" width="11.42578125" style="3" customWidth="1"/>
    <col min="10756" max="10756" width="9.7109375" style="3" bestFit="1" customWidth="1"/>
    <col min="10757" max="10757" width="31.28515625" style="3" bestFit="1" customWidth="1"/>
    <col min="10758" max="10758" width="75.28515625" style="3" bestFit="1" customWidth="1"/>
    <col min="10759" max="10759" width="18.28515625" style="3" bestFit="1" customWidth="1"/>
    <col min="10760" max="10760" width="17.5703125" style="3" bestFit="1" customWidth="1"/>
    <col min="10761" max="10761" width="12.5703125" style="3" customWidth="1"/>
    <col min="10762" max="10762" width="14.28515625" style="3" bestFit="1" customWidth="1"/>
    <col min="10763" max="10763" width="26.42578125" style="3" bestFit="1" customWidth="1"/>
    <col min="10764" max="10764" width="24.28515625" style="3" bestFit="1" customWidth="1"/>
    <col min="10765" max="10765" width="18.85546875" style="3" bestFit="1" customWidth="1"/>
    <col min="10766" max="10766" width="14.28515625" style="3" bestFit="1" customWidth="1"/>
    <col min="10767" max="10767" width="4.7109375" style="3" bestFit="1" customWidth="1"/>
    <col min="10768" max="11007" width="9.140625" style="3"/>
    <col min="11008" max="11008" width="12.7109375" style="3" bestFit="1" customWidth="1"/>
    <col min="11009" max="11009" width="28.42578125" style="3" bestFit="1" customWidth="1"/>
    <col min="11010" max="11010" width="27.42578125" style="3" bestFit="1" customWidth="1"/>
    <col min="11011" max="11011" width="11.42578125" style="3" customWidth="1"/>
    <col min="11012" max="11012" width="9.7109375" style="3" bestFit="1" customWidth="1"/>
    <col min="11013" max="11013" width="31.28515625" style="3" bestFit="1" customWidth="1"/>
    <col min="11014" max="11014" width="75.28515625" style="3" bestFit="1" customWidth="1"/>
    <col min="11015" max="11015" width="18.28515625" style="3" bestFit="1" customWidth="1"/>
    <col min="11016" max="11016" width="17.5703125" style="3" bestFit="1" customWidth="1"/>
    <col min="11017" max="11017" width="12.5703125" style="3" customWidth="1"/>
    <col min="11018" max="11018" width="14.28515625" style="3" bestFit="1" customWidth="1"/>
    <col min="11019" max="11019" width="26.42578125" style="3" bestFit="1" customWidth="1"/>
    <col min="11020" max="11020" width="24.28515625" style="3" bestFit="1" customWidth="1"/>
    <col min="11021" max="11021" width="18.85546875" style="3" bestFit="1" customWidth="1"/>
    <col min="11022" max="11022" width="14.28515625" style="3" bestFit="1" customWidth="1"/>
    <col min="11023" max="11023" width="4.7109375" style="3" bestFit="1" customWidth="1"/>
    <col min="11024" max="11263" width="9.140625" style="3"/>
    <col min="11264" max="11264" width="12.7109375" style="3" bestFit="1" customWidth="1"/>
    <col min="11265" max="11265" width="28.42578125" style="3" bestFit="1" customWidth="1"/>
    <col min="11266" max="11266" width="27.42578125" style="3" bestFit="1" customWidth="1"/>
    <col min="11267" max="11267" width="11.42578125" style="3" customWidth="1"/>
    <col min="11268" max="11268" width="9.7109375" style="3" bestFit="1" customWidth="1"/>
    <col min="11269" max="11269" width="31.28515625" style="3" bestFit="1" customWidth="1"/>
    <col min="11270" max="11270" width="75.28515625" style="3" bestFit="1" customWidth="1"/>
    <col min="11271" max="11271" width="18.28515625" style="3" bestFit="1" customWidth="1"/>
    <col min="11272" max="11272" width="17.5703125" style="3" bestFit="1" customWidth="1"/>
    <col min="11273" max="11273" width="12.5703125" style="3" customWidth="1"/>
    <col min="11274" max="11274" width="14.28515625" style="3" bestFit="1" customWidth="1"/>
    <col min="11275" max="11275" width="26.42578125" style="3" bestFit="1" customWidth="1"/>
    <col min="11276" max="11276" width="24.28515625" style="3" bestFit="1" customWidth="1"/>
    <col min="11277" max="11277" width="18.85546875" style="3" bestFit="1" customWidth="1"/>
    <col min="11278" max="11278" width="14.28515625" style="3" bestFit="1" customWidth="1"/>
    <col min="11279" max="11279" width="4.7109375" style="3" bestFit="1" customWidth="1"/>
    <col min="11280" max="11519" width="9.140625" style="3"/>
    <col min="11520" max="11520" width="12.7109375" style="3" bestFit="1" customWidth="1"/>
    <col min="11521" max="11521" width="28.42578125" style="3" bestFit="1" customWidth="1"/>
    <col min="11522" max="11522" width="27.42578125" style="3" bestFit="1" customWidth="1"/>
    <col min="11523" max="11523" width="11.42578125" style="3" customWidth="1"/>
    <col min="11524" max="11524" width="9.7109375" style="3" bestFit="1" customWidth="1"/>
    <col min="11525" max="11525" width="31.28515625" style="3" bestFit="1" customWidth="1"/>
    <col min="11526" max="11526" width="75.28515625" style="3" bestFit="1" customWidth="1"/>
    <col min="11527" max="11527" width="18.28515625" style="3" bestFit="1" customWidth="1"/>
    <col min="11528" max="11528" width="17.5703125" style="3" bestFit="1" customWidth="1"/>
    <col min="11529" max="11529" width="12.5703125" style="3" customWidth="1"/>
    <col min="11530" max="11530" width="14.28515625" style="3" bestFit="1" customWidth="1"/>
    <col min="11531" max="11531" width="26.42578125" style="3" bestFit="1" customWidth="1"/>
    <col min="11532" max="11532" width="24.28515625" style="3" bestFit="1" customWidth="1"/>
    <col min="11533" max="11533" width="18.85546875" style="3" bestFit="1" customWidth="1"/>
    <col min="11534" max="11534" width="14.28515625" style="3" bestFit="1" customWidth="1"/>
    <col min="11535" max="11535" width="4.7109375" style="3" bestFit="1" customWidth="1"/>
    <col min="11536" max="11775" width="9.140625" style="3"/>
    <col min="11776" max="11776" width="12.7109375" style="3" bestFit="1" customWidth="1"/>
    <col min="11777" max="11777" width="28.42578125" style="3" bestFit="1" customWidth="1"/>
    <col min="11778" max="11778" width="27.42578125" style="3" bestFit="1" customWidth="1"/>
    <col min="11779" max="11779" width="11.42578125" style="3" customWidth="1"/>
    <col min="11780" max="11780" width="9.7109375" style="3" bestFit="1" customWidth="1"/>
    <col min="11781" max="11781" width="31.28515625" style="3" bestFit="1" customWidth="1"/>
    <col min="11782" max="11782" width="75.28515625" style="3" bestFit="1" customWidth="1"/>
    <col min="11783" max="11783" width="18.28515625" style="3" bestFit="1" customWidth="1"/>
    <col min="11784" max="11784" width="17.5703125" style="3" bestFit="1" customWidth="1"/>
    <col min="11785" max="11785" width="12.5703125" style="3" customWidth="1"/>
    <col min="11786" max="11786" width="14.28515625" style="3" bestFit="1" customWidth="1"/>
    <col min="11787" max="11787" width="26.42578125" style="3" bestFit="1" customWidth="1"/>
    <col min="11788" max="11788" width="24.28515625" style="3" bestFit="1" customWidth="1"/>
    <col min="11789" max="11789" width="18.85546875" style="3" bestFit="1" customWidth="1"/>
    <col min="11790" max="11790" width="14.28515625" style="3" bestFit="1" customWidth="1"/>
    <col min="11791" max="11791" width="4.7109375" style="3" bestFit="1" customWidth="1"/>
    <col min="11792" max="12031" width="9.140625" style="3"/>
    <col min="12032" max="12032" width="12.7109375" style="3" bestFit="1" customWidth="1"/>
    <col min="12033" max="12033" width="28.42578125" style="3" bestFit="1" customWidth="1"/>
    <col min="12034" max="12034" width="27.42578125" style="3" bestFit="1" customWidth="1"/>
    <col min="12035" max="12035" width="11.42578125" style="3" customWidth="1"/>
    <col min="12036" max="12036" width="9.7109375" style="3" bestFit="1" customWidth="1"/>
    <col min="12037" max="12037" width="31.28515625" style="3" bestFit="1" customWidth="1"/>
    <col min="12038" max="12038" width="75.28515625" style="3" bestFit="1" customWidth="1"/>
    <col min="12039" max="12039" width="18.28515625" style="3" bestFit="1" customWidth="1"/>
    <col min="12040" max="12040" width="17.5703125" style="3" bestFit="1" customWidth="1"/>
    <col min="12041" max="12041" width="12.5703125" style="3" customWidth="1"/>
    <col min="12042" max="12042" width="14.28515625" style="3" bestFit="1" customWidth="1"/>
    <col min="12043" max="12043" width="26.42578125" style="3" bestFit="1" customWidth="1"/>
    <col min="12044" max="12044" width="24.28515625" style="3" bestFit="1" customWidth="1"/>
    <col min="12045" max="12045" width="18.85546875" style="3" bestFit="1" customWidth="1"/>
    <col min="12046" max="12046" width="14.28515625" style="3" bestFit="1" customWidth="1"/>
    <col min="12047" max="12047" width="4.7109375" style="3" bestFit="1" customWidth="1"/>
    <col min="12048" max="12287" width="9.140625" style="3"/>
    <col min="12288" max="12288" width="12.7109375" style="3" bestFit="1" customWidth="1"/>
    <col min="12289" max="12289" width="28.42578125" style="3" bestFit="1" customWidth="1"/>
    <col min="12290" max="12290" width="27.42578125" style="3" bestFit="1" customWidth="1"/>
    <col min="12291" max="12291" width="11.42578125" style="3" customWidth="1"/>
    <col min="12292" max="12292" width="9.7109375" style="3" bestFit="1" customWidth="1"/>
    <col min="12293" max="12293" width="31.28515625" style="3" bestFit="1" customWidth="1"/>
    <col min="12294" max="12294" width="75.28515625" style="3" bestFit="1" customWidth="1"/>
    <col min="12295" max="12295" width="18.28515625" style="3" bestFit="1" customWidth="1"/>
    <col min="12296" max="12296" width="17.5703125" style="3" bestFit="1" customWidth="1"/>
    <col min="12297" max="12297" width="12.5703125" style="3" customWidth="1"/>
    <col min="12298" max="12298" width="14.28515625" style="3" bestFit="1" customWidth="1"/>
    <col min="12299" max="12299" width="26.42578125" style="3" bestFit="1" customWidth="1"/>
    <col min="12300" max="12300" width="24.28515625" style="3" bestFit="1" customWidth="1"/>
    <col min="12301" max="12301" width="18.85546875" style="3" bestFit="1" customWidth="1"/>
    <col min="12302" max="12302" width="14.28515625" style="3" bestFit="1" customWidth="1"/>
    <col min="12303" max="12303" width="4.7109375" style="3" bestFit="1" customWidth="1"/>
    <col min="12304" max="12543" width="9.140625" style="3"/>
    <col min="12544" max="12544" width="12.7109375" style="3" bestFit="1" customWidth="1"/>
    <col min="12545" max="12545" width="28.42578125" style="3" bestFit="1" customWidth="1"/>
    <col min="12546" max="12546" width="27.42578125" style="3" bestFit="1" customWidth="1"/>
    <col min="12547" max="12547" width="11.42578125" style="3" customWidth="1"/>
    <col min="12548" max="12548" width="9.7109375" style="3" bestFit="1" customWidth="1"/>
    <col min="12549" max="12549" width="31.28515625" style="3" bestFit="1" customWidth="1"/>
    <col min="12550" max="12550" width="75.28515625" style="3" bestFit="1" customWidth="1"/>
    <col min="12551" max="12551" width="18.28515625" style="3" bestFit="1" customWidth="1"/>
    <col min="12552" max="12552" width="17.5703125" style="3" bestFit="1" customWidth="1"/>
    <col min="12553" max="12553" width="12.5703125" style="3" customWidth="1"/>
    <col min="12554" max="12554" width="14.28515625" style="3" bestFit="1" customWidth="1"/>
    <col min="12555" max="12555" width="26.42578125" style="3" bestFit="1" customWidth="1"/>
    <col min="12556" max="12556" width="24.28515625" style="3" bestFit="1" customWidth="1"/>
    <col min="12557" max="12557" width="18.85546875" style="3" bestFit="1" customWidth="1"/>
    <col min="12558" max="12558" width="14.28515625" style="3" bestFit="1" customWidth="1"/>
    <col min="12559" max="12559" width="4.7109375" style="3" bestFit="1" customWidth="1"/>
    <col min="12560" max="12799" width="9.140625" style="3"/>
    <col min="12800" max="12800" width="12.7109375" style="3" bestFit="1" customWidth="1"/>
    <col min="12801" max="12801" width="28.42578125" style="3" bestFit="1" customWidth="1"/>
    <col min="12802" max="12802" width="27.42578125" style="3" bestFit="1" customWidth="1"/>
    <col min="12803" max="12803" width="11.42578125" style="3" customWidth="1"/>
    <col min="12804" max="12804" width="9.7109375" style="3" bestFit="1" customWidth="1"/>
    <col min="12805" max="12805" width="31.28515625" style="3" bestFit="1" customWidth="1"/>
    <col min="12806" max="12806" width="75.28515625" style="3" bestFit="1" customWidth="1"/>
    <col min="12807" max="12807" width="18.28515625" style="3" bestFit="1" customWidth="1"/>
    <col min="12808" max="12808" width="17.5703125" style="3" bestFit="1" customWidth="1"/>
    <col min="12809" max="12809" width="12.5703125" style="3" customWidth="1"/>
    <col min="12810" max="12810" width="14.28515625" style="3" bestFit="1" customWidth="1"/>
    <col min="12811" max="12811" width="26.42578125" style="3" bestFit="1" customWidth="1"/>
    <col min="12812" max="12812" width="24.28515625" style="3" bestFit="1" customWidth="1"/>
    <col min="12813" max="12813" width="18.85546875" style="3" bestFit="1" customWidth="1"/>
    <col min="12814" max="12814" width="14.28515625" style="3" bestFit="1" customWidth="1"/>
    <col min="12815" max="12815" width="4.7109375" style="3" bestFit="1" customWidth="1"/>
    <col min="12816" max="13055" width="9.140625" style="3"/>
    <col min="13056" max="13056" width="12.7109375" style="3" bestFit="1" customWidth="1"/>
    <col min="13057" max="13057" width="28.42578125" style="3" bestFit="1" customWidth="1"/>
    <col min="13058" max="13058" width="27.42578125" style="3" bestFit="1" customWidth="1"/>
    <col min="13059" max="13059" width="11.42578125" style="3" customWidth="1"/>
    <col min="13060" max="13060" width="9.7109375" style="3" bestFit="1" customWidth="1"/>
    <col min="13061" max="13061" width="31.28515625" style="3" bestFit="1" customWidth="1"/>
    <col min="13062" max="13062" width="75.28515625" style="3" bestFit="1" customWidth="1"/>
    <col min="13063" max="13063" width="18.28515625" style="3" bestFit="1" customWidth="1"/>
    <col min="13064" max="13064" width="17.5703125" style="3" bestFit="1" customWidth="1"/>
    <col min="13065" max="13065" width="12.5703125" style="3" customWidth="1"/>
    <col min="13066" max="13066" width="14.28515625" style="3" bestFit="1" customWidth="1"/>
    <col min="13067" max="13067" width="26.42578125" style="3" bestFit="1" customWidth="1"/>
    <col min="13068" max="13068" width="24.28515625" style="3" bestFit="1" customWidth="1"/>
    <col min="13069" max="13069" width="18.85546875" style="3" bestFit="1" customWidth="1"/>
    <col min="13070" max="13070" width="14.28515625" style="3" bestFit="1" customWidth="1"/>
    <col min="13071" max="13071" width="4.7109375" style="3" bestFit="1" customWidth="1"/>
    <col min="13072" max="13311" width="9.140625" style="3"/>
    <col min="13312" max="13312" width="12.7109375" style="3" bestFit="1" customWidth="1"/>
    <col min="13313" max="13313" width="28.42578125" style="3" bestFit="1" customWidth="1"/>
    <col min="13314" max="13314" width="27.42578125" style="3" bestFit="1" customWidth="1"/>
    <col min="13315" max="13315" width="11.42578125" style="3" customWidth="1"/>
    <col min="13316" max="13316" width="9.7109375" style="3" bestFit="1" customWidth="1"/>
    <col min="13317" max="13317" width="31.28515625" style="3" bestFit="1" customWidth="1"/>
    <col min="13318" max="13318" width="75.28515625" style="3" bestFit="1" customWidth="1"/>
    <col min="13319" max="13319" width="18.28515625" style="3" bestFit="1" customWidth="1"/>
    <col min="13320" max="13320" width="17.5703125" style="3" bestFit="1" customWidth="1"/>
    <col min="13321" max="13321" width="12.5703125" style="3" customWidth="1"/>
    <col min="13322" max="13322" width="14.28515625" style="3" bestFit="1" customWidth="1"/>
    <col min="13323" max="13323" width="26.42578125" style="3" bestFit="1" customWidth="1"/>
    <col min="13324" max="13324" width="24.28515625" style="3" bestFit="1" customWidth="1"/>
    <col min="13325" max="13325" width="18.85546875" style="3" bestFit="1" customWidth="1"/>
    <col min="13326" max="13326" width="14.28515625" style="3" bestFit="1" customWidth="1"/>
    <col min="13327" max="13327" width="4.7109375" style="3" bestFit="1" customWidth="1"/>
    <col min="13328" max="13567" width="9.140625" style="3"/>
    <col min="13568" max="13568" width="12.7109375" style="3" bestFit="1" customWidth="1"/>
    <col min="13569" max="13569" width="28.42578125" style="3" bestFit="1" customWidth="1"/>
    <col min="13570" max="13570" width="27.42578125" style="3" bestFit="1" customWidth="1"/>
    <col min="13571" max="13571" width="11.42578125" style="3" customWidth="1"/>
    <col min="13572" max="13572" width="9.7109375" style="3" bestFit="1" customWidth="1"/>
    <col min="13573" max="13573" width="31.28515625" style="3" bestFit="1" customWidth="1"/>
    <col min="13574" max="13574" width="75.28515625" style="3" bestFit="1" customWidth="1"/>
    <col min="13575" max="13575" width="18.28515625" style="3" bestFit="1" customWidth="1"/>
    <col min="13576" max="13576" width="17.5703125" style="3" bestFit="1" customWidth="1"/>
    <col min="13577" max="13577" width="12.5703125" style="3" customWidth="1"/>
    <col min="13578" max="13578" width="14.28515625" style="3" bestFit="1" customWidth="1"/>
    <col min="13579" max="13579" width="26.42578125" style="3" bestFit="1" customWidth="1"/>
    <col min="13580" max="13580" width="24.28515625" style="3" bestFit="1" customWidth="1"/>
    <col min="13581" max="13581" width="18.85546875" style="3" bestFit="1" customWidth="1"/>
    <col min="13582" max="13582" width="14.28515625" style="3" bestFit="1" customWidth="1"/>
    <col min="13583" max="13583" width="4.7109375" style="3" bestFit="1" customWidth="1"/>
    <col min="13584" max="13823" width="9.140625" style="3"/>
    <col min="13824" max="13824" width="12.7109375" style="3" bestFit="1" customWidth="1"/>
    <col min="13825" max="13825" width="28.42578125" style="3" bestFit="1" customWidth="1"/>
    <col min="13826" max="13826" width="27.42578125" style="3" bestFit="1" customWidth="1"/>
    <col min="13827" max="13827" width="11.42578125" style="3" customWidth="1"/>
    <col min="13828" max="13828" width="9.7109375" style="3" bestFit="1" customWidth="1"/>
    <col min="13829" max="13829" width="31.28515625" style="3" bestFit="1" customWidth="1"/>
    <col min="13830" max="13830" width="75.28515625" style="3" bestFit="1" customWidth="1"/>
    <col min="13831" max="13831" width="18.28515625" style="3" bestFit="1" customWidth="1"/>
    <col min="13832" max="13832" width="17.5703125" style="3" bestFit="1" customWidth="1"/>
    <col min="13833" max="13833" width="12.5703125" style="3" customWidth="1"/>
    <col min="13834" max="13834" width="14.28515625" style="3" bestFit="1" customWidth="1"/>
    <col min="13835" max="13835" width="26.42578125" style="3" bestFit="1" customWidth="1"/>
    <col min="13836" max="13836" width="24.28515625" style="3" bestFit="1" customWidth="1"/>
    <col min="13837" max="13837" width="18.85546875" style="3" bestFit="1" customWidth="1"/>
    <col min="13838" max="13838" width="14.28515625" style="3" bestFit="1" customWidth="1"/>
    <col min="13839" max="13839" width="4.7109375" style="3" bestFit="1" customWidth="1"/>
    <col min="13840" max="14079" width="9.140625" style="3"/>
    <col min="14080" max="14080" width="12.7109375" style="3" bestFit="1" customWidth="1"/>
    <col min="14081" max="14081" width="28.42578125" style="3" bestFit="1" customWidth="1"/>
    <col min="14082" max="14082" width="27.42578125" style="3" bestFit="1" customWidth="1"/>
    <col min="14083" max="14083" width="11.42578125" style="3" customWidth="1"/>
    <col min="14084" max="14084" width="9.7109375" style="3" bestFit="1" customWidth="1"/>
    <col min="14085" max="14085" width="31.28515625" style="3" bestFit="1" customWidth="1"/>
    <col min="14086" max="14086" width="75.28515625" style="3" bestFit="1" customWidth="1"/>
    <col min="14087" max="14087" width="18.28515625" style="3" bestFit="1" customWidth="1"/>
    <col min="14088" max="14088" width="17.5703125" style="3" bestFit="1" customWidth="1"/>
    <col min="14089" max="14089" width="12.5703125" style="3" customWidth="1"/>
    <col min="14090" max="14090" width="14.28515625" style="3" bestFit="1" customWidth="1"/>
    <col min="14091" max="14091" width="26.42578125" style="3" bestFit="1" customWidth="1"/>
    <col min="14092" max="14092" width="24.28515625" style="3" bestFit="1" customWidth="1"/>
    <col min="14093" max="14093" width="18.85546875" style="3" bestFit="1" customWidth="1"/>
    <col min="14094" max="14094" width="14.28515625" style="3" bestFit="1" customWidth="1"/>
    <col min="14095" max="14095" width="4.7109375" style="3" bestFit="1" customWidth="1"/>
    <col min="14096" max="14335" width="9.140625" style="3"/>
    <col min="14336" max="14336" width="12.7109375" style="3" bestFit="1" customWidth="1"/>
    <col min="14337" max="14337" width="28.42578125" style="3" bestFit="1" customWidth="1"/>
    <col min="14338" max="14338" width="27.42578125" style="3" bestFit="1" customWidth="1"/>
    <col min="14339" max="14339" width="11.42578125" style="3" customWidth="1"/>
    <col min="14340" max="14340" width="9.7109375" style="3" bestFit="1" customWidth="1"/>
    <col min="14341" max="14341" width="31.28515625" style="3" bestFit="1" customWidth="1"/>
    <col min="14342" max="14342" width="75.28515625" style="3" bestFit="1" customWidth="1"/>
    <col min="14343" max="14343" width="18.28515625" style="3" bestFit="1" customWidth="1"/>
    <col min="14344" max="14344" width="17.5703125" style="3" bestFit="1" customWidth="1"/>
    <col min="14345" max="14345" width="12.5703125" style="3" customWidth="1"/>
    <col min="14346" max="14346" width="14.28515625" style="3" bestFit="1" customWidth="1"/>
    <col min="14347" max="14347" width="26.42578125" style="3" bestFit="1" customWidth="1"/>
    <col min="14348" max="14348" width="24.28515625" style="3" bestFit="1" customWidth="1"/>
    <col min="14349" max="14349" width="18.85546875" style="3" bestFit="1" customWidth="1"/>
    <col min="14350" max="14350" width="14.28515625" style="3" bestFit="1" customWidth="1"/>
    <col min="14351" max="14351" width="4.7109375" style="3" bestFit="1" customWidth="1"/>
    <col min="14352" max="14591" width="9.140625" style="3"/>
    <col min="14592" max="14592" width="12.7109375" style="3" bestFit="1" customWidth="1"/>
    <col min="14593" max="14593" width="28.42578125" style="3" bestFit="1" customWidth="1"/>
    <col min="14594" max="14594" width="27.42578125" style="3" bestFit="1" customWidth="1"/>
    <col min="14595" max="14595" width="11.42578125" style="3" customWidth="1"/>
    <col min="14596" max="14596" width="9.7109375" style="3" bestFit="1" customWidth="1"/>
    <col min="14597" max="14597" width="31.28515625" style="3" bestFit="1" customWidth="1"/>
    <col min="14598" max="14598" width="75.28515625" style="3" bestFit="1" customWidth="1"/>
    <col min="14599" max="14599" width="18.28515625" style="3" bestFit="1" customWidth="1"/>
    <col min="14600" max="14600" width="17.5703125" style="3" bestFit="1" customWidth="1"/>
    <col min="14601" max="14601" width="12.5703125" style="3" customWidth="1"/>
    <col min="14602" max="14602" width="14.28515625" style="3" bestFit="1" customWidth="1"/>
    <col min="14603" max="14603" width="26.42578125" style="3" bestFit="1" customWidth="1"/>
    <col min="14604" max="14604" width="24.28515625" style="3" bestFit="1" customWidth="1"/>
    <col min="14605" max="14605" width="18.85546875" style="3" bestFit="1" customWidth="1"/>
    <col min="14606" max="14606" width="14.28515625" style="3" bestFit="1" customWidth="1"/>
    <col min="14607" max="14607" width="4.7109375" style="3" bestFit="1" customWidth="1"/>
    <col min="14608" max="14847" width="9.140625" style="3"/>
    <col min="14848" max="14848" width="12.7109375" style="3" bestFit="1" customWidth="1"/>
    <col min="14849" max="14849" width="28.42578125" style="3" bestFit="1" customWidth="1"/>
    <col min="14850" max="14850" width="27.42578125" style="3" bestFit="1" customWidth="1"/>
    <col min="14851" max="14851" width="11.42578125" style="3" customWidth="1"/>
    <col min="14852" max="14852" width="9.7109375" style="3" bestFit="1" customWidth="1"/>
    <col min="14853" max="14853" width="31.28515625" style="3" bestFit="1" customWidth="1"/>
    <col min="14854" max="14854" width="75.28515625" style="3" bestFit="1" customWidth="1"/>
    <col min="14855" max="14855" width="18.28515625" style="3" bestFit="1" customWidth="1"/>
    <col min="14856" max="14856" width="17.5703125" style="3" bestFit="1" customWidth="1"/>
    <col min="14857" max="14857" width="12.5703125" style="3" customWidth="1"/>
    <col min="14858" max="14858" width="14.28515625" style="3" bestFit="1" customWidth="1"/>
    <col min="14859" max="14859" width="26.42578125" style="3" bestFit="1" customWidth="1"/>
    <col min="14860" max="14860" width="24.28515625" style="3" bestFit="1" customWidth="1"/>
    <col min="14861" max="14861" width="18.85546875" style="3" bestFit="1" customWidth="1"/>
    <col min="14862" max="14862" width="14.28515625" style="3" bestFit="1" customWidth="1"/>
    <col min="14863" max="14863" width="4.7109375" style="3" bestFit="1" customWidth="1"/>
    <col min="14864" max="15103" width="9.140625" style="3"/>
    <col min="15104" max="15104" width="12.7109375" style="3" bestFit="1" customWidth="1"/>
    <col min="15105" max="15105" width="28.42578125" style="3" bestFit="1" customWidth="1"/>
    <col min="15106" max="15106" width="27.42578125" style="3" bestFit="1" customWidth="1"/>
    <col min="15107" max="15107" width="11.42578125" style="3" customWidth="1"/>
    <col min="15108" max="15108" width="9.7109375" style="3" bestFit="1" customWidth="1"/>
    <col min="15109" max="15109" width="31.28515625" style="3" bestFit="1" customWidth="1"/>
    <col min="15110" max="15110" width="75.28515625" style="3" bestFit="1" customWidth="1"/>
    <col min="15111" max="15111" width="18.28515625" style="3" bestFit="1" customWidth="1"/>
    <col min="15112" max="15112" width="17.5703125" style="3" bestFit="1" customWidth="1"/>
    <col min="15113" max="15113" width="12.5703125" style="3" customWidth="1"/>
    <col min="15114" max="15114" width="14.28515625" style="3" bestFit="1" customWidth="1"/>
    <col min="15115" max="15115" width="26.42578125" style="3" bestFit="1" customWidth="1"/>
    <col min="15116" max="15116" width="24.28515625" style="3" bestFit="1" customWidth="1"/>
    <col min="15117" max="15117" width="18.85546875" style="3" bestFit="1" customWidth="1"/>
    <col min="15118" max="15118" width="14.28515625" style="3" bestFit="1" customWidth="1"/>
    <col min="15119" max="15119" width="4.7109375" style="3" bestFit="1" customWidth="1"/>
    <col min="15120" max="15359" width="9.140625" style="3"/>
    <col min="15360" max="15360" width="12.7109375" style="3" bestFit="1" customWidth="1"/>
    <col min="15361" max="15361" width="28.42578125" style="3" bestFit="1" customWidth="1"/>
    <col min="15362" max="15362" width="27.42578125" style="3" bestFit="1" customWidth="1"/>
    <col min="15363" max="15363" width="11.42578125" style="3" customWidth="1"/>
    <col min="15364" max="15364" width="9.7109375" style="3" bestFit="1" customWidth="1"/>
    <col min="15365" max="15365" width="31.28515625" style="3" bestFit="1" customWidth="1"/>
    <col min="15366" max="15366" width="75.28515625" style="3" bestFit="1" customWidth="1"/>
    <col min="15367" max="15367" width="18.28515625" style="3" bestFit="1" customWidth="1"/>
    <col min="15368" max="15368" width="17.5703125" style="3" bestFit="1" customWidth="1"/>
    <col min="15369" max="15369" width="12.5703125" style="3" customWidth="1"/>
    <col min="15370" max="15370" width="14.28515625" style="3" bestFit="1" customWidth="1"/>
    <col min="15371" max="15371" width="26.42578125" style="3" bestFit="1" customWidth="1"/>
    <col min="15372" max="15372" width="24.28515625" style="3" bestFit="1" customWidth="1"/>
    <col min="15373" max="15373" width="18.85546875" style="3" bestFit="1" customWidth="1"/>
    <col min="15374" max="15374" width="14.28515625" style="3" bestFit="1" customWidth="1"/>
    <col min="15375" max="15375" width="4.7109375" style="3" bestFit="1" customWidth="1"/>
    <col min="15376" max="15615" width="9.140625" style="3"/>
    <col min="15616" max="15616" width="12.7109375" style="3" bestFit="1" customWidth="1"/>
    <col min="15617" max="15617" width="28.42578125" style="3" bestFit="1" customWidth="1"/>
    <col min="15618" max="15618" width="27.42578125" style="3" bestFit="1" customWidth="1"/>
    <col min="15619" max="15619" width="11.42578125" style="3" customWidth="1"/>
    <col min="15620" max="15620" width="9.7109375" style="3" bestFit="1" customWidth="1"/>
    <col min="15621" max="15621" width="31.28515625" style="3" bestFit="1" customWidth="1"/>
    <col min="15622" max="15622" width="75.28515625" style="3" bestFit="1" customWidth="1"/>
    <col min="15623" max="15623" width="18.28515625" style="3" bestFit="1" customWidth="1"/>
    <col min="15624" max="15624" width="17.5703125" style="3" bestFit="1" customWidth="1"/>
    <col min="15625" max="15625" width="12.5703125" style="3" customWidth="1"/>
    <col min="15626" max="15626" width="14.28515625" style="3" bestFit="1" customWidth="1"/>
    <col min="15627" max="15627" width="26.42578125" style="3" bestFit="1" customWidth="1"/>
    <col min="15628" max="15628" width="24.28515625" style="3" bestFit="1" customWidth="1"/>
    <col min="15629" max="15629" width="18.85546875" style="3" bestFit="1" customWidth="1"/>
    <col min="15630" max="15630" width="14.28515625" style="3" bestFit="1" customWidth="1"/>
    <col min="15631" max="15631" width="4.7109375" style="3" bestFit="1" customWidth="1"/>
    <col min="15632" max="15871" width="9.140625" style="3"/>
    <col min="15872" max="15872" width="12.7109375" style="3" bestFit="1" customWidth="1"/>
    <col min="15873" max="15873" width="28.42578125" style="3" bestFit="1" customWidth="1"/>
    <col min="15874" max="15874" width="27.42578125" style="3" bestFit="1" customWidth="1"/>
    <col min="15875" max="15875" width="11.42578125" style="3" customWidth="1"/>
    <col min="15876" max="15876" width="9.7109375" style="3" bestFit="1" customWidth="1"/>
    <col min="15877" max="15877" width="31.28515625" style="3" bestFit="1" customWidth="1"/>
    <col min="15878" max="15878" width="75.28515625" style="3" bestFit="1" customWidth="1"/>
    <col min="15879" max="15879" width="18.28515625" style="3" bestFit="1" customWidth="1"/>
    <col min="15880" max="15880" width="17.5703125" style="3" bestFit="1" customWidth="1"/>
    <col min="15881" max="15881" width="12.5703125" style="3" customWidth="1"/>
    <col min="15882" max="15882" width="14.28515625" style="3" bestFit="1" customWidth="1"/>
    <col min="15883" max="15883" width="26.42578125" style="3" bestFit="1" customWidth="1"/>
    <col min="15884" max="15884" width="24.28515625" style="3" bestFit="1" customWidth="1"/>
    <col min="15885" max="15885" width="18.85546875" style="3" bestFit="1" customWidth="1"/>
    <col min="15886" max="15886" width="14.28515625" style="3" bestFit="1" customWidth="1"/>
    <col min="15887" max="15887" width="4.7109375" style="3" bestFit="1" customWidth="1"/>
    <col min="15888" max="16127" width="9.140625" style="3"/>
    <col min="16128" max="16128" width="12.7109375" style="3" bestFit="1" customWidth="1"/>
    <col min="16129" max="16129" width="28.42578125" style="3" bestFit="1" customWidth="1"/>
    <col min="16130" max="16130" width="27.42578125" style="3" bestFit="1" customWidth="1"/>
    <col min="16131" max="16131" width="11.42578125" style="3" customWidth="1"/>
    <col min="16132" max="16132" width="9.7109375" style="3" bestFit="1" customWidth="1"/>
    <col min="16133" max="16133" width="31.28515625" style="3" bestFit="1" customWidth="1"/>
    <col min="16134" max="16134" width="75.28515625" style="3" bestFit="1" customWidth="1"/>
    <col min="16135" max="16135" width="18.28515625" style="3" bestFit="1" customWidth="1"/>
    <col min="16136" max="16136" width="17.5703125" style="3" bestFit="1" customWidth="1"/>
    <col min="16137" max="16137" width="12.5703125" style="3" customWidth="1"/>
    <col min="16138" max="16138" width="14.28515625" style="3" bestFit="1" customWidth="1"/>
    <col min="16139" max="16139" width="26.42578125" style="3" bestFit="1" customWidth="1"/>
    <col min="16140" max="16140" width="24.28515625" style="3" bestFit="1" customWidth="1"/>
    <col min="16141" max="16141" width="18.85546875" style="3" bestFit="1" customWidth="1"/>
    <col min="16142" max="16142" width="14.28515625" style="3" bestFit="1" customWidth="1"/>
    <col min="16143" max="16143" width="4.7109375" style="3" bestFit="1" customWidth="1"/>
    <col min="16144" max="16380" width="9.140625" style="3"/>
    <col min="16381" max="16384" width="9.140625" style="3" customWidth="1"/>
  </cols>
  <sheetData>
    <row r="1" spans="1:18" ht="15" x14ac:dyDescent="0.25">
      <c r="A1" s="179" t="s">
        <v>0</v>
      </c>
      <c r="B1" s="1" t="s">
        <v>36</v>
      </c>
      <c r="C1" s="1" t="s">
        <v>248</v>
      </c>
      <c r="D1" s="1" t="s">
        <v>2</v>
      </c>
      <c r="E1" s="1" t="s">
        <v>3</v>
      </c>
      <c r="F1" s="1" t="s">
        <v>47</v>
      </c>
      <c r="G1" s="1" t="s">
        <v>1360</v>
      </c>
      <c r="H1" s="1" t="s">
        <v>1046</v>
      </c>
      <c r="I1" s="1" t="s">
        <v>48</v>
      </c>
      <c r="J1" s="1" t="s">
        <v>4</v>
      </c>
      <c r="K1" s="1" t="s">
        <v>37</v>
      </c>
      <c r="L1" s="1" t="s">
        <v>6</v>
      </c>
      <c r="M1" s="1" t="s">
        <v>7</v>
      </c>
      <c r="N1" s="2" t="s">
        <v>8</v>
      </c>
      <c r="O1" s="3" t="s">
        <v>1373</v>
      </c>
      <c r="P1" s="3" t="s">
        <v>1374</v>
      </c>
      <c r="Q1" s="3" t="s">
        <v>1375</v>
      </c>
      <c r="R1" s="3" t="s">
        <v>1376</v>
      </c>
    </row>
    <row r="2" spans="1:18" hidden="1" x14ac:dyDescent="0.25">
      <c r="A2" s="180">
        <v>44235</v>
      </c>
      <c r="B2" s="6" t="s">
        <v>597</v>
      </c>
      <c r="C2" s="6">
        <v>122099</v>
      </c>
      <c r="D2" s="7" t="s">
        <v>1055</v>
      </c>
      <c r="E2" s="8" t="s">
        <v>19</v>
      </c>
      <c r="F2" s="10" t="s">
        <v>593</v>
      </c>
      <c r="G2" s="10" t="s">
        <v>982</v>
      </c>
      <c r="H2" s="10" t="s">
        <v>994</v>
      </c>
      <c r="I2" s="9" t="s">
        <v>1107</v>
      </c>
      <c r="J2" s="7" t="s">
        <v>594</v>
      </c>
      <c r="K2" s="10" t="s">
        <v>10</v>
      </c>
      <c r="L2" s="11">
        <v>367968</v>
      </c>
      <c r="M2" s="12">
        <v>63.2</v>
      </c>
      <c r="N2" s="13">
        <f>L2/M2</f>
        <v>5822.2784810126577</v>
      </c>
    </row>
    <row r="3" spans="1:18" hidden="1" x14ac:dyDescent="0.25">
      <c r="A3" s="180">
        <v>44236</v>
      </c>
      <c r="B3" s="6" t="s">
        <v>598</v>
      </c>
      <c r="C3" s="7">
        <v>122099</v>
      </c>
      <c r="D3" s="7" t="s">
        <v>1056</v>
      </c>
      <c r="E3" s="8" t="s">
        <v>19</v>
      </c>
      <c r="F3" s="10" t="s">
        <v>593</v>
      </c>
      <c r="G3" s="10" t="s">
        <v>982</v>
      </c>
      <c r="H3" s="10" t="s">
        <v>994</v>
      </c>
      <c r="I3" s="9" t="s">
        <v>1107</v>
      </c>
      <c r="J3" s="7" t="s">
        <v>596</v>
      </c>
      <c r="K3" s="10" t="s">
        <v>10</v>
      </c>
      <c r="L3" s="11">
        <v>325481.56</v>
      </c>
      <c r="M3" s="12">
        <v>63.2</v>
      </c>
      <c r="N3" s="13">
        <f>L3/M3</f>
        <v>5150.0246835443031</v>
      </c>
    </row>
    <row r="4" spans="1:18" hidden="1" x14ac:dyDescent="0.25">
      <c r="A4" s="180">
        <v>44236</v>
      </c>
      <c r="B4" s="6" t="s">
        <v>599</v>
      </c>
      <c r="C4" s="7">
        <v>122099</v>
      </c>
      <c r="D4" s="7" t="s">
        <v>1057</v>
      </c>
      <c r="E4" s="8" t="s">
        <v>19</v>
      </c>
      <c r="F4" s="10" t="s">
        <v>593</v>
      </c>
      <c r="G4" s="10" t="s">
        <v>982</v>
      </c>
      <c r="H4" s="10" t="s">
        <v>994</v>
      </c>
      <c r="I4" s="9" t="s">
        <v>1107</v>
      </c>
      <c r="J4" s="7" t="s">
        <v>600</v>
      </c>
      <c r="K4" s="10" t="s">
        <v>10</v>
      </c>
      <c r="L4" s="11">
        <v>30600</v>
      </c>
      <c r="M4" s="12">
        <v>63.2</v>
      </c>
      <c r="N4" s="13">
        <f t="shared" ref="N4:N25" si="0">L4/M4</f>
        <v>484.17721518987338</v>
      </c>
    </row>
    <row r="5" spans="1:18" hidden="1" x14ac:dyDescent="0.25">
      <c r="A5" s="180">
        <v>44236</v>
      </c>
      <c r="B5" s="6" t="s">
        <v>601</v>
      </c>
      <c r="C5" s="7">
        <v>122099</v>
      </c>
      <c r="D5" s="7" t="s">
        <v>1058</v>
      </c>
      <c r="E5" s="8" t="s">
        <v>19</v>
      </c>
      <c r="F5" s="10" t="s">
        <v>593</v>
      </c>
      <c r="G5" s="10" t="s">
        <v>982</v>
      </c>
      <c r="H5" s="10" t="s">
        <v>994</v>
      </c>
      <c r="I5" s="9" t="s">
        <v>1107</v>
      </c>
      <c r="J5" s="7" t="s">
        <v>603</v>
      </c>
      <c r="K5" s="10" t="s">
        <v>10</v>
      </c>
      <c r="L5" s="11">
        <v>240000</v>
      </c>
      <c r="M5" s="12">
        <v>63.2</v>
      </c>
      <c r="N5" s="13">
        <f t="shared" si="0"/>
        <v>3797.4683544303793</v>
      </c>
    </row>
    <row r="6" spans="1:18" hidden="1" x14ac:dyDescent="0.25">
      <c r="A6" s="180">
        <v>44236</v>
      </c>
      <c r="B6" s="6" t="s">
        <v>604</v>
      </c>
      <c r="C6" s="7">
        <v>122099</v>
      </c>
      <c r="D6" s="7" t="s">
        <v>1059</v>
      </c>
      <c r="E6" s="8" t="s">
        <v>19</v>
      </c>
      <c r="F6" s="59" t="s">
        <v>593</v>
      </c>
      <c r="G6" s="10" t="s">
        <v>982</v>
      </c>
      <c r="H6" s="59" t="s">
        <v>994</v>
      </c>
      <c r="I6" s="9" t="s">
        <v>1107</v>
      </c>
      <c r="J6" s="7" t="s">
        <v>603</v>
      </c>
      <c r="K6" s="10" t="s">
        <v>10</v>
      </c>
      <c r="L6" s="11">
        <v>324000</v>
      </c>
      <c r="M6" s="12">
        <v>63.2</v>
      </c>
      <c r="N6" s="13">
        <f t="shared" si="0"/>
        <v>5126.5822784810125</v>
      </c>
    </row>
    <row r="7" spans="1:18" hidden="1" x14ac:dyDescent="0.25">
      <c r="A7" s="180">
        <v>44236</v>
      </c>
      <c r="B7" s="7" t="s">
        <v>607</v>
      </c>
      <c r="C7" s="7">
        <v>122099</v>
      </c>
      <c r="D7" s="7" t="s">
        <v>1060</v>
      </c>
      <c r="E7" s="8" t="s">
        <v>19</v>
      </c>
      <c r="F7" s="10" t="s">
        <v>593</v>
      </c>
      <c r="G7" s="10" t="s">
        <v>982</v>
      </c>
      <c r="H7" s="10" t="s">
        <v>994</v>
      </c>
      <c r="I7" s="7" t="s">
        <v>1107</v>
      </c>
      <c r="J7" s="7" t="s">
        <v>603</v>
      </c>
      <c r="K7" s="10" t="s">
        <v>10</v>
      </c>
      <c r="L7" s="14">
        <v>201600</v>
      </c>
      <c r="M7" s="12">
        <v>63.2</v>
      </c>
      <c r="N7" s="13">
        <f t="shared" si="0"/>
        <v>3189.8734177215188</v>
      </c>
    </row>
    <row r="8" spans="1:18" hidden="1" x14ac:dyDescent="0.25">
      <c r="A8" s="180">
        <v>44259</v>
      </c>
      <c r="B8" s="7" t="s">
        <v>609</v>
      </c>
      <c r="C8" s="7">
        <v>121028</v>
      </c>
      <c r="D8" s="7" t="s">
        <v>1061</v>
      </c>
      <c r="E8" s="8" t="s">
        <v>19</v>
      </c>
      <c r="F8" s="10" t="s">
        <v>593</v>
      </c>
      <c r="G8" s="10" t="s">
        <v>982</v>
      </c>
      <c r="H8" s="10" t="s">
        <v>994</v>
      </c>
      <c r="I8" s="15" t="s">
        <v>1108</v>
      </c>
      <c r="J8" s="7" t="s">
        <v>612</v>
      </c>
      <c r="K8" s="10" t="s">
        <v>10</v>
      </c>
      <c r="L8" s="14">
        <v>140946.82</v>
      </c>
      <c r="M8" s="12">
        <v>63.2</v>
      </c>
      <c r="N8" s="13">
        <f t="shared" si="0"/>
        <v>2230.1712025316456</v>
      </c>
    </row>
    <row r="9" spans="1:18" hidden="1" x14ac:dyDescent="0.25">
      <c r="A9" s="180">
        <v>44277</v>
      </c>
      <c r="B9" s="7" t="s">
        <v>613</v>
      </c>
      <c r="C9" s="7">
        <v>122099</v>
      </c>
      <c r="D9" s="7" t="s">
        <v>1057</v>
      </c>
      <c r="E9" s="8" t="s">
        <v>19</v>
      </c>
      <c r="F9" s="10" t="s">
        <v>614</v>
      </c>
      <c r="G9" s="10" t="s">
        <v>982</v>
      </c>
      <c r="H9" s="10" t="s">
        <v>994</v>
      </c>
      <c r="I9" s="9" t="s">
        <v>1107</v>
      </c>
      <c r="J9" s="7" t="s">
        <v>615</v>
      </c>
      <c r="K9" s="10" t="s">
        <v>10</v>
      </c>
      <c r="L9" s="14">
        <v>196740.36</v>
      </c>
      <c r="M9" s="12">
        <v>63.2</v>
      </c>
      <c r="N9" s="13">
        <f t="shared" si="0"/>
        <v>3112.9803797468353</v>
      </c>
    </row>
    <row r="10" spans="1:18" hidden="1" x14ac:dyDescent="0.25">
      <c r="A10" s="180">
        <v>44280</v>
      </c>
      <c r="B10" s="7" t="s">
        <v>616</v>
      </c>
      <c r="C10" s="7">
        <v>112101</v>
      </c>
      <c r="D10" s="7" t="s">
        <v>1062</v>
      </c>
      <c r="E10" s="8" t="s">
        <v>19</v>
      </c>
      <c r="F10" s="10" t="s">
        <v>617</v>
      </c>
      <c r="G10" s="10" t="s">
        <v>982</v>
      </c>
      <c r="H10" s="10" t="s">
        <v>994</v>
      </c>
      <c r="I10" s="7" t="s">
        <v>1109</v>
      </c>
      <c r="J10" s="7" t="s">
        <v>618</v>
      </c>
      <c r="K10" s="10" t="s">
        <v>10</v>
      </c>
      <c r="L10" s="14">
        <v>45000</v>
      </c>
      <c r="M10" s="12">
        <v>63.2</v>
      </c>
      <c r="N10" s="13">
        <f t="shared" si="0"/>
        <v>712.02531645569616</v>
      </c>
    </row>
    <row r="11" spans="1:18" hidden="1" x14ac:dyDescent="0.25">
      <c r="A11" s="180">
        <v>44291</v>
      </c>
      <c r="B11" s="7" t="s">
        <v>619</v>
      </c>
      <c r="C11" s="7">
        <v>122099</v>
      </c>
      <c r="D11" s="7" t="s">
        <v>1063</v>
      </c>
      <c r="E11" s="8" t="s">
        <v>19</v>
      </c>
      <c r="F11" s="10" t="s">
        <v>621</v>
      </c>
      <c r="G11" s="10" t="s">
        <v>1335</v>
      </c>
      <c r="H11" s="10" t="s">
        <v>994</v>
      </c>
      <c r="I11" s="7" t="s">
        <v>1110</v>
      </c>
      <c r="J11" s="7" t="s">
        <v>623</v>
      </c>
      <c r="K11" s="10" t="s">
        <v>10</v>
      </c>
      <c r="L11" s="14">
        <v>5775</v>
      </c>
      <c r="M11" s="12">
        <v>63.2</v>
      </c>
      <c r="N11" s="13">
        <f t="shared" si="0"/>
        <v>91.37658227848101</v>
      </c>
    </row>
    <row r="12" spans="1:18" hidden="1" x14ac:dyDescent="0.25">
      <c r="A12" s="180">
        <v>44319</v>
      </c>
      <c r="B12" s="7" t="s">
        <v>624</v>
      </c>
      <c r="C12" s="7">
        <v>112101</v>
      </c>
      <c r="D12" s="7" t="s">
        <v>1064</v>
      </c>
      <c r="E12" s="8" t="s">
        <v>13</v>
      </c>
      <c r="F12" s="10" t="s">
        <v>583</v>
      </c>
      <c r="G12" s="10" t="s">
        <v>982</v>
      </c>
      <c r="H12" s="10" t="s">
        <v>994</v>
      </c>
      <c r="I12" s="7" t="s">
        <v>1109</v>
      </c>
      <c r="J12" s="7" t="s">
        <v>626</v>
      </c>
      <c r="K12" s="10" t="s">
        <v>10</v>
      </c>
      <c r="L12" s="18">
        <v>39600</v>
      </c>
      <c r="M12" s="12">
        <v>63.2</v>
      </c>
      <c r="N12" s="13">
        <f t="shared" si="0"/>
        <v>626.58227848101262</v>
      </c>
    </row>
    <row r="13" spans="1:18" hidden="1" x14ac:dyDescent="0.25">
      <c r="A13" s="180">
        <v>44319</v>
      </c>
      <c r="B13" s="6" t="s">
        <v>627</v>
      </c>
      <c r="C13" s="6">
        <v>122002</v>
      </c>
      <c r="D13" s="7" t="s">
        <v>628</v>
      </c>
      <c r="E13" s="8" t="s">
        <v>13</v>
      </c>
      <c r="F13" s="10" t="s">
        <v>583</v>
      </c>
      <c r="G13" s="10" t="s">
        <v>982</v>
      </c>
      <c r="H13" s="10" t="s">
        <v>994</v>
      </c>
      <c r="I13" s="9" t="s">
        <v>1111</v>
      </c>
      <c r="J13" s="7" t="s">
        <v>630</v>
      </c>
      <c r="K13" s="10" t="s">
        <v>10</v>
      </c>
      <c r="L13" s="14">
        <v>385132</v>
      </c>
      <c r="M13" s="12">
        <v>63.2</v>
      </c>
      <c r="N13" s="13">
        <f t="shared" si="0"/>
        <v>6093.8607594936702</v>
      </c>
    </row>
    <row r="14" spans="1:18" hidden="1" x14ac:dyDescent="0.25">
      <c r="A14" s="180">
        <v>44400</v>
      </c>
      <c r="B14" s="6" t="s">
        <v>652</v>
      </c>
      <c r="C14" s="6">
        <v>112101</v>
      </c>
      <c r="D14" s="7" t="s">
        <v>1062</v>
      </c>
      <c r="E14" s="8" t="s">
        <v>19</v>
      </c>
      <c r="F14" s="10" t="s">
        <v>653</v>
      </c>
      <c r="G14" s="10" t="s">
        <v>982</v>
      </c>
      <c r="H14" s="10" t="s">
        <v>994</v>
      </c>
      <c r="I14" s="9" t="s">
        <v>1109</v>
      </c>
      <c r="J14" s="7" t="s">
        <v>654</v>
      </c>
      <c r="K14" s="10" t="s">
        <v>10</v>
      </c>
      <c r="L14" s="14">
        <v>77400</v>
      </c>
      <c r="M14" s="12">
        <v>63.2</v>
      </c>
      <c r="N14" s="13">
        <f t="shared" si="0"/>
        <v>1224.6835443037974</v>
      </c>
    </row>
    <row r="15" spans="1:18" hidden="1" x14ac:dyDescent="0.25">
      <c r="A15" s="180">
        <v>44400</v>
      </c>
      <c r="B15" s="6" t="s">
        <v>655</v>
      </c>
      <c r="C15" s="6">
        <v>122099</v>
      </c>
      <c r="D15" s="7" t="s">
        <v>1065</v>
      </c>
      <c r="E15" s="8" t="s">
        <v>13</v>
      </c>
      <c r="F15" s="10" t="s">
        <v>653</v>
      </c>
      <c r="G15" s="10" t="s">
        <v>982</v>
      </c>
      <c r="H15" s="10" t="s">
        <v>994</v>
      </c>
      <c r="I15" s="7" t="s">
        <v>656</v>
      </c>
      <c r="J15" s="7" t="s">
        <v>657</v>
      </c>
      <c r="K15" s="10" t="s">
        <v>10</v>
      </c>
      <c r="L15" s="14">
        <v>4659.2</v>
      </c>
      <c r="M15" s="12">
        <v>63.2</v>
      </c>
      <c r="N15" s="13">
        <f t="shared" si="0"/>
        <v>73.721518987341767</v>
      </c>
    </row>
    <row r="16" spans="1:18" hidden="1" x14ac:dyDescent="0.25">
      <c r="A16" s="180">
        <v>44400</v>
      </c>
      <c r="B16" s="6" t="s">
        <v>658</v>
      </c>
      <c r="C16" s="6">
        <v>122099</v>
      </c>
      <c r="D16" s="7" t="s">
        <v>1066</v>
      </c>
      <c r="E16" s="8" t="s">
        <v>19</v>
      </c>
      <c r="F16" s="10" t="s">
        <v>653</v>
      </c>
      <c r="G16" s="10" t="s">
        <v>982</v>
      </c>
      <c r="H16" s="10" t="s">
        <v>994</v>
      </c>
      <c r="I16" s="9" t="s">
        <v>1112</v>
      </c>
      <c r="J16" s="7" t="s">
        <v>662</v>
      </c>
      <c r="K16" s="10" t="s">
        <v>10</v>
      </c>
      <c r="L16" s="14">
        <v>83500</v>
      </c>
      <c r="M16" s="12">
        <v>63.2</v>
      </c>
      <c r="N16" s="13">
        <f t="shared" si="0"/>
        <v>1321.2025316455695</v>
      </c>
    </row>
    <row r="17" spans="1:16" hidden="1" x14ac:dyDescent="0.25">
      <c r="A17" s="180">
        <v>44400</v>
      </c>
      <c r="B17" s="6" t="s">
        <v>663</v>
      </c>
      <c r="C17" s="6">
        <v>121000</v>
      </c>
      <c r="D17" s="7" t="s">
        <v>1061</v>
      </c>
      <c r="E17" s="8" t="s">
        <v>19</v>
      </c>
      <c r="F17" s="10" t="s">
        <v>664</v>
      </c>
      <c r="G17" s="10" t="s">
        <v>982</v>
      </c>
      <c r="H17" s="10" t="s">
        <v>994</v>
      </c>
      <c r="I17" s="9" t="s">
        <v>1113</v>
      </c>
      <c r="J17" s="7" t="s">
        <v>666</v>
      </c>
      <c r="K17" s="10" t="s">
        <v>10</v>
      </c>
      <c r="L17" s="14">
        <v>339898.95</v>
      </c>
      <c r="M17" s="12">
        <v>63.2</v>
      </c>
      <c r="N17" s="13">
        <f t="shared" si="0"/>
        <v>5378.147943037975</v>
      </c>
    </row>
    <row r="18" spans="1:16" hidden="1" x14ac:dyDescent="0.25">
      <c r="A18" s="180">
        <v>44512</v>
      </c>
      <c r="B18" s="6" t="s">
        <v>645</v>
      </c>
      <c r="C18" s="6">
        <v>122099</v>
      </c>
      <c r="D18" s="7" t="s">
        <v>1067</v>
      </c>
      <c r="E18" s="8" t="s">
        <v>19</v>
      </c>
      <c r="F18" s="10" t="s">
        <v>532</v>
      </c>
      <c r="G18" s="10" t="s">
        <v>982</v>
      </c>
      <c r="H18" s="10" t="s">
        <v>994</v>
      </c>
      <c r="I18" s="9" t="s">
        <v>1114</v>
      </c>
      <c r="J18" s="7" t="s">
        <v>648</v>
      </c>
      <c r="K18" s="10" t="s">
        <v>10</v>
      </c>
      <c r="L18" s="14">
        <v>96408</v>
      </c>
      <c r="M18" s="12">
        <v>63.2</v>
      </c>
      <c r="N18" s="13">
        <f t="shared" si="0"/>
        <v>1525.4430379746834</v>
      </c>
    </row>
    <row r="19" spans="1:16" hidden="1" x14ac:dyDescent="0.25">
      <c r="A19" s="180">
        <v>44560</v>
      </c>
      <c r="B19" s="7" t="s">
        <v>631</v>
      </c>
      <c r="C19" s="7">
        <v>112101</v>
      </c>
      <c r="D19" s="7" t="s">
        <v>632</v>
      </c>
      <c r="E19" s="8" t="s">
        <v>19</v>
      </c>
      <c r="F19" s="10" t="s">
        <v>617</v>
      </c>
      <c r="G19" s="10" t="s">
        <v>982</v>
      </c>
      <c r="H19" s="10" t="s">
        <v>994</v>
      </c>
      <c r="I19" s="9" t="s">
        <v>1109</v>
      </c>
      <c r="J19" s="7" t="s">
        <v>633</v>
      </c>
      <c r="K19" s="10" t="s">
        <v>10</v>
      </c>
      <c r="L19" s="18">
        <v>10800</v>
      </c>
      <c r="M19" s="12">
        <v>63.2</v>
      </c>
      <c r="N19" s="13">
        <f t="shared" si="0"/>
        <v>170.88607594936707</v>
      </c>
    </row>
    <row r="20" spans="1:16" hidden="1" x14ac:dyDescent="0.25">
      <c r="A20" s="180">
        <v>44560</v>
      </c>
      <c r="B20" s="7" t="s">
        <v>634</v>
      </c>
      <c r="C20" s="7">
        <v>112101</v>
      </c>
      <c r="D20" s="7" t="s">
        <v>632</v>
      </c>
      <c r="E20" s="8" t="s">
        <v>19</v>
      </c>
      <c r="F20" s="10" t="s">
        <v>617</v>
      </c>
      <c r="G20" s="10" t="s">
        <v>982</v>
      </c>
      <c r="H20" s="10" t="s">
        <v>994</v>
      </c>
      <c r="I20" s="9" t="s">
        <v>1109</v>
      </c>
      <c r="J20" s="7" t="s">
        <v>635</v>
      </c>
      <c r="K20" s="10" t="s">
        <v>10</v>
      </c>
      <c r="L20" s="14">
        <v>3600</v>
      </c>
      <c r="M20" s="12">
        <v>63.2</v>
      </c>
      <c r="N20" s="13">
        <f t="shared" si="0"/>
        <v>56.962025316455694</v>
      </c>
    </row>
    <row r="21" spans="1:16" hidden="1" x14ac:dyDescent="0.25">
      <c r="A21" s="180">
        <v>44560</v>
      </c>
      <c r="B21" s="6" t="s">
        <v>636</v>
      </c>
      <c r="C21" s="6">
        <v>112101</v>
      </c>
      <c r="D21" s="7" t="s">
        <v>632</v>
      </c>
      <c r="E21" s="8" t="s">
        <v>19</v>
      </c>
      <c r="F21" s="10" t="s">
        <v>617</v>
      </c>
      <c r="G21" s="10" t="s">
        <v>982</v>
      </c>
      <c r="H21" s="10" t="s">
        <v>994</v>
      </c>
      <c r="I21" s="9" t="s">
        <v>1115</v>
      </c>
      <c r="J21" s="7" t="s">
        <v>637</v>
      </c>
      <c r="K21" s="10" t="s">
        <v>10</v>
      </c>
      <c r="L21" s="14">
        <v>37800</v>
      </c>
      <c r="M21" s="12">
        <v>63.2</v>
      </c>
      <c r="N21" s="13">
        <f t="shared" si="0"/>
        <v>598.10126582278474</v>
      </c>
    </row>
    <row r="22" spans="1:16" hidden="1" x14ac:dyDescent="0.25">
      <c r="A22" s="180">
        <v>44560</v>
      </c>
      <c r="B22" s="6" t="s">
        <v>638</v>
      </c>
      <c r="C22" s="6">
        <v>112101</v>
      </c>
      <c r="D22" s="7" t="s">
        <v>632</v>
      </c>
      <c r="E22" s="8" t="s">
        <v>19</v>
      </c>
      <c r="F22" s="10" t="s">
        <v>617</v>
      </c>
      <c r="G22" s="10" t="s">
        <v>982</v>
      </c>
      <c r="H22" s="10" t="s">
        <v>994</v>
      </c>
      <c r="I22" s="9" t="s">
        <v>1115</v>
      </c>
      <c r="J22" s="7" t="s">
        <v>633</v>
      </c>
      <c r="K22" s="10" t="s">
        <v>10</v>
      </c>
      <c r="L22" s="14">
        <v>7800</v>
      </c>
      <c r="M22" s="12">
        <v>63.2</v>
      </c>
      <c r="N22" s="13">
        <f t="shared" si="0"/>
        <v>123.41772151898734</v>
      </c>
    </row>
    <row r="23" spans="1:16" hidden="1" x14ac:dyDescent="0.25">
      <c r="A23" s="180">
        <v>44560</v>
      </c>
      <c r="B23" s="6" t="s">
        <v>639</v>
      </c>
      <c r="C23" s="6">
        <v>121002</v>
      </c>
      <c r="D23" s="7" t="s">
        <v>1068</v>
      </c>
      <c r="E23" s="8" t="s">
        <v>19</v>
      </c>
      <c r="F23" s="10" t="s">
        <v>617</v>
      </c>
      <c r="G23" s="10" t="s">
        <v>982</v>
      </c>
      <c r="H23" s="10" t="s">
        <v>994</v>
      </c>
      <c r="I23" s="9" t="s">
        <v>1115</v>
      </c>
      <c r="J23" s="7" t="s">
        <v>641</v>
      </c>
      <c r="K23" s="10" t="s">
        <v>10</v>
      </c>
      <c r="L23" s="14">
        <v>10800</v>
      </c>
      <c r="M23" s="12">
        <v>63.2</v>
      </c>
      <c r="N23" s="13">
        <f t="shared" si="0"/>
        <v>170.88607594936707</v>
      </c>
      <c r="P23" s="3">
        <f>61*6000</f>
        <v>366000</v>
      </c>
    </row>
    <row r="24" spans="1:16" hidden="1" x14ac:dyDescent="0.25">
      <c r="A24" s="180">
        <v>44560</v>
      </c>
      <c r="B24" s="6" t="s">
        <v>642</v>
      </c>
      <c r="C24" s="6">
        <v>112101</v>
      </c>
      <c r="D24" s="7" t="s">
        <v>1069</v>
      </c>
      <c r="E24" s="8" t="s">
        <v>19</v>
      </c>
      <c r="F24" s="10" t="s">
        <v>617</v>
      </c>
      <c r="G24" s="10" t="s">
        <v>982</v>
      </c>
      <c r="H24" s="10" t="s">
        <v>994</v>
      </c>
      <c r="I24" s="9" t="s">
        <v>1109</v>
      </c>
      <c r="J24" s="7" t="s">
        <v>644</v>
      </c>
      <c r="K24" s="10" t="s">
        <v>10</v>
      </c>
      <c r="L24" s="14">
        <v>10800</v>
      </c>
      <c r="M24" s="12">
        <v>63.2</v>
      </c>
      <c r="N24" s="13">
        <f t="shared" si="0"/>
        <v>170.88607594936707</v>
      </c>
      <c r="P24" s="3">
        <f>14*1800</f>
        <v>25200</v>
      </c>
    </row>
    <row r="25" spans="1:16" hidden="1" x14ac:dyDescent="0.25">
      <c r="A25" s="180">
        <v>44560</v>
      </c>
      <c r="B25" s="6" t="s">
        <v>649</v>
      </c>
      <c r="C25" s="6">
        <v>112101</v>
      </c>
      <c r="D25" s="7" t="s">
        <v>1070</v>
      </c>
      <c r="E25" s="8" t="s">
        <v>19</v>
      </c>
      <c r="F25" s="10" t="s">
        <v>617</v>
      </c>
      <c r="G25" s="10" t="s">
        <v>982</v>
      </c>
      <c r="H25" s="10" t="s">
        <v>994</v>
      </c>
      <c r="I25" s="9" t="s">
        <v>1109</v>
      </c>
      <c r="J25" s="7" t="s">
        <v>651</v>
      </c>
      <c r="K25" s="10" t="s">
        <v>10</v>
      </c>
      <c r="L25" s="14">
        <v>10800</v>
      </c>
      <c r="M25" s="12">
        <v>63.2</v>
      </c>
      <c r="N25" s="13">
        <f t="shared" si="0"/>
        <v>170.88607594936707</v>
      </c>
      <c r="O25" s="3" t="s">
        <v>994</v>
      </c>
    </row>
    <row r="26" spans="1:16" hidden="1" x14ac:dyDescent="0.25">
      <c r="A26" s="180">
        <v>44623</v>
      </c>
      <c r="B26" s="6" t="s">
        <v>530</v>
      </c>
      <c r="C26" s="6">
        <v>121099</v>
      </c>
      <c r="D26" s="7" t="s">
        <v>531</v>
      </c>
      <c r="E26" s="8" t="s">
        <v>19</v>
      </c>
      <c r="F26" s="10" t="s">
        <v>532</v>
      </c>
      <c r="G26" s="10" t="s">
        <v>532</v>
      </c>
      <c r="H26" s="10" t="s">
        <v>994</v>
      </c>
      <c r="I26" s="9" t="s">
        <v>533</v>
      </c>
      <c r="J26" s="7" t="s">
        <v>534</v>
      </c>
      <c r="K26" s="10" t="s">
        <v>10</v>
      </c>
      <c r="L26" s="11">
        <v>239800</v>
      </c>
      <c r="M26" s="12">
        <v>63.2</v>
      </c>
      <c r="N26" s="13">
        <f>L26/M26</f>
        <v>3794.3037974683543</v>
      </c>
    </row>
    <row r="27" spans="1:16" hidden="1" x14ac:dyDescent="0.25">
      <c r="A27" s="180">
        <v>44623</v>
      </c>
      <c r="B27" s="6" t="s">
        <v>535</v>
      </c>
      <c r="C27" s="7">
        <v>121099</v>
      </c>
      <c r="D27" s="7" t="s">
        <v>1071</v>
      </c>
      <c r="E27" s="8" t="s">
        <v>19</v>
      </c>
      <c r="F27" s="10" t="s">
        <v>532</v>
      </c>
      <c r="G27" s="10" t="s">
        <v>532</v>
      </c>
      <c r="H27" s="10" t="s">
        <v>994</v>
      </c>
      <c r="I27" s="9" t="s">
        <v>533</v>
      </c>
      <c r="J27" s="7" t="s">
        <v>553</v>
      </c>
      <c r="K27" s="10" t="s">
        <v>10</v>
      </c>
      <c r="L27" s="11">
        <v>21000</v>
      </c>
      <c r="M27" s="12">
        <v>63.2</v>
      </c>
      <c r="N27" s="13">
        <f>L27/M27</f>
        <v>332.27848101265823</v>
      </c>
    </row>
    <row r="28" spans="1:16" hidden="1" x14ac:dyDescent="0.25">
      <c r="A28" s="180">
        <v>44623</v>
      </c>
      <c r="B28" s="6" t="s">
        <v>537</v>
      </c>
      <c r="C28" s="7">
        <v>121099</v>
      </c>
      <c r="D28" s="7" t="s">
        <v>1072</v>
      </c>
      <c r="E28" s="8" t="s">
        <v>19</v>
      </c>
      <c r="F28" s="10" t="s">
        <v>532</v>
      </c>
      <c r="G28" s="10" t="s">
        <v>532</v>
      </c>
      <c r="H28" s="10" t="s">
        <v>994</v>
      </c>
      <c r="I28" s="9" t="s">
        <v>533</v>
      </c>
      <c r="J28" s="7" t="s">
        <v>539</v>
      </c>
      <c r="K28" s="10" t="s">
        <v>10</v>
      </c>
      <c r="L28" s="11">
        <v>52500</v>
      </c>
      <c r="M28" s="12">
        <v>63.2</v>
      </c>
      <c r="N28" s="13">
        <f t="shared" ref="N28:N91" si="1">L28/M28</f>
        <v>830.69620253164555</v>
      </c>
    </row>
    <row r="29" spans="1:16" hidden="1" x14ac:dyDescent="0.25">
      <c r="A29" s="180">
        <v>44623</v>
      </c>
      <c r="B29" s="6" t="s">
        <v>540</v>
      </c>
      <c r="C29" s="7">
        <v>121099</v>
      </c>
      <c r="D29" s="7" t="s">
        <v>541</v>
      </c>
      <c r="E29" s="8" t="s">
        <v>19</v>
      </c>
      <c r="F29" s="10" t="s">
        <v>532</v>
      </c>
      <c r="G29" s="10" t="s">
        <v>532</v>
      </c>
      <c r="H29" s="10" t="s">
        <v>994</v>
      </c>
      <c r="I29" s="9" t="s">
        <v>533</v>
      </c>
      <c r="J29" s="7" t="s">
        <v>553</v>
      </c>
      <c r="K29" s="10" t="s">
        <v>10</v>
      </c>
      <c r="L29" s="11">
        <v>123750</v>
      </c>
      <c r="M29" s="12">
        <v>63.2</v>
      </c>
      <c r="N29" s="13">
        <f t="shared" si="1"/>
        <v>1958.0696202531644</v>
      </c>
    </row>
    <row r="30" spans="1:16" hidden="1" x14ac:dyDescent="0.25">
      <c r="A30" s="180">
        <v>44623</v>
      </c>
      <c r="B30" s="6" t="s">
        <v>542</v>
      </c>
      <c r="C30" s="7">
        <v>121099</v>
      </c>
      <c r="D30" s="7" t="s">
        <v>543</v>
      </c>
      <c r="E30" s="8" t="s">
        <v>19</v>
      </c>
      <c r="F30" s="59" t="s">
        <v>532</v>
      </c>
      <c r="G30" s="10" t="s">
        <v>532</v>
      </c>
      <c r="H30" s="10" t="s">
        <v>994</v>
      </c>
      <c r="I30" s="9" t="s">
        <v>533</v>
      </c>
      <c r="J30" s="7" t="s">
        <v>544</v>
      </c>
      <c r="K30" s="10" t="s">
        <v>10</v>
      </c>
      <c r="L30" s="11">
        <v>52275</v>
      </c>
      <c r="M30" s="12">
        <v>63.2</v>
      </c>
      <c r="N30" s="13">
        <f t="shared" si="1"/>
        <v>827.13607594936707</v>
      </c>
    </row>
    <row r="31" spans="1:16" hidden="1" x14ac:dyDescent="0.25">
      <c r="A31" s="180">
        <v>44623</v>
      </c>
      <c r="B31" s="7" t="s">
        <v>545</v>
      </c>
      <c r="C31" s="7">
        <v>121099</v>
      </c>
      <c r="D31" s="7" t="s">
        <v>546</v>
      </c>
      <c r="E31" s="8" t="s">
        <v>19</v>
      </c>
      <c r="F31" s="10" t="s">
        <v>532</v>
      </c>
      <c r="G31" s="10" t="s">
        <v>532</v>
      </c>
      <c r="H31" s="10" t="s">
        <v>994</v>
      </c>
      <c r="I31" s="7" t="s">
        <v>533</v>
      </c>
      <c r="J31" s="7" t="s">
        <v>547</v>
      </c>
      <c r="K31" s="10" t="s">
        <v>10</v>
      </c>
      <c r="L31" s="14">
        <v>19008</v>
      </c>
      <c r="M31" s="12">
        <v>63.2</v>
      </c>
      <c r="N31" s="13">
        <f t="shared" si="1"/>
        <v>300.75949367088606</v>
      </c>
    </row>
    <row r="32" spans="1:16" hidden="1" x14ac:dyDescent="0.25">
      <c r="A32" s="180">
        <v>44623</v>
      </c>
      <c r="B32" s="7" t="s">
        <v>548</v>
      </c>
      <c r="C32" s="7">
        <v>121099</v>
      </c>
      <c r="D32" s="7" t="s">
        <v>549</v>
      </c>
      <c r="E32" s="8" t="s">
        <v>19</v>
      </c>
      <c r="F32" s="10" t="s">
        <v>532</v>
      </c>
      <c r="G32" s="10" t="s">
        <v>532</v>
      </c>
      <c r="H32" s="10" t="s">
        <v>994</v>
      </c>
      <c r="I32" s="15" t="s">
        <v>533</v>
      </c>
      <c r="J32" s="7" t="s">
        <v>547</v>
      </c>
      <c r="K32" s="10" t="s">
        <v>10</v>
      </c>
      <c r="L32" s="14">
        <v>163360</v>
      </c>
      <c r="M32" s="12">
        <v>63.2</v>
      </c>
      <c r="N32" s="13">
        <f t="shared" si="1"/>
        <v>2584.8101265822784</v>
      </c>
    </row>
    <row r="33" spans="1:16" hidden="1" x14ac:dyDescent="0.25">
      <c r="A33" s="180">
        <v>44623</v>
      </c>
      <c r="B33" s="7" t="s">
        <v>550</v>
      </c>
      <c r="C33" s="7">
        <v>121099</v>
      </c>
      <c r="D33" s="7" t="s">
        <v>1073</v>
      </c>
      <c r="E33" s="8" t="s">
        <v>19</v>
      </c>
      <c r="F33" s="10" t="s">
        <v>532</v>
      </c>
      <c r="G33" s="10" t="s">
        <v>532</v>
      </c>
      <c r="H33" s="10" t="s">
        <v>994</v>
      </c>
      <c r="I33" s="9" t="s">
        <v>533</v>
      </c>
      <c r="J33" s="7" t="s">
        <v>552</v>
      </c>
      <c r="K33" s="10" t="s">
        <v>10</v>
      </c>
      <c r="L33" s="14">
        <v>34687.5</v>
      </c>
      <c r="M33" s="12">
        <v>63.2</v>
      </c>
      <c r="N33" s="13">
        <f t="shared" si="1"/>
        <v>548.85284810126575</v>
      </c>
    </row>
    <row r="34" spans="1:16" hidden="1" x14ac:dyDescent="0.25">
      <c r="A34" s="180">
        <v>44623</v>
      </c>
      <c r="B34" s="7" t="s">
        <v>733</v>
      </c>
      <c r="C34" s="7">
        <v>121099</v>
      </c>
      <c r="D34" s="7" t="s">
        <v>554</v>
      </c>
      <c r="E34" s="8" t="s">
        <v>19</v>
      </c>
      <c r="F34" s="10" t="s">
        <v>532</v>
      </c>
      <c r="G34" s="10" t="s">
        <v>532</v>
      </c>
      <c r="H34" s="10" t="s">
        <v>994</v>
      </c>
      <c r="I34" s="7" t="s">
        <v>533</v>
      </c>
      <c r="J34" s="7" t="s">
        <v>552</v>
      </c>
      <c r="K34" s="10" t="s">
        <v>10</v>
      </c>
      <c r="L34" s="14">
        <v>11745</v>
      </c>
      <c r="M34" s="12">
        <v>63.2</v>
      </c>
      <c r="N34" s="13">
        <f t="shared" si="1"/>
        <v>185.83860759493669</v>
      </c>
    </row>
    <row r="35" spans="1:16" hidden="1" x14ac:dyDescent="0.25">
      <c r="A35" s="180">
        <v>44623</v>
      </c>
      <c r="B35" s="7" t="s">
        <v>734</v>
      </c>
      <c r="C35" s="7">
        <v>121099</v>
      </c>
      <c r="D35" s="7" t="s">
        <v>1074</v>
      </c>
      <c r="E35" s="8" t="s">
        <v>19</v>
      </c>
      <c r="F35" s="10" t="s">
        <v>532</v>
      </c>
      <c r="G35" s="10" t="s">
        <v>532</v>
      </c>
      <c r="H35" s="10" t="s">
        <v>994</v>
      </c>
      <c r="I35" s="7" t="s">
        <v>533</v>
      </c>
      <c r="J35" s="7" t="s">
        <v>556</v>
      </c>
      <c r="K35" s="10" t="s">
        <v>10</v>
      </c>
      <c r="L35" s="14">
        <v>194295</v>
      </c>
      <c r="M35" s="12">
        <v>63.2</v>
      </c>
      <c r="N35" s="13">
        <f t="shared" si="1"/>
        <v>3074.2879746835442</v>
      </c>
    </row>
    <row r="36" spans="1:16" hidden="1" x14ac:dyDescent="0.25">
      <c r="A36" s="180">
        <v>44623</v>
      </c>
      <c r="B36" s="7" t="s">
        <v>735</v>
      </c>
      <c r="C36" s="7">
        <v>121099</v>
      </c>
      <c r="D36" s="7" t="s">
        <v>557</v>
      </c>
      <c r="E36" s="8" t="s">
        <v>19</v>
      </c>
      <c r="F36" s="10" t="s">
        <v>532</v>
      </c>
      <c r="G36" s="10" t="s">
        <v>532</v>
      </c>
      <c r="H36" s="10" t="s">
        <v>994</v>
      </c>
      <c r="I36" s="7" t="s">
        <v>533</v>
      </c>
      <c r="J36" s="7" t="s">
        <v>547</v>
      </c>
      <c r="K36" s="10" t="s">
        <v>10</v>
      </c>
      <c r="L36" s="18">
        <v>295510</v>
      </c>
      <c r="M36" s="12">
        <v>63.2</v>
      </c>
      <c r="N36" s="13">
        <f t="shared" si="1"/>
        <v>4675.7911392405058</v>
      </c>
      <c r="P36" s="81"/>
    </row>
    <row r="37" spans="1:16" hidden="1" x14ac:dyDescent="0.25">
      <c r="A37" s="180">
        <v>44623</v>
      </c>
      <c r="B37" s="6" t="s">
        <v>736</v>
      </c>
      <c r="C37" s="6">
        <v>121099</v>
      </c>
      <c r="D37" s="7" t="s">
        <v>558</v>
      </c>
      <c r="E37" s="8" t="s">
        <v>19</v>
      </c>
      <c r="F37" s="10" t="s">
        <v>532</v>
      </c>
      <c r="G37" s="10" t="s">
        <v>532</v>
      </c>
      <c r="H37" s="10" t="s">
        <v>994</v>
      </c>
      <c r="I37" s="9" t="s">
        <v>533</v>
      </c>
      <c r="J37" s="7" t="s">
        <v>547</v>
      </c>
      <c r="K37" s="10" t="s">
        <v>10</v>
      </c>
      <c r="L37" s="14">
        <v>210434</v>
      </c>
      <c r="M37" s="12">
        <v>63.2</v>
      </c>
      <c r="N37" s="13">
        <f t="shared" si="1"/>
        <v>3329.6518987341769</v>
      </c>
    </row>
    <row r="38" spans="1:16" hidden="1" x14ac:dyDescent="0.2">
      <c r="A38" s="180">
        <v>44644</v>
      </c>
      <c r="B38" s="7" t="s">
        <v>737</v>
      </c>
      <c r="C38" s="7">
        <v>112101</v>
      </c>
      <c r="D38" s="7" t="s">
        <v>1062</v>
      </c>
      <c r="E38" s="8" t="s">
        <v>19</v>
      </c>
      <c r="F38" s="10" t="s">
        <v>561</v>
      </c>
      <c r="G38" s="159" t="s">
        <v>1386</v>
      </c>
      <c r="H38" s="10" t="s">
        <v>994</v>
      </c>
      <c r="I38" s="9" t="s">
        <v>1109</v>
      </c>
      <c r="J38" s="7" t="s">
        <v>562</v>
      </c>
      <c r="K38" s="10" t="s">
        <v>10</v>
      </c>
      <c r="L38" s="18">
        <v>138600</v>
      </c>
      <c r="M38" s="12">
        <v>63.2</v>
      </c>
      <c r="N38" s="13">
        <f t="shared" si="1"/>
        <v>2193.0379746835442</v>
      </c>
      <c r="O38" s="81">
        <f>77400+59400+19800+19800+19800+19800+7800</f>
        <v>223800</v>
      </c>
    </row>
    <row r="39" spans="1:16" hidden="1" x14ac:dyDescent="0.2">
      <c r="A39" s="180">
        <v>44644</v>
      </c>
      <c r="B39" s="7" t="s">
        <v>738</v>
      </c>
      <c r="C39" s="7">
        <v>112101</v>
      </c>
      <c r="D39" s="7" t="s">
        <v>1062</v>
      </c>
      <c r="E39" s="8" t="s">
        <v>19</v>
      </c>
      <c r="F39" s="10" t="s">
        <v>561</v>
      </c>
      <c r="G39" s="159" t="s">
        <v>1386</v>
      </c>
      <c r="H39" s="10" t="s">
        <v>994</v>
      </c>
      <c r="I39" s="7" t="s">
        <v>1109</v>
      </c>
      <c r="J39" s="7" t="s">
        <v>562</v>
      </c>
      <c r="K39" s="10" t="s">
        <v>10</v>
      </c>
      <c r="L39" s="14">
        <v>85200</v>
      </c>
      <c r="M39" s="12">
        <v>63.2</v>
      </c>
      <c r="N39" s="13">
        <f t="shared" si="1"/>
        <v>1348.1012658227849</v>
      </c>
    </row>
    <row r="40" spans="1:16" hidden="1" x14ac:dyDescent="0.25">
      <c r="A40" s="180">
        <v>44644</v>
      </c>
      <c r="B40" s="6" t="s">
        <v>739</v>
      </c>
      <c r="C40" s="6">
        <v>122099</v>
      </c>
      <c r="D40" s="7" t="s">
        <v>559</v>
      </c>
      <c r="E40" s="8" t="s">
        <v>19</v>
      </c>
      <c r="F40" s="10" t="s">
        <v>560</v>
      </c>
      <c r="G40" s="10" t="s">
        <v>560</v>
      </c>
      <c r="H40" s="10" t="s">
        <v>994</v>
      </c>
      <c r="I40" s="9" t="s">
        <v>533</v>
      </c>
      <c r="J40" s="7" t="s">
        <v>1054</v>
      </c>
      <c r="K40" s="10" t="s">
        <v>10</v>
      </c>
      <c r="L40" s="14">
        <v>719100</v>
      </c>
      <c r="M40" s="12">
        <v>63.2</v>
      </c>
      <c r="N40" s="13">
        <f t="shared" si="1"/>
        <v>11378.164556962025</v>
      </c>
    </row>
    <row r="41" spans="1:16" hidden="1" x14ac:dyDescent="0.25">
      <c r="A41" s="180">
        <v>44680</v>
      </c>
      <c r="B41" s="6" t="s">
        <v>740</v>
      </c>
      <c r="C41" s="6">
        <v>122099</v>
      </c>
      <c r="D41" s="7" t="s">
        <v>1075</v>
      </c>
      <c r="E41" s="8" t="s">
        <v>19</v>
      </c>
      <c r="F41" s="10" t="s">
        <v>565</v>
      </c>
      <c r="G41" s="10" t="s">
        <v>565</v>
      </c>
      <c r="H41" s="10" t="s">
        <v>994</v>
      </c>
      <c r="I41" s="9" t="s">
        <v>1116</v>
      </c>
      <c r="J41" s="7" t="s">
        <v>568</v>
      </c>
      <c r="K41" s="10" t="s">
        <v>10</v>
      </c>
      <c r="L41" s="14">
        <v>10000</v>
      </c>
      <c r="M41" s="12">
        <v>63.2</v>
      </c>
      <c r="N41" s="13">
        <f t="shared" si="1"/>
        <v>158.22784810126581</v>
      </c>
    </row>
    <row r="42" spans="1:16" hidden="1" x14ac:dyDescent="0.25">
      <c r="A42" s="180">
        <v>44686</v>
      </c>
      <c r="B42" s="6" t="s">
        <v>744</v>
      </c>
      <c r="C42" s="6">
        <v>112101</v>
      </c>
      <c r="D42" s="7" t="s">
        <v>1076</v>
      </c>
      <c r="E42" s="8" t="s">
        <v>13</v>
      </c>
      <c r="F42" s="10" t="s">
        <v>572</v>
      </c>
      <c r="G42" s="10" t="s">
        <v>572</v>
      </c>
      <c r="H42" s="10" t="s">
        <v>994</v>
      </c>
      <c r="I42" s="9" t="s">
        <v>1115</v>
      </c>
      <c r="J42" s="7" t="s">
        <v>573</v>
      </c>
      <c r="K42" s="10" t="s">
        <v>10</v>
      </c>
      <c r="L42" s="14">
        <v>42000</v>
      </c>
      <c r="M42" s="12">
        <v>63.2</v>
      </c>
      <c r="N42" s="13">
        <f>L42/M42</f>
        <v>664.55696202531647</v>
      </c>
    </row>
    <row r="43" spans="1:16" hidden="1" x14ac:dyDescent="0.25">
      <c r="A43" s="180">
        <v>44686</v>
      </c>
      <c r="B43" s="6" t="s">
        <v>741</v>
      </c>
      <c r="C43" s="6">
        <v>121002</v>
      </c>
      <c r="D43" s="7" t="s">
        <v>1077</v>
      </c>
      <c r="E43" s="8" t="s">
        <v>19</v>
      </c>
      <c r="F43" s="10" t="s">
        <v>565</v>
      </c>
      <c r="G43" s="10" t="s">
        <v>565</v>
      </c>
      <c r="H43" s="10" t="s">
        <v>994</v>
      </c>
      <c r="I43" s="9" t="s">
        <v>1117</v>
      </c>
      <c r="J43" s="7" t="s">
        <v>579</v>
      </c>
      <c r="K43" s="10" t="s">
        <v>10</v>
      </c>
      <c r="L43" s="14">
        <v>104948</v>
      </c>
      <c r="M43" s="12">
        <v>63.2</v>
      </c>
      <c r="N43" s="13">
        <f t="shared" si="1"/>
        <v>1660.5696202531644</v>
      </c>
      <c r="O43" s="3">
        <f>5400+5400+29600+7200+3600+9828+12920+15000+16000</f>
        <v>104948</v>
      </c>
    </row>
    <row r="44" spans="1:16" hidden="1" x14ac:dyDescent="0.25">
      <c r="A44" s="180">
        <v>44687</v>
      </c>
      <c r="B44" s="6" t="s">
        <v>742</v>
      </c>
      <c r="C44" s="6">
        <v>122099</v>
      </c>
      <c r="D44" s="7" t="s">
        <v>1078</v>
      </c>
      <c r="E44" s="8" t="s">
        <v>19</v>
      </c>
      <c r="F44" s="10" t="s">
        <v>565</v>
      </c>
      <c r="G44" s="10" t="s">
        <v>565</v>
      </c>
      <c r="H44" s="10" t="s">
        <v>994</v>
      </c>
      <c r="I44" s="9" t="s">
        <v>569</v>
      </c>
      <c r="J44" s="7" t="s">
        <v>570</v>
      </c>
      <c r="K44" s="10" t="s">
        <v>10</v>
      </c>
      <c r="L44" s="14">
        <v>26000</v>
      </c>
      <c r="M44" s="12">
        <v>63.2</v>
      </c>
      <c r="N44" s="13">
        <f t="shared" si="1"/>
        <v>411.39240506329111</v>
      </c>
    </row>
    <row r="45" spans="1:16" hidden="1" x14ac:dyDescent="0.25">
      <c r="A45" s="180">
        <v>44687</v>
      </c>
      <c r="B45" s="6" t="s">
        <v>743</v>
      </c>
      <c r="C45" s="6">
        <v>122099</v>
      </c>
      <c r="D45" s="7" t="s">
        <v>1078</v>
      </c>
      <c r="E45" s="8" t="s">
        <v>19</v>
      </c>
      <c r="F45" s="10" t="s">
        <v>565</v>
      </c>
      <c r="G45" s="10" t="s">
        <v>565</v>
      </c>
      <c r="H45" s="10" t="s">
        <v>994</v>
      </c>
      <c r="I45" s="9" t="s">
        <v>569</v>
      </c>
      <c r="J45" s="7" t="s">
        <v>570</v>
      </c>
      <c r="K45" s="10" t="s">
        <v>10</v>
      </c>
      <c r="L45" s="14">
        <v>26000</v>
      </c>
      <c r="M45" s="12">
        <v>63.2</v>
      </c>
      <c r="N45" s="13">
        <f t="shared" si="1"/>
        <v>411.39240506329111</v>
      </c>
    </row>
    <row r="46" spans="1:16" hidden="1" x14ac:dyDescent="0.25">
      <c r="A46" s="181">
        <v>44687</v>
      </c>
      <c r="B46" s="86" t="s">
        <v>745</v>
      </c>
      <c r="C46" s="86">
        <v>213001</v>
      </c>
      <c r="D46" s="87" t="s">
        <v>1079</v>
      </c>
      <c r="E46" s="88" t="s">
        <v>19</v>
      </c>
      <c r="F46" s="89" t="s">
        <v>575</v>
      </c>
      <c r="G46" s="10" t="s">
        <v>575</v>
      </c>
      <c r="H46" s="89" t="s">
        <v>1047</v>
      </c>
      <c r="I46" s="90" t="s">
        <v>1118</v>
      </c>
      <c r="J46" s="87" t="s">
        <v>577</v>
      </c>
      <c r="K46" s="89" t="s">
        <v>10</v>
      </c>
      <c r="L46" s="92">
        <v>17641218.350000001</v>
      </c>
      <c r="M46" s="93">
        <v>63.2</v>
      </c>
      <c r="N46" s="94">
        <f t="shared" si="1"/>
        <v>279133.20174050634</v>
      </c>
    </row>
    <row r="47" spans="1:16" hidden="1" x14ac:dyDescent="0.25">
      <c r="A47" s="180">
        <v>44697</v>
      </c>
      <c r="B47" s="6" t="s">
        <v>746</v>
      </c>
      <c r="C47" s="6">
        <v>121001</v>
      </c>
      <c r="D47" s="7" t="s">
        <v>1080</v>
      </c>
      <c r="E47" s="8" t="s">
        <v>19</v>
      </c>
      <c r="F47" s="10" t="s">
        <v>565</v>
      </c>
      <c r="G47" s="10" t="s">
        <v>565</v>
      </c>
      <c r="H47" s="10" t="s">
        <v>994</v>
      </c>
      <c r="I47" s="9" t="s">
        <v>1117</v>
      </c>
      <c r="J47" s="7" t="s">
        <v>581</v>
      </c>
      <c r="K47" s="10" t="s">
        <v>10</v>
      </c>
      <c r="L47" s="14">
        <v>6600</v>
      </c>
      <c r="M47" s="12">
        <v>63.2</v>
      </c>
      <c r="N47" s="13">
        <f t="shared" si="1"/>
        <v>104.43037974683544</v>
      </c>
    </row>
    <row r="48" spans="1:16" hidden="1" x14ac:dyDescent="0.25">
      <c r="A48" s="180">
        <v>44697</v>
      </c>
      <c r="B48" s="6" t="s">
        <v>747</v>
      </c>
      <c r="C48" s="6">
        <v>213004</v>
      </c>
      <c r="D48" s="7" t="s">
        <v>1081</v>
      </c>
      <c r="E48" s="8" t="s">
        <v>19</v>
      </c>
      <c r="F48" s="10" t="s">
        <v>583</v>
      </c>
      <c r="G48" s="10" t="s">
        <v>583</v>
      </c>
      <c r="H48" s="10" t="s">
        <v>994</v>
      </c>
      <c r="I48" s="9" t="s">
        <v>1119</v>
      </c>
      <c r="J48" s="7" t="s">
        <v>585</v>
      </c>
      <c r="K48" s="10" t="s">
        <v>10</v>
      </c>
      <c r="L48" s="14">
        <v>1535434.28</v>
      </c>
      <c r="M48" s="12">
        <v>63.2</v>
      </c>
      <c r="N48" s="13">
        <f t="shared" si="1"/>
        <v>24294.846202531644</v>
      </c>
    </row>
    <row r="49" spans="1:15" hidden="1" x14ac:dyDescent="0.25">
      <c r="A49" s="180">
        <v>44699</v>
      </c>
      <c r="B49" s="6" t="s">
        <v>732</v>
      </c>
      <c r="C49" s="6">
        <v>121001</v>
      </c>
      <c r="D49" s="7" t="s">
        <v>1077</v>
      </c>
      <c r="E49" s="8" t="s">
        <v>13</v>
      </c>
      <c r="F49" s="10" t="s">
        <v>586</v>
      </c>
      <c r="G49" s="10" t="s">
        <v>586</v>
      </c>
      <c r="H49" s="10" t="s">
        <v>994</v>
      </c>
      <c r="I49" s="9" t="s">
        <v>1120</v>
      </c>
      <c r="J49" s="7" t="s">
        <v>588</v>
      </c>
      <c r="K49" s="10" t="s">
        <v>10</v>
      </c>
      <c r="L49" s="14">
        <v>14433.5</v>
      </c>
      <c r="M49" s="12">
        <v>63.2</v>
      </c>
      <c r="N49" s="13">
        <f t="shared" si="1"/>
        <v>228.37816455696202</v>
      </c>
    </row>
    <row r="50" spans="1:15" hidden="1" x14ac:dyDescent="0.25">
      <c r="A50" s="180">
        <v>44699</v>
      </c>
      <c r="B50" s="6" t="s">
        <v>731</v>
      </c>
      <c r="C50" s="6">
        <v>112101</v>
      </c>
      <c r="D50" s="7" t="s">
        <v>1062</v>
      </c>
      <c r="E50" s="8" t="s">
        <v>13</v>
      </c>
      <c r="F50" s="10" t="s">
        <v>586</v>
      </c>
      <c r="G50" s="10" t="s">
        <v>586</v>
      </c>
      <c r="H50" s="10" t="s">
        <v>994</v>
      </c>
      <c r="I50" s="9" t="s">
        <v>1109</v>
      </c>
      <c r="J50" s="7" t="s">
        <v>589</v>
      </c>
      <c r="K50" s="10" t="s">
        <v>10</v>
      </c>
      <c r="L50" s="14">
        <v>478800</v>
      </c>
      <c r="M50" s="12">
        <v>63.2</v>
      </c>
      <c r="N50" s="13">
        <f t="shared" si="1"/>
        <v>7575.9493670886077</v>
      </c>
    </row>
    <row r="51" spans="1:15" hidden="1" x14ac:dyDescent="0.25">
      <c r="A51" s="180">
        <v>44699</v>
      </c>
      <c r="B51" s="6" t="s">
        <v>730</v>
      </c>
      <c r="C51" s="6">
        <v>122099</v>
      </c>
      <c r="D51" s="7" t="s">
        <v>1082</v>
      </c>
      <c r="E51" s="8" t="s">
        <v>19</v>
      </c>
      <c r="F51" s="10" t="s">
        <v>565</v>
      </c>
      <c r="G51" s="10" t="s">
        <v>565</v>
      </c>
      <c r="H51" s="10" t="s">
        <v>994</v>
      </c>
      <c r="I51" s="9" t="s">
        <v>1116</v>
      </c>
      <c r="J51" s="7" t="s">
        <v>591</v>
      </c>
      <c r="K51" s="10" t="s">
        <v>10</v>
      </c>
      <c r="L51" s="14">
        <v>28000</v>
      </c>
      <c r="M51" s="12">
        <v>63.2</v>
      </c>
      <c r="N51" s="13">
        <f t="shared" si="1"/>
        <v>443.03797468354429</v>
      </c>
    </row>
    <row r="52" spans="1:15" hidden="1" x14ac:dyDescent="0.25">
      <c r="A52" s="180">
        <v>44706</v>
      </c>
      <c r="B52" s="6" t="s">
        <v>667</v>
      </c>
      <c r="C52" s="6">
        <v>112101</v>
      </c>
      <c r="D52" s="7" t="s">
        <v>1062</v>
      </c>
      <c r="E52" s="8" t="s">
        <v>13</v>
      </c>
      <c r="F52" s="10" t="s">
        <v>668</v>
      </c>
      <c r="G52" s="10" t="s">
        <v>572</v>
      </c>
      <c r="H52" s="10" t="s">
        <v>994</v>
      </c>
      <c r="I52" s="9" t="s">
        <v>1109</v>
      </c>
      <c r="J52" s="7" t="s">
        <v>669</v>
      </c>
      <c r="K52" s="10" t="s">
        <v>10</v>
      </c>
      <c r="L52" s="14">
        <v>349800</v>
      </c>
      <c r="M52" s="12">
        <v>63.2</v>
      </c>
      <c r="N52" s="13">
        <f t="shared" si="1"/>
        <v>5534.8101265822779</v>
      </c>
    </row>
    <row r="53" spans="1:15" hidden="1" x14ac:dyDescent="0.25">
      <c r="A53" s="180">
        <v>44706</v>
      </c>
      <c r="B53" s="6" t="s">
        <v>670</v>
      </c>
      <c r="C53" s="6">
        <v>112101</v>
      </c>
      <c r="D53" s="7" t="s">
        <v>1062</v>
      </c>
      <c r="E53" s="8" t="s">
        <v>13</v>
      </c>
      <c r="F53" s="10" t="s">
        <v>668</v>
      </c>
      <c r="G53" s="10" t="s">
        <v>572</v>
      </c>
      <c r="H53" s="10" t="s">
        <v>994</v>
      </c>
      <c r="I53" s="9" t="s">
        <v>1109</v>
      </c>
      <c r="J53" s="7" t="s">
        <v>671</v>
      </c>
      <c r="K53" s="10" t="s">
        <v>10</v>
      </c>
      <c r="L53" s="14">
        <v>409200</v>
      </c>
      <c r="M53" s="12">
        <v>63.2</v>
      </c>
      <c r="N53" s="13">
        <f t="shared" si="1"/>
        <v>6474.6835443037971</v>
      </c>
    </row>
    <row r="54" spans="1:15" hidden="1" x14ac:dyDescent="0.25">
      <c r="A54" s="180">
        <v>44708</v>
      </c>
      <c r="B54" s="6" t="s">
        <v>729</v>
      </c>
      <c r="C54" s="6">
        <v>122099</v>
      </c>
      <c r="D54" s="7" t="s">
        <v>1083</v>
      </c>
      <c r="E54" s="8" t="s">
        <v>19</v>
      </c>
      <c r="F54" s="10" t="s">
        <v>565</v>
      </c>
      <c r="G54" s="10" t="s">
        <v>565</v>
      </c>
      <c r="H54" s="10" t="s">
        <v>994</v>
      </c>
      <c r="I54" s="9" t="s">
        <v>1121</v>
      </c>
      <c r="J54" s="7" t="s">
        <v>673</v>
      </c>
      <c r="K54" s="10" t="s">
        <v>10</v>
      </c>
      <c r="L54" s="14">
        <v>25038</v>
      </c>
      <c r="M54" s="12">
        <v>63.2</v>
      </c>
      <c r="N54" s="13">
        <f t="shared" si="1"/>
        <v>396.17088607594934</v>
      </c>
    </row>
    <row r="55" spans="1:15" hidden="1" x14ac:dyDescent="0.25">
      <c r="A55" s="180">
        <v>44708</v>
      </c>
      <c r="B55" s="6" t="s">
        <v>729</v>
      </c>
      <c r="C55" s="6">
        <v>122099</v>
      </c>
      <c r="D55" s="7" t="s">
        <v>1083</v>
      </c>
      <c r="E55" s="8" t="s">
        <v>19</v>
      </c>
      <c r="F55" s="10" t="s">
        <v>532</v>
      </c>
      <c r="G55" s="10" t="s">
        <v>565</v>
      </c>
      <c r="H55" s="10" t="s">
        <v>994</v>
      </c>
      <c r="I55" s="9" t="s">
        <v>1121</v>
      </c>
      <c r="J55" s="7" t="s">
        <v>674</v>
      </c>
      <c r="K55" s="10" t="s">
        <v>10</v>
      </c>
      <c r="L55" s="14">
        <v>25038</v>
      </c>
      <c r="M55" s="12">
        <v>63.2</v>
      </c>
      <c r="N55" s="13">
        <f t="shared" si="1"/>
        <v>396.17088607594934</v>
      </c>
    </row>
    <row r="56" spans="1:15" hidden="1" x14ac:dyDescent="0.25">
      <c r="A56" s="180">
        <v>44708</v>
      </c>
      <c r="B56" s="6" t="s">
        <v>675</v>
      </c>
      <c r="C56" s="6">
        <v>121001</v>
      </c>
      <c r="D56" s="7" t="s">
        <v>676</v>
      </c>
      <c r="E56" s="8" t="s">
        <v>13</v>
      </c>
      <c r="F56" s="10" t="s">
        <v>668</v>
      </c>
      <c r="G56" s="10" t="s">
        <v>572</v>
      </c>
      <c r="H56" s="10" t="s">
        <v>994</v>
      </c>
      <c r="I56" s="9" t="s">
        <v>1122</v>
      </c>
      <c r="J56" s="7" t="s">
        <v>678</v>
      </c>
      <c r="K56" s="10" t="s">
        <v>10</v>
      </c>
      <c r="L56" s="14">
        <v>11995.2</v>
      </c>
      <c r="M56" s="12">
        <v>63.2</v>
      </c>
      <c r="N56" s="13">
        <f t="shared" si="1"/>
        <v>189.79746835443038</v>
      </c>
    </row>
    <row r="57" spans="1:15" hidden="1" x14ac:dyDescent="0.25">
      <c r="A57" s="180">
        <v>44708</v>
      </c>
      <c r="B57" s="6" t="s">
        <v>728</v>
      </c>
      <c r="C57" s="6">
        <v>122099</v>
      </c>
      <c r="D57" s="7" t="s">
        <v>1083</v>
      </c>
      <c r="E57" s="8" t="s">
        <v>19</v>
      </c>
      <c r="F57" s="10" t="s">
        <v>532</v>
      </c>
      <c r="G57" s="10" t="s">
        <v>532</v>
      </c>
      <c r="H57" s="10" t="s">
        <v>994</v>
      </c>
      <c r="I57" s="9" t="s">
        <v>1123</v>
      </c>
      <c r="J57" s="7" t="s">
        <v>680</v>
      </c>
      <c r="K57" s="10" t="s">
        <v>10</v>
      </c>
      <c r="L57" s="14">
        <v>160243.20000000001</v>
      </c>
      <c r="M57" s="12">
        <v>63.2</v>
      </c>
      <c r="N57" s="13">
        <f t="shared" si="1"/>
        <v>2535.493670886076</v>
      </c>
    </row>
    <row r="58" spans="1:15" s="95" customFormat="1" hidden="1" x14ac:dyDescent="0.25">
      <c r="A58" s="181">
        <v>44708</v>
      </c>
      <c r="B58" s="86" t="s">
        <v>727</v>
      </c>
      <c r="C58" s="86">
        <v>122099</v>
      </c>
      <c r="D58" s="87" t="s">
        <v>1083</v>
      </c>
      <c r="E58" s="88" t="s">
        <v>19</v>
      </c>
      <c r="F58" s="89" t="s">
        <v>681</v>
      </c>
      <c r="G58" s="10" t="s">
        <v>1044</v>
      </c>
      <c r="H58" s="89" t="s">
        <v>994</v>
      </c>
      <c r="I58" s="90" t="s">
        <v>1121</v>
      </c>
      <c r="J58" s="87" t="s">
        <v>682</v>
      </c>
      <c r="K58" s="89" t="s">
        <v>10</v>
      </c>
      <c r="L58" s="92">
        <v>25038</v>
      </c>
      <c r="M58" s="93">
        <v>63.2</v>
      </c>
      <c r="N58" s="94">
        <f t="shared" si="1"/>
        <v>396.17088607594934</v>
      </c>
    </row>
    <row r="59" spans="1:15" hidden="1" x14ac:dyDescent="0.25">
      <c r="A59" s="180">
        <v>44713</v>
      </c>
      <c r="B59" s="6" t="s">
        <v>718</v>
      </c>
      <c r="C59" s="6">
        <v>121028</v>
      </c>
      <c r="D59" s="7" t="s">
        <v>686</v>
      </c>
      <c r="E59" s="8" t="s">
        <v>19</v>
      </c>
      <c r="F59" s="10" t="s">
        <v>532</v>
      </c>
      <c r="G59" s="10" t="s">
        <v>532</v>
      </c>
      <c r="H59" s="10" t="s">
        <v>994</v>
      </c>
      <c r="I59" s="9" t="s">
        <v>1109</v>
      </c>
      <c r="J59" s="7" t="s">
        <v>687</v>
      </c>
      <c r="K59" s="10" t="s">
        <v>10</v>
      </c>
      <c r="L59" s="14">
        <v>2174425</v>
      </c>
      <c r="M59" s="12">
        <v>63.2</v>
      </c>
      <c r="N59" s="13">
        <f t="shared" si="1"/>
        <v>34405.458860759492</v>
      </c>
    </row>
    <row r="60" spans="1:15" hidden="1" x14ac:dyDescent="0.25">
      <c r="A60" s="180">
        <v>44713</v>
      </c>
      <c r="B60" s="6" t="s">
        <v>721</v>
      </c>
      <c r="C60" s="6">
        <v>122099</v>
      </c>
      <c r="D60" s="7" t="s">
        <v>1084</v>
      </c>
      <c r="E60" s="8" t="s">
        <v>19</v>
      </c>
      <c r="F60" s="10" t="s">
        <v>668</v>
      </c>
      <c r="G60" s="10" t="s">
        <v>572</v>
      </c>
      <c r="H60" s="10" t="s">
        <v>994</v>
      </c>
      <c r="I60" s="9" t="s">
        <v>1124</v>
      </c>
      <c r="J60" s="7" t="s">
        <v>716</v>
      </c>
      <c r="K60" s="10" t="s">
        <v>10</v>
      </c>
      <c r="L60" s="14">
        <v>87732.98</v>
      </c>
      <c r="M60" s="12">
        <v>63.2</v>
      </c>
      <c r="N60" s="13">
        <f t="shared" si="1"/>
        <v>1388.180063291139</v>
      </c>
    </row>
    <row r="61" spans="1:15" hidden="1" x14ac:dyDescent="0.25">
      <c r="A61" s="181">
        <v>44713</v>
      </c>
      <c r="B61" s="86" t="s">
        <v>721</v>
      </c>
      <c r="C61" s="86">
        <v>122099</v>
      </c>
      <c r="D61" s="87" t="s">
        <v>1084</v>
      </c>
      <c r="E61" s="88" t="s">
        <v>19</v>
      </c>
      <c r="F61" s="89" t="s">
        <v>668</v>
      </c>
      <c r="G61" s="10" t="s">
        <v>572</v>
      </c>
      <c r="H61" s="89" t="s">
        <v>1047</v>
      </c>
      <c r="I61" s="90" t="s">
        <v>1124</v>
      </c>
      <c r="J61" s="87" t="s">
        <v>717</v>
      </c>
      <c r="K61" s="89" t="s">
        <v>10</v>
      </c>
      <c r="L61" s="92">
        <v>167267.01999999999</v>
      </c>
      <c r="M61" s="93">
        <v>63.2</v>
      </c>
      <c r="N61" s="94">
        <f t="shared" si="1"/>
        <v>2646.6300632911389</v>
      </c>
      <c r="O61" s="82">
        <f>255000-L61</f>
        <v>87732.98000000001</v>
      </c>
    </row>
    <row r="62" spans="1:15" hidden="1" x14ac:dyDescent="0.25">
      <c r="A62" s="180">
        <v>44714</v>
      </c>
      <c r="B62" s="6" t="s">
        <v>725</v>
      </c>
      <c r="C62" s="6">
        <v>112101</v>
      </c>
      <c r="D62" s="7" t="s">
        <v>1062</v>
      </c>
      <c r="E62" s="8" t="s">
        <v>13</v>
      </c>
      <c r="F62" s="10" t="s">
        <v>586</v>
      </c>
      <c r="G62" s="10" t="s">
        <v>586</v>
      </c>
      <c r="H62" s="10" t="s">
        <v>994</v>
      </c>
      <c r="I62" s="9" t="s">
        <v>1109</v>
      </c>
      <c r="J62" s="7" t="s">
        <v>683</v>
      </c>
      <c r="K62" s="10" t="s">
        <v>10</v>
      </c>
      <c r="L62" s="14">
        <v>1219800</v>
      </c>
      <c r="M62" s="12">
        <v>63.2</v>
      </c>
      <c r="N62" s="13">
        <f t="shared" si="1"/>
        <v>19300.632911392404</v>
      </c>
    </row>
    <row r="63" spans="1:15" hidden="1" x14ac:dyDescent="0.2">
      <c r="A63" s="180">
        <v>44714</v>
      </c>
      <c r="B63" s="6" t="s">
        <v>726</v>
      </c>
      <c r="C63" s="6">
        <v>112101</v>
      </c>
      <c r="D63" s="7" t="s">
        <v>1062</v>
      </c>
      <c r="E63" s="8" t="s">
        <v>19</v>
      </c>
      <c r="F63" s="10" t="s">
        <v>561</v>
      </c>
      <c r="G63" s="159" t="s">
        <v>1386</v>
      </c>
      <c r="H63" s="10" t="s">
        <v>994</v>
      </c>
      <c r="I63" s="9" t="s">
        <v>1109</v>
      </c>
      <c r="J63" s="7" t="s">
        <v>684</v>
      </c>
      <c r="K63" s="10" t="s">
        <v>10</v>
      </c>
      <c r="L63" s="14">
        <v>26400</v>
      </c>
      <c r="M63" s="12">
        <v>63.2</v>
      </c>
      <c r="N63" s="13">
        <f t="shared" si="1"/>
        <v>417.72151898734177</v>
      </c>
    </row>
    <row r="64" spans="1:15" hidden="1" x14ac:dyDescent="0.25">
      <c r="A64" s="181">
        <v>44714</v>
      </c>
      <c r="B64" s="86" t="s">
        <v>887</v>
      </c>
      <c r="C64" s="86">
        <v>112101</v>
      </c>
      <c r="D64" s="87" t="s">
        <v>1062</v>
      </c>
      <c r="E64" s="88" t="s">
        <v>19</v>
      </c>
      <c r="F64" s="89" t="s">
        <v>668</v>
      </c>
      <c r="G64" s="10" t="s">
        <v>1387</v>
      </c>
      <c r="H64" s="89" t="s">
        <v>1047</v>
      </c>
      <c r="I64" s="90" t="s">
        <v>1109</v>
      </c>
      <c r="J64" s="87" t="s">
        <v>1049</v>
      </c>
      <c r="K64" s="89" t="s">
        <v>10</v>
      </c>
      <c r="L64" s="92">
        <v>489600</v>
      </c>
      <c r="M64" s="93">
        <v>63.2</v>
      </c>
      <c r="N64" s="94">
        <f t="shared" si="1"/>
        <v>7746.8354430379741</v>
      </c>
      <c r="O64" s="82"/>
    </row>
    <row r="65" spans="1:18" hidden="1" x14ac:dyDescent="0.25">
      <c r="A65" s="180">
        <v>44721</v>
      </c>
      <c r="B65" s="6" t="s">
        <v>719</v>
      </c>
      <c r="C65" s="6">
        <v>122099</v>
      </c>
      <c r="D65" s="7" t="s">
        <v>1085</v>
      </c>
      <c r="E65" s="8" t="s">
        <v>19</v>
      </c>
      <c r="F65" s="10" t="s">
        <v>688</v>
      </c>
      <c r="G65" s="10" t="s">
        <v>572</v>
      </c>
      <c r="H65" s="10" t="s">
        <v>994</v>
      </c>
      <c r="I65" s="9" t="s">
        <v>1125</v>
      </c>
      <c r="J65" s="7" t="s">
        <v>690</v>
      </c>
      <c r="K65" s="10" t="s">
        <v>10</v>
      </c>
      <c r="L65" s="14">
        <f>119400+83600</f>
        <v>203000</v>
      </c>
      <c r="M65" s="12">
        <v>63.2</v>
      </c>
      <c r="N65" s="13">
        <f t="shared" si="1"/>
        <v>3212.0253164556962</v>
      </c>
      <c r="O65" s="3" t="s">
        <v>1048</v>
      </c>
      <c r="P65" s="178" t="s">
        <v>1052</v>
      </c>
      <c r="Q65" s="178"/>
    </row>
    <row r="66" spans="1:18" hidden="1" x14ac:dyDescent="0.25">
      <c r="A66" s="180">
        <v>44721</v>
      </c>
      <c r="B66" s="6" t="s">
        <v>720</v>
      </c>
      <c r="C66" s="6">
        <v>122099</v>
      </c>
      <c r="D66" s="7" t="s">
        <v>1085</v>
      </c>
      <c r="E66" s="8" t="s">
        <v>19</v>
      </c>
      <c r="F66" s="10" t="s">
        <v>668</v>
      </c>
      <c r="G66" s="10" t="s">
        <v>572</v>
      </c>
      <c r="H66" s="10" t="s">
        <v>994</v>
      </c>
      <c r="I66" s="9" t="s">
        <v>1126</v>
      </c>
      <c r="J66" s="7" t="s">
        <v>692</v>
      </c>
      <c r="K66" s="10" t="s">
        <v>10</v>
      </c>
      <c r="L66" s="14">
        <v>291700</v>
      </c>
      <c r="M66" s="12">
        <v>63.2</v>
      </c>
      <c r="N66" s="13">
        <f t="shared" si="1"/>
        <v>4615.506329113924</v>
      </c>
      <c r="O66" s="82">
        <f>SUM(L60:L61)</f>
        <v>255000</v>
      </c>
      <c r="P66" s="31">
        <f>SUM(L2:L45,L47:L60,L62:L63,L65:L66)</f>
        <v>12640000.550000001</v>
      </c>
      <c r="Q66" s="31">
        <f>SUM(N2:N45,N47:N60,N62:N63,N65:N66)</f>
        <v>200000.00870253157</v>
      </c>
    </row>
    <row r="67" spans="1:18" hidden="1" x14ac:dyDescent="0.25">
      <c r="A67" s="180">
        <v>44721</v>
      </c>
      <c r="B67" s="6" t="s">
        <v>724</v>
      </c>
      <c r="C67" s="6">
        <v>122099</v>
      </c>
      <c r="D67" s="7" t="s">
        <v>1083</v>
      </c>
      <c r="E67" s="8" t="s">
        <v>13</v>
      </c>
      <c r="F67" s="10" t="s">
        <v>668</v>
      </c>
      <c r="G67" s="10" t="s">
        <v>1387</v>
      </c>
      <c r="H67" s="10" t="s">
        <v>994</v>
      </c>
      <c r="I67" s="9" t="s">
        <v>1127</v>
      </c>
      <c r="J67" s="7" t="s">
        <v>695</v>
      </c>
      <c r="K67" s="10" t="s">
        <v>10</v>
      </c>
      <c r="L67" s="14">
        <v>353035.8</v>
      </c>
      <c r="M67" s="12">
        <v>63.2</v>
      </c>
      <c r="N67" s="13">
        <f t="shared" si="1"/>
        <v>5586.0094936708856</v>
      </c>
    </row>
    <row r="68" spans="1:18" hidden="1" x14ac:dyDescent="0.25">
      <c r="A68" s="180">
        <v>44721</v>
      </c>
      <c r="B68" s="6" t="s">
        <v>722</v>
      </c>
      <c r="C68" s="6">
        <v>122002</v>
      </c>
      <c r="D68" s="7" t="s">
        <v>320</v>
      </c>
      <c r="E68" s="8" t="s">
        <v>13</v>
      </c>
      <c r="F68" s="10" t="s">
        <v>668</v>
      </c>
      <c r="G68" s="10" t="s">
        <v>572</v>
      </c>
      <c r="H68" s="10" t="s">
        <v>994</v>
      </c>
      <c r="I68" s="9" t="s">
        <v>1128</v>
      </c>
      <c r="J68" s="7" t="s">
        <v>699</v>
      </c>
      <c r="K68" s="10" t="s">
        <v>10</v>
      </c>
      <c r="L68" s="14">
        <f>117138+45776+45776+41776+41776+41776+41776</f>
        <v>375794</v>
      </c>
      <c r="M68" s="12">
        <v>63.2</v>
      </c>
      <c r="N68" s="13">
        <f t="shared" si="1"/>
        <v>5946.1075949367087</v>
      </c>
      <c r="P68" s="81"/>
    </row>
    <row r="69" spans="1:18" hidden="1" x14ac:dyDescent="0.25">
      <c r="A69" s="180">
        <v>44721</v>
      </c>
      <c r="B69" s="6" t="s">
        <v>723</v>
      </c>
      <c r="C69" s="6">
        <v>122002</v>
      </c>
      <c r="D69" s="7" t="s">
        <v>320</v>
      </c>
      <c r="E69" s="8" t="s">
        <v>13</v>
      </c>
      <c r="F69" s="10" t="s">
        <v>586</v>
      </c>
      <c r="G69" s="10" t="s">
        <v>586</v>
      </c>
      <c r="H69" s="10" t="s">
        <v>994</v>
      </c>
      <c r="I69" s="9" t="s">
        <v>1129</v>
      </c>
      <c r="J69" s="7" t="s">
        <v>698</v>
      </c>
      <c r="K69" s="10" t="s">
        <v>10</v>
      </c>
      <c r="L69" s="14">
        <f>39046+40276+39046+36326+36326</f>
        <v>191020</v>
      </c>
      <c r="M69" s="12">
        <v>63.2</v>
      </c>
      <c r="N69" s="13">
        <f t="shared" si="1"/>
        <v>3022.4683544303798</v>
      </c>
    </row>
    <row r="70" spans="1:18" hidden="1" x14ac:dyDescent="0.25">
      <c r="A70" s="180">
        <v>44721</v>
      </c>
      <c r="B70" s="6" t="s">
        <v>701</v>
      </c>
      <c r="C70" s="6">
        <v>112101</v>
      </c>
      <c r="D70" s="7" t="s">
        <v>1062</v>
      </c>
      <c r="E70" s="8" t="s">
        <v>13</v>
      </c>
      <c r="F70" s="10" t="s">
        <v>586</v>
      </c>
      <c r="G70" s="10" t="s">
        <v>586</v>
      </c>
      <c r="H70" s="10" t="s">
        <v>994</v>
      </c>
      <c r="I70" s="9" t="s">
        <v>1109</v>
      </c>
      <c r="J70" s="7" t="s">
        <v>700</v>
      </c>
      <c r="K70" s="10" t="s">
        <v>10</v>
      </c>
      <c r="L70" s="14">
        <v>582600</v>
      </c>
      <c r="M70" s="12">
        <v>63.2</v>
      </c>
      <c r="N70" s="13">
        <f t="shared" si="1"/>
        <v>9218.3544303797462</v>
      </c>
      <c r="O70" s="82">
        <f>+L70-410400</f>
        <v>172200</v>
      </c>
    </row>
    <row r="71" spans="1:18" hidden="1" x14ac:dyDescent="0.25">
      <c r="A71" s="180">
        <v>44721</v>
      </c>
      <c r="B71" s="6" t="s">
        <v>702</v>
      </c>
      <c r="C71" s="6">
        <v>112101</v>
      </c>
      <c r="D71" s="7" t="s">
        <v>1062</v>
      </c>
      <c r="E71" s="8" t="s">
        <v>13</v>
      </c>
      <c r="F71" s="10" t="s">
        <v>586</v>
      </c>
      <c r="G71" s="10" t="s">
        <v>586</v>
      </c>
      <c r="H71" s="10" t="s">
        <v>994</v>
      </c>
      <c r="I71" s="9" t="s">
        <v>1109</v>
      </c>
      <c r="J71" s="7" t="s">
        <v>703</v>
      </c>
      <c r="K71" s="10" t="s">
        <v>10</v>
      </c>
      <c r="L71" s="14">
        <f>399000+95400</f>
        <v>494400</v>
      </c>
      <c r="M71" s="12">
        <v>63.2</v>
      </c>
      <c r="N71" s="13">
        <f t="shared" si="1"/>
        <v>7822.7848101265818</v>
      </c>
      <c r="P71" s="82"/>
    </row>
    <row r="72" spans="1:18" hidden="1" x14ac:dyDescent="0.25">
      <c r="A72" s="180">
        <v>44721</v>
      </c>
      <c r="B72" s="6" t="s">
        <v>704</v>
      </c>
      <c r="C72" s="6">
        <v>121001</v>
      </c>
      <c r="D72" s="7" t="s">
        <v>676</v>
      </c>
      <c r="E72" s="8" t="s">
        <v>13</v>
      </c>
      <c r="F72" s="10" t="s">
        <v>668</v>
      </c>
      <c r="G72" s="10" t="s">
        <v>1387</v>
      </c>
      <c r="H72" s="10" t="s">
        <v>994</v>
      </c>
      <c r="I72" s="9" t="s">
        <v>1130</v>
      </c>
      <c r="J72" s="7" t="s">
        <v>706</v>
      </c>
      <c r="K72" s="10" t="s">
        <v>10</v>
      </c>
      <c r="L72" s="14">
        <v>20327.650000000001</v>
      </c>
      <c r="M72" s="12">
        <v>63.2</v>
      </c>
      <c r="N72" s="13">
        <f t="shared" si="1"/>
        <v>321.64003164556965</v>
      </c>
    </row>
    <row r="73" spans="1:18" hidden="1" x14ac:dyDescent="0.25">
      <c r="A73" s="180">
        <v>44721</v>
      </c>
      <c r="B73" s="6" t="s">
        <v>707</v>
      </c>
      <c r="C73" s="6">
        <v>121001</v>
      </c>
      <c r="D73" s="7" t="s">
        <v>1086</v>
      </c>
      <c r="E73" s="8" t="s">
        <v>13</v>
      </c>
      <c r="F73" s="10" t="s">
        <v>586</v>
      </c>
      <c r="G73" s="10" t="s">
        <v>586</v>
      </c>
      <c r="H73" s="10" t="s">
        <v>994</v>
      </c>
      <c r="I73" s="9" t="s">
        <v>1131</v>
      </c>
      <c r="J73" s="7" t="s">
        <v>709</v>
      </c>
      <c r="K73" s="10" t="s">
        <v>10</v>
      </c>
      <c r="L73" s="14">
        <v>16564</v>
      </c>
      <c r="M73" s="12">
        <v>63.2</v>
      </c>
      <c r="N73" s="13">
        <f t="shared" si="1"/>
        <v>262.08860759493672</v>
      </c>
    </row>
    <row r="74" spans="1:18" hidden="1" x14ac:dyDescent="0.25">
      <c r="A74" s="180">
        <v>44723</v>
      </c>
      <c r="B74" s="83" t="s">
        <v>777</v>
      </c>
      <c r="C74" s="6">
        <v>112101</v>
      </c>
      <c r="D74" s="7" t="s">
        <v>1062</v>
      </c>
      <c r="E74" s="8" t="s">
        <v>13</v>
      </c>
      <c r="F74" s="10" t="s">
        <v>688</v>
      </c>
      <c r="G74" s="10" t="s">
        <v>572</v>
      </c>
      <c r="H74" s="10" t="s">
        <v>994</v>
      </c>
      <c r="I74" s="9" t="s">
        <v>1109</v>
      </c>
      <c r="J74" s="7" t="s">
        <v>778</v>
      </c>
      <c r="K74" s="10" t="s">
        <v>10</v>
      </c>
      <c r="L74" s="14">
        <v>672600</v>
      </c>
      <c r="M74" s="12">
        <v>63.2</v>
      </c>
      <c r="N74" s="13">
        <f t="shared" si="1"/>
        <v>10642.405063291139</v>
      </c>
      <c r="O74" s="82">
        <f>+L74-609000</f>
        <v>63600</v>
      </c>
      <c r="P74" s="82">
        <f>+O74-37800</f>
        <v>25800</v>
      </c>
    </row>
    <row r="75" spans="1:18" hidden="1" x14ac:dyDescent="0.25">
      <c r="A75" s="180">
        <v>44725</v>
      </c>
      <c r="B75" s="6" t="s">
        <v>752</v>
      </c>
      <c r="C75" s="6">
        <v>121001</v>
      </c>
      <c r="D75" s="7" t="s">
        <v>1062</v>
      </c>
      <c r="E75" s="8" t="s">
        <v>13</v>
      </c>
      <c r="F75" s="10" t="s">
        <v>572</v>
      </c>
      <c r="G75" s="10" t="s">
        <v>572</v>
      </c>
      <c r="H75" s="10" t="s">
        <v>994</v>
      </c>
      <c r="I75" s="9" t="s">
        <v>1132</v>
      </c>
      <c r="J75" s="7" t="s">
        <v>754</v>
      </c>
      <c r="K75" s="10" t="s">
        <v>10</v>
      </c>
      <c r="L75" s="14">
        <v>30138.9</v>
      </c>
      <c r="M75" s="12">
        <v>63.2</v>
      </c>
      <c r="N75" s="13">
        <f t="shared" si="1"/>
        <v>476.88132911392404</v>
      </c>
      <c r="O75" s="3">
        <f>10035.6+11317.6+8785.7</f>
        <v>30138.9</v>
      </c>
    </row>
    <row r="76" spans="1:18" hidden="1" x14ac:dyDescent="0.25">
      <c r="A76" s="180">
        <v>44725</v>
      </c>
      <c r="B76" s="83" t="s">
        <v>763</v>
      </c>
      <c r="C76" s="6">
        <v>122099</v>
      </c>
      <c r="D76" s="7" t="s">
        <v>757</v>
      </c>
      <c r="E76" s="8" t="s">
        <v>13</v>
      </c>
      <c r="F76" s="10" t="s">
        <v>572</v>
      </c>
      <c r="G76" s="10" t="s">
        <v>572</v>
      </c>
      <c r="H76" s="10" t="s">
        <v>994</v>
      </c>
      <c r="I76" s="9" t="s">
        <v>1133</v>
      </c>
      <c r="J76" s="7" t="s">
        <v>758</v>
      </c>
      <c r="K76" s="10" t="s">
        <v>10</v>
      </c>
      <c r="L76" s="14">
        <v>860</v>
      </c>
      <c r="M76" s="12">
        <v>63.2</v>
      </c>
      <c r="N76" s="13">
        <f t="shared" si="1"/>
        <v>13.60759493670886</v>
      </c>
    </row>
    <row r="77" spans="1:18" hidden="1" x14ac:dyDescent="0.25">
      <c r="A77" s="180">
        <v>44725</v>
      </c>
      <c r="B77" s="83" t="s">
        <v>762</v>
      </c>
      <c r="C77" s="6">
        <v>122099</v>
      </c>
      <c r="D77" s="7" t="s">
        <v>759</v>
      </c>
      <c r="E77" s="8" t="s">
        <v>13</v>
      </c>
      <c r="F77" s="10" t="s">
        <v>572</v>
      </c>
      <c r="G77" s="10" t="s">
        <v>572</v>
      </c>
      <c r="H77" s="10" t="s">
        <v>994</v>
      </c>
      <c r="I77" s="9" t="s">
        <v>1133</v>
      </c>
      <c r="J77" s="7" t="s">
        <v>760</v>
      </c>
      <c r="K77" s="10" t="s">
        <v>10</v>
      </c>
      <c r="L77" s="14">
        <v>20260</v>
      </c>
      <c r="M77" s="12">
        <v>63.2</v>
      </c>
      <c r="N77" s="13">
        <f t="shared" si="1"/>
        <v>320.56962025316454</v>
      </c>
    </row>
    <row r="78" spans="1:18" hidden="1" x14ac:dyDescent="0.25">
      <c r="A78" s="180">
        <v>44725</v>
      </c>
      <c r="B78" s="83" t="s">
        <v>765</v>
      </c>
      <c r="C78" s="6">
        <v>121001</v>
      </c>
      <c r="D78" s="7" t="s">
        <v>1087</v>
      </c>
      <c r="E78" s="8" t="s">
        <v>13</v>
      </c>
      <c r="F78" s="10" t="s">
        <v>572</v>
      </c>
      <c r="G78" s="10" t="s">
        <v>572</v>
      </c>
      <c r="H78" s="10" t="s">
        <v>994</v>
      </c>
      <c r="I78" s="9" t="s">
        <v>1134</v>
      </c>
      <c r="J78" s="7" t="s">
        <v>768</v>
      </c>
      <c r="K78" s="10" t="s">
        <v>10</v>
      </c>
      <c r="L78" s="176">
        <f>6401.6+4175+7897+7924+5016.6+3948.5</f>
        <v>35362.699999999997</v>
      </c>
      <c r="M78" s="12">
        <v>63.2</v>
      </c>
      <c r="N78" s="13">
        <f t="shared" si="1"/>
        <v>559.53639240506322</v>
      </c>
      <c r="O78" s="3">
        <v>44369.1</v>
      </c>
      <c r="P78" s="82">
        <f>+L78-O78</f>
        <v>-9006.4000000000015</v>
      </c>
      <c r="Q78" s="82">
        <f>44369.1-P78</f>
        <v>53375.5</v>
      </c>
      <c r="R78" s="82">
        <f>+Q78-4844.4</f>
        <v>48531.1</v>
      </c>
    </row>
    <row r="79" spans="1:18" hidden="1" x14ac:dyDescent="0.25">
      <c r="A79" s="180">
        <v>44725</v>
      </c>
      <c r="B79" s="83" t="s">
        <v>773</v>
      </c>
      <c r="C79" s="6">
        <v>121001</v>
      </c>
      <c r="D79" s="7" t="s">
        <v>1088</v>
      </c>
      <c r="E79" s="8" t="s">
        <v>13</v>
      </c>
      <c r="F79" s="10" t="s">
        <v>572</v>
      </c>
      <c r="G79" s="10" t="s">
        <v>572</v>
      </c>
      <c r="H79" s="10" t="s">
        <v>994</v>
      </c>
      <c r="I79" s="9" t="s">
        <v>1135</v>
      </c>
      <c r="J79" s="7" t="s">
        <v>776</v>
      </c>
      <c r="K79" s="10" t="s">
        <v>10</v>
      </c>
      <c r="L79" s="14">
        <v>76489.899999999994</v>
      </c>
      <c r="M79" s="12">
        <v>63.2</v>
      </c>
      <c r="N79" s="13">
        <f t="shared" si="1"/>
        <v>1210.2832278481012</v>
      </c>
      <c r="P79" s="3">
        <f>12779.2+4113+3617.6+2665.8+22198.4+12111+19004.9</f>
        <v>76489.899999999994</v>
      </c>
    </row>
    <row r="80" spans="1:18" hidden="1" x14ac:dyDescent="0.25">
      <c r="A80" s="180">
        <v>44727</v>
      </c>
      <c r="B80" s="83" t="s">
        <v>755</v>
      </c>
      <c r="C80" s="6">
        <v>112101</v>
      </c>
      <c r="D80" s="7" t="s">
        <v>1062</v>
      </c>
      <c r="E80" s="8" t="s">
        <v>13</v>
      </c>
      <c r="F80" s="10" t="s">
        <v>572</v>
      </c>
      <c r="G80" s="10" t="s">
        <v>572</v>
      </c>
      <c r="H80" s="10" t="s">
        <v>994</v>
      </c>
      <c r="I80" s="9" t="s">
        <v>1109</v>
      </c>
      <c r="J80" s="7" t="s">
        <v>756</v>
      </c>
      <c r="K80" s="10" t="s">
        <v>10</v>
      </c>
      <c r="L80" s="14">
        <v>585000</v>
      </c>
      <c r="M80" s="12">
        <v>63.2</v>
      </c>
      <c r="N80" s="13">
        <f t="shared" si="1"/>
        <v>9256.32911392405</v>
      </c>
    </row>
    <row r="81" spans="1:16" hidden="1" x14ac:dyDescent="0.25">
      <c r="A81" s="180">
        <v>44727</v>
      </c>
      <c r="B81" s="83" t="s">
        <v>761</v>
      </c>
      <c r="C81" s="6">
        <v>112101</v>
      </c>
      <c r="D81" s="7" t="s">
        <v>1062</v>
      </c>
      <c r="E81" s="8" t="s">
        <v>13</v>
      </c>
      <c r="F81" s="10" t="s">
        <v>572</v>
      </c>
      <c r="G81" s="10" t="s">
        <v>572</v>
      </c>
      <c r="H81" s="10" t="s">
        <v>994</v>
      </c>
      <c r="I81" s="9" t="s">
        <v>1109</v>
      </c>
      <c r="J81" s="7" t="s">
        <v>764</v>
      </c>
      <c r="K81" s="10" t="s">
        <v>10</v>
      </c>
      <c r="L81" s="14">
        <v>916800</v>
      </c>
      <c r="M81" s="12">
        <v>63.2</v>
      </c>
      <c r="N81" s="13">
        <f t="shared" si="1"/>
        <v>14506.32911392405</v>
      </c>
      <c r="O81" s="3">
        <v>1092000</v>
      </c>
    </row>
    <row r="82" spans="1:16" hidden="1" x14ac:dyDescent="0.25">
      <c r="A82" s="180">
        <v>44727</v>
      </c>
      <c r="B82" s="83" t="s">
        <v>769</v>
      </c>
      <c r="C82" s="6">
        <v>112101</v>
      </c>
      <c r="D82" s="7" t="s">
        <v>1062</v>
      </c>
      <c r="E82" s="8" t="s">
        <v>13</v>
      </c>
      <c r="F82" s="10" t="s">
        <v>572</v>
      </c>
      <c r="G82" s="10" t="s">
        <v>1387</v>
      </c>
      <c r="H82" s="10" t="s">
        <v>994</v>
      </c>
      <c r="I82" s="9" t="s">
        <v>1109</v>
      </c>
      <c r="J82" s="7" t="s">
        <v>770</v>
      </c>
      <c r="K82" s="10" t="s">
        <v>10</v>
      </c>
      <c r="L82" s="14">
        <v>416400</v>
      </c>
      <c r="M82" s="12">
        <v>63.2</v>
      </c>
      <c r="N82" s="13">
        <f t="shared" si="1"/>
        <v>6588.6075949367087</v>
      </c>
      <c r="O82" s="3">
        <v>504600</v>
      </c>
      <c r="P82" s="82"/>
    </row>
    <row r="83" spans="1:16" hidden="1" x14ac:dyDescent="0.25">
      <c r="A83" s="180">
        <v>44729</v>
      </c>
      <c r="B83" s="6" t="s">
        <v>750</v>
      </c>
      <c r="C83" s="6">
        <v>112101</v>
      </c>
      <c r="D83" s="7" t="s">
        <v>1062</v>
      </c>
      <c r="E83" s="8" t="s">
        <v>13</v>
      </c>
      <c r="F83" s="10" t="s">
        <v>586</v>
      </c>
      <c r="G83" s="10" t="s">
        <v>586</v>
      </c>
      <c r="H83" s="10" t="s">
        <v>994</v>
      </c>
      <c r="I83" s="9" t="s">
        <v>1109</v>
      </c>
      <c r="J83" s="7" t="s">
        <v>751</v>
      </c>
      <c r="K83" s="10" t="s">
        <v>10</v>
      </c>
      <c r="L83" s="14">
        <f>194400+3600</f>
        <v>198000</v>
      </c>
      <c r="M83" s="12">
        <v>63.2</v>
      </c>
      <c r="N83" s="13">
        <f t="shared" si="1"/>
        <v>3132.911392405063</v>
      </c>
      <c r="O83" s="82"/>
    </row>
    <row r="84" spans="1:16" hidden="1" x14ac:dyDescent="0.25">
      <c r="A84" s="180">
        <v>44729</v>
      </c>
      <c r="B84" s="83" t="s">
        <v>748</v>
      </c>
      <c r="C84" s="6">
        <v>112101</v>
      </c>
      <c r="D84" s="7" t="s">
        <v>1062</v>
      </c>
      <c r="E84" s="8" t="s">
        <v>13</v>
      </c>
      <c r="F84" s="10" t="s">
        <v>668</v>
      </c>
      <c r="G84" s="10" t="s">
        <v>1387</v>
      </c>
      <c r="H84" s="10" t="s">
        <v>994</v>
      </c>
      <c r="I84" s="9" t="s">
        <v>1109</v>
      </c>
      <c r="J84" s="7" t="s">
        <v>749</v>
      </c>
      <c r="K84" s="10" t="s">
        <v>10</v>
      </c>
      <c r="L84" s="14">
        <v>139800</v>
      </c>
      <c r="M84" s="12">
        <v>63.2</v>
      </c>
      <c r="N84" s="13">
        <f t="shared" si="1"/>
        <v>2212.0253164556962</v>
      </c>
      <c r="O84" s="82">
        <v>148800</v>
      </c>
      <c r="P84" s="82"/>
    </row>
    <row r="85" spans="1:16" hidden="1" x14ac:dyDescent="0.25">
      <c r="A85" s="180">
        <v>44729</v>
      </c>
      <c r="B85" s="83" t="s">
        <v>781</v>
      </c>
      <c r="C85" s="6">
        <v>122099</v>
      </c>
      <c r="D85" s="7" t="s">
        <v>782</v>
      </c>
      <c r="E85" s="8" t="s">
        <v>19</v>
      </c>
      <c r="F85" s="10" t="s">
        <v>688</v>
      </c>
      <c r="G85" s="10" t="s">
        <v>572</v>
      </c>
      <c r="H85" s="10" t="s">
        <v>994</v>
      </c>
      <c r="I85" s="9" t="s">
        <v>1136</v>
      </c>
      <c r="J85" s="7" t="s">
        <v>784</v>
      </c>
      <c r="K85" s="10" t="s">
        <v>10</v>
      </c>
      <c r="L85" s="14">
        <v>79200</v>
      </c>
      <c r="M85" s="12">
        <v>63.2</v>
      </c>
      <c r="N85" s="13">
        <f t="shared" si="1"/>
        <v>1253.1645569620252</v>
      </c>
      <c r="O85" s="4">
        <f>21243870-16200</f>
        <v>21227670</v>
      </c>
    </row>
    <row r="86" spans="1:16" hidden="1" x14ac:dyDescent="0.25">
      <c r="A86" s="180">
        <v>44729</v>
      </c>
      <c r="B86" s="83" t="s">
        <v>785</v>
      </c>
      <c r="C86" s="6">
        <v>121005</v>
      </c>
      <c r="D86" s="7" t="s">
        <v>1089</v>
      </c>
      <c r="E86" s="8" t="s">
        <v>19</v>
      </c>
      <c r="F86" s="10" t="s">
        <v>668</v>
      </c>
      <c r="G86" s="10" t="s">
        <v>572</v>
      </c>
      <c r="H86" s="10" t="s">
        <v>994</v>
      </c>
      <c r="I86" s="9" t="s">
        <v>1137</v>
      </c>
      <c r="J86" s="7" t="s">
        <v>787</v>
      </c>
      <c r="K86" s="10" t="s">
        <v>10</v>
      </c>
      <c r="L86" s="14">
        <v>33430</v>
      </c>
      <c r="M86" s="12">
        <v>63.2</v>
      </c>
      <c r="N86" s="13">
        <f t="shared" si="1"/>
        <v>528.95569620253161</v>
      </c>
    </row>
    <row r="87" spans="1:16" hidden="1" x14ac:dyDescent="0.25">
      <c r="A87" s="180">
        <v>44729</v>
      </c>
      <c r="B87" s="83" t="s">
        <v>788</v>
      </c>
      <c r="C87" s="6">
        <v>121005</v>
      </c>
      <c r="D87" s="7" t="s">
        <v>1089</v>
      </c>
      <c r="E87" s="8" t="s">
        <v>19</v>
      </c>
      <c r="F87" s="10" t="s">
        <v>668</v>
      </c>
      <c r="G87" s="10" t="s">
        <v>1387</v>
      </c>
      <c r="H87" s="10" t="s">
        <v>994</v>
      </c>
      <c r="I87" s="9" t="s">
        <v>1138</v>
      </c>
      <c r="J87" s="7" t="s">
        <v>790</v>
      </c>
      <c r="K87" s="10" t="s">
        <v>10</v>
      </c>
      <c r="L87" s="14">
        <v>14030</v>
      </c>
      <c r="M87" s="12">
        <v>63.2</v>
      </c>
      <c r="N87" s="13">
        <f t="shared" si="1"/>
        <v>221.99367088607593</v>
      </c>
    </row>
    <row r="88" spans="1:16" hidden="1" x14ac:dyDescent="0.25">
      <c r="A88" s="180">
        <v>44729</v>
      </c>
      <c r="B88" s="83" t="s">
        <v>791</v>
      </c>
      <c r="C88" s="6">
        <v>121005</v>
      </c>
      <c r="D88" s="7" t="s">
        <v>1089</v>
      </c>
      <c r="E88" s="8" t="s">
        <v>19</v>
      </c>
      <c r="F88" s="10" t="s">
        <v>586</v>
      </c>
      <c r="G88" s="10" t="s">
        <v>586</v>
      </c>
      <c r="H88" s="10" t="s">
        <v>994</v>
      </c>
      <c r="I88" s="9" t="s">
        <v>1139</v>
      </c>
      <c r="J88" s="7" t="s">
        <v>713</v>
      </c>
      <c r="K88" s="10" t="s">
        <v>10</v>
      </c>
      <c r="L88" s="14">
        <v>3990</v>
      </c>
      <c r="M88" s="12">
        <v>63.2</v>
      </c>
      <c r="N88" s="13">
        <f t="shared" si="1"/>
        <v>63.132911392405063</v>
      </c>
    </row>
    <row r="89" spans="1:16" hidden="1" x14ac:dyDescent="0.2">
      <c r="A89" s="180">
        <v>44729</v>
      </c>
      <c r="B89" s="83" t="s">
        <v>800</v>
      </c>
      <c r="C89" s="6">
        <v>122002</v>
      </c>
      <c r="D89" s="7" t="s">
        <v>33</v>
      </c>
      <c r="E89" s="8" t="s">
        <v>19</v>
      </c>
      <c r="F89" s="10" t="s">
        <v>561</v>
      </c>
      <c r="G89" s="159" t="s">
        <v>1386</v>
      </c>
      <c r="H89" s="10" t="s">
        <v>994</v>
      </c>
      <c r="I89" s="9" t="s">
        <v>1140</v>
      </c>
      <c r="J89" s="7" t="s">
        <v>802</v>
      </c>
      <c r="K89" s="10" t="s">
        <v>10</v>
      </c>
      <c r="L89" s="14">
        <v>74572</v>
      </c>
      <c r="M89" s="12">
        <v>63.2</v>
      </c>
      <c r="N89" s="13">
        <f t="shared" si="1"/>
        <v>1179.9367088607594</v>
      </c>
    </row>
    <row r="90" spans="1:16" ht="15" hidden="1" x14ac:dyDescent="0.25">
      <c r="A90" s="180">
        <v>44729</v>
      </c>
      <c r="B90" s="83" t="s">
        <v>825</v>
      </c>
      <c r="C90" s="6">
        <v>222099</v>
      </c>
      <c r="D90" s="7" t="s">
        <v>1090</v>
      </c>
      <c r="E90" s="8" t="s">
        <v>19</v>
      </c>
      <c r="F90" t="s">
        <v>532</v>
      </c>
      <c r="G90" t="s">
        <v>532</v>
      </c>
      <c r="H90" s="10" t="s">
        <v>994</v>
      </c>
      <c r="I90" s="9"/>
      <c r="J90" s="87" t="s">
        <v>823</v>
      </c>
      <c r="K90" s="10" t="s">
        <v>10</v>
      </c>
      <c r="L90" s="14">
        <v>108000</v>
      </c>
      <c r="M90" s="12">
        <v>63.2</v>
      </c>
      <c r="N90" s="13">
        <f t="shared" si="1"/>
        <v>1708.8607594936709</v>
      </c>
    </row>
    <row r="91" spans="1:16" ht="15" hidden="1" x14ac:dyDescent="0.25">
      <c r="A91" s="180">
        <v>44729</v>
      </c>
      <c r="B91" s="83" t="s">
        <v>1198</v>
      </c>
      <c r="C91" s="6">
        <v>222099</v>
      </c>
      <c r="D91" s="7" t="s">
        <v>1057</v>
      </c>
      <c r="E91" s="8" t="s">
        <v>19</v>
      </c>
      <c r="F91" t="s">
        <v>532</v>
      </c>
      <c r="G91" t="s">
        <v>532</v>
      </c>
      <c r="H91" s="10" t="s">
        <v>994</v>
      </c>
      <c r="I91" s="9"/>
      <c r="J91" s="87" t="s">
        <v>886</v>
      </c>
      <c r="K91" s="10" t="s">
        <v>10</v>
      </c>
      <c r="L91" s="14">
        <v>131160.24</v>
      </c>
      <c r="M91" s="12">
        <v>63.2</v>
      </c>
      <c r="N91" s="13">
        <f t="shared" si="1"/>
        <v>2075.3202531645566</v>
      </c>
    </row>
    <row r="92" spans="1:16" ht="15" hidden="1" x14ac:dyDescent="0.25">
      <c r="A92" s="180">
        <v>44729</v>
      </c>
      <c r="B92" s="83" t="s">
        <v>1197</v>
      </c>
      <c r="C92" s="6">
        <v>222099</v>
      </c>
      <c r="D92" s="7" t="s">
        <v>1056</v>
      </c>
      <c r="E92" s="8" t="s">
        <v>19</v>
      </c>
      <c r="F92" t="s">
        <v>532</v>
      </c>
      <c r="G92" t="s">
        <v>532</v>
      </c>
      <c r="H92" s="10" t="s">
        <v>994</v>
      </c>
      <c r="I92" s="9"/>
      <c r="J92" s="87" t="s">
        <v>886</v>
      </c>
      <c r="K92" s="10" t="s">
        <v>10</v>
      </c>
      <c r="L92" s="14">
        <v>81370.39</v>
      </c>
      <c r="M92" s="12">
        <v>63.2</v>
      </c>
      <c r="N92" s="13">
        <f t="shared" ref="N92:N156" si="2">L92/M92</f>
        <v>1287.5061708860758</v>
      </c>
    </row>
    <row r="93" spans="1:16" ht="15" hidden="1" x14ac:dyDescent="0.25">
      <c r="A93" s="180">
        <v>44729</v>
      </c>
      <c r="B93" s="83" t="s">
        <v>1196</v>
      </c>
      <c r="C93" s="6">
        <v>222099</v>
      </c>
      <c r="D93" s="7" t="s">
        <v>1060</v>
      </c>
      <c r="E93" s="8" t="s">
        <v>19</v>
      </c>
      <c r="F93" t="s">
        <v>532</v>
      </c>
      <c r="G93" t="s">
        <v>532</v>
      </c>
      <c r="H93" s="10" t="s">
        <v>994</v>
      </c>
      <c r="I93" s="9"/>
      <c r="J93" s="87" t="s">
        <v>886</v>
      </c>
      <c r="K93" s="10" t="s">
        <v>10</v>
      </c>
      <c r="L93" s="14">
        <v>134400</v>
      </c>
      <c r="M93" s="12">
        <v>63.2</v>
      </c>
      <c r="N93" s="13">
        <f t="shared" si="2"/>
        <v>2126.5822784810125</v>
      </c>
    </row>
    <row r="94" spans="1:16" hidden="1" x14ac:dyDescent="0.25">
      <c r="A94" s="180">
        <v>44732</v>
      </c>
      <c r="B94" s="83" t="s">
        <v>771</v>
      </c>
      <c r="C94" s="6">
        <v>122099</v>
      </c>
      <c r="D94" s="7" t="s">
        <v>1091</v>
      </c>
      <c r="E94" s="8" t="s">
        <v>13</v>
      </c>
      <c r="F94" s="10" t="s">
        <v>572</v>
      </c>
      <c r="G94" s="10" t="s">
        <v>1387</v>
      </c>
      <c r="H94" s="10" t="s">
        <v>994</v>
      </c>
      <c r="I94" s="9" t="s">
        <v>1133</v>
      </c>
      <c r="J94" s="7" t="s">
        <v>772</v>
      </c>
      <c r="K94" s="10" t="s">
        <v>10</v>
      </c>
      <c r="L94" s="14">
        <v>148760</v>
      </c>
      <c r="M94" s="12">
        <v>63.2</v>
      </c>
      <c r="N94" s="13">
        <f t="shared" si="2"/>
        <v>2353.7974683544303</v>
      </c>
      <c r="O94" s="3">
        <v>148700</v>
      </c>
    </row>
    <row r="95" spans="1:16" hidden="1" x14ac:dyDescent="0.2">
      <c r="A95" s="180">
        <v>44732</v>
      </c>
      <c r="B95" s="83" t="s">
        <v>779</v>
      </c>
      <c r="C95" s="6">
        <v>112101</v>
      </c>
      <c r="D95" s="7" t="s">
        <v>1062</v>
      </c>
      <c r="E95" s="8" t="s">
        <v>13</v>
      </c>
      <c r="F95" s="10" t="s">
        <v>561</v>
      </c>
      <c r="G95" s="159" t="s">
        <v>1386</v>
      </c>
      <c r="H95" s="10" t="s">
        <v>1047</v>
      </c>
      <c r="I95" s="9" t="s">
        <v>1109</v>
      </c>
      <c r="J95" s="7" t="s">
        <v>780</v>
      </c>
      <c r="K95" s="10" t="s">
        <v>10</v>
      </c>
      <c r="L95" s="14">
        <v>27600</v>
      </c>
      <c r="M95" s="12">
        <v>63.2</v>
      </c>
      <c r="N95" s="13">
        <f t="shared" si="2"/>
        <v>436.70886075949363</v>
      </c>
    </row>
    <row r="96" spans="1:16" hidden="1" x14ac:dyDescent="0.25">
      <c r="A96" s="180">
        <v>44735</v>
      </c>
      <c r="B96" s="83" t="s">
        <v>796</v>
      </c>
      <c r="C96" s="6">
        <v>121001</v>
      </c>
      <c r="D96" s="7" t="s">
        <v>1092</v>
      </c>
      <c r="E96" s="8" t="s">
        <v>19</v>
      </c>
      <c r="F96" s="10" t="s">
        <v>794</v>
      </c>
      <c r="G96" s="10" t="s">
        <v>532</v>
      </c>
      <c r="H96" s="10" t="s">
        <v>994</v>
      </c>
      <c r="I96" s="9" t="s">
        <v>1141</v>
      </c>
      <c r="J96" s="7" t="s">
        <v>799</v>
      </c>
      <c r="K96" s="10" t="s">
        <v>10</v>
      </c>
      <c r="L96" s="14">
        <v>197425</v>
      </c>
      <c r="M96" s="12">
        <v>63.2</v>
      </c>
      <c r="N96" s="13">
        <f t="shared" si="2"/>
        <v>3123.8132911392404</v>
      </c>
    </row>
    <row r="97" spans="1:17" hidden="1" x14ac:dyDescent="0.25">
      <c r="A97" s="180">
        <v>44735</v>
      </c>
      <c r="B97" s="83" t="s">
        <v>806</v>
      </c>
      <c r="C97" s="6">
        <v>122099</v>
      </c>
      <c r="D97" s="7" t="s">
        <v>807</v>
      </c>
      <c r="E97" s="8" t="s">
        <v>19</v>
      </c>
      <c r="F97" s="10" t="s">
        <v>572</v>
      </c>
      <c r="G97" s="10" t="s">
        <v>572</v>
      </c>
      <c r="H97" s="10" t="s">
        <v>994</v>
      </c>
      <c r="I97" s="9" t="s">
        <v>1142</v>
      </c>
      <c r="J97" s="7" t="s">
        <v>809</v>
      </c>
      <c r="K97" s="10" t="s">
        <v>10</v>
      </c>
      <c r="L97" s="14">
        <v>440000</v>
      </c>
      <c r="M97" s="12">
        <v>63.2</v>
      </c>
      <c r="N97" s="13">
        <f t="shared" si="2"/>
        <v>6962.0253164556962</v>
      </c>
    </row>
    <row r="98" spans="1:17" hidden="1" x14ac:dyDescent="0.25">
      <c r="A98" s="180">
        <v>44735</v>
      </c>
      <c r="B98" s="83" t="s">
        <v>810</v>
      </c>
      <c r="C98" s="6">
        <v>122099</v>
      </c>
      <c r="D98" s="7" t="s">
        <v>807</v>
      </c>
      <c r="E98" s="8" t="s">
        <v>19</v>
      </c>
      <c r="F98" s="10" t="s">
        <v>572</v>
      </c>
      <c r="G98" s="10" t="s">
        <v>572</v>
      </c>
      <c r="H98" s="10" t="s">
        <v>994</v>
      </c>
      <c r="I98" s="9" t="s">
        <v>1143</v>
      </c>
      <c r="J98" s="7" t="s">
        <v>809</v>
      </c>
      <c r="K98" s="10" t="s">
        <v>10</v>
      </c>
      <c r="L98" s="14">
        <v>575000</v>
      </c>
      <c r="M98" s="12">
        <v>63.2</v>
      </c>
      <c r="N98" s="13">
        <f t="shared" si="2"/>
        <v>9098.1012658227846</v>
      </c>
    </row>
    <row r="99" spans="1:17" hidden="1" x14ac:dyDescent="0.25">
      <c r="A99" s="180">
        <v>44735</v>
      </c>
      <c r="B99" s="83" t="s">
        <v>812</v>
      </c>
      <c r="C99" s="6">
        <v>122099</v>
      </c>
      <c r="D99" s="7" t="s">
        <v>807</v>
      </c>
      <c r="E99" s="8" t="s">
        <v>19</v>
      </c>
      <c r="F99" s="10" t="s">
        <v>572</v>
      </c>
      <c r="G99" s="10" t="s">
        <v>572</v>
      </c>
      <c r="H99" s="10" t="s">
        <v>994</v>
      </c>
      <c r="I99" s="9" t="s">
        <v>1144</v>
      </c>
      <c r="J99" s="7" t="s">
        <v>809</v>
      </c>
      <c r="K99" s="10" t="s">
        <v>10</v>
      </c>
      <c r="L99" s="14">
        <v>707500</v>
      </c>
      <c r="M99" s="12">
        <v>63.2</v>
      </c>
      <c r="N99" s="13">
        <f t="shared" si="2"/>
        <v>11194.620253164556</v>
      </c>
    </row>
    <row r="100" spans="1:17" hidden="1" x14ac:dyDescent="0.25">
      <c r="A100" s="180">
        <v>44735</v>
      </c>
      <c r="B100" s="83" t="s">
        <v>814</v>
      </c>
      <c r="C100" s="6">
        <v>122099</v>
      </c>
      <c r="D100" s="7" t="s">
        <v>1093</v>
      </c>
      <c r="E100" s="8" t="s">
        <v>13</v>
      </c>
      <c r="F100" s="10" t="s">
        <v>572</v>
      </c>
      <c r="G100" s="10" t="s">
        <v>572</v>
      </c>
      <c r="H100" s="10" t="s">
        <v>994</v>
      </c>
      <c r="I100" s="9" t="s">
        <v>1145</v>
      </c>
      <c r="J100" s="7" t="s">
        <v>820</v>
      </c>
      <c r="K100" s="10" t="s">
        <v>10</v>
      </c>
      <c r="L100" s="14">
        <v>142500</v>
      </c>
      <c r="M100" s="12">
        <v>63.2</v>
      </c>
      <c r="N100" s="13">
        <f t="shared" si="2"/>
        <v>2254.746835443038</v>
      </c>
    </row>
    <row r="101" spans="1:17" hidden="1" x14ac:dyDescent="0.25">
      <c r="A101" s="180">
        <v>44735</v>
      </c>
      <c r="B101" s="83" t="s">
        <v>816</v>
      </c>
      <c r="C101" s="6">
        <v>122099</v>
      </c>
      <c r="D101" s="7" t="s">
        <v>1093</v>
      </c>
      <c r="E101" s="8" t="s">
        <v>13</v>
      </c>
      <c r="F101" s="10" t="s">
        <v>572</v>
      </c>
      <c r="G101" s="10" t="s">
        <v>572</v>
      </c>
      <c r="H101" s="10" t="s">
        <v>994</v>
      </c>
      <c r="I101" s="9" t="s">
        <v>1146</v>
      </c>
      <c r="J101" s="7" t="s">
        <v>819</v>
      </c>
      <c r="K101" s="10" t="s">
        <v>10</v>
      </c>
      <c r="L101" s="14">
        <v>154500</v>
      </c>
      <c r="M101" s="12">
        <v>63.2</v>
      </c>
      <c r="N101" s="13">
        <f t="shared" si="2"/>
        <v>2444.6202531645567</v>
      </c>
    </row>
    <row r="102" spans="1:17" x14ac:dyDescent="0.25">
      <c r="A102" s="180">
        <v>44735</v>
      </c>
      <c r="B102" s="83" t="s">
        <v>821</v>
      </c>
      <c r="C102" s="6">
        <v>122099</v>
      </c>
      <c r="D102" s="7" t="s">
        <v>1094</v>
      </c>
      <c r="E102" s="8" t="s">
        <v>13</v>
      </c>
      <c r="F102" s="10" t="s">
        <v>668</v>
      </c>
      <c r="G102" s="10" t="s">
        <v>572</v>
      </c>
      <c r="H102" s="10" t="s">
        <v>994</v>
      </c>
      <c r="I102" s="9" t="s">
        <v>1147</v>
      </c>
      <c r="J102" s="7" t="s">
        <v>828</v>
      </c>
      <c r="K102" s="10" t="s">
        <v>10</v>
      </c>
      <c r="L102" s="14">
        <v>249000</v>
      </c>
      <c r="M102" s="12">
        <v>63.2</v>
      </c>
      <c r="N102" s="13">
        <f t="shared" si="2"/>
        <v>3939.8734177215188</v>
      </c>
    </row>
    <row r="103" spans="1:17" hidden="1" x14ac:dyDescent="0.25">
      <c r="A103" s="180">
        <v>44735</v>
      </c>
      <c r="B103" s="83" t="s">
        <v>829</v>
      </c>
      <c r="C103" s="6">
        <v>122099</v>
      </c>
      <c r="D103" s="7" t="s">
        <v>1093</v>
      </c>
      <c r="E103" s="8" t="s">
        <v>19</v>
      </c>
      <c r="F103" s="10" t="s">
        <v>668</v>
      </c>
      <c r="G103" s="10" t="s">
        <v>572</v>
      </c>
      <c r="H103" s="10" t="s">
        <v>994</v>
      </c>
      <c r="I103" s="9" t="s">
        <v>1148</v>
      </c>
      <c r="J103" s="7" t="s">
        <v>831</v>
      </c>
      <c r="K103" s="10" t="s">
        <v>10</v>
      </c>
      <c r="L103" s="14">
        <v>20000</v>
      </c>
      <c r="M103" s="12">
        <v>63.2</v>
      </c>
      <c r="N103" s="13">
        <f t="shared" si="2"/>
        <v>316.45569620253161</v>
      </c>
      <c r="O103" s="97">
        <f>58276424.65-29915.3</f>
        <v>58246509.350000001</v>
      </c>
    </row>
    <row r="104" spans="1:17" hidden="1" x14ac:dyDescent="0.25">
      <c r="A104" s="180">
        <v>44735</v>
      </c>
      <c r="B104" s="83" t="s">
        <v>832</v>
      </c>
      <c r="C104" s="6">
        <v>112101</v>
      </c>
      <c r="D104" s="7" t="s">
        <v>1062</v>
      </c>
      <c r="E104" s="8" t="s">
        <v>13</v>
      </c>
      <c r="F104" s="10" t="s">
        <v>572</v>
      </c>
      <c r="G104" s="10" t="s">
        <v>572</v>
      </c>
      <c r="H104" s="10" t="s">
        <v>994</v>
      </c>
      <c r="I104" s="9" t="s">
        <v>1109</v>
      </c>
      <c r="J104" s="7" t="s">
        <v>833</v>
      </c>
      <c r="K104" s="10" t="s">
        <v>10</v>
      </c>
      <c r="L104" s="14">
        <v>689400</v>
      </c>
      <c r="M104" s="12">
        <v>63.2</v>
      </c>
      <c r="N104" s="13">
        <f t="shared" si="2"/>
        <v>10908.227848101265</v>
      </c>
      <c r="O104" s="4">
        <v>715200</v>
      </c>
      <c r="P104" s="82"/>
      <c r="Q104" s="4">
        <f>290696.82+202975.8</f>
        <v>493672.62</v>
      </c>
    </row>
    <row r="105" spans="1:17" hidden="1" x14ac:dyDescent="0.25">
      <c r="A105" s="180">
        <v>44735</v>
      </c>
      <c r="B105" s="83" t="s">
        <v>834</v>
      </c>
      <c r="C105" s="6">
        <v>112101</v>
      </c>
      <c r="D105" s="7" t="s">
        <v>1062</v>
      </c>
      <c r="E105" s="8" t="s">
        <v>13</v>
      </c>
      <c r="F105" s="10" t="s">
        <v>572</v>
      </c>
      <c r="G105" s="10" t="s">
        <v>572</v>
      </c>
      <c r="H105" s="10" t="s">
        <v>994</v>
      </c>
      <c r="I105" s="9" t="s">
        <v>1109</v>
      </c>
      <c r="J105" s="7" t="s">
        <v>835</v>
      </c>
      <c r="K105" s="10" t="s">
        <v>10</v>
      </c>
      <c r="L105" s="14">
        <v>723600</v>
      </c>
      <c r="M105" s="12">
        <v>63.2</v>
      </c>
      <c r="N105" s="13">
        <f t="shared" si="2"/>
        <v>11449.367088607594</v>
      </c>
      <c r="O105" s="3">
        <v>727200</v>
      </c>
      <c r="P105" s="82"/>
      <c r="Q105" s="97">
        <f>600000-Q104</f>
        <v>106327.38</v>
      </c>
    </row>
    <row r="106" spans="1:17" hidden="1" x14ac:dyDescent="0.25">
      <c r="A106" s="180">
        <v>44735</v>
      </c>
      <c r="B106" s="83" t="s">
        <v>836</v>
      </c>
      <c r="C106" s="6">
        <v>112101</v>
      </c>
      <c r="D106" s="7" t="s">
        <v>1062</v>
      </c>
      <c r="E106" s="8" t="s">
        <v>13</v>
      </c>
      <c r="F106" s="10" t="s">
        <v>572</v>
      </c>
      <c r="G106" s="10" t="s">
        <v>572</v>
      </c>
      <c r="H106" s="10" t="s">
        <v>994</v>
      </c>
      <c r="I106" s="9" t="s">
        <v>1109</v>
      </c>
      <c r="J106" s="7" t="s">
        <v>837</v>
      </c>
      <c r="K106" s="10" t="s">
        <v>10</v>
      </c>
      <c r="L106" s="14">
        <v>1120200</v>
      </c>
      <c r="M106" s="12">
        <v>63.2</v>
      </c>
      <c r="N106" s="13">
        <f t="shared" si="2"/>
        <v>17724.683544303796</v>
      </c>
      <c r="O106" s="3">
        <v>1118400</v>
      </c>
    </row>
    <row r="107" spans="1:17" hidden="1" x14ac:dyDescent="0.25">
      <c r="A107" s="180">
        <v>44735</v>
      </c>
      <c r="B107" s="83" t="s">
        <v>838</v>
      </c>
      <c r="C107" s="6">
        <v>112101</v>
      </c>
      <c r="D107" s="7" t="s">
        <v>1062</v>
      </c>
      <c r="E107" s="8" t="s">
        <v>13</v>
      </c>
      <c r="F107" s="10" t="s">
        <v>572</v>
      </c>
      <c r="G107" s="10" t="s">
        <v>1387</v>
      </c>
      <c r="H107" s="10" t="s">
        <v>1047</v>
      </c>
      <c r="I107" s="9" t="s">
        <v>1149</v>
      </c>
      <c r="J107" s="7" t="s">
        <v>840</v>
      </c>
      <c r="K107" s="10" t="s">
        <v>10</v>
      </c>
      <c r="L107" s="14">
        <v>20400</v>
      </c>
      <c r="M107" s="12">
        <v>63.2</v>
      </c>
      <c r="N107" s="13">
        <f t="shared" si="2"/>
        <v>322.78481012658227</v>
      </c>
    </row>
    <row r="108" spans="1:17" hidden="1" x14ac:dyDescent="0.25">
      <c r="A108" s="180">
        <v>44735</v>
      </c>
      <c r="B108" s="83" t="s">
        <v>841</v>
      </c>
      <c r="C108" s="6">
        <v>122099</v>
      </c>
      <c r="D108" s="7" t="s">
        <v>1091</v>
      </c>
      <c r="E108" s="8" t="s">
        <v>13</v>
      </c>
      <c r="F108" s="10" t="s">
        <v>572</v>
      </c>
      <c r="G108" s="10" t="s">
        <v>572</v>
      </c>
      <c r="H108" s="10" t="s">
        <v>994</v>
      </c>
      <c r="I108" s="9" t="s">
        <v>1150</v>
      </c>
      <c r="J108" s="7" t="s">
        <v>846</v>
      </c>
      <c r="K108" s="10" t="s">
        <v>10</v>
      </c>
      <c r="L108" s="14">
        <v>245380</v>
      </c>
      <c r="M108" s="12">
        <v>63.2</v>
      </c>
      <c r="N108" s="13">
        <f t="shared" si="2"/>
        <v>3882.5949367088606</v>
      </c>
      <c r="O108" s="3">
        <f>131210+17550</f>
        <v>148760</v>
      </c>
    </row>
    <row r="109" spans="1:17" hidden="1" x14ac:dyDescent="0.25">
      <c r="A109" s="180">
        <v>44735</v>
      </c>
      <c r="B109" s="83" t="s">
        <v>853</v>
      </c>
      <c r="C109" s="6">
        <v>121001</v>
      </c>
      <c r="D109" s="7" t="s">
        <v>854</v>
      </c>
      <c r="E109" s="8" t="s">
        <v>19</v>
      </c>
      <c r="F109" s="10" t="s">
        <v>572</v>
      </c>
      <c r="G109" s="10" t="s">
        <v>572</v>
      </c>
      <c r="H109" s="10" t="s">
        <v>994</v>
      </c>
      <c r="I109" s="9" t="s">
        <v>1151</v>
      </c>
      <c r="J109" s="7" t="s">
        <v>856</v>
      </c>
      <c r="K109" s="10" t="s">
        <v>10</v>
      </c>
      <c r="L109" s="14">
        <v>350000</v>
      </c>
      <c r="M109" s="12">
        <v>63.2</v>
      </c>
      <c r="N109" s="13">
        <f t="shared" si="2"/>
        <v>5537.9746835443038</v>
      </c>
    </row>
    <row r="110" spans="1:17" hidden="1" x14ac:dyDescent="0.25">
      <c r="A110" s="180">
        <v>44735</v>
      </c>
      <c r="B110" s="83" t="s">
        <v>857</v>
      </c>
      <c r="C110" s="6">
        <v>112101</v>
      </c>
      <c r="D110" s="7" t="s">
        <v>1062</v>
      </c>
      <c r="E110" s="8" t="s">
        <v>13</v>
      </c>
      <c r="F110" s="10" t="s">
        <v>572</v>
      </c>
      <c r="G110" s="10" t="s">
        <v>572</v>
      </c>
      <c r="H110" s="10" t="s">
        <v>994</v>
      </c>
      <c r="I110" s="9" t="s">
        <v>1109</v>
      </c>
      <c r="J110" s="7" t="s">
        <v>858</v>
      </c>
      <c r="K110" s="10" t="s">
        <v>10</v>
      </c>
      <c r="L110" s="14">
        <v>1279200</v>
      </c>
      <c r="M110" s="12">
        <v>63.2</v>
      </c>
      <c r="N110" s="13">
        <f t="shared" si="2"/>
        <v>20240.506329113923</v>
      </c>
    </row>
    <row r="111" spans="1:17" hidden="1" x14ac:dyDescent="0.25">
      <c r="A111" s="180">
        <v>44735</v>
      </c>
      <c r="B111" s="83" t="s">
        <v>859</v>
      </c>
      <c r="C111" s="6">
        <v>121001</v>
      </c>
      <c r="D111" s="7" t="s">
        <v>1087</v>
      </c>
      <c r="E111" s="8" t="s">
        <v>13</v>
      </c>
      <c r="F111" s="10" t="s">
        <v>586</v>
      </c>
      <c r="G111" s="10" t="s">
        <v>586</v>
      </c>
      <c r="H111" s="10" t="s">
        <v>1047</v>
      </c>
      <c r="I111" s="9" t="s">
        <v>1152</v>
      </c>
      <c r="J111" s="7" t="s">
        <v>861</v>
      </c>
      <c r="K111" s="10" t="s">
        <v>10</v>
      </c>
      <c r="L111" s="14">
        <v>25953.4</v>
      </c>
      <c r="M111" s="12">
        <v>63.2</v>
      </c>
      <c r="N111" s="13">
        <f t="shared" si="2"/>
        <v>410.65506329113924</v>
      </c>
    </row>
    <row r="112" spans="1:17" hidden="1" x14ac:dyDescent="0.25">
      <c r="A112" s="180">
        <v>44743</v>
      </c>
      <c r="B112" s="83" t="s">
        <v>849</v>
      </c>
      <c r="C112" s="6">
        <v>122099</v>
      </c>
      <c r="D112" s="7" t="s">
        <v>1095</v>
      </c>
      <c r="E112" s="8" t="s">
        <v>13</v>
      </c>
      <c r="F112" s="10" t="s">
        <v>572</v>
      </c>
      <c r="G112" s="10" t="s">
        <v>572</v>
      </c>
      <c r="H112" s="10" t="s">
        <v>994</v>
      </c>
      <c r="I112" s="9" t="s">
        <v>1153</v>
      </c>
      <c r="J112" s="7" t="s">
        <v>852</v>
      </c>
      <c r="K112" s="10" t="s">
        <v>10</v>
      </c>
      <c r="L112" s="14">
        <v>210000</v>
      </c>
      <c r="M112" s="12">
        <v>63.2</v>
      </c>
      <c r="N112" s="13">
        <f t="shared" si="2"/>
        <v>3322.7848101265822</v>
      </c>
    </row>
    <row r="113" spans="1:17" hidden="1" x14ac:dyDescent="0.25">
      <c r="A113" s="180">
        <v>44743</v>
      </c>
      <c r="B113" s="83" t="s">
        <v>862</v>
      </c>
      <c r="C113" s="6">
        <v>122099</v>
      </c>
      <c r="D113" s="7" t="s">
        <v>807</v>
      </c>
      <c r="E113" s="8" t="s">
        <v>13</v>
      </c>
      <c r="F113" s="10" t="s">
        <v>572</v>
      </c>
      <c r="G113" s="10" t="s">
        <v>572</v>
      </c>
      <c r="H113" s="10" t="s">
        <v>994</v>
      </c>
      <c r="I113" s="9" t="s">
        <v>1154</v>
      </c>
      <c r="J113" s="7" t="s">
        <v>864</v>
      </c>
      <c r="K113" s="10" t="s">
        <v>869</v>
      </c>
      <c r="L113" s="14">
        <v>707500</v>
      </c>
      <c r="M113" s="12">
        <v>63.2</v>
      </c>
      <c r="N113" s="13">
        <f t="shared" si="2"/>
        <v>11194.620253164556</v>
      </c>
    </row>
    <row r="114" spans="1:17" hidden="1" x14ac:dyDescent="0.25">
      <c r="A114" s="180">
        <v>44743</v>
      </c>
      <c r="B114" s="83" t="s">
        <v>865</v>
      </c>
      <c r="C114" s="6">
        <v>122099</v>
      </c>
      <c r="D114" s="7" t="s">
        <v>807</v>
      </c>
      <c r="E114" s="8" t="s">
        <v>19</v>
      </c>
      <c r="F114" s="10" t="s">
        <v>572</v>
      </c>
      <c r="G114" s="10" t="s">
        <v>572</v>
      </c>
      <c r="H114" s="10" t="s">
        <v>994</v>
      </c>
      <c r="I114" s="9" t="s">
        <v>1155</v>
      </c>
      <c r="J114" s="7" t="s">
        <v>867</v>
      </c>
      <c r="K114" s="10" t="s">
        <v>868</v>
      </c>
      <c r="L114" s="14">
        <v>575000</v>
      </c>
      <c r="M114" s="12">
        <v>63.2</v>
      </c>
      <c r="N114" s="13">
        <f t="shared" si="2"/>
        <v>9098.1012658227846</v>
      </c>
    </row>
    <row r="115" spans="1:17" hidden="1" x14ac:dyDescent="0.25">
      <c r="A115" s="180">
        <v>44743</v>
      </c>
      <c r="B115" s="83" t="s">
        <v>870</v>
      </c>
      <c r="C115" s="6">
        <v>122099</v>
      </c>
      <c r="D115" s="7" t="s">
        <v>807</v>
      </c>
      <c r="E115" s="8" t="s">
        <v>19</v>
      </c>
      <c r="F115" s="10" t="s">
        <v>572</v>
      </c>
      <c r="G115" s="10" t="s">
        <v>572</v>
      </c>
      <c r="H115" s="10" t="s">
        <v>994</v>
      </c>
      <c r="I115" s="9" t="s">
        <v>1156</v>
      </c>
      <c r="J115" s="7" t="s">
        <v>872</v>
      </c>
      <c r="K115" s="10" t="s">
        <v>873</v>
      </c>
      <c r="L115" s="14">
        <v>440000</v>
      </c>
      <c r="M115" s="12">
        <v>63.2</v>
      </c>
      <c r="N115" s="13">
        <f t="shared" si="2"/>
        <v>6962.0253164556962</v>
      </c>
    </row>
    <row r="116" spans="1:17" hidden="1" x14ac:dyDescent="0.25">
      <c r="A116" s="180">
        <v>44743</v>
      </c>
      <c r="B116" s="83" t="s">
        <v>874</v>
      </c>
      <c r="C116" s="6">
        <v>122099</v>
      </c>
      <c r="D116" s="7" t="s">
        <v>807</v>
      </c>
      <c r="E116" s="8" t="s">
        <v>19</v>
      </c>
      <c r="F116" s="10" t="s">
        <v>572</v>
      </c>
      <c r="G116" s="10" t="s">
        <v>572</v>
      </c>
      <c r="H116" s="10" t="s">
        <v>994</v>
      </c>
      <c r="I116" s="9" t="s">
        <v>1157</v>
      </c>
      <c r="J116" s="7" t="s">
        <v>876</v>
      </c>
      <c r="K116" s="10" t="s">
        <v>877</v>
      </c>
      <c r="L116" s="14">
        <v>1605000</v>
      </c>
      <c r="M116" s="12">
        <v>63.2</v>
      </c>
      <c r="N116" s="13">
        <f t="shared" si="2"/>
        <v>25395.569620253162</v>
      </c>
    </row>
    <row r="117" spans="1:17" hidden="1" x14ac:dyDescent="0.25">
      <c r="A117" s="180">
        <v>44743</v>
      </c>
      <c r="B117" s="83" t="s">
        <v>878</v>
      </c>
      <c r="C117" s="6">
        <v>122099</v>
      </c>
      <c r="D117" s="7" t="s">
        <v>807</v>
      </c>
      <c r="E117" s="8" t="s">
        <v>19</v>
      </c>
      <c r="F117" s="10" t="s">
        <v>572</v>
      </c>
      <c r="G117" s="10" t="s">
        <v>572</v>
      </c>
      <c r="H117" s="10" t="s">
        <v>994</v>
      </c>
      <c r="I117" s="9" t="s">
        <v>1158</v>
      </c>
      <c r="J117" s="7" t="s">
        <v>880</v>
      </c>
      <c r="K117" s="10" t="s">
        <v>881</v>
      </c>
      <c r="L117" s="14">
        <v>900000</v>
      </c>
      <c r="M117" s="12">
        <v>63.2</v>
      </c>
      <c r="N117" s="13">
        <f t="shared" si="2"/>
        <v>14240.506329113923</v>
      </c>
    </row>
    <row r="118" spans="1:17" hidden="1" x14ac:dyDescent="0.25">
      <c r="A118" s="180">
        <v>44743</v>
      </c>
      <c r="B118" s="83" t="s">
        <v>882</v>
      </c>
      <c r="C118" s="6">
        <v>122099</v>
      </c>
      <c r="D118" s="7" t="s">
        <v>807</v>
      </c>
      <c r="E118" s="8" t="s">
        <v>13</v>
      </c>
      <c r="F118" s="10" t="s">
        <v>572</v>
      </c>
      <c r="G118" s="10" t="s">
        <v>572</v>
      </c>
      <c r="H118" s="10" t="s">
        <v>994</v>
      </c>
      <c r="I118" s="9" t="s">
        <v>1159</v>
      </c>
      <c r="J118" s="7" t="s">
        <v>884</v>
      </c>
      <c r="K118" s="10" t="s">
        <v>885</v>
      </c>
      <c r="L118" s="14">
        <v>357500</v>
      </c>
      <c r="M118" s="12">
        <v>63.2</v>
      </c>
      <c r="N118" s="13">
        <f t="shared" si="2"/>
        <v>5656.6455696202529</v>
      </c>
    </row>
    <row r="119" spans="1:17" hidden="1" x14ac:dyDescent="0.25">
      <c r="A119" s="180">
        <v>44747</v>
      </c>
      <c r="B119" s="83" t="s">
        <v>890</v>
      </c>
      <c r="C119" s="6">
        <v>122099</v>
      </c>
      <c r="D119" s="7" t="s">
        <v>1096</v>
      </c>
      <c r="E119" s="8" t="s">
        <v>19</v>
      </c>
      <c r="F119" s="10" t="s">
        <v>572</v>
      </c>
      <c r="G119" s="10" t="s">
        <v>1387</v>
      </c>
      <c r="H119" s="10" t="s">
        <v>994</v>
      </c>
      <c r="I119" s="9" t="s">
        <v>1160</v>
      </c>
      <c r="J119" s="7" t="s">
        <v>893</v>
      </c>
      <c r="K119" s="10" t="s">
        <v>894</v>
      </c>
      <c r="L119" s="14">
        <v>444000</v>
      </c>
      <c r="M119" s="12">
        <v>63.2</v>
      </c>
      <c r="N119" s="13">
        <f t="shared" si="2"/>
        <v>7025.316455696202</v>
      </c>
    </row>
    <row r="120" spans="1:17" hidden="1" x14ac:dyDescent="0.25">
      <c r="A120" s="180">
        <v>44747</v>
      </c>
      <c r="B120" s="83" t="s">
        <v>895</v>
      </c>
      <c r="C120" s="6">
        <v>122099</v>
      </c>
      <c r="D120" s="7" t="s">
        <v>1096</v>
      </c>
      <c r="E120" s="8" t="s">
        <v>19</v>
      </c>
      <c r="F120" s="10" t="s">
        <v>572</v>
      </c>
      <c r="G120" s="10" t="s">
        <v>1387</v>
      </c>
      <c r="H120" s="10" t="s">
        <v>994</v>
      </c>
      <c r="I120" s="9" t="s">
        <v>1161</v>
      </c>
      <c r="J120" s="7" t="s">
        <v>897</v>
      </c>
      <c r="K120" s="10" t="s">
        <v>898</v>
      </c>
      <c r="L120" s="14">
        <v>559750</v>
      </c>
      <c r="M120" s="12">
        <v>63.2</v>
      </c>
      <c r="N120" s="13">
        <f t="shared" si="2"/>
        <v>8856.8037974683539</v>
      </c>
    </row>
    <row r="121" spans="1:17" hidden="1" x14ac:dyDescent="0.25">
      <c r="A121" s="180">
        <v>44747</v>
      </c>
      <c r="B121" s="83" t="s">
        <v>899</v>
      </c>
      <c r="C121" s="6">
        <v>122099</v>
      </c>
      <c r="D121" s="7" t="s">
        <v>1096</v>
      </c>
      <c r="E121" s="8" t="s">
        <v>19</v>
      </c>
      <c r="F121" s="10" t="s">
        <v>572</v>
      </c>
      <c r="G121" s="10" t="s">
        <v>1387</v>
      </c>
      <c r="H121" s="10" t="s">
        <v>994</v>
      </c>
      <c r="I121" s="9" t="s">
        <v>1162</v>
      </c>
      <c r="J121" s="7" t="s">
        <v>897</v>
      </c>
      <c r="K121" s="10" t="s">
        <v>901</v>
      </c>
      <c r="L121" s="14">
        <v>236800</v>
      </c>
      <c r="M121" s="12">
        <v>63.2</v>
      </c>
      <c r="N121" s="13">
        <f t="shared" si="2"/>
        <v>3746.8354430379745</v>
      </c>
    </row>
    <row r="122" spans="1:17" hidden="1" x14ac:dyDescent="0.25">
      <c r="A122" s="180">
        <v>44756</v>
      </c>
      <c r="B122" s="83" t="s">
        <v>902</v>
      </c>
      <c r="C122" s="6">
        <v>122099</v>
      </c>
      <c r="D122" s="7" t="s">
        <v>807</v>
      </c>
      <c r="E122" s="8" t="s">
        <v>19</v>
      </c>
      <c r="F122" s="10" t="s">
        <v>572</v>
      </c>
      <c r="G122" s="10" t="s">
        <v>1387</v>
      </c>
      <c r="H122" s="10" t="s">
        <v>994</v>
      </c>
      <c r="I122" s="9" t="s">
        <v>1163</v>
      </c>
      <c r="J122" s="7" t="s">
        <v>904</v>
      </c>
      <c r="K122" s="10" t="s">
        <v>905</v>
      </c>
      <c r="L122" s="14">
        <v>357500</v>
      </c>
      <c r="M122" s="12">
        <v>63.2</v>
      </c>
      <c r="N122" s="13">
        <f t="shared" si="2"/>
        <v>5656.6455696202529</v>
      </c>
    </row>
    <row r="123" spans="1:17" hidden="1" x14ac:dyDescent="0.25">
      <c r="A123" s="180">
        <v>44757</v>
      </c>
      <c r="B123" s="83" t="s">
        <v>906</v>
      </c>
      <c r="C123" s="6">
        <v>122099</v>
      </c>
      <c r="D123" s="7" t="s">
        <v>907</v>
      </c>
      <c r="E123" s="8" t="s">
        <v>19</v>
      </c>
      <c r="F123" s="10" t="s">
        <v>572</v>
      </c>
      <c r="G123" s="10" t="s">
        <v>1387</v>
      </c>
      <c r="H123" s="10" t="s">
        <v>994</v>
      </c>
      <c r="I123" s="9" t="s">
        <v>1164</v>
      </c>
      <c r="J123" s="7" t="s">
        <v>1051</v>
      </c>
      <c r="K123" s="10" t="s">
        <v>909</v>
      </c>
      <c r="L123" s="14">
        <v>326840.65000000002</v>
      </c>
      <c r="M123" s="12">
        <v>63.2</v>
      </c>
      <c r="N123" s="13">
        <f t="shared" si="2"/>
        <v>5171.529272151899</v>
      </c>
      <c r="O123" s="3" t="s">
        <v>1048</v>
      </c>
      <c r="P123" s="178" t="s">
        <v>1053</v>
      </c>
      <c r="Q123" s="178"/>
    </row>
    <row r="124" spans="1:17" hidden="1" x14ac:dyDescent="0.25">
      <c r="A124" s="180">
        <v>44757</v>
      </c>
      <c r="B124" s="83" t="s">
        <v>906</v>
      </c>
      <c r="C124" s="6">
        <v>122099</v>
      </c>
      <c r="D124" s="7" t="s">
        <v>907</v>
      </c>
      <c r="E124" s="8" t="s">
        <v>19</v>
      </c>
      <c r="F124" s="10" t="s">
        <v>572</v>
      </c>
      <c r="G124" s="10" t="s">
        <v>1387</v>
      </c>
      <c r="H124" s="10" t="s">
        <v>994</v>
      </c>
      <c r="I124" s="9" t="s">
        <v>1164</v>
      </c>
      <c r="J124" s="7" t="s">
        <v>1050</v>
      </c>
      <c r="K124" s="10" t="s">
        <v>909</v>
      </c>
      <c r="L124" s="14">
        <v>103159.35</v>
      </c>
      <c r="M124" s="12">
        <v>63.23</v>
      </c>
      <c r="N124" s="13">
        <f t="shared" si="2"/>
        <v>1631.4937529653648</v>
      </c>
      <c r="O124" s="82">
        <f>SUM(L123:L124)</f>
        <v>430000</v>
      </c>
      <c r="P124" s="82">
        <f>SUM(L46,L61,L64,L67:L123)</f>
        <v>37919999.999999993</v>
      </c>
      <c r="Q124" s="82">
        <f>SUM(N46,N61,N64,N67:N123)</f>
        <v>600000.00000000023</v>
      </c>
    </row>
    <row r="125" spans="1:17" hidden="1" x14ac:dyDescent="0.25">
      <c r="A125" s="180">
        <v>44757</v>
      </c>
      <c r="B125" s="83" t="s">
        <v>910</v>
      </c>
      <c r="C125" s="6">
        <v>122099</v>
      </c>
      <c r="D125" s="7" t="s">
        <v>907</v>
      </c>
      <c r="E125" s="8" t="s">
        <v>19</v>
      </c>
      <c r="F125" s="10" t="s">
        <v>572</v>
      </c>
      <c r="G125" s="10" t="s">
        <v>1387</v>
      </c>
      <c r="H125" s="10" t="s">
        <v>994</v>
      </c>
      <c r="I125" s="9" t="s">
        <v>1165</v>
      </c>
      <c r="J125" s="7" t="s">
        <v>913</v>
      </c>
      <c r="K125" s="10" t="s">
        <v>914</v>
      </c>
      <c r="L125" s="14">
        <v>430000</v>
      </c>
      <c r="M125" s="12">
        <v>63.23</v>
      </c>
      <c r="N125" s="13">
        <f t="shared" si="2"/>
        <v>6800.5693499920926</v>
      </c>
    </row>
    <row r="126" spans="1:17" hidden="1" x14ac:dyDescent="0.25">
      <c r="A126" s="180">
        <v>44760</v>
      </c>
      <c r="B126" s="83" t="s">
        <v>915</v>
      </c>
      <c r="C126" s="6">
        <v>122099</v>
      </c>
      <c r="D126" s="7" t="s">
        <v>916</v>
      </c>
      <c r="E126" s="8" t="s">
        <v>19</v>
      </c>
      <c r="F126" s="10" t="s">
        <v>572</v>
      </c>
      <c r="G126" s="10" t="s">
        <v>572</v>
      </c>
      <c r="H126" s="10" t="s">
        <v>994</v>
      </c>
      <c r="I126" s="9" t="s">
        <v>1166</v>
      </c>
      <c r="J126" s="7" t="s">
        <v>918</v>
      </c>
      <c r="K126" s="10" t="s">
        <v>919</v>
      </c>
      <c r="L126" s="14">
        <v>941850</v>
      </c>
      <c r="M126" s="12">
        <v>63.23</v>
      </c>
      <c r="N126" s="13">
        <f t="shared" si="2"/>
        <v>14895.619168116402</v>
      </c>
    </row>
    <row r="127" spans="1:17" hidden="1" x14ac:dyDescent="0.25">
      <c r="A127" s="180">
        <v>44761</v>
      </c>
      <c r="B127" s="83" t="s">
        <v>920</v>
      </c>
      <c r="C127" s="6">
        <v>122099</v>
      </c>
      <c r="D127" s="7" t="s">
        <v>1097</v>
      </c>
      <c r="E127" s="8" t="s">
        <v>13</v>
      </c>
      <c r="F127" s="10" t="s">
        <v>572</v>
      </c>
      <c r="G127" s="10" t="s">
        <v>572</v>
      </c>
      <c r="H127" s="10" t="s">
        <v>994</v>
      </c>
      <c r="I127" s="9" t="s">
        <v>1167</v>
      </c>
      <c r="J127" s="7" t="s">
        <v>923</v>
      </c>
      <c r="K127" s="10" t="s">
        <v>924</v>
      </c>
      <c r="L127" s="14">
        <v>490230</v>
      </c>
      <c r="M127" s="12">
        <v>63.23</v>
      </c>
      <c r="N127" s="13">
        <f t="shared" si="2"/>
        <v>7753.1235173177292</v>
      </c>
      <c r="P127" s="4"/>
    </row>
    <row r="128" spans="1:17" s="95" customFormat="1" ht="15" hidden="1" x14ac:dyDescent="0.25">
      <c r="A128" s="181">
        <v>44761</v>
      </c>
      <c r="B128" s="127" t="s">
        <v>925</v>
      </c>
      <c r="C128" s="86">
        <v>121099</v>
      </c>
      <c r="D128" s="87" t="s">
        <v>926</v>
      </c>
      <c r="E128" s="88" t="s">
        <v>19</v>
      </c>
      <c r="F128" s="89" t="s">
        <v>681</v>
      </c>
      <c r="G128" s="89" t="s">
        <v>681</v>
      </c>
      <c r="H128" s="89" t="s">
        <v>1047</v>
      </c>
      <c r="I128" s="90" t="s">
        <v>1168</v>
      </c>
      <c r="J128" s="211" t="s">
        <v>928</v>
      </c>
      <c r="K128" s="89" t="s">
        <v>929</v>
      </c>
      <c r="L128" s="92">
        <v>802068</v>
      </c>
      <c r="M128" s="93">
        <v>63.23</v>
      </c>
      <c r="N128" s="94">
        <f t="shared" si="2"/>
        <v>12684.928040487112</v>
      </c>
      <c r="O128" s="209"/>
      <c r="P128" s="209"/>
    </row>
    <row r="129" spans="1:14" hidden="1" x14ac:dyDescent="0.25">
      <c r="A129" s="180">
        <v>44762</v>
      </c>
      <c r="B129" s="83" t="s">
        <v>930</v>
      </c>
      <c r="C129" s="6">
        <v>121005</v>
      </c>
      <c r="D129" s="7" t="s">
        <v>931</v>
      </c>
      <c r="E129" s="8" t="s">
        <v>19</v>
      </c>
      <c r="F129" s="10" t="s">
        <v>572</v>
      </c>
      <c r="G129" s="10" t="s">
        <v>1387</v>
      </c>
      <c r="H129" s="10" t="s">
        <v>994</v>
      </c>
      <c r="I129" s="9" t="s">
        <v>1169</v>
      </c>
      <c r="J129" s="7" t="s">
        <v>933</v>
      </c>
      <c r="K129" s="10" t="s">
        <v>934</v>
      </c>
      <c r="L129" s="14">
        <v>129127.05</v>
      </c>
      <c r="M129" s="12">
        <v>63.23</v>
      </c>
      <c r="N129" s="13">
        <f t="shared" si="2"/>
        <v>2042.180136011387</v>
      </c>
    </row>
    <row r="130" spans="1:14" hidden="1" x14ac:dyDescent="0.25">
      <c r="A130" s="180">
        <v>44762</v>
      </c>
      <c r="B130" s="83" t="s">
        <v>935</v>
      </c>
      <c r="C130" s="6">
        <v>121005</v>
      </c>
      <c r="D130" s="7" t="s">
        <v>931</v>
      </c>
      <c r="E130" s="8" t="s">
        <v>19</v>
      </c>
      <c r="F130" s="10" t="s">
        <v>572</v>
      </c>
      <c r="G130" s="10" t="s">
        <v>1387</v>
      </c>
      <c r="H130" s="10" t="s">
        <v>994</v>
      </c>
      <c r="I130" s="9" t="s">
        <v>1170</v>
      </c>
      <c r="J130" s="7" t="s">
        <v>933</v>
      </c>
      <c r="K130" s="10" t="s">
        <v>937</v>
      </c>
      <c r="L130" s="14">
        <v>559944.44999999995</v>
      </c>
      <c r="M130" s="12">
        <v>63.23</v>
      </c>
      <c r="N130" s="13">
        <f t="shared" si="2"/>
        <v>8855.6768938794867</v>
      </c>
    </row>
    <row r="131" spans="1:14" s="220" customFormat="1" ht="15" hidden="1" x14ac:dyDescent="0.2">
      <c r="A131" s="212">
        <v>44764</v>
      </c>
      <c r="B131" s="213" t="s">
        <v>938</v>
      </c>
      <c r="C131" s="214">
        <v>214101</v>
      </c>
      <c r="D131" s="211" t="s">
        <v>939</v>
      </c>
      <c r="E131" s="215" t="s">
        <v>19</v>
      </c>
      <c r="F131" s="216" t="s">
        <v>561</v>
      </c>
      <c r="G131" s="198" t="s">
        <v>1386</v>
      </c>
      <c r="H131" s="89" t="s">
        <v>1047</v>
      </c>
      <c r="I131" s="90" t="s">
        <v>1171</v>
      </c>
      <c r="J131" s="211" t="s">
        <v>941</v>
      </c>
      <c r="K131" s="216" t="s">
        <v>10</v>
      </c>
      <c r="L131" s="217">
        <v>11703180</v>
      </c>
      <c r="M131" s="218">
        <v>63.23</v>
      </c>
      <c r="N131" s="219">
        <f t="shared" si="2"/>
        <v>185089.04001265223</v>
      </c>
    </row>
    <row r="132" spans="1:14" ht="15" hidden="1" x14ac:dyDescent="0.25">
      <c r="A132" s="180">
        <v>44767</v>
      </c>
      <c r="B132" s="83" t="s">
        <v>1199</v>
      </c>
      <c r="C132" s="6">
        <v>222099</v>
      </c>
      <c r="D132" s="7" t="s">
        <v>1098</v>
      </c>
      <c r="E132" s="8" t="s">
        <v>19</v>
      </c>
      <c r="F132" t="s">
        <v>532</v>
      </c>
      <c r="G132" t="s">
        <v>532</v>
      </c>
      <c r="H132" s="10" t="s">
        <v>994</v>
      </c>
      <c r="I132" s="9" t="s">
        <v>1107</v>
      </c>
      <c r="J132" s="87" t="s">
        <v>886</v>
      </c>
      <c r="K132" s="10" t="s">
        <v>10</v>
      </c>
      <c r="L132" s="14">
        <v>160000</v>
      </c>
      <c r="M132" s="12">
        <v>63.23</v>
      </c>
      <c r="N132" s="13">
        <f t="shared" si="2"/>
        <v>2530.4444092993836</v>
      </c>
    </row>
    <row r="133" spans="1:14" hidden="1" x14ac:dyDescent="0.25">
      <c r="A133" s="181">
        <v>44769</v>
      </c>
      <c r="B133" s="127" t="s">
        <v>947</v>
      </c>
      <c r="C133" s="86">
        <v>121099</v>
      </c>
      <c r="D133" s="87" t="s">
        <v>943</v>
      </c>
      <c r="E133" s="88" t="s">
        <v>19</v>
      </c>
      <c r="F133" s="89" t="s">
        <v>561</v>
      </c>
      <c r="G133" s="10" t="s">
        <v>561</v>
      </c>
      <c r="H133" s="89" t="s">
        <v>1047</v>
      </c>
      <c r="I133" s="90" t="s">
        <v>1172</v>
      </c>
      <c r="J133" s="87" t="s">
        <v>949</v>
      </c>
      <c r="K133" s="89" t="s">
        <v>1195</v>
      </c>
      <c r="L133" s="92">
        <v>9337261.6699999999</v>
      </c>
      <c r="M133" s="93">
        <v>63.23</v>
      </c>
      <c r="N133" s="94">
        <f t="shared" si="2"/>
        <v>147671.38494385578</v>
      </c>
    </row>
    <row r="134" spans="1:14" hidden="1" x14ac:dyDescent="0.25">
      <c r="A134" s="181">
        <v>44770</v>
      </c>
      <c r="B134" s="127" t="s">
        <v>996</v>
      </c>
      <c r="C134" s="86">
        <v>211099</v>
      </c>
      <c r="D134" s="87" t="s">
        <v>997</v>
      </c>
      <c r="E134" s="88" t="s">
        <v>19</v>
      </c>
      <c r="F134" s="89" t="s">
        <v>565</v>
      </c>
      <c r="G134" s="10" t="s">
        <v>565</v>
      </c>
      <c r="H134" s="89" t="s">
        <v>1047</v>
      </c>
      <c r="I134" s="90" t="s">
        <v>1173</v>
      </c>
      <c r="J134" s="87" t="s">
        <v>999</v>
      </c>
      <c r="K134" s="89" t="s">
        <v>10</v>
      </c>
      <c r="L134" s="92">
        <v>520138.32</v>
      </c>
      <c r="M134" s="93">
        <v>63.23</v>
      </c>
      <c r="N134" s="94">
        <f t="shared" si="2"/>
        <v>8226.1318994148351</v>
      </c>
    </row>
    <row r="135" spans="1:14" hidden="1" x14ac:dyDescent="0.25">
      <c r="A135" s="180">
        <v>44774</v>
      </c>
      <c r="B135" s="6" t="s">
        <v>950</v>
      </c>
      <c r="C135" s="6">
        <v>122099</v>
      </c>
      <c r="D135" s="7" t="s">
        <v>1085</v>
      </c>
      <c r="E135" s="8" t="s">
        <v>19</v>
      </c>
      <c r="F135" s="10" t="s">
        <v>586</v>
      </c>
      <c r="G135" s="10" t="s">
        <v>586</v>
      </c>
      <c r="H135" s="10" t="s">
        <v>994</v>
      </c>
      <c r="I135" s="9" t="s">
        <v>1174</v>
      </c>
      <c r="J135" s="7" t="s">
        <v>955</v>
      </c>
      <c r="K135" s="10" t="s">
        <v>10</v>
      </c>
      <c r="L135" s="14">
        <v>280000</v>
      </c>
      <c r="M135" s="12">
        <v>63.23</v>
      </c>
      <c r="N135" s="13">
        <f t="shared" si="2"/>
        <v>4428.2777162739212</v>
      </c>
    </row>
    <row r="136" spans="1:14" hidden="1" x14ac:dyDescent="0.25">
      <c r="A136" s="180">
        <v>44774</v>
      </c>
      <c r="B136" s="6" t="s">
        <v>952</v>
      </c>
      <c r="C136" s="6">
        <v>122099</v>
      </c>
      <c r="D136" s="7" t="s">
        <v>1085</v>
      </c>
      <c r="E136" s="8" t="s">
        <v>19</v>
      </c>
      <c r="F136" s="10" t="s">
        <v>586</v>
      </c>
      <c r="G136" s="10" t="s">
        <v>586</v>
      </c>
      <c r="H136" s="10" t="s">
        <v>994</v>
      </c>
      <c r="I136" s="9" t="s">
        <v>1175</v>
      </c>
      <c r="J136" s="7" t="s">
        <v>954</v>
      </c>
      <c r="K136" s="10" t="s">
        <v>10</v>
      </c>
      <c r="L136" s="14">
        <v>185400</v>
      </c>
      <c r="M136" s="12">
        <v>63.23</v>
      </c>
      <c r="N136" s="13">
        <f t="shared" si="2"/>
        <v>2932.1524592756605</v>
      </c>
    </row>
    <row r="137" spans="1:14" hidden="1" x14ac:dyDescent="0.25">
      <c r="A137" s="180">
        <v>44774</v>
      </c>
      <c r="B137" s="6" t="s">
        <v>956</v>
      </c>
      <c r="C137" s="6">
        <v>122099</v>
      </c>
      <c r="D137" s="7" t="s">
        <v>1085</v>
      </c>
      <c r="E137" s="8" t="s">
        <v>19</v>
      </c>
      <c r="F137" s="10" t="s">
        <v>572</v>
      </c>
      <c r="G137" s="10" t="s">
        <v>572</v>
      </c>
      <c r="H137" s="10" t="s">
        <v>994</v>
      </c>
      <c r="I137" s="9" t="s">
        <v>1176</v>
      </c>
      <c r="J137" s="7" t="s">
        <v>958</v>
      </c>
      <c r="K137" s="10" t="s">
        <v>10</v>
      </c>
      <c r="L137" s="14">
        <v>195800</v>
      </c>
      <c r="M137" s="12">
        <v>63.23</v>
      </c>
      <c r="N137" s="13">
        <f t="shared" si="2"/>
        <v>3096.6313458801205</v>
      </c>
    </row>
    <row r="138" spans="1:14" hidden="1" x14ac:dyDescent="0.25">
      <c r="A138" s="180">
        <v>44774</v>
      </c>
      <c r="B138" s="6" t="s">
        <v>959</v>
      </c>
      <c r="C138" s="6">
        <v>122099</v>
      </c>
      <c r="D138" s="7" t="s">
        <v>1099</v>
      </c>
      <c r="E138" s="8" t="s">
        <v>19</v>
      </c>
      <c r="F138" s="10" t="s">
        <v>586</v>
      </c>
      <c r="G138" s="10" t="s">
        <v>586</v>
      </c>
      <c r="H138" s="10" t="s">
        <v>994</v>
      </c>
      <c r="I138" s="9" t="s">
        <v>1177</v>
      </c>
      <c r="J138" s="7" t="s">
        <v>962</v>
      </c>
      <c r="K138" s="10" t="s">
        <v>10</v>
      </c>
      <c r="L138" s="14">
        <v>55000</v>
      </c>
      <c r="M138" s="12">
        <v>63.23</v>
      </c>
      <c r="N138" s="13">
        <f t="shared" si="2"/>
        <v>869.84026569666298</v>
      </c>
    </row>
    <row r="139" spans="1:14" hidden="1" x14ac:dyDescent="0.25">
      <c r="A139" s="180">
        <v>44774</v>
      </c>
      <c r="B139" s="6" t="s">
        <v>963</v>
      </c>
      <c r="C139" s="6">
        <v>122099</v>
      </c>
      <c r="D139" s="7" t="s">
        <v>1099</v>
      </c>
      <c r="E139" s="8" t="s">
        <v>19</v>
      </c>
      <c r="F139" s="10" t="s">
        <v>572</v>
      </c>
      <c r="G139" s="10" t="s">
        <v>1387</v>
      </c>
      <c r="H139" s="10" t="s">
        <v>994</v>
      </c>
      <c r="I139" s="9" t="s">
        <v>1178</v>
      </c>
      <c r="J139" s="7" t="s">
        <v>965</v>
      </c>
      <c r="K139" s="10" t="s">
        <v>10</v>
      </c>
      <c r="L139" s="14">
        <v>25000</v>
      </c>
      <c r="M139" s="12">
        <v>63.23</v>
      </c>
      <c r="N139" s="13">
        <f t="shared" si="2"/>
        <v>395.38193895302862</v>
      </c>
    </row>
    <row r="140" spans="1:14" hidden="1" x14ac:dyDescent="0.25">
      <c r="A140" s="180">
        <v>44774</v>
      </c>
      <c r="B140" s="6" t="s">
        <v>966</v>
      </c>
      <c r="C140" s="6">
        <v>122099</v>
      </c>
      <c r="D140" s="7" t="s">
        <v>1085</v>
      </c>
      <c r="E140" s="8" t="s">
        <v>19</v>
      </c>
      <c r="F140" s="10" t="s">
        <v>572</v>
      </c>
      <c r="G140" s="10" t="s">
        <v>1387</v>
      </c>
      <c r="H140" s="10" t="s">
        <v>994</v>
      </c>
      <c r="I140" s="9" t="s">
        <v>1179</v>
      </c>
      <c r="J140" s="7" t="s">
        <v>968</v>
      </c>
      <c r="K140" s="10" t="s">
        <v>10</v>
      </c>
      <c r="L140" s="14">
        <v>329200</v>
      </c>
      <c r="M140" s="12">
        <v>63.23</v>
      </c>
      <c r="N140" s="13">
        <f t="shared" si="2"/>
        <v>5206.3893721334816</v>
      </c>
    </row>
    <row r="141" spans="1:14" hidden="1" x14ac:dyDescent="0.25">
      <c r="A141" s="180">
        <v>44774</v>
      </c>
      <c r="B141" s="6" t="s">
        <v>969</v>
      </c>
      <c r="C141" s="6">
        <v>122099</v>
      </c>
      <c r="D141" s="7" t="s">
        <v>1085</v>
      </c>
      <c r="E141" s="8" t="s">
        <v>660</v>
      </c>
      <c r="F141" s="10" t="s">
        <v>572</v>
      </c>
      <c r="G141" s="10" t="s">
        <v>572</v>
      </c>
      <c r="H141" s="10" t="s">
        <v>994</v>
      </c>
      <c r="I141" s="9" t="s">
        <v>1180</v>
      </c>
      <c r="J141" s="7" t="s">
        <v>970</v>
      </c>
      <c r="K141" s="10" t="s">
        <v>10</v>
      </c>
      <c r="L141" s="14">
        <v>610250</v>
      </c>
      <c r="M141" s="12">
        <v>63.23</v>
      </c>
      <c r="N141" s="13">
        <f t="shared" si="2"/>
        <v>9651.2731298434301</v>
      </c>
    </row>
    <row r="142" spans="1:14" hidden="1" x14ac:dyDescent="0.25">
      <c r="A142" s="180">
        <v>44774</v>
      </c>
      <c r="B142" s="6" t="s">
        <v>974</v>
      </c>
      <c r="C142" s="6">
        <v>122099</v>
      </c>
      <c r="D142" s="7" t="s">
        <v>1084</v>
      </c>
      <c r="E142" s="8" t="s">
        <v>19</v>
      </c>
      <c r="F142" s="10" t="s">
        <v>572</v>
      </c>
      <c r="G142" s="10" t="s">
        <v>1387</v>
      </c>
      <c r="H142" s="10" t="s">
        <v>994</v>
      </c>
      <c r="I142" s="9" t="s">
        <v>1181</v>
      </c>
      <c r="J142" s="7" t="s">
        <v>972</v>
      </c>
      <c r="K142" s="10" t="s">
        <v>10</v>
      </c>
      <c r="L142" s="14">
        <v>211000</v>
      </c>
      <c r="M142" s="12">
        <v>63.23</v>
      </c>
      <c r="N142" s="13">
        <f t="shared" si="2"/>
        <v>3337.0235647635618</v>
      </c>
    </row>
    <row r="143" spans="1:14" hidden="1" x14ac:dyDescent="0.25">
      <c r="A143" s="180">
        <v>44774</v>
      </c>
      <c r="B143" s="6" t="s">
        <v>973</v>
      </c>
      <c r="C143" s="6">
        <v>122099</v>
      </c>
      <c r="D143" s="7" t="s">
        <v>1084</v>
      </c>
      <c r="E143" s="8" t="s">
        <v>19</v>
      </c>
      <c r="F143" s="10" t="s">
        <v>586</v>
      </c>
      <c r="G143" s="10" t="s">
        <v>586</v>
      </c>
      <c r="H143" s="10" t="s">
        <v>994</v>
      </c>
      <c r="I143" s="9" t="s">
        <v>1182</v>
      </c>
      <c r="J143" s="7" t="s">
        <v>976</v>
      </c>
      <c r="K143" s="10" t="s">
        <v>10</v>
      </c>
      <c r="L143" s="14">
        <v>168000</v>
      </c>
      <c r="M143" s="12">
        <v>63.23</v>
      </c>
      <c r="N143" s="13">
        <f t="shared" si="2"/>
        <v>2656.9666297643525</v>
      </c>
    </row>
    <row r="144" spans="1:14" hidden="1" x14ac:dyDescent="0.25">
      <c r="A144" s="180">
        <v>44774</v>
      </c>
      <c r="B144" s="6" t="s">
        <v>977</v>
      </c>
      <c r="C144" s="6">
        <v>122099</v>
      </c>
      <c r="D144" s="7" t="s">
        <v>1084</v>
      </c>
      <c r="E144" s="8" t="s">
        <v>19</v>
      </c>
      <c r="F144" s="10" t="s">
        <v>572</v>
      </c>
      <c r="G144" s="10" t="s">
        <v>1387</v>
      </c>
      <c r="H144" s="10" t="s">
        <v>994</v>
      </c>
      <c r="I144" s="9" t="s">
        <v>1183</v>
      </c>
      <c r="J144" s="7" t="s">
        <v>979</v>
      </c>
      <c r="K144" s="10" t="s">
        <v>10</v>
      </c>
      <c r="L144" s="14">
        <v>47500</v>
      </c>
      <c r="M144" s="12">
        <v>63.23</v>
      </c>
      <c r="N144" s="13">
        <f t="shared" si="2"/>
        <v>751.22568401075443</v>
      </c>
    </row>
    <row r="145" spans="1:15" hidden="1" x14ac:dyDescent="0.25">
      <c r="A145" s="180">
        <v>44774</v>
      </c>
      <c r="B145" s="6" t="s">
        <v>1000</v>
      </c>
      <c r="C145" s="6">
        <v>121001</v>
      </c>
      <c r="D145" s="7" t="s">
        <v>1100</v>
      </c>
      <c r="E145" s="8" t="s">
        <v>19</v>
      </c>
      <c r="F145" s="10" t="s">
        <v>572</v>
      </c>
      <c r="G145" s="10" t="s">
        <v>572</v>
      </c>
      <c r="H145" s="10" t="s">
        <v>994</v>
      </c>
      <c r="I145" s="9" t="s">
        <v>1184</v>
      </c>
      <c r="J145" s="7" t="s">
        <v>1003</v>
      </c>
      <c r="K145" s="10" t="s">
        <v>10</v>
      </c>
      <c r="L145" s="14">
        <v>29915.3</v>
      </c>
      <c r="M145" s="12">
        <v>63.23</v>
      </c>
      <c r="N145" s="13">
        <f t="shared" si="2"/>
        <v>473.11877273446152</v>
      </c>
    </row>
    <row r="146" spans="1:15" hidden="1" x14ac:dyDescent="0.25">
      <c r="A146" s="180">
        <v>44774</v>
      </c>
      <c r="B146" s="6" t="s">
        <v>1004</v>
      </c>
      <c r="C146" s="6">
        <v>112101</v>
      </c>
      <c r="D146" s="7" t="s">
        <v>1101</v>
      </c>
      <c r="E146" s="8" t="s">
        <v>19</v>
      </c>
      <c r="F146" s="10" t="s">
        <v>565</v>
      </c>
      <c r="G146" s="10" t="s">
        <v>565</v>
      </c>
      <c r="H146" s="10" t="s">
        <v>994</v>
      </c>
      <c r="I146" s="9" t="s">
        <v>1109</v>
      </c>
      <c r="J146" s="7" t="s">
        <v>1006</v>
      </c>
      <c r="K146" s="10" t="s">
        <v>10</v>
      </c>
      <c r="L146" s="14">
        <v>10800</v>
      </c>
      <c r="M146" s="12">
        <v>63.23</v>
      </c>
      <c r="N146" s="13">
        <f t="shared" si="2"/>
        <v>170.80499762770839</v>
      </c>
    </row>
    <row r="147" spans="1:15" hidden="1" x14ac:dyDescent="0.25">
      <c r="A147" s="180">
        <v>44774</v>
      </c>
      <c r="B147" s="6" t="s">
        <v>1007</v>
      </c>
      <c r="C147" s="6">
        <v>112101</v>
      </c>
      <c r="D147" s="7" t="s">
        <v>1062</v>
      </c>
      <c r="E147" s="8" t="s">
        <v>13</v>
      </c>
      <c r="F147" s="10" t="s">
        <v>572</v>
      </c>
      <c r="G147" s="10" t="s">
        <v>1387</v>
      </c>
      <c r="H147" s="10" t="s">
        <v>1047</v>
      </c>
      <c r="I147" s="9" t="s">
        <v>1109</v>
      </c>
      <c r="J147" s="7" t="s">
        <v>1008</v>
      </c>
      <c r="K147" s="10" t="s">
        <v>10</v>
      </c>
      <c r="L147" s="14">
        <v>38400</v>
      </c>
      <c r="M147" s="12">
        <v>63.23</v>
      </c>
      <c r="N147" s="13">
        <f t="shared" si="2"/>
        <v>607.306658231852</v>
      </c>
    </row>
    <row r="148" spans="1:15" hidden="1" x14ac:dyDescent="0.25">
      <c r="A148" s="180">
        <v>44774</v>
      </c>
      <c r="B148" s="6" t="s">
        <v>1009</v>
      </c>
      <c r="C148" s="6">
        <v>122099</v>
      </c>
      <c r="D148" s="7" t="s">
        <v>1096</v>
      </c>
      <c r="E148" s="8" t="s">
        <v>19</v>
      </c>
      <c r="F148" s="10" t="s">
        <v>572</v>
      </c>
      <c r="G148" s="10" t="s">
        <v>1387</v>
      </c>
      <c r="H148" s="10" t="s">
        <v>994</v>
      </c>
      <c r="I148" s="9" t="s">
        <v>1185</v>
      </c>
      <c r="J148" s="7" t="s">
        <v>1011</v>
      </c>
      <c r="K148" s="10" t="s">
        <v>10</v>
      </c>
      <c r="L148" s="14">
        <v>222000</v>
      </c>
      <c r="M148" s="12">
        <v>63.23</v>
      </c>
      <c r="N148" s="13">
        <f t="shared" si="2"/>
        <v>3510.9916179028942</v>
      </c>
    </row>
    <row r="149" spans="1:15" hidden="1" x14ac:dyDescent="0.25">
      <c r="A149" s="180">
        <v>44774</v>
      </c>
      <c r="B149" s="6" t="s">
        <v>1012</v>
      </c>
      <c r="C149" s="6">
        <v>122099</v>
      </c>
      <c r="D149" s="7" t="s">
        <v>1013</v>
      </c>
      <c r="E149" s="8" t="s">
        <v>19</v>
      </c>
      <c r="F149" s="10" t="s">
        <v>586</v>
      </c>
      <c r="G149" s="10" t="s">
        <v>586</v>
      </c>
      <c r="H149" s="10" t="s">
        <v>994</v>
      </c>
      <c r="I149" s="9" t="s">
        <v>1186</v>
      </c>
      <c r="J149" s="7" t="s">
        <v>1015</v>
      </c>
      <c r="K149" s="10" t="s">
        <v>10</v>
      </c>
      <c r="L149" s="14">
        <v>297500</v>
      </c>
      <c r="M149" s="12">
        <v>63.23</v>
      </c>
      <c r="N149" s="13">
        <f t="shared" si="2"/>
        <v>4705.0450735410404</v>
      </c>
    </row>
    <row r="150" spans="1:15" hidden="1" x14ac:dyDescent="0.25">
      <c r="A150" s="180">
        <v>44774</v>
      </c>
      <c r="B150" s="6" t="s">
        <v>1016</v>
      </c>
      <c r="C150" s="6">
        <v>121001</v>
      </c>
      <c r="D150" s="7" t="s">
        <v>1017</v>
      </c>
      <c r="E150" s="8" t="s">
        <v>19</v>
      </c>
      <c r="F150" s="10" t="s">
        <v>1018</v>
      </c>
      <c r="G150" s="10" t="s">
        <v>1018</v>
      </c>
      <c r="H150" s="10" t="s">
        <v>994</v>
      </c>
      <c r="I150" s="9" t="s">
        <v>1187</v>
      </c>
      <c r="J150" s="7" t="s">
        <v>1019</v>
      </c>
      <c r="K150" s="10" t="s">
        <v>10</v>
      </c>
      <c r="L150" s="14">
        <v>8901</v>
      </c>
      <c r="M150" s="12">
        <v>63.23</v>
      </c>
      <c r="N150" s="13">
        <f t="shared" si="2"/>
        <v>140.77178554483632</v>
      </c>
    </row>
    <row r="151" spans="1:15" hidden="1" x14ac:dyDescent="0.25">
      <c r="A151" s="180">
        <v>44774</v>
      </c>
      <c r="B151" s="6" t="s">
        <v>906</v>
      </c>
      <c r="C151" s="6">
        <v>121099</v>
      </c>
      <c r="D151" s="7" t="s">
        <v>1020</v>
      </c>
      <c r="E151" s="8" t="s">
        <v>19</v>
      </c>
      <c r="F151" s="10" t="s">
        <v>532</v>
      </c>
      <c r="G151" s="10" t="s">
        <v>572</v>
      </c>
      <c r="H151" s="10" t="s">
        <v>994</v>
      </c>
      <c r="I151" s="9" t="s">
        <v>533</v>
      </c>
      <c r="J151" s="7" t="s">
        <v>1021</v>
      </c>
      <c r="K151" s="10" t="s">
        <v>10</v>
      </c>
      <c r="L151" s="14">
        <v>97500</v>
      </c>
      <c r="M151" s="12">
        <v>63.23</v>
      </c>
      <c r="N151" s="13">
        <f t="shared" si="2"/>
        <v>1541.9895619168117</v>
      </c>
    </row>
    <row r="152" spans="1:15" hidden="1" x14ac:dyDescent="0.25">
      <c r="A152" s="180">
        <v>44774</v>
      </c>
      <c r="B152" s="6" t="s">
        <v>1022</v>
      </c>
      <c r="C152" s="6">
        <v>121001</v>
      </c>
      <c r="D152" s="7" t="s">
        <v>1102</v>
      </c>
      <c r="E152" s="8" t="s">
        <v>19</v>
      </c>
      <c r="F152" s="10" t="s">
        <v>572</v>
      </c>
      <c r="G152" s="10" t="s">
        <v>572</v>
      </c>
      <c r="H152" s="10" t="s">
        <v>994</v>
      </c>
      <c r="I152" s="9" t="s">
        <v>1188</v>
      </c>
      <c r="J152" s="7" t="s">
        <v>1025</v>
      </c>
      <c r="K152" s="10" t="s">
        <v>10</v>
      </c>
      <c r="L152" s="14">
        <v>6610.4</v>
      </c>
      <c r="M152" s="12">
        <v>63.23</v>
      </c>
      <c r="N152" s="13">
        <f t="shared" si="2"/>
        <v>104.54531077020401</v>
      </c>
    </row>
    <row r="153" spans="1:15" s="95" customFormat="1" ht="15" hidden="1" x14ac:dyDescent="0.25">
      <c r="A153" s="181">
        <v>44774</v>
      </c>
      <c r="B153" s="86" t="s">
        <v>1026</v>
      </c>
      <c r="C153" s="86">
        <v>121099</v>
      </c>
      <c r="D153" s="87" t="s">
        <v>926</v>
      </c>
      <c r="E153" s="88" t="s">
        <v>19</v>
      </c>
      <c r="F153" s="89" t="s">
        <v>681</v>
      </c>
      <c r="G153" s="89" t="s">
        <v>681</v>
      </c>
      <c r="H153" s="89" t="s">
        <v>1047</v>
      </c>
      <c r="I153" s="90" t="s">
        <v>1189</v>
      </c>
      <c r="J153" s="211" t="s">
        <v>1028</v>
      </c>
      <c r="K153" s="89" t="s">
        <v>10</v>
      </c>
      <c r="L153" s="92">
        <v>1573305.1</v>
      </c>
      <c r="M153" s="93">
        <v>63.23</v>
      </c>
      <c r="N153" s="94">
        <f t="shared" si="2"/>
        <v>24882.256840107548</v>
      </c>
      <c r="O153" s="210">
        <f>+O128*63.23</f>
        <v>0</v>
      </c>
    </row>
    <row r="154" spans="1:15" hidden="1" x14ac:dyDescent="0.25">
      <c r="A154" s="180">
        <v>44774</v>
      </c>
      <c r="B154" s="6" t="s">
        <v>1029</v>
      </c>
      <c r="C154" s="6">
        <v>122099</v>
      </c>
      <c r="D154" s="7" t="s">
        <v>1103</v>
      </c>
      <c r="E154" s="8" t="s">
        <v>19</v>
      </c>
      <c r="F154" s="10" t="s">
        <v>565</v>
      </c>
      <c r="G154" s="10" t="s">
        <v>565</v>
      </c>
      <c r="H154" s="10" t="s">
        <v>994</v>
      </c>
      <c r="I154" s="9" t="s">
        <v>1107</v>
      </c>
      <c r="J154" s="7" t="s">
        <v>1031</v>
      </c>
      <c r="K154" s="10" t="s">
        <v>10</v>
      </c>
      <c r="L154" s="14">
        <v>28000</v>
      </c>
      <c r="M154" s="12">
        <v>63.23</v>
      </c>
      <c r="N154" s="13">
        <f t="shared" si="2"/>
        <v>442.82777162739211</v>
      </c>
    </row>
    <row r="155" spans="1:15" hidden="1" x14ac:dyDescent="0.25">
      <c r="A155" s="180">
        <v>44774</v>
      </c>
      <c r="B155" s="6" t="s">
        <v>1032</v>
      </c>
      <c r="C155" s="6">
        <v>112101</v>
      </c>
      <c r="D155" s="7" t="s">
        <v>1104</v>
      </c>
      <c r="E155" s="8" t="s">
        <v>13</v>
      </c>
      <c r="F155" s="10" t="s">
        <v>572</v>
      </c>
      <c r="G155" s="10" t="s">
        <v>572</v>
      </c>
      <c r="H155" s="10" t="s">
        <v>1047</v>
      </c>
      <c r="I155" s="9" t="s">
        <v>1115</v>
      </c>
      <c r="J155" s="7" t="s">
        <v>1034</v>
      </c>
      <c r="K155" s="10" t="s">
        <v>10</v>
      </c>
      <c r="L155" s="14">
        <v>7800</v>
      </c>
      <c r="M155" s="12">
        <v>63.23</v>
      </c>
      <c r="N155" s="13">
        <f t="shared" si="2"/>
        <v>123.35916495334494</v>
      </c>
    </row>
    <row r="156" spans="1:15" hidden="1" x14ac:dyDescent="0.25">
      <c r="A156" s="180">
        <v>44774</v>
      </c>
      <c r="B156" s="6" t="s">
        <v>1035</v>
      </c>
      <c r="C156" s="6">
        <v>112101</v>
      </c>
      <c r="D156" s="7" t="s">
        <v>1036</v>
      </c>
      <c r="E156" s="8" t="s">
        <v>13</v>
      </c>
      <c r="F156" s="10" t="s">
        <v>572</v>
      </c>
      <c r="G156" s="10" t="s">
        <v>1387</v>
      </c>
      <c r="H156" s="10" t="s">
        <v>1047</v>
      </c>
      <c r="I156" s="9" t="s">
        <v>1115</v>
      </c>
      <c r="J156" s="7" t="s">
        <v>1037</v>
      </c>
      <c r="K156" s="10" t="s">
        <v>10</v>
      </c>
      <c r="L156" s="14">
        <v>19800</v>
      </c>
      <c r="M156" s="12">
        <v>63.23</v>
      </c>
      <c r="N156" s="13">
        <f t="shared" si="2"/>
        <v>313.14249565079871</v>
      </c>
    </row>
    <row r="157" spans="1:15" hidden="1" x14ac:dyDescent="0.25">
      <c r="A157" s="180">
        <v>44774</v>
      </c>
      <c r="B157" s="6" t="s">
        <v>1038</v>
      </c>
      <c r="C157" s="6">
        <v>122099</v>
      </c>
      <c r="D157" s="7" t="s">
        <v>1105</v>
      </c>
      <c r="E157" s="8" t="s">
        <v>13</v>
      </c>
      <c r="F157" s="10" t="s">
        <v>1211</v>
      </c>
      <c r="G157" s="10" t="s">
        <v>1211</v>
      </c>
      <c r="H157" s="10" t="s">
        <v>1047</v>
      </c>
      <c r="I157" s="9" t="s">
        <v>1190</v>
      </c>
      <c r="J157" s="7" t="s">
        <v>1041</v>
      </c>
      <c r="K157" s="10" t="s">
        <v>10</v>
      </c>
      <c r="L157" s="14">
        <v>8320</v>
      </c>
      <c r="M157" s="12">
        <v>63.23</v>
      </c>
      <c r="N157" s="13">
        <f t="shared" ref="N157:N163" si="3">L157/M157</f>
        <v>131.58310928356792</v>
      </c>
    </row>
    <row r="158" spans="1:15" hidden="1" x14ac:dyDescent="0.25">
      <c r="A158" s="180">
        <v>44776</v>
      </c>
      <c r="B158" s="83" t="s">
        <v>803</v>
      </c>
      <c r="C158" s="6">
        <v>121001</v>
      </c>
      <c r="D158" s="7" t="s">
        <v>1087</v>
      </c>
      <c r="E158" s="8" t="s">
        <v>19</v>
      </c>
      <c r="F158" s="10" t="s">
        <v>586</v>
      </c>
      <c r="G158" s="10" t="s">
        <v>586</v>
      </c>
      <c r="H158" s="10" t="s">
        <v>994</v>
      </c>
      <c r="I158" s="9" t="s">
        <v>1191</v>
      </c>
      <c r="J158" s="7" t="s">
        <v>805</v>
      </c>
      <c r="K158" s="10" t="s">
        <v>10</v>
      </c>
      <c r="L158" s="14">
        <v>22161</v>
      </c>
      <c r="M158" s="12">
        <v>63.23</v>
      </c>
      <c r="N158" s="13">
        <f t="shared" si="3"/>
        <v>350.48236596552272</v>
      </c>
    </row>
    <row r="159" spans="1:15" hidden="1" x14ac:dyDescent="0.25">
      <c r="A159" s="180">
        <v>44776</v>
      </c>
      <c r="B159" s="83" t="s">
        <v>844</v>
      </c>
      <c r="C159" s="6">
        <v>122099</v>
      </c>
      <c r="D159" s="7" t="s">
        <v>757</v>
      </c>
      <c r="E159" s="8" t="s">
        <v>13</v>
      </c>
      <c r="F159" s="10" t="s">
        <v>572</v>
      </c>
      <c r="G159" s="10" t="s">
        <v>572</v>
      </c>
      <c r="H159" s="10" t="s">
        <v>1047</v>
      </c>
      <c r="I159" s="9" t="s">
        <v>1150</v>
      </c>
      <c r="J159" s="7" t="s">
        <v>845</v>
      </c>
      <c r="K159" s="10" t="s">
        <v>10</v>
      </c>
      <c r="L159" s="14">
        <v>26530</v>
      </c>
      <c r="M159" s="12">
        <v>63.23</v>
      </c>
      <c r="N159" s="13">
        <f t="shared" si="3"/>
        <v>419.57931361695398</v>
      </c>
    </row>
    <row r="160" spans="1:15" hidden="1" x14ac:dyDescent="0.25">
      <c r="A160" s="180">
        <v>44776</v>
      </c>
      <c r="B160" s="83" t="s">
        <v>847</v>
      </c>
      <c r="C160" s="6">
        <v>122099</v>
      </c>
      <c r="D160" s="7" t="s">
        <v>759</v>
      </c>
      <c r="E160" s="8" t="s">
        <v>13</v>
      </c>
      <c r="F160" s="10" t="s">
        <v>572</v>
      </c>
      <c r="G160" s="10" t="s">
        <v>572</v>
      </c>
      <c r="H160" s="10" t="s">
        <v>1047</v>
      </c>
      <c r="I160" s="9" t="s">
        <v>1150</v>
      </c>
      <c r="J160" s="7" t="s">
        <v>848</v>
      </c>
      <c r="K160" s="10" t="s">
        <v>10</v>
      </c>
      <c r="L160" s="14">
        <v>8700</v>
      </c>
      <c r="M160" s="12">
        <v>63.23</v>
      </c>
      <c r="N160" s="13">
        <f t="shared" si="3"/>
        <v>137.59291475565396</v>
      </c>
    </row>
    <row r="161" spans="1:16" hidden="1" x14ac:dyDescent="0.25">
      <c r="A161" s="180">
        <v>44776</v>
      </c>
      <c r="B161" s="6" t="s">
        <v>1042</v>
      </c>
      <c r="C161" s="6">
        <v>112101</v>
      </c>
      <c r="D161" s="7" t="s">
        <v>1062</v>
      </c>
      <c r="E161" s="8" t="s">
        <v>19</v>
      </c>
      <c r="F161" s="10" t="s">
        <v>681</v>
      </c>
      <c r="G161" s="10" t="s">
        <v>1044</v>
      </c>
      <c r="H161" s="10" t="s">
        <v>994</v>
      </c>
      <c r="I161" s="9" t="s">
        <v>1109</v>
      </c>
      <c r="J161" s="7" t="s">
        <v>1043</v>
      </c>
      <c r="K161" s="10" t="s">
        <v>10</v>
      </c>
      <c r="L161" s="14">
        <v>205200</v>
      </c>
      <c r="M161" s="12">
        <v>63.23</v>
      </c>
      <c r="N161" s="13">
        <f t="shared" si="3"/>
        <v>3245.294954926459</v>
      </c>
    </row>
    <row r="162" spans="1:16" hidden="1" x14ac:dyDescent="0.25">
      <c r="A162" s="180">
        <v>44776</v>
      </c>
      <c r="B162" s="6" t="s">
        <v>980</v>
      </c>
      <c r="C162" s="6">
        <v>112101</v>
      </c>
      <c r="D162" s="7" t="s">
        <v>1062</v>
      </c>
      <c r="E162" s="8" t="s">
        <v>19</v>
      </c>
      <c r="F162" s="10" t="s">
        <v>1044</v>
      </c>
      <c r="G162" s="10" t="s">
        <v>982</v>
      </c>
      <c r="H162" s="10" t="s">
        <v>994</v>
      </c>
      <c r="I162" s="9" t="s">
        <v>1109</v>
      </c>
      <c r="J162" s="7" t="s">
        <v>1045</v>
      </c>
      <c r="K162" s="10" t="s">
        <v>10</v>
      </c>
      <c r="L162" s="14">
        <v>279000</v>
      </c>
      <c r="M162" s="12">
        <v>63.23</v>
      </c>
      <c r="N162" s="13">
        <f t="shared" si="3"/>
        <v>4412.4624387158001</v>
      </c>
    </row>
    <row r="163" spans="1:16" x14ac:dyDescent="0.25">
      <c r="A163" s="180">
        <v>44776</v>
      </c>
      <c r="B163" s="86" t="s">
        <v>980</v>
      </c>
      <c r="C163" s="86">
        <v>121099</v>
      </c>
      <c r="D163" s="87" t="s">
        <v>1106</v>
      </c>
      <c r="E163" s="88" t="s">
        <v>19</v>
      </c>
      <c r="F163" s="89" t="s">
        <v>982</v>
      </c>
      <c r="G163" s="10" t="s">
        <v>982</v>
      </c>
      <c r="H163" s="89" t="s">
        <v>1047</v>
      </c>
      <c r="I163" s="90" t="s">
        <v>1192</v>
      </c>
      <c r="J163" s="87" t="s">
        <v>984</v>
      </c>
      <c r="K163" s="89" t="s">
        <v>10</v>
      </c>
      <c r="L163" s="92">
        <v>6048899.8799999999</v>
      </c>
      <c r="M163" s="93">
        <v>63.23</v>
      </c>
      <c r="N163" s="94">
        <f t="shared" si="3"/>
        <v>95665.030523485693</v>
      </c>
    </row>
    <row r="164" spans="1:16" hidden="1" x14ac:dyDescent="0.25">
      <c r="A164" s="180">
        <v>44777</v>
      </c>
      <c r="B164" s="127" t="s">
        <v>942</v>
      </c>
      <c r="C164" s="86">
        <v>121099</v>
      </c>
      <c r="D164" s="87" t="s">
        <v>943</v>
      </c>
      <c r="E164" s="88" t="s">
        <v>19</v>
      </c>
      <c r="F164" s="89" t="s">
        <v>944</v>
      </c>
      <c r="G164" s="10" t="s">
        <v>1018</v>
      </c>
      <c r="H164" s="89" t="s">
        <v>1047</v>
      </c>
      <c r="I164" s="90" t="s">
        <v>1193</v>
      </c>
      <c r="J164" s="87" t="s">
        <v>946</v>
      </c>
      <c r="K164" s="89" t="s">
        <v>10</v>
      </c>
      <c r="L164" s="92">
        <v>6380353.6600000001</v>
      </c>
      <c r="M164" s="93">
        <v>63.23</v>
      </c>
      <c r="N164" s="94">
        <f>L164/M164</f>
        <v>100907.06405187411</v>
      </c>
      <c r="O164" s="4">
        <f>930062-902354.9</f>
        <v>27707.099999999977</v>
      </c>
      <c r="P164" s="4">
        <f>+O164*63.23</f>
        <v>1751919.9329999983</v>
      </c>
    </row>
    <row r="165" spans="1:16" hidden="1" x14ac:dyDescent="0.25">
      <c r="A165" s="180">
        <v>44784</v>
      </c>
      <c r="B165" s="83" t="s">
        <v>1206</v>
      </c>
      <c r="C165" s="6">
        <v>121001</v>
      </c>
      <c r="D165" s="7" t="s">
        <v>1087</v>
      </c>
      <c r="E165" s="8" t="s">
        <v>13</v>
      </c>
      <c r="F165" s="10" t="s">
        <v>1207</v>
      </c>
      <c r="G165" s="10" t="s">
        <v>1207</v>
      </c>
      <c r="H165" s="10" t="s">
        <v>1047</v>
      </c>
      <c r="I165" s="9" t="s">
        <v>1117</v>
      </c>
      <c r="J165" s="7" t="s">
        <v>1208</v>
      </c>
      <c r="K165" s="10" t="s">
        <v>10</v>
      </c>
      <c r="L165" s="14">
        <f>53145.4+28119+245429.85</f>
        <v>326694.25</v>
      </c>
      <c r="M165" s="12">
        <v>63.23</v>
      </c>
      <c r="N165" s="13">
        <f>L165/M165</f>
        <v>5166.7602403922192</v>
      </c>
      <c r="O165" s="3">
        <v>326674.25</v>
      </c>
      <c r="P165" s="82">
        <f>+L165-O165</f>
        <v>20</v>
      </c>
    </row>
    <row r="166" spans="1:16" hidden="1" x14ac:dyDescent="0.25">
      <c r="A166" s="180">
        <v>44785</v>
      </c>
      <c r="B166" s="83" t="s">
        <v>1361</v>
      </c>
      <c r="C166" s="6">
        <v>112101</v>
      </c>
      <c r="D166" s="7" t="s">
        <v>1062</v>
      </c>
      <c r="E166" s="8" t="s">
        <v>19</v>
      </c>
      <c r="F166" s="10" t="s">
        <v>1207</v>
      </c>
      <c r="G166" s="10" t="s">
        <v>1207</v>
      </c>
      <c r="H166" s="10" t="s">
        <v>1047</v>
      </c>
      <c r="I166" s="9" t="s">
        <v>1109</v>
      </c>
      <c r="J166" s="7" t="s">
        <v>1362</v>
      </c>
      <c r="K166" s="10" t="s">
        <v>10</v>
      </c>
      <c r="L166" s="14">
        <v>318600</v>
      </c>
      <c r="M166" s="12">
        <v>63.23</v>
      </c>
      <c r="N166" s="13">
        <f>L166/M166</f>
        <v>5038.7474300173972</v>
      </c>
      <c r="P166" s="82">
        <f>334200-318600</f>
        <v>15600</v>
      </c>
    </row>
    <row r="167" spans="1:16" hidden="1" x14ac:dyDescent="0.25">
      <c r="A167" s="180">
        <v>44795</v>
      </c>
      <c r="B167" s="83" t="s">
        <v>1363</v>
      </c>
      <c r="C167" s="6">
        <v>112101</v>
      </c>
      <c r="D167" s="7" t="s">
        <v>1062</v>
      </c>
      <c r="E167" s="8" t="s">
        <v>19</v>
      </c>
      <c r="F167" s="10" t="s">
        <v>1207</v>
      </c>
      <c r="G167" s="10" t="s">
        <v>1207</v>
      </c>
      <c r="H167" s="10" t="s">
        <v>1047</v>
      </c>
      <c r="I167" s="9" t="s">
        <v>1115</v>
      </c>
      <c r="J167" s="7" t="s">
        <v>1364</v>
      </c>
      <c r="K167" s="10" t="s">
        <v>10</v>
      </c>
      <c r="L167" s="14">
        <v>41400</v>
      </c>
      <c r="M167" s="12">
        <v>63.23</v>
      </c>
      <c r="N167" s="13">
        <f t="shared" ref="N167:N169" si="4">L167/M167</f>
        <v>654.75249090621548</v>
      </c>
      <c r="P167" s="82"/>
    </row>
    <row r="168" spans="1:16" hidden="1" x14ac:dyDescent="0.25">
      <c r="A168" s="180">
        <v>44797</v>
      </c>
      <c r="B168" s="83" t="s">
        <v>1365</v>
      </c>
      <c r="C168" s="6">
        <v>112101</v>
      </c>
      <c r="D168" s="7" t="s">
        <v>1062</v>
      </c>
      <c r="E168" s="8" t="s">
        <v>19</v>
      </c>
      <c r="F168" s="10" t="s">
        <v>1207</v>
      </c>
      <c r="G168" s="10" t="s">
        <v>1207</v>
      </c>
      <c r="H168" s="10" t="s">
        <v>1047</v>
      </c>
      <c r="I168" s="9" t="s">
        <v>1109</v>
      </c>
      <c r="J168" s="7" t="s">
        <v>1366</v>
      </c>
      <c r="K168" s="10" t="s">
        <v>10</v>
      </c>
      <c r="L168" s="14">
        <v>159000</v>
      </c>
      <c r="M168" s="12">
        <v>63.23</v>
      </c>
      <c r="N168" s="13">
        <f t="shared" si="4"/>
        <v>2514.629131741262</v>
      </c>
      <c r="P168" s="82"/>
    </row>
    <row r="169" spans="1:16" hidden="1" x14ac:dyDescent="0.25">
      <c r="A169" s="180">
        <v>44797</v>
      </c>
      <c r="B169" s="83" t="s">
        <v>769</v>
      </c>
      <c r="C169" s="6">
        <v>112101</v>
      </c>
      <c r="D169" s="7" t="s">
        <v>1062</v>
      </c>
      <c r="E169" s="8" t="s">
        <v>13</v>
      </c>
      <c r="F169" s="10" t="s">
        <v>572</v>
      </c>
      <c r="G169" s="10" t="s">
        <v>1387</v>
      </c>
      <c r="H169" s="10" t="s">
        <v>994</v>
      </c>
      <c r="I169" s="9" t="s">
        <v>1109</v>
      </c>
      <c r="J169" s="7" t="s">
        <v>770</v>
      </c>
      <c r="K169" s="10" t="s">
        <v>10</v>
      </c>
      <c r="L169" s="14">
        <v>88200</v>
      </c>
      <c r="M169" s="12">
        <v>63.23</v>
      </c>
      <c r="N169" s="13">
        <f t="shared" si="4"/>
        <v>1394.907480626285</v>
      </c>
      <c r="P169" s="82"/>
    </row>
    <row r="170" spans="1:16" hidden="1" x14ac:dyDescent="0.25">
      <c r="A170" s="180">
        <v>44797</v>
      </c>
      <c r="B170" s="83" t="s">
        <v>1209</v>
      </c>
      <c r="C170" s="6">
        <v>121001</v>
      </c>
      <c r="D170" s="7" t="s">
        <v>1087</v>
      </c>
      <c r="E170" s="8" t="s">
        <v>19</v>
      </c>
      <c r="F170" s="10" t="s">
        <v>681</v>
      </c>
      <c r="G170" s="10" t="s">
        <v>1044</v>
      </c>
      <c r="H170" s="10" t="s">
        <v>994</v>
      </c>
      <c r="I170" s="9" t="s">
        <v>1117</v>
      </c>
      <c r="J170" s="7" t="s">
        <v>1210</v>
      </c>
      <c r="K170" s="10" t="s">
        <v>10</v>
      </c>
      <c r="L170" s="14">
        <f>12426.4+6325.2+6561.1</f>
        <v>25312.699999999997</v>
      </c>
      <c r="M170" s="12">
        <v>63.23</v>
      </c>
      <c r="N170" s="13">
        <f>L170/M170</f>
        <v>400.32737624545308</v>
      </c>
    </row>
    <row r="171" spans="1:16" ht="15" x14ac:dyDescent="0.25">
      <c r="A171" s="182">
        <v>44798</v>
      </c>
      <c r="B171" s="113" t="s">
        <v>1367</v>
      </c>
      <c r="C171" s="105">
        <v>121099</v>
      </c>
      <c r="D171" s="106" t="s">
        <v>1106</v>
      </c>
      <c r="E171" s="132" t="s">
        <v>19</v>
      </c>
      <c r="F171" s="133" t="s">
        <v>982</v>
      </c>
      <c r="G171" s="108" t="s">
        <v>982</v>
      </c>
      <c r="H171" s="133" t="s">
        <v>1047</v>
      </c>
      <c r="I171" s="134" t="s">
        <v>1368</v>
      </c>
      <c r="J171" s="131" t="s">
        <v>984</v>
      </c>
      <c r="K171" s="133" t="s">
        <v>10</v>
      </c>
      <c r="L171" s="231">
        <v>2470590</v>
      </c>
      <c r="M171" s="111">
        <v>63.23</v>
      </c>
      <c r="N171" s="112">
        <f>+L171/M171</f>
        <v>39073.066582318519</v>
      </c>
      <c r="O171" s="82"/>
    </row>
    <row r="172" spans="1:16" hidden="1" x14ac:dyDescent="0.25">
      <c r="A172" s="182">
        <v>44798</v>
      </c>
      <c r="B172" s="113" t="s">
        <v>685</v>
      </c>
      <c r="C172" s="105">
        <v>213099</v>
      </c>
      <c r="D172" s="106" t="s">
        <v>1081</v>
      </c>
      <c r="E172" s="107" t="s">
        <v>19</v>
      </c>
      <c r="F172" s="108" t="s">
        <v>1018</v>
      </c>
      <c r="G172" s="108" t="s">
        <v>1018</v>
      </c>
      <c r="H172" s="108" t="s">
        <v>994</v>
      </c>
      <c r="I172" s="109" t="s">
        <v>1369</v>
      </c>
      <c r="J172" s="106" t="s">
        <v>1370</v>
      </c>
      <c r="K172" s="108" t="s">
        <v>10</v>
      </c>
      <c r="L172" s="84">
        <v>1879150</v>
      </c>
      <c r="M172" s="111">
        <v>63.23</v>
      </c>
      <c r="N172" s="112">
        <f t="shared" ref="N172:N173" si="5">+L172/M172</f>
        <v>29719.278823343349</v>
      </c>
      <c r="O172" s="82"/>
    </row>
    <row r="173" spans="1:16" hidden="1" x14ac:dyDescent="0.25">
      <c r="A173" s="182">
        <v>44798</v>
      </c>
      <c r="B173" s="129" t="s">
        <v>942</v>
      </c>
      <c r="C173" s="130">
        <v>121099</v>
      </c>
      <c r="D173" s="131" t="s">
        <v>943</v>
      </c>
      <c r="E173" s="132" t="s">
        <v>19</v>
      </c>
      <c r="F173" s="133" t="s">
        <v>944</v>
      </c>
      <c r="G173" s="133" t="s">
        <v>1018</v>
      </c>
      <c r="H173" s="133" t="s">
        <v>1047</v>
      </c>
      <c r="I173" s="134" t="s">
        <v>1194</v>
      </c>
      <c r="J173" s="131" t="s">
        <v>946</v>
      </c>
      <c r="K173" s="133" t="s">
        <v>10</v>
      </c>
      <c r="L173" s="128">
        <v>3041101.29</v>
      </c>
      <c r="M173" s="135">
        <v>63.23</v>
      </c>
      <c r="N173" s="112">
        <f t="shared" si="5"/>
        <v>48095.86098371027</v>
      </c>
    </row>
    <row r="174" spans="1:16" hidden="1" x14ac:dyDescent="0.25">
      <c r="A174" s="182">
        <v>44798</v>
      </c>
      <c r="B174" s="113" t="s">
        <v>685</v>
      </c>
      <c r="C174" s="130">
        <v>211099</v>
      </c>
      <c r="D174" s="131" t="s">
        <v>997</v>
      </c>
      <c r="E174" s="132" t="s">
        <v>19</v>
      </c>
      <c r="F174" s="133" t="s">
        <v>565</v>
      </c>
      <c r="G174" s="108" t="s">
        <v>565</v>
      </c>
      <c r="H174" s="133" t="s">
        <v>1047</v>
      </c>
      <c r="I174" s="134" t="s">
        <v>1371</v>
      </c>
      <c r="J174" s="106" t="s">
        <v>1372</v>
      </c>
      <c r="K174" s="108" t="s">
        <v>10</v>
      </c>
      <c r="L174" s="84">
        <v>2080553.28</v>
      </c>
      <c r="M174" s="111">
        <v>63.23</v>
      </c>
      <c r="N174" s="112">
        <f>+L174/M174</f>
        <v>32904.52759765934</v>
      </c>
      <c r="O174" s="82"/>
    </row>
    <row r="175" spans="1:16" x14ac:dyDescent="0.25">
      <c r="A175" s="177"/>
      <c r="B175" s="129"/>
      <c r="C175" s="130"/>
      <c r="D175" s="131"/>
      <c r="E175" s="132"/>
      <c r="F175" s="133"/>
      <c r="G175" s="133"/>
      <c r="H175" s="133"/>
      <c r="I175" s="134"/>
      <c r="J175" s="131"/>
      <c r="K175" s="133"/>
      <c r="L175" s="128"/>
      <c r="M175" s="135"/>
      <c r="N175" s="136"/>
    </row>
    <row r="176" spans="1:16" ht="15" x14ac:dyDescent="0.25">
      <c r="A176" s="227" t="s">
        <v>993</v>
      </c>
      <c r="B176" s="228"/>
      <c r="C176" s="228"/>
      <c r="D176" s="228"/>
      <c r="E176" s="228"/>
      <c r="F176" s="228"/>
      <c r="G176" s="228"/>
      <c r="H176" s="228"/>
      <c r="I176" s="228"/>
      <c r="J176" s="228"/>
      <c r="K176" s="229"/>
      <c r="L176" s="142">
        <f>SUM(L2:L175)</f>
        <v>103594407.25</v>
      </c>
      <c r="M176" s="141"/>
      <c r="N176" s="143">
        <f>SUM(N2:N175)</f>
        <v>1638753.8707933121</v>
      </c>
    </row>
    <row r="177" spans="12:14" ht="15" x14ac:dyDescent="0.25">
      <c r="N177" s="38">
        <f>1698945-N176</f>
        <v>60191.12920668791</v>
      </c>
    </row>
    <row r="179" spans="12:14" ht="15" x14ac:dyDescent="0.25">
      <c r="L179" s="232">
        <f>SUM(L171:L174)</f>
        <v>9471394.5700000003</v>
      </c>
    </row>
    <row r="180" spans="12:14" ht="15" x14ac:dyDescent="0.25">
      <c r="L180" s="232">
        <f>12567920-L179</f>
        <v>3096525.4299999997</v>
      </c>
      <c r="M180" s="34">
        <f>+L180/63.23</f>
        <v>48972.409141230426</v>
      </c>
      <c r="N180" s="4">
        <f>+N133+N95+N89+N63+N39+N38</f>
        <v>153246.89127296975</v>
      </c>
    </row>
    <row r="182" spans="12:14" x14ac:dyDescent="0.25">
      <c r="N182" s="4">
        <v>153246.89127296975</v>
      </c>
    </row>
  </sheetData>
  <mergeCells count="1">
    <mergeCell ref="A176:K176"/>
  </mergeCells>
  <conditionalFormatting sqref="G95 G89">
    <cfRule type="duplicateValues" dxfId="19" priority="3"/>
  </conditionalFormatting>
  <conditionalFormatting sqref="G63 G38:G39">
    <cfRule type="duplicateValues" dxfId="18" priority="2"/>
  </conditionalFormatting>
  <conditionalFormatting sqref="G131">
    <cfRule type="duplicateValues" dxfId="17" priority="1"/>
  </conditionalFormatting>
  <pageMargins left="0.7" right="0.7" top="0.75" bottom="0.75" header="0.3" footer="0.3"/>
  <pageSetup paperSize="9" orientation="portrait" r:id="rId1"/>
  <ignoredErrors>
    <ignoredError sqref="N38:N133 N163" calculatedColumn="1"/>
  </ignoredErrors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M257"/>
  <sheetViews>
    <sheetView workbookViewId="0">
      <selection activeCell="G37" sqref="G37"/>
    </sheetView>
  </sheetViews>
  <sheetFormatPr defaultRowHeight="15" x14ac:dyDescent="0.25"/>
  <cols>
    <col min="2" max="2" width="19.5703125" bestFit="1" customWidth="1"/>
    <col min="3" max="3" width="22" bestFit="1" customWidth="1"/>
    <col min="4" max="4" width="23" bestFit="1" customWidth="1"/>
    <col min="10" max="10" width="12.85546875" bestFit="1" customWidth="1"/>
    <col min="11" max="11" width="11.42578125" bestFit="1" customWidth="1"/>
    <col min="12" max="12" width="17.42578125" bestFit="1" customWidth="1"/>
  </cols>
  <sheetData>
    <row r="2" spans="3:13" x14ac:dyDescent="0.25">
      <c r="C2" t="s">
        <v>1201</v>
      </c>
      <c r="D2" t="s">
        <v>1200</v>
      </c>
    </row>
    <row r="3" spans="3:13" x14ac:dyDescent="0.25">
      <c r="C3" s="137">
        <v>849</v>
      </c>
      <c r="D3" s="137">
        <v>29000</v>
      </c>
      <c r="E3" s="230">
        <v>2021</v>
      </c>
    </row>
    <row r="4" spans="3:13" x14ac:dyDescent="0.25">
      <c r="C4" s="137">
        <v>102</v>
      </c>
      <c r="D4" s="137">
        <v>129500</v>
      </c>
      <c r="E4" s="230"/>
    </row>
    <row r="5" spans="3:13" x14ac:dyDescent="0.25">
      <c r="C5" s="137">
        <v>192</v>
      </c>
      <c r="D5" s="137">
        <f>14*1500</f>
        <v>21000</v>
      </c>
      <c r="E5" s="230"/>
    </row>
    <row r="6" spans="3:13" x14ac:dyDescent="0.25">
      <c r="C6" s="137">
        <v>201</v>
      </c>
      <c r="D6" s="137">
        <f>8*1500</f>
        <v>12000</v>
      </c>
      <c r="E6" s="230"/>
    </row>
    <row r="7" spans="3:13" x14ac:dyDescent="0.25">
      <c r="C7" s="137">
        <v>108</v>
      </c>
      <c r="D7" s="137"/>
      <c r="E7" s="230"/>
      <c r="M7">
        <v>6</v>
      </c>
    </row>
    <row r="8" spans="3:13" x14ac:dyDescent="0.25">
      <c r="C8" s="137">
        <v>144</v>
      </c>
      <c r="D8" s="137"/>
      <c r="E8" s="230"/>
      <c r="M8">
        <v>10</v>
      </c>
    </row>
    <row r="9" spans="3:13" x14ac:dyDescent="0.25">
      <c r="C9" s="137">
        <v>15</v>
      </c>
      <c r="D9" s="137"/>
      <c r="E9" s="230"/>
      <c r="M9">
        <v>8</v>
      </c>
    </row>
    <row r="10" spans="3:13" x14ac:dyDescent="0.25">
      <c r="C10" s="137">
        <v>9</v>
      </c>
      <c r="D10" s="137"/>
      <c r="E10" s="230"/>
      <c r="M10">
        <v>8</v>
      </c>
    </row>
    <row r="11" spans="3:13" x14ac:dyDescent="0.25">
      <c r="C11" s="137">
        <v>9</v>
      </c>
      <c r="D11" s="137"/>
      <c r="E11" s="230"/>
      <c r="M11">
        <v>7</v>
      </c>
    </row>
    <row r="12" spans="3:13" x14ac:dyDescent="0.25">
      <c r="C12" s="137">
        <v>198</v>
      </c>
      <c r="D12" s="137"/>
      <c r="E12" s="230"/>
      <c r="M12">
        <v>7</v>
      </c>
    </row>
    <row r="13" spans="3:13" x14ac:dyDescent="0.25">
      <c r="C13" s="137">
        <v>96</v>
      </c>
      <c r="D13" s="137"/>
      <c r="E13" s="230"/>
      <c r="M13">
        <v>6</v>
      </c>
    </row>
    <row r="14" spans="3:13" x14ac:dyDescent="0.25">
      <c r="C14" s="137">
        <v>183</v>
      </c>
      <c r="D14" s="137"/>
      <c r="E14" s="230"/>
      <c r="M14">
        <v>7</v>
      </c>
    </row>
    <row r="15" spans="3:13" x14ac:dyDescent="0.25">
      <c r="C15" s="137">
        <v>96</v>
      </c>
      <c r="D15" s="137"/>
      <c r="E15" s="230"/>
      <c r="M15">
        <v>2</v>
      </c>
    </row>
    <row r="16" spans="3:13" x14ac:dyDescent="0.25">
      <c r="C16" s="137">
        <v>93</v>
      </c>
      <c r="D16" s="137"/>
      <c r="E16" s="230"/>
      <c r="M16">
        <v>2</v>
      </c>
    </row>
    <row r="17" spans="2:13" x14ac:dyDescent="0.25">
      <c r="C17" s="138">
        <f>SUM(C3:C16)</f>
        <v>2295</v>
      </c>
      <c r="D17" s="138">
        <f>SUM(D3:D16)</f>
        <v>191500</v>
      </c>
      <c r="M17">
        <v>8</v>
      </c>
    </row>
    <row r="18" spans="2:13" x14ac:dyDescent="0.25">
      <c r="C18" s="137"/>
      <c r="D18" s="137"/>
      <c r="M18">
        <v>3</v>
      </c>
    </row>
    <row r="19" spans="2:13" x14ac:dyDescent="0.25">
      <c r="C19" s="137">
        <f>93+105+390+744+1224+285+483+189+933+303+501+885+405+9+2007+375+93+6+654+501+885+21+18+951+1146+93+954</f>
        <v>14253</v>
      </c>
      <c r="D19" s="137">
        <f>1500*8</f>
        <v>12000</v>
      </c>
      <c r="E19">
        <v>2022</v>
      </c>
      <c r="M19">
        <v>7</v>
      </c>
    </row>
    <row r="20" spans="2:13" x14ac:dyDescent="0.25">
      <c r="C20" s="137"/>
      <c r="D20" s="137">
        <f>38*1500</f>
        <v>57000</v>
      </c>
      <c r="M20">
        <v>2</v>
      </c>
    </row>
    <row r="21" spans="2:13" x14ac:dyDescent="0.25">
      <c r="C21" s="137"/>
      <c r="D21" s="137">
        <f>1500*27</f>
        <v>40500</v>
      </c>
      <c r="M21">
        <v>7</v>
      </c>
    </row>
    <row r="22" spans="2:13" x14ac:dyDescent="0.25">
      <c r="C22" s="138">
        <f>SUM(C19:C21)</f>
        <v>14253</v>
      </c>
      <c r="D22" s="138">
        <f>SUM(D19:D21)</f>
        <v>109500</v>
      </c>
      <c r="J22" s="66">
        <v>5981009.0700000003</v>
      </c>
      <c r="M22">
        <v>2</v>
      </c>
    </row>
    <row r="23" spans="2:13" x14ac:dyDescent="0.25">
      <c r="C23" s="137"/>
      <c r="D23" s="137"/>
      <c r="J23" s="137">
        <f>+J22-D17-D22</f>
        <v>5680009.0700000003</v>
      </c>
      <c r="K23" s="66">
        <f>+J23/63.2</f>
        <v>89873.561234177221</v>
      </c>
      <c r="M23">
        <v>3</v>
      </c>
    </row>
    <row r="24" spans="2:13" x14ac:dyDescent="0.25">
      <c r="C24" s="138">
        <v>100</v>
      </c>
      <c r="D24" s="138">
        <f>5*1500+40.24</f>
        <v>7540.24</v>
      </c>
      <c r="M24">
        <v>2</v>
      </c>
    </row>
    <row r="25" spans="2:13" x14ac:dyDescent="0.25">
      <c r="C25" s="138"/>
      <c r="D25" s="138"/>
      <c r="I25" t="s">
        <v>1202</v>
      </c>
      <c r="J25" s="66">
        <v>318033.18</v>
      </c>
      <c r="K25" s="66">
        <v>764783</v>
      </c>
      <c r="L25" s="139">
        <f>+K25-J25</f>
        <v>446749.82</v>
      </c>
      <c r="M25">
        <v>4</v>
      </c>
    </row>
    <row r="26" spans="2:13" x14ac:dyDescent="0.25">
      <c r="C26" s="138"/>
      <c r="D26" s="138">
        <f>1500*17</f>
        <v>25500</v>
      </c>
      <c r="I26" t="s">
        <v>1203</v>
      </c>
      <c r="J26" s="66">
        <v>290696.82</v>
      </c>
      <c r="K26" s="66">
        <v>934162</v>
      </c>
      <c r="L26" s="139">
        <f>+K26-J26</f>
        <v>643465.17999999993</v>
      </c>
      <c r="M26">
        <v>10</v>
      </c>
    </row>
    <row r="27" spans="2:13" x14ac:dyDescent="0.25">
      <c r="C27" s="138"/>
      <c r="D27" s="138"/>
      <c r="J27" s="66"/>
      <c r="L27" s="139">
        <f>SUM(L25:L26)</f>
        <v>1090215</v>
      </c>
      <c r="M27">
        <v>4</v>
      </c>
    </row>
    <row r="28" spans="2:13" x14ac:dyDescent="0.25">
      <c r="C28" s="138"/>
      <c r="D28" s="138"/>
      <c r="M28">
        <v>14</v>
      </c>
    </row>
    <row r="29" spans="2:13" x14ac:dyDescent="0.25">
      <c r="C29" s="137"/>
      <c r="D29" s="137"/>
      <c r="J29" s="66"/>
      <c r="M29">
        <v>14</v>
      </c>
    </row>
    <row r="30" spans="2:13" x14ac:dyDescent="0.25">
      <c r="B30" t="s">
        <v>1204</v>
      </c>
      <c r="C30" s="137">
        <f>SUM(C17,C22,C24)</f>
        <v>16648</v>
      </c>
      <c r="D30" s="137">
        <f>+D17+D22+D24+D26</f>
        <v>334040.24</v>
      </c>
      <c r="H30" s="140">
        <f>0.79*63.2</f>
        <v>49.928000000000004</v>
      </c>
      <c r="M30">
        <v>12</v>
      </c>
    </row>
    <row r="31" spans="2:13" x14ac:dyDescent="0.25">
      <c r="B31" t="s">
        <v>1205</v>
      </c>
      <c r="C31" s="137"/>
      <c r="D31" s="137">
        <f>30933392.17-D30-C30</f>
        <v>30582703.930000003</v>
      </c>
      <c r="M31">
        <v>12</v>
      </c>
    </row>
    <row r="32" spans="2:13" x14ac:dyDescent="0.25">
      <c r="C32" s="137"/>
      <c r="D32" s="137">
        <f>+D31/64.47</f>
        <v>474371.08624166285</v>
      </c>
      <c r="M32">
        <v>12</v>
      </c>
    </row>
    <row r="33" spans="3:13" x14ac:dyDescent="0.25">
      <c r="C33" s="137"/>
      <c r="D33" s="137"/>
      <c r="M33">
        <v>11</v>
      </c>
    </row>
    <row r="34" spans="3:13" x14ac:dyDescent="0.25">
      <c r="C34" s="137">
        <f>(16548/63.2)+(100/63.23)+0.79+0.79</f>
        <v>264.99697079378683</v>
      </c>
      <c r="D34" s="137"/>
      <c r="M34">
        <v>8</v>
      </c>
    </row>
    <row r="35" spans="3:13" x14ac:dyDescent="0.25">
      <c r="C35" s="137">
        <f>(301000/63.2)+(7540.24/63.23)</f>
        <v>4881.9092163029482</v>
      </c>
      <c r="D35" s="137">
        <f>30933392.17/63.23</f>
        <v>489220.18298276141</v>
      </c>
      <c r="M35">
        <v>14</v>
      </c>
    </row>
    <row r="36" spans="3:13" x14ac:dyDescent="0.25">
      <c r="C36" s="137">
        <f>SUM(C34:C35)</f>
        <v>5146.9061870967353</v>
      </c>
      <c r="D36" s="137">
        <f>+D35-C36</f>
        <v>484073.27679566469</v>
      </c>
      <c r="M36">
        <v>11</v>
      </c>
    </row>
    <row r="37" spans="3:13" x14ac:dyDescent="0.25">
      <c r="C37" s="137"/>
      <c r="D37" s="137"/>
      <c r="M37">
        <v>14</v>
      </c>
    </row>
    <row r="38" spans="3:13" x14ac:dyDescent="0.25">
      <c r="C38" s="137"/>
      <c r="D38" s="137"/>
      <c r="M38">
        <v>15</v>
      </c>
    </row>
    <row r="39" spans="3:13" x14ac:dyDescent="0.25">
      <c r="C39" s="137"/>
      <c r="D39" s="137"/>
      <c r="M39">
        <v>13</v>
      </c>
    </row>
    <row r="40" spans="3:13" x14ac:dyDescent="0.25">
      <c r="C40" s="137"/>
      <c r="D40" s="137"/>
      <c r="M40">
        <v>12</v>
      </c>
    </row>
    <row r="41" spans="3:13" x14ac:dyDescent="0.25">
      <c r="C41" s="137"/>
      <c r="D41" s="137"/>
      <c r="M41">
        <f>SUM(M7:M40)</f>
        <v>277</v>
      </c>
    </row>
    <row r="42" spans="3:13" x14ac:dyDescent="0.25">
      <c r="C42" s="137"/>
      <c r="D42" s="137"/>
    </row>
    <row r="43" spans="3:13" x14ac:dyDescent="0.25">
      <c r="C43" s="137"/>
      <c r="D43" s="137"/>
    </row>
    <row r="44" spans="3:13" x14ac:dyDescent="0.25">
      <c r="C44" s="137"/>
      <c r="D44" s="137"/>
    </row>
    <row r="45" spans="3:13" x14ac:dyDescent="0.25">
      <c r="C45" s="137"/>
      <c r="D45" s="137"/>
    </row>
    <row r="46" spans="3:13" x14ac:dyDescent="0.25">
      <c r="C46" s="137"/>
      <c r="D46" s="137"/>
    </row>
    <row r="47" spans="3:13" x14ac:dyDescent="0.25">
      <c r="C47" s="137"/>
      <c r="D47" s="137"/>
    </row>
    <row r="48" spans="3:13" x14ac:dyDescent="0.25">
      <c r="C48" s="137"/>
      <c r="D48" s="137"/>
    </row>
    <row r="49" spans="3:4" x14ac:dyDescent="0.25">
      <c r="C49" s="137"/>
      <c r="D49" s="137"/>
    </row>
    <row r="50" spans="3:4" x14ac:dyDescent="0.25">
      <c r="C50" s="137"/>
      <c r="D50" s="137"/>
    </row>
    <row r="51" spans="3:4" x14ac:dyDescent="0.25">
      <c r="C51" s="137"/>
      <c r="D51" s="137"/>
    </row>
    <row r="52" spans="3:4" x14ac:dyDescent="0.25">
      <c r="C52" s="137"/>
      <c r="D52" s="137"/>
    </row>
    <row r="53" spans="3:4" x14ac:dyDescent="0.25">
      <c r="C53" s="137"/>
      <c r="D53" s="137"/>
    </row>
    <row r="54" spans="3:4" x14ac:dyDescent="0.25">
      <c r="C54" s="137"/>
      <c r="D54" s="137"/>
    </row>
    <row r="55" spans="3:4" x14ac:dyDescent="0.25">
      <c r="C55" s="137"/>
      <c r="D55" s="137"/>
    </row>
    <row r="56" spans="3:4" x14ac:dyDescent="0.25">
      <c r="C56" s="137"/>
      <c r="D56" s="137"/>
    </row>
    <row r="57" spans="3:4" x14ac:dyDescent="0.25">
      <c r="C57" s="137"/>
      <c r="D57" s="137"/>
    </row>
    <row r="58" spans="3:4" x14ac:dyDescent="0.25">
      <c r="C58" s="137"/>
      <c r="D58" s="137"/>
    </row>
    <row r="59" spans="3:4" x14ac:dyDescent="0.25">
      <c r="C59" s="137"/>
      <c r="D59" s="137"/>
    </row>
    <row r="60" spans="3:4" x14ac:dyDescent="0.25">
      <c r="C60" s="137"/>
      <c r="D60" s="137"/>
    </row>
    <row r="61" spans="3:4" x14ac:dyDescent="0.25">
      <c r="C61" s="137"/>
      <c r="D61" s="137"/>
    </row>
    <row r="62" spans="3:4" x14ac:dyDescent="0.25">
      <c r="C62" s="137"/>
      <c r="D62" s="137"/>
    </row>
    <row r="63" spans="3:4" x14ac:dyDescent="0.25">
      <c r="C63" s="137"/>
      <c r="D63" s="137"/>
    </row>
    <row r="64" spans="3:4" x14ac:dyDescent="0.25">
      <c r="C64" s="137"/>
      <c r="D64" s="137"/>
    </row>
    <row r="65" spans="3:4" x14ac:dyDescent="0.25">
      <c r="C65" s="137"/>
      <c r="D65" s="137"/>
    </row>
    <row r="66" spans="3:4" x14ac:dyDescent="0.25">
      <c r="C66" s="137"/>
      <c r="D66" s="137"/>
    </row>
    <row r="67" spans="3:4" x14ac:dyDescent="0.25">
      <c r="C67" s="137"/>
      <c r="D67" s="137"/>
    </row>
    <row r="68" spans="3:4" x14ac:dyDescent="0.25">
      <c r="C68" s="137"/>
      <c r="D68" s="137"/>
    </row>
    <row r="69" spans="3:4" x14ac:dyDescent="0.25">
      <c r="C69" s="137"/>
      <c r="D69" s="137"/>
    </row>
    <row r="70" spans="3:4" x14ac:dyDescent="0.25">
      <c r="C70" s="137"/>
      <c r="D70" s="137"/>
    </row>
    <row r="71" spans="3:4" x14ac:dyDescent="0.25">
      <c r="C71" s="137"/>
      <c r="D71" s="137"/>
    </row>
    <row r="72" spans="3:4" x14ac:dyDescent="0.25">
      <c r="C72" s="137"/>
      <c r="D72" s="137"/>
    </row>
    <row r="73" spans="3:4" x14ac:dyDescent="0.25">
      <c r="C73" s="137"/>
      <c r="D73" s="137"/>
    </row>
    <row r="74" spans="3:4" x14ac:dyDescent="0.25">
      <c r="C74" s="137"/>
      <c r="D74" s="137"/>
    </row>
    <row r="75" spans="3:4" x14ac:dyDescent="0.25">
      <c r="C75" s="137"/>
      <c r="D75" s="137"/>
    </row>
    <row r="76" spans="3:4" x14ac:dyDescent="0.25">
      <c r="C76" s="137"/>
      <c r="D76" s="137"/>
    </row>
    <row r="77" spans="3:4" x14ac:dyDescent="0.25">
      <c r="C77" s="137"/>
      <c r="D77" s="137"/>
    </row>
    <row r="78" spans="3:4" x14ac:dyDescent="0.25">
      <c r="C78" s="137"/>
      <c r="D78" s="137"/>
    </row>
    <row r="79" spans="3:4" x14ac:dyDescent="0.25">
      <c r="C79" s="137"/>
      <c r="D79" s="137"/>
    </row>
    <row r="80" spans="3:4" x14ac:dyDescent="0.25">
      <c r="C80" s="137"/>
      <c r="D80" s="137"/>
    </row>
    <row r="81" spans="3:4" x14ac:dyDescent="0.25">
      <c r="C81" s="137"/>
      <c r="D81" s="137"/>
    </row>
    <row r="82" spans="3:4" x14ac:dyDescent="0.25">
      <c r="C82" s="137"/>
      <c r="D82" s="137"/>
    </row>
    <row r="83" spans="3:4" x14ac:dyDescent="0.25">
      <c r="C83" s="137"/>
      <c r="D83" s="137"/>
    </row>
    <row r="84" spans="3:4" x14ac:dyDescent="0.25">
      <c r="C84" s="137"/>
      <c r="D84" s="137"/>
    </row>
    <row r="85" spans="3:4" x14ac:dyDescent="0.25">
      <c r="C85" s="137"/>
      <c r="D85" s="137"/>
    </row>
    <row r="86" spans="3:4" x14ac:dyDescent="0.25">
      <c r="C86" s="137"/>
      <c r="D86" s="137"/>
    </row>
    <row r="87" spans="3:4" x14ac:dyDescent="0.25">
      <c r="C87" s="137"/>
      <c r="D87" s="137"/>
    </row>
    <row r="88" spans="3:4" x14ac:dyDescent="0.25">
      <c r="C88" s="137"/>
      <c r="D88" s="137"/>
    </row>
    <row r="89" spans="3:4" x14ac:dyDescent="0.25">
      <c r="C89" s="137"/>
      <c r="D89" s="137"/>
    </row>
    <row r="90" spans="3:4" x14ac:dyDescent="0.25">
      <c r="C90" s="137"/>
      <c r="D90" s="137"/>
    </row>
    <row r="91" spans="3:4" x14ac:dyDescent="0.25">
      <c r="C91" s="137"/>
      <c r="D91" s="137"/>
    </row>
    <row r="92" spans="3:4" x14ac:dyDescent="0.25">
      <c r="C92" s="137"/>
      <c r="D92" s="137"/>
    </row>
    <row r="93" spans="3:4" x14ac:dyDescent="0.25">
      <c r="C93" s="137"/>
      <c r="D93" s="137"/>
    </row>
    <row r="94" spans="3:4" x14ac:dyDescent="0.25">
      <c r="C94" s="137"/>
      <c r="D94" s="137"/>
    </row>
    <row r="95" spans="3:4" x14ac:dyDescent="0.25">
      <c r="C95" s="137"/>
      <c r="D95" s="137"/>
    </row>
    <row r="96" spans="3:4" x14ac:dyDescent="0.25">
      <c r="C96" s="137"/>
      <c r="D96" s="137"/>
    </row>
    <row r="97" spans="3:4" x14ac:dyDescent="0.25">
      <c r="C97" s="137"/>
      <c r="D97" s="137"/>
    </row>
    <row r="98" spans="3:4" x14ac:dyDescent="0.25">
      <c r="C98" s="137"/>
      <c r="D98" s="137"/>
    </row>
    <row r="99" spans="3:4" x14ac:dyDescent="0.25">
      <c r="C99" s="137"/>
      <c r="D99" s="137"/>
    </row>
    <row r="100" spans="3:4" x14ac:dyDescent="0.25">
      <c r="C100" s="137"/>
      <c r="D100" s="137"/>
    </row>
    <row r="101" spans="3:4" x14ac:dyDescent="0.25">
      <c r="C101" s="137"/>
      <c r="D101" s="137"/>
    </row>
    <row r="102" spans="3:4" x14ac:dyDescent="0.25">
      <c r="C102" s="137"/>
      <c r="D102" s="137"/>
    </row>
    <row r="103" spans="3:4" x14ac:dyDescent="0.25">
      <c r="C103" s="137"/>
      <c r="D103" s="137"/>
    </row>
    <row r="104" spans="3:4" x14ac:dyDescent="0.25">
      <c r="C104" s="137"/>
      <c r="D104" s="137"/>
    </row>
    <row r="105" spans="3:4" x14ac:dyDescent="0.25">
      <c r="C105" s="137"/>
      <c r="D105" s="137"/>
    </row>
    <row r="106" spans="3:4" x14ac:dyDescent="0.25">
      <c r="C106" s="137"/>
      <c r="D106" s="137"/>
    </row>
    <row r="107" spans="3:4" x14ac:dyDescent="0.25">
      <c r="C107" s="137"/>
      <c r="D107" s="137"/>
    </row>
    <row r="108" spans="3:4" x14ac:dyDescent="0.25">
      <c r="C108" s="137"/>
      <c r="D108" s="137"/>
    </row>
    <row r="109" spans="3:4" x14ac:dyDescent="0.25">
      <c r="C109" s="137"/>
      <c r="D109" s="137"/>
    </row>
    <row r="110" spans="3:4" x14ac:dyDescent="0.25">
      <c r="C110" s="137"/>
      <c r="D110" s="137"/>
    </row>
    <row r="111" spans="3:4" x14ac:dyDescent="0.25">
      <c r="C111" s="137"/>
      <c r="D111" s="137"/>
    </row>
    <row r="112" spans="3:4" x14ac:dyDescent="0.25">
      <c r="C112" s="137"/>
      <c r="D112" s="137"/>
    </row>
    <row r="113" spans="3:4" x14ac:dyDescent="0.25">
      <c r="C113" s="137"/>
      <c r="D113" s="137"/>
    </row>
    <row r="114" spans="3:4" x14ac:dyDescent="0.25">
      <c r="C114" s="137"/>
      <c r="D114" s="137"/>
    </row>
    <row r="115" spans="3:4" x14ac:dyDescent="0.25">
      <c r="C115" s="137"/>
      <c r="D115" s="137"/>
    </row>
    <row r="116" spans="3:4" x14ac:dyDescent="0.25">
      <c r="C116" s="137"/>
      <c r="D116" s="137"/>
    </row>
    <row r="117" spans="3:4" x14ac:dyDescent="0.25">
      <c r="C117" s="137"/>
      <c r="D117" s="137"/>
    </row>
    <row r="118" spans="3:4" x14ac:dyDescent="0.25">
      <c r="C118" s="137"/>
      <c r="D118" s="137"/>
    </row>
    <row r="119" spans="3:4" x14ac:dyDescent="0.25">
      <c r="C119" s="137"/>
      <c r="D119" s="137"/>
    </row>
    <row r="120" spans="3:4" x14ac:dyDescent="0.25">
      <c r="C120" s="137"/>
      <c r="D120" s="137"/>
    </row>
    <row r="121" spans="3:4" x14ac:dyDescent="0.25">
      <c r="C121" s="137"/>
      <c r="D121" s="137"/>
    </row>
    <row r="122" spans="3:4" x14ac:dyDescent="0.25">
      <c r="C122" s="137"/>
      <c r="D122" s="137"/>
    </row>
    <row r="123" spans="3:4" x14ac:dyDescent="0.25">
      <c r="C123" s="137"/>
      <c r="D123" s="137"/>
    </row>
    <row r="124" spans="3:4" x14ac:dyDescent="0.25">
      <c r="C124" s="137"/>
      <c r="D124" s="137"/>
    </row>
    <row r="125" spans="3:4" x14ac:dyDescent="0.25">
      <c r="C125" s="137"/>
      <c r="D125" s="137"/>
    </row>
    <row r="126" spans="3:4" x14ac:dyDescent="0.25">
      <c r="C126" s="137"/>
      <c r="D126" s="137"/>
    </row>
    <row r="127" spans="3:4" x14ac:dyDescent="0.25">
      <c r="C127" s="137"/>
      <c r="D127" s="137"/>
    </row>
    <row r="128" spans="3:4" x14ac:dyDescent="0.25">
      <c r="C128" s="137"/>
      <c r="D128" s="137"/>
    </row>
    <row r="129" spans="3:4" x14ac:dyDescent="0.25">
      <c r="C129" s="137"/>
      <c r="D129" s="137"/>
    </row>
    <row r="130" spans="3:4" x14ac:dyDescent="0.25">
      <c r="C130" s="137"/>
      <c r="D130" s="137"/>
    </row>
    <row r="131" spans="3:4" x14ac:dyDescent="0.25">
      <c r="C131" s="137"/>
      <c r="D131" s="137"/>
    </row>
    <row r="132" spans="3:4" x14ac:dyDescent="0.25">
      <c r="C132" s="137"/>
      <c r="D132" s="137"/>
    </row>
    <row r="133" spans="3:4" x14ac:dyDescent="0.25">
      <c r="C133" s="137"/>
      <c r="D133" s="137"/>
    </row>
    <row r="134" spans="3:4" x14ac:dyDescent="0.25">
      <c r="C134" s="137"/>
      <c r="D134" s="137"/>
    </row>
    <row r="135" spans="3:4" x14ac:dyDescent="0.25">
      <c r="C135" s="137"/>
      <c r="D135" s="137"/>
    </row>
    <row r="136" spans="3:4" x14ac:dyDescent="0.25">
      <c r="C136" s="137"/>
      <c r="D136" s="137"/>
    </row>
    <row r="137" spans="3:4" x14ac:dyDescent="0.25">
      <c r="C137" s="137"/>
      <c r="D137" s="137"/>
    </row>
    <row r="138" spans="3:4" x14ac:dyDescent="0.25">
      <c r="C138" s="137"/>
      <c r="D138" s="137"/>
    </row>
    <row r="139" spans="3:4" x14ac:dyDescent="0.25">
      <c r="C139" s="137"/>
      <c r="D139" s="137"/>
    </row>
    <row r="140" spans="3:4" x14ac:dyDescent="0.25">
      <c r="C140" s="137"/>
      <c r="D140" s="137"/>
    </row>
    <row r="141" spans="3:4" x14ac:dyDescent="0.25">
      <c r="C141" s="137"/>
      <c r="D141" s="137"/>
    </row>
    <row r="142" spans="3:4" x14ac:dyDescent="0.25">
      <c r="C142" s="137"/>
      <c r="D142" s="137"/>
    </row>
    <row r="143" spans="3:4" x14ac:dyDescent="0.25">
      <c r="C143" s="137"/>
      <c r="D143" s="137"/>
    </row>
    <row r="144" spans="3:4" x14ac:dyDescent="0.25">
      <c r="C144" s="137"/>
      <c r="D144" s="137"/>
    </row>
    <row r="145" spans="3:4" x14ac:dyDescent="0.25">
      <c r="C145" s="137"/>
      <c r="D145" s="137"/>
    </row>
    <row r="146" spans="3:4" x14ac:dyDescent="0.25">
      <c r="C146" s="137"/>
      <c r="D146" s="137"/>
    </row>
    <row r="147" spans="3:4" x14ac:dyDescent="0.25">
      <c r="C147" s="137"/>
      <c r="D147" s="137"/>
    </row>
    <row r="148" spans="3:4" x14ac:dyDescent="0.25">
      <c r="C148" s="137"/>
      <c r="D148" s="137"/>
    </row>
    <row r="149" spans="3:4" x14ac:dyDescent="0.25">
      <c r="C149" s="137"/>
      <c r="D149" s="137"/>
    </row>
    <row r="150" spans="3:4" x14ac:dyDescent="0.25">
      <c r="C150" s="137"/>
      <c r="D150" s="137"/>
    </row>
    <row r="151" spans="3:4" x14ac:dyDescent="0.25">
      <c r="C151" s="137"/>
      <c r="D151" s="137"/>
    </row>
    <row r="152" spans="3:4" x14ac:dyDescent="0.25">
      <c r="C152" s="137"/>
      <c r="D152" s="137"/>
    </row>
    <row r="153" spans="3:4" x14ac:dyDescent="0.25">
      <c r="C153" s="137"/>
      <c r="D153" s="137"/>
    </row>
    <row r="154" spans="3:4" x14ac:dyDescent="0.25">
      <c r="C154" s="137"/>
      <c r="D154" s="137"/>
    </row>
    <row r="155" spans="3:4" x14ac:dyDescent="0.25">
      <c r="C155" s="137"/>
      <c r="D155" s="137"/>
    </row>
    <row r="156" spans="3:4" x14ac:dyDescent="0.25">
      <c r="C156" s="137"/>
      <c r="D156" s="137"/>
    </row>
    <row r="157" spans="3:4" x14ac:dyDescent="0.25">
      <c r="C157" s="137"/>
      <c r="D157" s="137"/>
    </row>
    <row r="158" spans="3:4" x14ac:dyDescent="0.25">
      <c r="C158" s="137"/>
      <c r="D158" s="137"/>
    </row>
    <row r="159" spans="3:4" x14ac:dyDescent="0.25">
      <c r="C159" s="137"/>
      <c r="D159" s="137"/>
    </row>
    <row r="160" spans="3:4" x14ac:dyDescent="0.25">
      <c r="C160" s="137"/>
      <c r="D160" s="137"/>
    </row>
    <row r="161" spans="3:4" x14ac:dyDescent="0.25">
      <c r="C161" s="137"/>
      <c r="D161" s="137"/>
    </row>
    <row r="162" spans="3:4" x14ac:dyDescent="0.25">
      <c r="C162" s="137"/>
      <c r="D162" s="137"/>
    </row>
    <row r="163" spans="3:4" x14ac:dyDescent="0.25">
      <c r="C163" s="137"/>
      <c r="D163" s="137"/>
    </row>
    <row r="164" spans="3:4" x14ac:dyDescent="0.25">
      <c r="C164" s="137"/>
      <c r="D164" s="137"/>
    </row>
    <row r="165" spans="3:4" x14ac:dyDescent="0.25">
      <c r="C165" s="137"/>
      <c r="D165" s="137"/>
    </row>
    <row r="166" spans="3:4" x14ac:dyDescent="0.25">
      <c r="C166" s="137"/>
      <c r="D166" s="137"/>
    </row>
    <row r="167" spans="3:4" x14ac:dyDescent="0.25">
      <c r="C167" s="137"/>
      <c r="D167" s="137"/>
    </row>
    <row r="168" spans="3:4" x14ac:dyDescent="0.25">
      <c r="C168" s="137"/>
      <c r="D168" s="137"/>
    </row>
    <row r="169" spans="3:4" x14ac:dyDescent="0.25">
      <c r="C169" s="137"/>
      <c r="D169" s="137"/>
    </row>
    <row r="170" spans="3:4" x14ac:dyDescent="0.25">
      <c r="C170" s="137"/>
      <c r="D170" s="137"/>
    </row>
    <row r="171" spans="3:4" x14ac:dyDescent="0.25">
      <c r="C171" s="137"/>
      <c r="D171" s="137"/>
    </row>
    <row r="172" spans="3:4" x14ac:dyDescent="0.25">
      <c r="C172" s="137"/>
      <c r="D172" s="137"/>
    </row>
    <row r="173" spans="3:4" x14ac:dyDescent="0.25">
      <c r="C173" s="137"/>
      <c r="D173" s="137"/>
    </row>
    <row r="174" spans="3:4" x14ac:dyDescent="0.25">
      <c r="C174" s="137"/>
      <c r="D174" s="137"/>
    </row>
    <row r="175" spans="3:4" x14ac:dyDescent="0.25">
      <c r="C175" s="137"/>
      <c r="D175" s="137"/>
    </row>
    <row r="176" spans="3:4" x14ac:dyDescent="0.25">
      <c r="C176" s="137"/>
      <c r="D176" s="137"/>
    </row>
    <row r="177" spans="3:4" x14ac:dyDescent="0.25">
      <c r="C177" s="137"/>
      <c r="D177" s="137"/>
    </row>
    <row r="178" spans="3:4" x14ac:dyDescent="0.25">
      <c r="C178" s="137"/>
      <c r="D178" s="137"/>
    </row>
    <row r="179" spans="3:4" x14ac:dyDescent="0.25">
      <c r="C179" s="137"/>
      <c r="D179" s="137"/>
    </row>
    <row r="180" spans="3:4" x14ac:dyDescent="0.25">
      <c r="C180" s="137"/>
      <c r="D180" s="137"/>
    </row>
    <row r="181" spans="3:4" x14ac:dyDescent="0.25">
      <c r="C181" s="137"/>
      <c r="D181" s="137"/>
    </row>
    <row r="182" spans="3:4" x14ac:dyDescent="0.25">
      <c r="C182" s="137"/>
      <c r="D182" s="137"/>
    </row>
    <row r="183" spans="3:4" x14ac:dyDescent="0.25">
      <c r="C183" s="137"/>
      <c r="D183" s="137"/>
    </row>
    <row r="184" spans="3:4" x14ac:dyDescent="0.25">
      <c r="C184" s="137"/>
      <c r="D184" s="137"/>
    </row>
    <row r="185" spans="3:4" x14ac:dyDescent="0.25">
      <c r="C185" s="137"/>
      <c r="D185" s="137"/>
    </row>
    <row r="186" spans="3:4" x14ac:dyDescent="0.25">
      <c r="C186" s="137"/>
      <c r="D186" s="137"/>
    </row>
    <row r="187" spans="3:4" x14ac:dyDescent="0.25">
      <c r="C187" s="137"/>
      <c r="D187" s="137"/>
    </row>
    <row r="188" spans="3:4" x14ac:dyDescent="0.25">
      <c r="C188" s="137"/>
      <c r="D188" s="137"/>
    </row>
    <row r="189" spans="3:4" x14ac:dyDescent="0.25">
      <c r="C189" s="137"/>
      <c r="D189" s="137"/>
    </row>
    <row r="190" spans="3:4" x14ac:dyDescent="0.25">
      <c r="C190" s="137"/>
      <c r="D190" s="137"/>
    </row>
    <row r="191" spans="3:4" x14ac:dyDescent="0.25">
      <c r="C191" s="137"/>
      <c r="D191" s="137"/>
    </row>
    <row r="192" spans="3:4" x14ac:dyDescent="0.25">
      <c r="C192" s="137"/>
      <c r="D192" s="137"/>
    </row>
    <row r="193" spans="3:4" x14ac:dyDescent="0.25">
      <c r="C193" s="137"/>
      <c r="D193" s="137"/>
    </row>
    <row r="194" spans="3:4" x14ac:dyDescent="0.25">
      <c r="C194" s="137"/>
      <c r="D194" s="137"/>
    </row>
    <row r="195" spans="3:4" x14ac:dyDescent="0.25">
      <c r="C195" s="137"/>
      <c r="D195" s="137"/>
    </row>
    <row r="196" spans="3:4" x14ac:dyDescent="0.25">
      <c r="C196" s="137"/>
      <c r="D196" s="137"/>
    </row>
    <row r="197" spans="3:4" x14ac:dyDescent="0.25">
      <c r="C197" s="137"/>
      <c r="D197" s="137"/>
    </row>
    <row r="198" spans="3:4" x14ac:dyDescent="0.25">
      <c r="C198" s="137"/>
      <c r="D198" s="137"/>
    </row>
    <row r="199" spans="3:4" x14ac:dyDescent="0.25">
      <c r="C199" s="137"/>
      <c r="D199" s="137"/>
    </row>
    <row r="200" spans="3:4" x14ac:dyDescent="0.25">
      <c r="C200" s="137"/>
      <c r="D200" s="137"/>
    </row>
    <row r="201" spans="3:4" x14ac:dyDescent="0.25">
      <c r="C201" s="137"/>
      <c r="D201" s="137"/>
    </row>
    <row r="202" spans="3:4" x14ac:dyDescent="0.25">
      <c r="C202" s="137"/>
      <c r="D202" s="137"/>
    </row>
    <row r="203" spans="3:4" x14ac:dyDescent="0.25">
      <c r="C203" s="137"/>
      <c r="D203" s="137"/>
    </row>
    <row r="204" spans="3:4" x14ac:dyDescent="0.25">
      <c r="C204" s="137"/>
      <c r="D204" s="137"/>
    </row>
    <row r="205" spans="3:4" x14ac:dyDescent="0.25">
      <c r="C205" s="137"/>
      <c r="D205" s="137"/>
    </row>
    <row r="206" spans="3:4" x14ac:dyDescent="0.25">
      <c r="C206" s="137"/>
      <c r="D206" s="137"/>
    </row>
    <row r="207" spans="3:4" x14ac:dyDescent="0.25">
      <c r="C207" s="137"/>
      <c r="D207" s="137"/>
    </row>
    <row r="208" spans="3:4" x14ac:dyDescent="0.25">
      <c r="C208" s="137"/>
      <c r="D208" s="137"/>
    </row>
    <row r="209" spans="3:4" x14ac:dyDescent="0.25">
      <c r="C209" s="137"/>
      <c r="D209" s="137"/>
    </row>
    <row r="210" spans="3:4" x14ac:dyDescent="0.25">
      <c r="C210" s="137"/>
      <c r="D210" s="137"/>
    </row>
    <row r="211" spans="3:4" x14ac:dyDescent="0.25">
      <c r="C211" s="137"/>
      <c r="D211" s="137"/>
    </row>
    <row r="212" spans="3:4" x14ac:dyDescent="0.25">
      <c r="C212" s="137"/>
      <c r="D212" s="137"/>
    </row>
    <row r="213" spans="3:4" x14ac:dyDescent="0.25">
      <c r="C213" s="137"/>
      <c r="D213" s="137"/>
    </row>
    <row r="214" spans="3:4" x14ac:dyDescent="0.25">
      <c r="C214" s="137"/>
      <c r="D214" s="137"/>
    </row>
    <row r="215" spans="3:4" x14ac:dyDescent="0.25">
      <c r="C215" s="137"/>
      <c r="D215" s="137"/>
    </row>
    <row r="216" spans="3:4" x14ac:dyDescent="0.25">
      <c r="C216" s="137"/>
      <c r="D216" s="137"/>
    </row>
    <row r="217" spans="3:4" x14ac:dyDescent="0.25">
      <c r="C217" s="137"/>
      <c r="D217" s="137"/>
    </row>
    <row r="218" spans="3:4" x14ac:dyDescent="0.25">
      <c r="C218" s="137"/>
      <c r="D218" s="137"/>
    </row>
    <row r="219" spans="3:4" x14ac:dyDescent="0.25">
      <c r="C219" s="137"/>
      <c r="D219" s="137"/>
    </row>
    <row r="220" spans="3:4" x14ac:dyDescent="0.25">
      <c r="C220" s="137"/>
      <c r="D220" s="137"/>
    </row>
    <row r="221" spans="3:4" x14ac:dyDescent="0.25">
      <c r="C221" s="137"/>
      <c r="D221" s="137"/>
    </row>
    <row r="222" spans="3:4" x14ac:dyDescent="0.25">
      <c r="C222" s="137"/>
      <c r="D222" s="137"/>
    </row>
    <row r="223" spans="3:4" x14ac:dyDescent="0.25">
      <c r="C223" s="137"/>
      <c r="D223" s="137"/>
    </row>
    <row r="224" spans="3:4" x14ac:dyDescent="0.25">
      <c r="C224" s="137"/>
      <c r="D224" s="137"/>
    </row>
    <row r="225" spans="3:4" x14ac:dyDescent="0.25">
      <c r="C225" s="137"/>
      <c r="D225" s="137"/>
    </row>
    <row r="226" spans="3:4" x14ac:dyDescent="0.25">
      <c r="C226" s="137"/>
      <c r="D226" s="137"/>
    </row>
    <row r="227" spans="3:4" x14ac:dyDescent="0.25">
      <c r="C227" s="137"/>
      <c r="D227" s="137"/>
    </row>
    <row r="228" spans="3:4" x14ac:dyDescent="0.25">
      <c r="C228" s="137"/>
      <c r="D228" s="137"/>
    </row>
    <row r="229" spans="3:4" x14ac:dyDescent="0.25">
      <c r="C229" s="137"/>
      <c r="D229" s="137"/>
    </row>
    <row r="230" spans="3:4" x14ac:dyDescent="0.25">
      <c r="C230" s="137"/>
      <c r="D230" s="137"/>
    </row>
    <row r="231" spans="3:4" x14ac:dyDescent="0.25">
      <c r="C231" s="137"/>
      <c r="D231" s="137"/>
    </row>
    <row r="232" spans="3:4" x14ac:dyDescent="0.25">
      <c r="C232" s="137"/>
      <c r="D232" s="137"/>
    </row>
    <row r="233" spans="3:4" x14ac:dyDescent="0.25">
      <c r="C233" s="137"/>
      <c r="D233" s="137"/>
    </row>
    <row r="234" spans="3:4" x14ac:dyDescent="0.25">
      <c r="C234" s="137"/>
      <c r="D234" s="137"/>
    </row>
    <row r="235" spans="3:4" x14ac:dyDescent="0.25">
      <c r="C235" s="137"/>
      <c r="D235" s="137"/>
    </row>
    <row r="236" spans="3:4" x14ac:dyDescent="0.25">
      <c r="C236" s="137"/>
      <c r="D236" s="137"/>
    </row>
    <row r="237" spans="3:4" x14ac:dyDescent="0.25">
      <c r="C237" s="137"/>
      <c r="D237" s="137"/>
    </row>
    <row r="238" spans="3:4" x14ac:dyDescent="0.25">
      <c r="C238" s="137"/>
      <c r="D238" s="137"/>
    </row>
    <row r="239" spans="3:4" x14ac:dyDescent="0.25">
      <c r="C239" s="137"/>
      <c r="D239" s="137"/>
    </row>
    <row r="240" spans="3:4" x14ac:dyDescent="0.25">
      <c r="C240" s="137"/>
      <c r="D240" s="137"/>
    </row>
    <row r="241" spans="3:4" x14ac:dyDescent="0.25">
      <c r="C241" s="137"/>
      <c r="D241" s="137"/>
    </row>
    <row r="242" spans="3:4" x14ac:dyDescent="0.25">
      <c r="C242" s="137"/>
      <c r="D242" s="137"/>
    </row>
    <row r="243" spans="3:4" x14ac:dyDescent="0.25">
      <c r="C243" s="137"/>
      <c r="D243" s="137"/>
    </row>
    <row r="244" spans="3:4" x14ac:dyDescent="0.25">
      <c r="C244" s="137"/>
      <c r="D244" s="137"/>
    </row>
    <row r="245" spans="3:4" x14ac:dyDescent="0.25">
      <c r="C245" s="137"/>
      <c r="D245" s="137"/>
    </row>
    <row r="246" spans="3:4" x14ac:dyDescent="0.25">
      <c r="C246" s="137"/>
      <c r="D246" s="137"/>
    </row>
    <row r="247" spans="3:4" x14ac:dyDescent="0.25">
      <c r="C247" s="137"/>
      <c r="D247" s="137"/>
    </row>
    <row r="248" spans="3:4" x14ac:dyDescent="0.25">
      <c r="C248" s="137"/>
      <c r="D248" s="137"/>
    </row>
    <row r="249" spans="3:4" x14ac:dyDescent="0.25">
      <c r="C249" s="137"/>
      <c r="D249" s="137"/>
    </row>
    <row r="250" spans="3:4" x14ac:dyDescent="0.25">
      <c r="C250" s="137"/>
      <c r="D250" s="137"/>
    </row>
    <row r="251" spans="3:4" x14ac:dyDescent="0.25">
      <c r="C251" s="137"/>
      <c r="D251" s="137"/>
    </row>
    <row r="252" spans="3:4" x14ac:dyDescent="0.25">
      <c r="C252" s="137"/>
      <c r="D252" s="137"/>
    </row>
    <row r="253" spans="3:4" x14ac:dyDescent="0.25">
      <c r="C253" s="137"/>
      <c r="D253" s="137"/>
    </row>
    <row r="254" spans="3:4" x14ac:dyDescent="0.25">
      <c r="C254" s="137"/>
      <c r="D254" s="137"/>
    </row>
    <row r="255" spans="3:4" x14ac:dyDescent="0.25">
      <c r="C255" s="137"/>
      <c r="D255" s="137"/>
    </row>
    <row r="256" spans="3:4" x14ac:dyDescent="0.25">
      <c r="C256" s="137"/>
      <c r="D256" s="137"/>
    </row>
    <row r="257" spans="3:4" x14ac:dyDescent="0.25">
      <c r="C257" s="137"/>
      <c r="D257" s="137"/>
    </row>
  </sheetData>
  <mergeCells count="1">
    <mergeCell ref="E3:E16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8"/>
  <sheetViews>
    <sheetView zoomScale="80" zoomScaleNormal="80" workbookViewId="0">
      <selection activeCell="G4" sqref="G4"/>
    </sheetView>
  </sheetViews>
  <sheetFormatPr defaultRowHeight="14.25" x14ac:dyDescent="0.25"/>
  <cols>
    <col min="1" max="1" width="18" style="33" bestFit="1" customWidth="1"/>
    <col min="2" max="2" width="22.140625" style="34" bestFit="1" customWidth="1"/>
    <col min="3" max="3" width="15.28515625" style="34" bestFit="1" customWidth="1"/>
    <col min="4" max="4" width="48.7109375" style="34" bestFit="1" customWidth="1"/>
    <col min="5" max="5" width="16" style="35" bestFit="1" customWidth="1"/>
    <col min="6" max="6" width="18.5703125" style="33" bestFit="1" customWidth="1"/>
    <col min="7" max="7" width="42" style="34" bestFit="1" customWidth="1"/>
    <col min="8" max="8" width="147.28515625" style="34" bestFit="1" customWidth="1"/>
    <col min="9" max="9" width="21.5703125" style="33" bestFit="1" customWidth="1"/>
    <col min="10" max="10" width="17" style="3" bestFit="1" customWidth="1"/>
    <col min="11" max="11" width="22.28515625" style="34" bestFit="1" customWidth="1"/>
    <col min="12" max="12" width="15" style="4" bestFit="1" customWidth="1"/>
    <col min="13" max="13" width="12.42578125" style="3" bestFit="1" customWidth="1"/>
    <col min="14" max="14" width="12.28515625" style="3" bestFit="1" customWidth="1"/>
    <col min="15" max="16" width="14.28515625" style="3" bestFit="1" customWidth="1"/>
    <col min="17" max="253" width="9.140625" style="3"/>
    <col min="254" max="254" width="12.7109375" style="3" bestFit="1" customWidth="1"/>
    <col min="255" max="255" width="28.42578125" style="3" bestFit="1" customWidth="1"/>
    <col min="256" max="256" width="27.42578125" style="3" bestFit="1" customWidth="1"/>
    <col min="257" max="257" width="11.42578125" style="3" customWidth="1"/>
    <col min="258" max="258" width="9.7109375" style="3" bestFit="1" customWidth="1"/>
    <col min="259" max="259" width="31.28515625" style="3" bestFit="1" customWidth="1"/>
    <col min="260" max="260" width="75.28515625" style="3" bestFit="1" customWidth="1"/>
    <col min="261" max="261" width="18.28515625" style="3" bestFit="1" customWidth="1"/>
    <col min="262" max="262" width="17.5703125" style="3" bestFit="1" customWidth="1"/>
    <col min="263" max="263" width="12.5703125" style="3" customWidth="1"/>
    <col min="264" max="264" width="14.28515625" style="3" bestFit="1" customWidth="1"/>
    <col min="265" max="265" width="26.42578125" style="3" bestFit="1" customWidth="1"/>
    <col min="266" max="266" width="24.28515625" style="3" bestFit="1" customWidth="1"/>
    <col min="267" max="267" width="18.85546875" style="3" bestFit="1" customWidth="1"/>
    <col min="268" max="268" width="14.28515625" style="3" bestFit="1" customWidth="1"/>
    <col min="269" max="269" width="4.7109375" style="3" bestFit="1" customWidth="1"/>
    <col min="270" max="509" width="9.140625" style="3"/>
    <col min="510" max="510" width="12.7109375" style="3" bestFit="1" customWidth="1"/>
    <col min="511" max="511" width="28.42578125" style="3" bestFit="1" customWidth="1"/>
    <col min="512" max="512" width="27.42578125" style="3" bestFit="1" customWidth="1"/>
    <col min="513" max="513" width="11.42578125" style="3" customWidth="1"/>
    <col min="514" max="514" width="9.7109375" style="3" bestFit="1" customWidth="1"/>
    <col min="515" max="515" width="31.28515625" style="3" bestFit="1" customWidth="1"/>
    <col min="516" max="516" width="75.28515625" style="3" bestFit="1" customWidth="1"/>
    <col min="517" max="517" width="18.28515625" style="3" bestFit="1" customWidth="1"/>
    <col min="518" max="518" width="17.5703125" style="3" bestFit="1" customWidth="1"/>
    <col min="519" max="519" width="12.5703125" style="3" customWidth="1"/>
    <col min="520" max="520" width="14.28515625" style="3" bestFit="1" customWidth="1"/>
    <col min="521" max="521" width="26.42578125" style="3" bestFit="1" customWidth="1"/>
    <col min="522" max="522" width="24.28515625" style="3" bestFit="1" customWidth="1"/>
    <col min="523" max="523" width="18.85546875" style="3" bestFit="1" customWidth="1"/>
    <col min="524" max="524" width="14.28515625" style="3" bestFit="1" customWidth="1"/>
    <col min="525" max="525" width="4.7109375" style="3" bestFit="1" customWidth="1"/>
    <col min="526" max="765" width="9.140625" style="3"/>
    <col min="766" max="766" width="12.7109375" style="3" bestFit="1" customWidth="1"/>
    <col min="767" max="767" width="28.42578125" style="3" bestFit="1" customWidth="1"/>
    <col min="768" max="768" width="27.42578125" style="3" bestFit="1" customWidth="1"/>
    <col min="769" max="769" width="11.42578125" style="3" customWidth="1"/>
    <col min="770" max="770" width="9.7109375" style="3" bestFit="1" customWidth="1"/>
    <col min="771" max="771" width="31.28515625" style="3" bestFit="1" customWidth="1"/>
    <col min="772" max="772" width="75.28515625" style="3" bestFit="1" customWidth="1"/>
    <col min="773" max="773" width="18.28515625" style="3" bestFit="1" customWidth="1"/>
    <col min="774" max="774" width="17.5703125" style="3" bestFit="1" customWidth="1"/>
    <col min="775" max="775" width="12.5703125" style="3" customWidth="1"/>
    <col min="776" max="776" width="14.28515625" style="3" bestFit="1" customWidth="1"/>
    <col min="777" max="777" width="26.42578125" style="3" bestFit="1" customWidth="1"/>
    <col min="778" max="778" width="24.28515625" style="3" bestFit="1" customWidth="1"/>
    <col min="779" max="779" width="18.85546875" style="3" bestFit="1" customWidth="1"/>
    <col min="780" max="780" width="14.28515625" style="3" bestFit="1" customWidth="1"/>
    <col min="781" max="781" width="4.7109375" style="3" bestFit="1" customWidth="1"/>
    <col min="782" max="1021" width="9.140625" style="3"/>
    <col min="1022" max="1022" width="12.7109375" style="3" bestFit="1" customWidth="1"/>
    <col min="1023" max="1023" width="28.42578125" style="3" bestFit="1" customWidth="1"/>
    <col min="1024" max="1024" width="27.42578125" style="3" bestFit="1" customWidth="1"/>
    <col min="1025" max="1025" width="11.42578125" style="3" customWidth="1"/>
    <col min="1026" max="1026" width="9.7109375" style="3" bestFit="1" customWidth="1"/>
    <col min="1027" max="1027" width="31.28515625" style="3" bestFit="1" customWidth="1"/>
    <col min="1028" max="1028" width="75.28515625" style="3" bestFit="1" customWidth="1"/>
    <col min="1029" max="1029" width="18.28515625" style="3" bestFit="1" customWidth="1"/>
    <col min="1030" max="1030" width="17.5703125" style="3" bestFit="1" customWidth="1"/>
    <col min="1031" max="1031" width="12.5703125" style="3" customWidth="1"/>
    <col min="1032" max="1032" width="14.28515625" style="3" bestFit="1" customWidth="1"/>
    <col min="1033" max="1033" width="26.42578125" style="3" bestFit="1" customWidth="1"/>
    <col min="1034" max="1034" width="24.28515625" style="3" bestFit="1" customWidth="1"/>
    <col min="1035" max="1035" width="18.85546875" style="3" bestFit="1" customWidth="1"/>
    <col min="1036" max="1036" width="14.28515625" style="3" bestFit="1" customWidth="1"/>
    <col min="1037" max="1037" width="4.7109375" style="3" bestFit="1" customWidth="1"/>
    <col min="1038" max="1277" width="9.140625" style="3"/>
    <col min="1278" max="1278" width="12.7109375" style="3" bestFit="1" customWidth="1"/>
    <col min="1279" max="1279" width="28.42578125" style="3" bestFit="1" customWidth="1"/>
    <col min="1280" max="1280" width="27.42578125" style="3" bestFit="1" customWidth="1"/>
    <col min="1281" max="1281" width="11.42578125" style="3" customWidth="1"/>
    <col min="1282" max="1282" width="9.7109375" style="3" bestFit="1" customWidth="1"/>
    <col min="1283" max="1283" width="31.28515625" style="3" bestFit="1" customWidth="1"/>
    <col min="1284" max="1284" width="75.28515625" style="3" bestFit="1" customWidth="1"/>
    <col min="1285" max="1285" width="18.28515625" style="3" bestFit="1" customWidth="1"/>
    <col min="1286" max="1286" width="17.5703125" style="3" bestFit="1" customWidth="1"/>
    <col min="1287" max="1287" width="12.5703125" style="3" customWidth="1"/>
    <col min="1288" max="1288" width="14.28515625" style="3" bestFit="1" customWidth="1"/>
    <col min="1289" max="1289" width="26.42578125" style="3" bestFit="1" customWidth="1"/>
    <col min="1290" max="1290" width="24.28515625" style="3" bestFit="1" customWidth="1"/>
    <col min="1291" max="1291" width="18.85546875" style="3" bestFit="1" customWidth="1"/>
    <col min="1292" max="1292" width="14.28515625" style="3" bestFit="1" customWidth="1"/>
    <col min="1293" max="1293" width="4.7109375" style="3" bestFit="1" customWidth="1"/>
    <col min="1294" max="1533" width="9.140625" style="3"/>
    <col min="1534" max="1534" width="12.7109375" style="3" bestFit="1" customWidth="1"/>
    <col min="1535" max="1535" width="28.42578125" style="3" bestFit="1" customWidth="1"/>
    <col min="1536" max="1536" width="27.42578125" style="3" bestFit="1" customWidth="1"/>
    <col min="1537" max="1537" width="11.42578125" style="3" customWidth="1"/>
    <col min="1538" max="1538" width="9.7109375" style="3" bestFit="1" customWidth="1"/>
    <col min="1539" max="1539" width="31.28515625" style="3" bestFit="1" customWidth="1"/>
    <col min="1540" max="1540" width="75.28515625" style="3" bestFit="1" customWidth="1"/>
    <col min="1541" max="1541" width="18.28515625" style="3" bestFit="1" customWidth="1"/>
    <col min="1542" max="1542" width="17.5703125" style="3" bestFit="1" customWidth="1"/>
    <col min="1543" max="1543" width="12.5703125" style="3" customWidth="1"/>
    <col min="1544" max="1544" width="14.28515625" style="3" bestFit="1" customWidth="1"/>
    <col min="1545" max="1545" width="26.42578125" style="3" bestFit="1" customWidth="1"/>
    <col min="1546" max="1546" width="24.28515625" style="3" bestFit="1" customWidth="1"/>
    <col min="1547" max="1547" width="18.85546875" style="3" bestFit="1" customWidth="1"/>
    <col min="1548" max="1548" width="14.28515625" style="3" bestFit="1" customWidth="1"/>
    <col min="1549" max="1549" width="4.7109375" style="3" bestFit="1" customWidth="1"/>
    <col min="1550" max="1789" width="9.140625" style="3"/>
    <col min="1790" max="1790" width="12.7109375" style="3" bestFit="1" customWidth="1"/>
    <col min="1791" max="1791" width="28.42578125" style="3" bestFit="1" customWidth="1"/>
    <col min="1792" max="1792" width="27.42578125" style="3" bestFit="1" customWidth="1"/>
    <col min="1793" max="1793" width="11.42578125" style="3" customWidth="1"/>
    <col min="1794" max="1794" width="9.7109375" style="3" bestFit="1" customWidth="1"/>
    <col min="1795" max="1795" width="31.28515625" style="3" bestFit="1" customWidth="1"/>
    <col min="1796" max="1796" width="75.28515625" style="3" bestFit="1" customWidth="1"/>
    <col min="1797" max="1797" width="18.28515625" style="3" bestFit="1" customWidth="1"/>
    <col min="1798" max="1798" width="17.5703125" style="3" bestFit="1" customWidth="1"/>
    <col min="1799" max="1799" width="12.5703125" style="3" customWidth="1"/>
    <col min="1800" max="1800" width="14.28515625" style="3" bestFit="1" customWidth="1"/>
    <col min="1801" max="1801" width="26.42578125" style="3" bestFit="1" customWidth="1"/>
    <col min="1802" max="1802" width="24.28515625" style="3" bestFit="1" customWidth="1"/>
    <col min="1803" max="1803" width="18.85546875" style="3" bestFit="1" customWidth="1"/>
    <col min="1804" max="1804" width="14.28515625" style="3" bestFit="1" customWidth="1"/>
    <col min="1805" max="1805" width="4.7109375" style="3" bestFit="1" customWidth="1"/>
    <col min="1806" max="2045" width="9.140625" style="3"/>
    <col min="2046" max="2046" width="12.7109375" style="3" bestFit="1" customWidth="1"/>
    <col min="2047" max="2047" width="28.42578125" style="3" bestFit="1" customWidth="1"/>
    <col min="2048" max="2048" width="27.42578125" style="3" bestFit="1" customWidth="1"/>
    <col min="2049" max="2049" width="11.42578125" style="3" customWidth="1"/>
    <col min="2050" max="2050" width="9.7109375" style="3" bestFit="1" customWidth="1"/>
    <col min="2051" max="2051" width="31.28515625" style="3" bestFit="1" customWidth="1"/>
    <col min="2052" max="2052" width="75.28515625" style="3" bestFit="1" customWidth="1"/>
    <col min="2053" max="2053" width="18.28515625" style="3" bestFit="1" customWidth="1"/>
    <col min="2054" max="2054" width="17.5703125" style="3" bestFit="1" customWidth="1"/>
    <col min="2055" max="2055" width="12.5703125" style="3" customWidth="1"/>
    <col min="2056" max="2056" width="14.28515625" style="3" bestFit="1" customWidth="1"/>
    <col min="2057" max="2057" width="26.42578125" style="3" bestFit="1" customWidth="1"/>
    <col min="2058" max="2058" width="24.28515625" style="3" bestFit="1" customWidth="1"/>
    <col min="2059" max="2059" width="18.85546875" style="3" bestFit="1" customWidth="1"/>
    <col min="2060" max="2060" width="14.28515625" style="3" bestFit="1" customWidth="1"/>
    <col min="2061" max="2061" width="4.7109375" style="3" bestFit="1" customWidth="1"/>
    <col min="2062" max="2301" width="9.140625" style="3"/>
    <col min="2302" max="2302" width="12.7109375" style="3" bestFit="1" customWidth="1"/>
    <col min="2303" max="2303" width="28.42578125" style="3" bestFit="1" customWidth="1"/>
    <col min="2304" max="2304" width="27.42578125" style="3" bestFit="1" customWidth="1"/>
    <col min="2305" max="2305" width="11.42578125" style="3" customWidth="1"/>
    <col min="2306" max="2306" width="9.7109375" style="3" bestFit="1" customWidth="1"/>
    <col min="2307" max="2307" width="31.28515625" style="3" bestFit="1" customWidth="1"/>
    <col min="2308" max="2308" width="75.28515625" style="3" bestFit="1" customWidth="1"/>
    <col min="2309" max="2309" width="18.28515625" style="3" bestFit="1" customWidth="1"/>
    <col min="2310" max="2310" width="17.5703125" style="3" bestFit="1" customWidth="1"/>
    <col min="2311" max="2311" width="12.5703125" style="3" customWidth="1"/>
    <col min="2312" max="2312" width="14.28515625" style="3" bestFit="1" customWidth="1"/>
    <col min="2313" max="2313" width="26.42578125" style="3" bestFit="1" customWidth="1"/>
    <col min="2314" max="2314" width="24.28515625" style="3" bestFit="1" customWidth="1"/>
    <col min="2315" max="2315" width="18.85546875" style="3" bestFit="1" customWidth="1"/>
    <col min="2316" max="2316" width="14.28515625" style="3" bestFit="1" customWidth="1"/>
    <col min="2317" max="2317" width="4.7109375" style="3" bestFit="1" customWidth="1"/>
    <col min="2318" max="2557" width="9.140625" style="3"/>
    <col min="2558" max="2558" width="12.7109375" style="3" bestFit="1" customWidth="1"/>
    <col min="2559" max="2559" width="28.42578125" style="3" bestFit="1" customWidth="1"/>
    <col min="2560" max="2560" width="27.42578125" style="3" bestFit="1" customWidth="1"/>
    <col min="2561" max="2561" width="11.42578125" style="3" customWidth="1"/>
    <col min="2562" max="2562" width="9.7109375" style="3" bestFit="1" customWidth="1"/>
    <col min="2563" max="2563" width="31.28515625" style="3" bestFit="1" customWidth="1"/>
    <col min="2564" max="2564" width="75.28515625" style="3" bestFit="1" customWidth="1"/>
    <col min="2565" max="2565" width="18.28515625" style="3" bestFit="1" customWidth="1"/>
    <col min="2566" max="2566" width="17.5703125" style="3" bestFit="1" customWidth="1"/>
    <col min="2567" max="2567" width="12.5703125" style="3" customWidth="1"/>
    <col min="2568" max="2568" width="14.28515625" style="3" bestFit="1" customWidth="1"/>
    <col min="2569" max="2569" width="26.42578125" style="3" bestFit="1" customWidth="1"/>
    <col min="2570" max="2570" width="24.28515625" style="3" bestFit="1" customWidth="1"/>
    <col min="2571" max="2571" width="18.85546875" style="3" bestFit="1" customWidth="1"/>
    <col min="2572" max="2572" width="14.28515625" style="3" bestFit="1" customWidth="1"/>
    <col min="2573" max="2573" width="4.7109375" style="3" bestFit="1" customWidth="1"/>
    <col min="2574" max="2813" width="9.140625" style="3"/>
    <col min="2814" max="2814" width="12.7109375" style="3" bestFit="1" customWidth="1"/>
    <col min="2815" max="2815" width="28.42578125" style="3" bestFit="1" customWidth="1"/>
    <col min="2816" max="2816" width="27.42578125" style="3" bestFit="1" customWidth="1"/>
    <col min="2817" max="2817" width="11.42578125" style="3" customWidth="1"/>
    <col min="2818" max="2818" width="9.7109375" style="3" bestFit="1" customWidth="1"/>
    <col min="2819" max="2819" width="31.28515625" style="3" bestFit="1" customWidth="1"/>
    <col min="2820" max="2820" width="75.28515625" style="3" bestFit="1" customWidth="1"/>
    <col min="2821" max="2821" width="18.28515625" style="3" bestFit="1" customWidth="1"/>
    <col min="2822" max="2822" width="17.5703125" style="3" bestFit="1" customWidth="1"/>
    <col min="2823" max="2823" width="12.5703125" style="3" customWidth="1"/>
    <col min="2824" max="2824" width="14.28515625" style="3" bestFit="1" customWidth="1"/>
    <col min="2825" max="2825" width="26.42578125" style="3" bestFit="1" customWidth="1"/>
    <col min="2826" max="2826" width="24.28515625" style="3" bestFit="1" customWidth="1"/>
    <col min="2827" max="2827" width="18.85546875" style="3" bestFit="1" customWidth="1"/>
    <col min="2828" max="2828" width="14.28515625" style="3" bestFit="1" customWidth="1"/>
    <col min="2829" max="2829" width="4.7109375" style="3" bestFit="1" customWidth="1"/>
    <col min="2830" max="3069" width="9.140625" style="3"/>
    <col min="3070" max="3070" width="12.7109375" style="3" bestFit="1" customWidth="1"/>
    <col min="3071" max="3071" width="28.42578125" style="3" bestFit="1" customWidth="1"/>
    <col min="3072" max="3072" width="27.42578125" style="3" bestFit="1" customWidth="1"/>
    <col min="3073" max="3073" width="11.42578125" style="3" customWidth="1"/>
    <col min="3074" max="3074" width="9.7109375" style="3" bestFit="1" customWidth="1"/>
    <col min="3075" max="3075" width="31.28515625" style="3" bestFit="1" customWidth="1"/>
    <col min="3076" max="3076" width="75.28515625" style="3" bestFit="1" customWidth="1"/>
    <col min="3077" max="3077" width="18.28515625" style="3" bestFit="1" customWidth="1"/>
    <col min="3078" max="3078" width="17.5703125" style="3" bestFit="1" customWidth="1"/>
    <col min="3079" max="3079" width="12.5703125" style="3" customWidth="1"/>
    <col min="3080" max="3080" width="14.28515625" style="3" bestFit="1" customWidth="1"/>
    <col min="3081" max="3081" width="26.42578125" style="3" bestFit="1" customWidth="1"/>
    <col min="3082" max="3082" width="24.28515625" style="3" bestFit="1" customWidth="1"/>
    <col min="3083" max="3083" width="18.85546875" style="3" bestFit="1" customWidth="1"/>
    <col min="3084" max="3084" width="14.28515625" style="3" bestFit="1" customWidth="1"/>
    <col min="3085" max="3085" width="4.7109375" style="3" bestFit="1" customWidth="1"/>
    <col min="3086" max="3325" width="9.140625" style="3"/>
    <col min="3326" max="3326" width="12.7109375" style="3" bestFit="1" customWidth="1"/>
    <col min="3327" max="3327" width="28.42578125" style="3" bestFit="1" customWidth="1"/>
    <col min="3328" max="3328" width="27.42578125" style="3" bestFit="1" customWidth="1"/>
    <col min="3329" max="3329" width="11.42578125" style="3" customWidth="1"/>
    <col min="3330" max="3330" width="9.7109375" style="3" bestFit="1" customWidth="1"/>
    <col min="3331" max="3331" width="31.28515625" style="3" bestFit="1" customWidth="1"/>
    <col min="3332" max="3332" width="75.28515625" style="3" bestFit="1" customWidth="1"/>
    <col min="3333" max="3333" width="18.28515625" style="3" bestFit="1" customWidth="1"/>
    <col min="3334" max="3334" width="17.5703125" style="3" bestFit="1" customWidth="1"/>
    <col min="3335" max="3335" width="12.5703125" style="3" customWidth="1"/>
    <col min="3336" max="3336" width="14.28515625" style="3" bestFit="1" customWidth="1"/>
    <col min="3337" max="3337" width="26.42578125" style="3" bestFit="1" customWidth="1"/>
    <col min="3338" max="3338" width="24.28515625" style="3" bestFit="1" customWidth="1"/>
    <col min="3339" max="3339" width="18.85546875" style="3" bestFit="1" customWidth="1"/>
    <col min="3340" max="3340" width="14.28515625" style="3" bestFit="1" customWidth="1"/>
    <col min="3341" max="3341" width="4.7109375" style="3" bestFit="1" customWidth="1"/>
    <col min="3342" max="3581" width="9.140625" style="3"/>
    <col min="3582" max="3582" width="12.7109375" style="3" bestFit="1" customWidth="1"/>
    <col min="3583" max="3583" width="28.42578125" style="3" bestFit="1" customWidth="1"/>
    <col min="3584" max="3584" width="27.42578125" style="3" bestFit="1" customWidth="1"/>
    <col min="3585" max="3585" width="11.42578125" style="3" customWidth="1"/>
    <col min="3586" max="3586" width="9.7109375" style="3" bestFit="1" customWidth="1"/>
    <col min="3587" max="3587" width="31.28515625" style="3" bestFit="1" customWidth="1"/>
    <col min="3588" max="3588" width="75.28515625" style="3" bestFit="1" customWidth="1"/>
    <col min="3589" max="3589" width="18.28515625" style="3" bestFit="1" customWidth="1"/>
    <col min="3590" max="3590" width="17.5703125" style="3" bestFit="1" customWidth="1"/>
    <col min="3591" max="3591" width="12.5703125" style="3" customWidth="1"/>
    <col min="3592" max="3592" width="14.28515625" style="3" bestFit="1" customWidth="1"/>
    <col min="3593" max="3593" width="26.42578125" style="3" bestFit="1" customWidth="1"/>
    <col min="3594" max="3594" width="24.28515625" style="3" bestFit="1" customWidth="1"/>
    <col min="3595" max="3595" width="18.85546875" style="3" bestFit="1" customWidth="1"/>
    <col min="3596" max="3596" width="14.28515625" style="3" bestFit="1" customWidth="1"/>
    <col min="3597" max="3597" width="4.7109375" style="3" bestFit="1" customWidth="1"/>
    <col min="3598" max="3837" width="9.140625" style="3"/>
    <col min="3838" max="3838" width="12.7109375" style="3" bestFit="1" customWidth="1"/>
    <col min="3839" max="3839" width="28.42578125" style="3" bestFit="1" customWidth="1"/>
    <col min="3840" max="3840" width="27.42578125" style="3" bestFit="1" customWidth="1"/>
    <col min="3841" max="3841" width="11.42578125" style="3" customWidth="1"/>
    <col min="3842" max="3842" width="9.7109375" style="3" bestFit="1" customWidth="1"/>
    <col min="3843" max="3843" width="31.28515625" style="3" bestFit="1" customWidth="1"/>
    <col min="3844" max="3844" width="75.28515625" style="3" bestFit="1" customWidth="1"/>
    <col min="3845" max="3845" width="18.28515625" style="3" bestFit="1" customWidth="1"/>
    <col min="3846" max="3846" width="17.5703125" style="3" bestFit="1" customWidth="1"/>
    <col min="3847" max="3847" width="12.5703125" style="3" customWidth="1"/>
    <col min="3848" max="3848" width="14.28515625" style="3" bestFit="1" customWidth="1"/>
    <col min="3849" max="3849" width="26.42578125" style="3" bestFit="1" customWidth="1"/>
    <col min="3850" max="3850" width="24.28515625" style="3" bestFit="1" customWidth="1"/>
    <col min="3851" max="3851" width="18.85546875" style="3" bestFit="1" customWidth="1"/>
    <col min="3852" max="3852" width="14.28515625" style="3" bestFit="1" customWidth="1"/>
    <col min="3853" max="3853" width="4.7109375" style="3" bestFit="1" customWidth="1"/>
    <col min="3854" max="4093" width="9.140625" style="3"/>
    <col min="4094" max="4094" width="12.7109375" style="3" bestFit="1" customWidth="1"/>
    <col min="4095" max="4095" width="28.42578125" style="3" bestFit="1" customWidth="1"/>
    <col min="4096" max="4096" width="27.42578125" style="3" bestFit="1" customWidth="1"/>
    <col min="4097" max="4097" width="11.42578125" style="3" customWidth="1"/>
    <col min="4098" max="4098" width="9.7109375" style="3" bestFit="1" customWidth="1"/>
    <col min="4099" max="4099" width="31.28515625" style="3" bestFit="1" customWidth="1"/>
    <col min="4100" max="4100" width="75.28515625" style="3" bestFit="1" customWidth="1"/>
    <col min="4101" max="4101" width="18.28515625" style="3" bestFit="1" customWidth="1"/>
    <col min="4102" max="4102" width="17.5703125" style="3" bestFit="1" customWidth="1"/>
    <col min="4103" max="4103" width="12.5703125" style="3" customWidth="1"/>
    <col min="4104" max="4104" width="14.28515625" style="3" bestFit="1" customWidth="1"/>
    <col min="4105" max="4105" width="26.42578125" style="3" bestFit="1" customWidth="1"/>
    <col min="4106" max="4106" width="24.28515625" style="3" bestFit="1" customWidth="1"/>
    <col min="4107" max="4107" width="18.85546875" style="3" bestFit="1" customWidth="1"/>
    <col min="4108" max="4108" width="14.28515625" style="3" bestFit="1" customWidth="1"/>
    <col min="4109" max="4109" width="4.7109375" style="3" bestFit="1" customWidth="1"/>
    <col min="4110" max="4349" width="9.140625" style="3"/>
    <col min="4350" max="4350" width="12.7109375" style="3" bestFit="1" customWidth="1"/>
    <col min="4351" max="4351" width="28.42578125" style="3" bestFit="1" customWidth="1"/>
    <col min="4352" max="4352" width="27.42578125" style="3" bestFit="1" customWidth="1"/>
    <col min="4353" max="4353" width="11.42578125" style="3" customWidth="1"/>
    <col min="4354" max="4354" width="9.7109375" style="3" bestFit="1" customWidth="1"/>
    <col min="4355" max="4355" width="31.28515625" style="3" bestFit="1" customWidth="1"/>
    <col min="4356" max="4356" width="75.28515625" style="3" bestFit="1" customWidth="1"/>
    <col min="4357" max="4357" width="18.28515625" style="3" bestFit="1" customWidth="1"/>
    <col min="4358" max="4358" width="17.5703125" style="3" bestFit="1" customWidth="1"/>
    <col min="4359" max="4359" width="12.5703125" style="3" customWidth="1"/>
    <col min="4360" max="4360" width="14.28515625" style="3" bestFit="1" customWidth="1"/>
    <col min="4361" max="4361" width="26.42578125" style="3" bestFit="1" customWidth="1"/>
    <col min="4362" max="4362" width="24.28515625" style="3" bestFit="1" customWidth="1"/>
    <col min="4363" max="4363" width="18.85546875" style="3" bestFit="1" customWidth="1"/>
    <col min="4364" max="4364" width="14.28515625" style="3" bestFit="1" customWidth="1"/>
    <col min="4365" max="4365" width="4.7109375" style="3" bestFit="1" customWidth="1"/>
    <col min="4366" max="4605" width="9.140625" style="3"/>
    <col min="4606" max="4606" width="12.7109375" style="3" bestFit="1" customWidth="1"/>
    <col min="4607" max="4607" width="28.42578125" style="3" bestFit="1" customWidth="1"/>
    <col min="4608" max="4608" width="27.42578125" style="3" bestFit="1" customWidth="1"/>
    <col min="4609" max="4609" width="11.42578125" style="3" customWidth="1"/>
    <col min="4610" max="4610" width="9.7109375" style="3" bestFit="1" customWidth="1"/>
    <col min="4611" max="4611" width="31.28515625" style="3" bestFit="1" customWidth="1"/>
    <col min="4612" max="4612" width="75.28515625" style="3" bestFit="1" customWidth="1"/>
    <col min="4613" max="4613" width="18.28515625" style="3" bestFit="1" customWidth="1"/>
    <col min="4614" max="4614" width="17.5703125" style="3" bestFit="1" customWidth="1"/>
    <col min="4615" max="4615" width="12.5703125" style="3" customWidth="1"/>
    <col min="4616" max="4616" width="14.28515625" style="3" bestFit="1" customWidth="1"/>
    <col min="4617" max="4617" width="26.42578125" style="3" bestFit="1" customWidth="1"/>
    <col min="4618" max="4618" width="24.28515625" style="3" bestFit="1" customWidth="1"/>
    <col min="4619" max="4619" width="18.85546875" style="3" bestFit="1" customWidth="1"/>
    <col min="4620" max="4620" width="14.28515625" style="3" bestFit="1" customWidth="1"/>
    <col min="4621" max="4621" width="4.7109375" style="3" bestFit="1" customWidth="1"/>
    <col min="4622" max="4861" width="9.140625" style="3"/>
    <col min="4862" max="4862" width="12.7109375" style="3" bestFit="1" customWidth="1"/>
    <col min="4863" max="4863" width="28.42578125" style="3" bestFit="1" customWidth="1"/>
    <col min="4864" max="4864" width="27.42578125" style="3" bestFit="1" customWidth="1"/>
    <col min="4865" max="4865" width="11.42578125" style="3" customWidth="1"/>
    <col min="4866" max="4866" width="9.7109375" style="3" bestFit="1" customWidth="1"/>
    <col min="4867" max="4867" width="31.28515625" style="3" bestFit="1" customWidth="1"/>
    <col min="4868" max="4868" width="75.28515625" style="3" bestFit="1" customWidth="1"/>
    <col min="4869" max="4869" width="18.28515625" style="3" bestFit="1" customWidth="1"/>
    <col min="4870" max="4870" width="17.5703125" style="3" bestFit="1" customWidth="1"/>
    <col min="4871" max="4871" width="12.5703125" style="3" customWidth="1"/>
    <col min="4872" max="4872" width="14.28515625" style="3" bestFit="1" customWidth="1"/>
    <col min="4873" max="4873" width="26.42578125" style="3" bestFit="1" customWidth="1"/>
    <col min="4874" max="4874" width="24.28515625" style="3" bestFit="1" customWidth="1"/>
    <col min="4875" max="4875" width="18.85546875" style="3" bestFit="1" customWidth="1"/>
    <col min="4876" max="4876" width="14.28515625" style="3" bestFit="1" customWidth="1"/>
    <col min="4877" max="4877" width="4.7109375" style="3" bestFit="1" customWidth="1"/>
    <col min="4878" max="5117" width="9.140625" style="3"/>
    <col min="5118" max="5118" width="12.7109375" style="3" bestFit="1" customWidth="1"/>
    <col min="5119" max="5119" width="28.42578125" style="3" bestFit="1" customWidth="1"/>
    <col min="5120" max="5120" width="27.42578125" style="3" bestFit="1" customWidth="1"/>
    <col min="5121" max="5121" width="11.42578125" style="3" customWidth="1"/>
    <col min="5122" max="5122" width="9.7109375" style="3" bestFit="1" customWidth="1"/>
    <col min="5123" max="5123" width="31.28515625" style="3" bestFit="1" customWidth="1"/>
    <col min="5124" max="5124" width="75.28515625" style="3" bestFit="1" customWidth="1"/>
    <col min="5125" max="5125" width="18.28515625" style="3" bestFit="1" customWidth="1"/>
    <col min="5126" max="5126" width="17.5703125" style="3" bestFit="1" customWidth="1"/>
    <col min="5127" max="5127" width="12.5703125" style="3" customWidth="1"/>
    <col min="5128" max="5128" width="14.28515625" style="3" bestFit="1" customWidth="1"/>
    <col min="5129" max="5129" width="26.42578125" style="3" bestFit="1" customWidth="1"/>
    <col min="5130" max="5130" width="24.28515625" style="3" bestFit="1" customWidth="1"/>
    <col min="5131" max="5131" width="18.85546875" style="3" bestFit="1" customWidth="1"/>
    <col min="5132" max="5132" width="14.28515625" style="3" bestFit="1" customWidth="1"/>
    <col min="5133" max="5133" width="4.7109375" style="3" bestFit="1" customWidth="1"/>
    <col min="5134" max="5373" width="9.140625" style="3"/>
    <col min="5374" max="5374" width="12.7109375" style="3" bestFit="1" customWidth="1"/>
    <col min="5375" max="5375" width="28.42578125" style="3" bestFit="1" customWidth="1"/>
    <col min="5376" max="5376" width="27.42578125" style="3" bestFit="1" customWidth="1"/>
    <col min="5377" max="5377" width="11.42578125" style="3" customWidth="1"/>
    <col min="5378" max="5378" width="9.7109375" style="3" bestFit="1" customWidth="1"/>
    <col min="5379" max="5379" width="31.28515625" style="3" bestFit="1" customWidth="1"/>
    <col min="5380" max="5380" width="75.28515625" style="3" bestFit="1" customWidth="1"/>
    <col min="5381" max="5381" width="18.28515625" style="3" bestFit="1" customWidth="1"/>
    <col min="5382" max="5382" width="17.5703125" style="3" bestFit="1" customWidth="1"/>
    <col min="5383" max="5383" width="12.5703125" style="3" customWidth="1"/>
    <col min="5384" max="5384" width="14.28515625" style="3" bestFit="1" customWidth="1"/>
    <col min="5385" max="5385" width="26.42578125" style="3" bestFit="1" customWidth="1"/>
    <col min="5386" max="5386" width="24.28515625" style="3" bestFit="1" customWidth="1"/>
    <col min="5387" max="5387" width="18.85546875" style="3" bestFit="1" customWidth="1"/>
    <col min="5388" max="5388" width="14.28515625" style="3" bestFit="1" customWidth="1"/>
    <col min="5389" max="5389" width="4.7109375" style="3" bestFit="1" customWidth="1"/>
    <col min="5390" max="5629" width="9.140625" style="3"/>
    <col min="5630" max="5630" width="12.7109375" style="3" bestFit="1" customWidth="1"/>
    <col min="5631" max="5631" width="28.42578125" style="3" bestFit="1" customWidth="1"/>
    <col min="5632" max="5632" width="27.42578125" style="3" bestFit="1" customWidth="1"/>
    <col min="5633" max="5633" width="11.42578125" style="3" customWidth="1"/>
    <col min="5634" max="5634" width="9.7109375" style="3" bestFit="1" customWidth="1"/>
    <col min="5635" max="5635" width="31.28515625" style="3" bestFit="1" customWidth="1"/>
    <col min="5636" max="5636" width="75.28515625" style="3" bestFit="1" customWidth="1"/>
    <col min="5637" max="5637" width="18.28515625" style="3" bestFit="1" customWidth="1"/>
    <col min="5638" max="5638" width="17.5703125" style="3" bestFit="1" customWidth="1"/>
    <col min="5639" max="5639" width="12.5703125" style="3" customWidth="1"/>
    <col min="5640" max="5640" width="14.28515625" style="3" bestFit="1" customWidth="1"/>
    <col min="5641" max="5641" width="26.42578125" style="3" bestFit="1" customWidth="1"/>
    <col min="5642" max="5642" width="24.28515625" style="3" bestFit="1" customWidth="1"/>
    <col min="5643" max="5643" width="18.85546875" style="3" bestFit="1" customWidth="1"/>
    <col min="5644" max="5644" width="14.28515625" style="3" bestFit="1" customWidth="1"/>
    <col min="5645" max="5645" width="4.7109375" style="3" bestFit="1" customWidth="1"/>
    <col min="5646" max="5885" width="9.140625" style="3"/>
    <col min="5886" max="5886" width="12.7109375" style="3" bestFit="1" customWidth="1"/>
    <col min="5887" max="5887" width="28.42578125" style="3" bestFit="1" customWidth="1"/>
    <col min="5888" max="5888" width="27.42578125" style="3" bestFit="1" customWidth="1"/>
    <col min="5889" max="5889" width="11.42578125" style="3" customWidth="1"/>
    <col min="5890" max="5890" width="9.7109375" style="3" bestFit="1" customWidth="1"/>
    <col min="5891" max="5891" width="31.28515625" style="3" bestFit="1" customWidth="1"/>
    <col min="5892" max="5892" width="75.28515625" style="3" bestFit="1" customWidth="1"/>
    <col min="5893" max="5893" width="18.28515625" style="3" bestFit="1" customWidth="1"/>
    <col min="5894" max="5894" width="17.5703125" style="3" bestFit="1" customWidth="1"/>
    <col min="5895" max="5895" width="12.5703125" style="3" customWidth="1"/>
    <col min="5896" max="5896" width="14.28515625" style="3" bestFit="1" customWidth="1"/>
    <col min="5897" max="5897" width="26.42578125" style="3" bestFit="1" customWidth="1"/>
    <col min="5898" max="5898" width="24.28515625" style="3" bestFit="1" customWidth="1"/>
    <col min="5899" max="5899" width="18.85546875" style="3" bestFit="1" customWidth="1"/>
    <col min="5900" max="5900" width="14.28515625" style="3" bestFit="1" customWidth="1"/>
    <col min="5901" max="5901" width="4.7109375" style="3" bestFit="1" customWidth="1"/>
    <col min="5902" max="6141" width="9.140625" style="3"/>
    <col min="6142" max="6142" width="12.7109375" style="3" bestFit="1" customWidth="1"/>
    <col min="6143" max="6143" width="28.42578125" style="3" bestFit="1" customWidth="1"/>
    <col min="6144" max="6144" width="27.42578125" style="3" bestFit="1" customWidth="1"/>
    <col min="6145" max="6145" width="11.42578125" style="3" customWidth="1"/>
    <col min="6146" max="6146" width="9.7109375" style="3" bestFit="1" customWidth="1"/>
    <col min="6147" max="6147" width="31.28515625" style="3" bestFit="1" customWidth="1"/>
    <col min="6148" max="6148" width="75.28515625" style="3" bestFit="1" customWidth="1"/>
    <col min="6149" max="6149" width="18.28515625" style="3" bestFit="1" customWidth="1"/>
    <col min="6150" max="6150" width="17.5703125" style="3" bestFit="1" customWidth="1"/>
    <col min="6151" max="6151" width="12.5703125" style="3" customWidth="1"/>
    <col min="6152" max="6152" width="14.28515625" style="3" bestFit="1" customWidth="1"/>
    <col min="6153" max="6153" width="26.42578125" style="3" bestFit="1" customWidth="1"/>
    <col min="6154" max="6154" width="24.28515625" style="3" bestFit="1" customWidth="1"/>
    <col min="6155" max="6155" width="18.85546875" style="3" bestFit="1" customWidth="1"/>
    <col min="6156" max="6156" width="14.28515625" style="3" bestFit="1" customWidth="1"/>
    <col min="6157" max="6157" width="4.7109375" style="3" bestFit="1" customWidth="1"/>
    <col min="6158" max="6397" width="9.140625" style="3"/>
    <col min="6398" max="6398" width="12.7109375" style="3" bestFit="1" customWidth="1"/>
    <col min="6399" max="6399" width="28.42578125" style="3" bestFit="1" customWidth="1"/>
    <col min="6400" max="6400" width="27.42578125" style="3" bestFit="1" customWidth="1"/>
    <col min="6401" max="6401" width="11.42578125" style="3" customWidth="1"/>
    <col min="6402" max="6402" width="9.7109375" style="3" bestFit="1" customWidth="1"/>
    <col min="6403" max="6403" width="31.28515625" style="3" bestFit="1" customWidth="1"/>
    <col min="6404" max="6404" width="75.28515625" style="3" bestFit="1" customWidth="1"/>
    <col min="6405" max="6405" width="18.28515625" style="3" bestFit="1" customWidth="1"/>
    <col min="6406" max="6406" width="17.5703125" style="3" bestFit="1" customWidth="1"/>
    <col min="6407" max="6407" width="12.5703125" style="3" customWidth="1"/>
    <col min="6408" max="6408" width="14.28515625" style="3" bestFit="1" customWidth="1"/>
    <col min="6409" max="6409" width="26.42578125" style="3" bestFit="1" customWidth="1"/>
    <col min="6410" max="6410" width="24.28515625" style="3" bestFit="1" customWidth="1"/>
    <col min="6411" max="6411" width="18.85546875" style="3" bestFit="1" customWidth="1"/>
    <col min="6412" max="6412" width="14.28515625" style="3" bestFit="1" customWidth="1"/>
    <col min="6413" max="6413" width="4.7109375" style="3" bestFit="1" customWidth="1"/>
    <col min="6414" max="6653" width="9.140625" style="3"/>
    <col min="6654" max="6654" width="12.7109375" style="3" bestFit="1" customWidth="1"/>
    <col min="6655" max="6655" width="28.42578125" style="3" bestFit="1" customWidth="1"/>
    <col min="6656" max="6656" width="27.42578125" style="3" bestFit="1" customWidth="1"/>
    <col min="6657" max="6657" width="11.42578125" style="3" customWidth="1"/>
    <col min="6658" max="6658" width="9.7109375" style="3" bestFit="1" customWidth="1"/>
    <col min="6659" max="6659" width="31.28515625" style="3" bestFit="1" customWidth="1"/>
    <col min="6660" max="6660" width="75.28515625" style="3" bestFit="1" customWidth="1"/>
    <col min="6661" max="6661" width="18.28515625" style="3" bestFit="1" customWidth="1"/>
    <col min="6662" max="6662" width="17.5703125" style="3" bestFit="1" customWidth="1"/>
    <col min="6663" max="6663" width="12.5703125" style="3" customWidth="1"/>
    <col min="6664" max="6664" width="14.28515625" style="3" bestFit="1" customWidth="1"/>
    <col min="6665" max="6665" width="26.42578125" style="3" bestFit="1" customWidth="1"/>
    <col min="6666" max="6666" width="24.28515625" style="3" bestFit="1" customWidth="1"/>
    <col min="6667" max="6667" width="18.85546875" style="3" bestFit="1" customWidth="1"/>
    <col min="6668" max="6668" width="14.28515625" style="3" bestFit="1" customWidth="1"/>
    <col min="6669" max="6669" width="4.7109375" style="3" bestFit="1" customWidth="1"/>
    <col min="6670" max="6909" width="9.140625" style="3"/>
    <col min="6910" max="6910" width="12.7109375" style="3" bestFit="1" customWidth="1"/>
    <col min="6911" max="6911" width="28.42578125" style="3" bestFit="1" customWidth="1"/>
    <col min="6912" max="6912" width="27.42578125" style="3" bestFit="1" customWidth="1"/>
    <col min="6913" max="6913" width="11.42578125" style="3" customWidth="1"/>
    <col min="6914" max="6914" width="9.7109375" style="3" bestFit="1" customWidth="1"/>
    <col min="6915" max="6915" width="31.28515625" style="3" bestFit="1" customWidth="1"/>
    <col min="6916" max="6916" width="75.28515625" style="3" bestFit="1" customWidth="1"/>
    <col min="6917" max="6917" width="18.28515625" style="3" bestFit="1" customWidth="1"/>
    <col min="6918" max="6918" width="17.5703125" style="3" bestFit="1" customWidth="1"/>
    <col min="6919" max="6919" width="12.5703125" style="3" customWidth="1"/>
    <col min="6920" max="6920" width="14.28515625" style="3" bestFit="1" customWidth="1"/>
    <col min="6921" max="6921" width="26.42578125" style="3" bestFit="1" customWidth="1"/>
    <col min="6922" max="6922" width="24.28515625" style="3" bestFit="1" customWidth="1"/>
    <col min="6923" max="6923" width="18.85546875" style="3" bestFit="1" customWidth="1"/>
    <col min="6924" max="6924" width="14.28515625" style="3" bestFit="1" customWidth="1"/>
    <col min="6925" max="6925" width="4.7109375" style="3" bestFit="1" customWidth="1"/>
    <col min="6926" max="7165" width="9.140625" style="3"/>
    <col min="7166" max="7166" width="12.7109375" style="3" bestFit="1" customWidth="1"/>
    <col min="7167" max="7167" width="28.42578125" style="3" bestFit="1" customWidth="1"/>
    <col min="7168" max="7168" width="27.42578125" style="3" bestFit="1" customWidth="1"/>
    <col min="7169" max="7169" width="11.42578125" style="3" customWidth="1"/>
    <col min="7170" max="7170" width="9.7109375" style="3" bestFit="1" customWidth="1"/>
    <col min="7171" max="7171" width="31.28515625" style="3" bestFit="1" customWidth="1"/>
    <col min="7172" max="7172" width="75.28515625" style="3" bestFit="1" customWidth="1"/>
    <col min="7173" max="7173" width="18.28515625" style="3" bestFit="1" customWidth="1"/>
    <col min="7174" max="7174" width="17.5703125" style="3" bestFit="1" customWidth="1"/>
    <col min="7175" max="7175" width="12.5703125" style="3" customWidth="1"/>
    <col min="7176" max="7176" width="14.28515625" style="3" bestFit="1" customWidth="1"/>
    <col min="7177" max="7177" width="26.42578125" style="3" bestFit="1" customWidth="1"/>
    <col min="7178" max="7178" width="24.28515625" style="3" bestFit="1" customWidth="1"/>
    <col min="7179" max="7179" width="18.85546875" style="3" bestFit="1" customWidth="1"/>
    <col min="7180" max="7180" width="14.28515625" style="3" bestFit="1" customWidth="1"/>
    <col min="7181" max="7181" width="4.7109375" style="3" bestFit="1" customWidth="1"/>
    <col min="7182" max="7421" width="9.140625" style="3"/>
    <col min="7422" max="7422" width="12.7109375" style="3" bestFit="1" customWidth="1"/>
    <col min="7423" max="7423" width="28.42578125" style="3" bestFit="1" customWidth="1"/>
    <col min="7424" max="7424" width="27.42578125" style="3" bestFit="1" customWidth="1"/>
    <col min="7425" max="7425" width="11.42578125" style="3" customWidth="1"/>
    <col min="7426" max="7426" width="9.7109375" style="3" bestFit="1" customWidth="1"/>
    <col min="7427" max="7427" width="31.28515625" style="3" bestFit="1" customWidth="1"/>
    <col min="7428" max="7428" width="75.28515625" style="3" bestFit="1" customWidth="1"/>
    <col min="7429" max="7429" width="18.28515625" style="3" bestFit="1" customWidth="1"/>
    <col min="7430" max="7430" width="17.5703125" style="3" bestFit="1" customWidth="1"/>
    <col min="7431" max="7431" width="12.5703125" style="3" customWidth="1"/>
    <col min="7432" max="7432" width="14.28515625" style="3" bestFit="1" customWidth="1"/>
    <col min="7433" max="7433" width="26.42578125" style="3" bestFit="1" customWidth="1"/>
    <col min="7434" max="7434" width="24.28515625" style="3" bestFit="1" customWidth="1"/>
    <col min="7435" max="7435" width="18.85546875" style="3" bestFit="1" customWidth="1"/>
    <col min="7436" max="7436" width="14.28515625" style="3" bestFit="1" customWidth="1"/>
    <col min="7437" max="7437" width="4.7109375" style="3" bestFit="1" customWidth="1"/>
    <col min="7438" max="7677" width="9.140625" style="3"/>
    <col min="7678" max="7678" width="12.7109375" style="3" bestFit="1" customWidth="1"/>
    <col min="7679" max="7679" width="28.42578125" style="3" bestFit="1" customWidth="1"/>
    <col min="7680" max="7680" width="27.42578125" style="3" bestFit="1" customWidth="1"/>
    <col min="7681" max="7681" width="11.42578125" style="3" customWidth="1"/>
    <col min="7682" max="7682" width="9.7109375" style="3" bestFit="1" customWidth="1"/>
    <col min="7683" max="7683" width="31.28515625" style="3" bestFit="1" customWidth="1"/>
    <col min="7684" max="7684" width="75.28515625" style="3" bestFit="1" customWidth="1"/>
    <col min="7685" max="7685" width="18.28515625" style="3" bestFit="1" customWidth="1"/>
    <col min="7686" max="7686" width="17.5703125" style="3" bestFit="1" customWidth="1"/>
    <col min="7687" max="7687" width="12.5703125" style="3" customWidth="1"/>
    <col min="7688" max="7688" width="14.28515625" style="3" bestFit="1" customWidth="1"/>
    <col min="7689" max="7689" width="26.42578125" style="3" bestFit="1" customWidth="1"/>
    <col min="7690" max="7690" width="24.28515625" style="3" bestFit="1" customWidth="1"/>
    <col min="7691" max="7691" width="18.85546875" style="3" bestFit="1" customWidth="1"/>
    <col min="7692" max="7692" width="14.28515625" style="3" bestFit="1" customWidth="1"/>
    <col min="7693" max="7693" width="4.7109375" style="3" bestFit="1" customWidth="1"/>
    <col min="7694" max="7933" width="9.140625" style="3"/>
    <col min="7934" max="7934" width="12.7109375" style="3" bestFit="1" customWidth="1"/>
    <col min="7935" max="7935" width="28.42578125" style="3" bestFit="1" customWidth="1"/>
    <col min="7936" max="7936" width="27.42578125" style="3" bestFit="1" customWidth="1"/>
    <col min="7937" max="7937" width="11.42578125" style="3" customWidth="1"/>
    <col min="7938" max="7938" width="9.7109375" style="3" bestFit="1" customWidth="1"/>
    <col min="7939" max="7939" width="31.28515625" style="3" bestFit="1" customWidth="1"/>
    <col min="7940" max="7940" width="75.28515625" style="3" bestFit="1" customWidth="1"/>
    <col min="7941" max="7941" width="18.28515625" style="3" bestFit="1" customWidth="1"/>
    <col min="7942" max="7942" width="17.5703125" style="3" bestFit="1" customWidth="1"/>
    <col min="7943" max="7943" width="12.5703125" style="3" customWidth="1"/>
    <col min="7944" max="7944" width="14.28515625" style="3" bestFit="1" customWidth="1"/>
    <col min="7945" max="7945" width="26.42578125" style="3" bestFit="1" customWidth="1"/>
    <col min="7946" max="7946" width="24.28515625" style="3" bestFit="1" customWidth="1"/>
    <col min="7947" max="7947" width="18.85546875" style="3" bestFit="1" customWidth="1"/>
    <col min="7948" max="7948" width="14.28515625" style="3" bestFit="1" customWidth="1"/>
    <col min="7949" max="7949" width="4.7109375" style="3" bestFit="1" customWidth="1"/>
    <col min="7950" max="8189" width="9.140625" style="3"/>
    <col min="8190" max="8190" width="12.7109375" style="3" bestFit="1" customWidth="1"/>
    <col min="8191" max="8191" width="28.42578125" style="3" bestFit="1" customWidth="1"/>
    <col min="8192" max="8192" width="27.42578125" style="3" bestFit="1" customWidth="1"/>
    <col min="8193" max="8193" width="11.42578125" style="3" customWidth="1"/>
    <col min="8194" max="8194" width="9.7109375" style="3" bestFit="1" customWidth="1"/>
    <col min="8195" max="8195" width="31.28515625" style="3" bestFit="1" customWidth="1"/>
    <col min="8196" max="8196" width="75.28515625" style="3" bestFit="1" customWidth="1"/>
    <col min="8197" max="8197" width="18.28515625" style="3" bestFit="1" customWidth="1"/>
    <col min="8198" max="8198" width="17.5703125" style="3" bestFit="1" customWidth="1"/>
    <col min="8199" max="8199" width="12.5703125" style="3" customWidth="1"/>
    <col min="8200" max="8200" width="14.28515625" style="3" bestFit="1" customWidth="1"/>
    <col min="8201" max="8201" width="26.42578125" style="3" bestFit="1" customWidth="1"/>
    <col min="8202" max="8202" width="24.28515625" style="3" bestFit="1" customWidth="1"/>
    <col min="8203" max="8203" width="18.85546875" style="3" bestFit="1" customWidth="1"/>
    <col min="8204" max="8204" width="14.28515625" style="3" bestFit="1" customWidth="1"/>
    <col min="8205" max="8205" width="4.7109375" style="3" bestFit="1" customWidth="1"/>
    <col min="8206" max="8445" width="9.140625" style="3"/>
    <col min="8446" max="8446" width="12.7109375" style="3" bestFit="1" customWidth="1"/>
    <col min="8447" max="8447" width="28.42578125" style="3" bestFit="1" customWidth="1"/>
    <col min="8448" max="8448" width="27.42578125" style="3" bestFit="1" customWidth="1"/>
    <col min="8449" max="8449" width="11.42578125" style="3" customWidth="1"/>
    <col min="8450" max="8450" width="9.7109375" style="3" bestFit="1" customWidth="1"/>
    <col min="8451" max="8451" width="31.28515625" style="3" bestFit="1" customWidth="1"/>
    <col min="8452" max="8452" width="75.28515625" style="3" bestFit="1" customWidth="1"/>
    <col min="8453" max="8453" width="18.28515625" style="3" bestFit="1" customWidth="1"/>
    <col min="8454" max="8454" width="17.5703125" style="3" bestFit="1" customWidth="1"/>
    <col min="8455" max="8455" width="12.5703125" style="3" customWidth="1"/>
    <col min="8456" max="8456" width="14.28515625" style="3" bestFit="1" customWidth="1"/>
    <col min="8457" max="8457" width="26.42578125" style="3" bestFit="1" customWidth="1"/>
    <col min="8458" max="8458" width="24.28515625" style="3" bestFit="1" customWidth="1"/>
    <col min="8459" max="8459" width="18.85546875" style="3" bestFit="1" customWidth="1"/>
    <col min="8460" max="8460" width="14.28515625" style="3" bestFit="1" customWidth="1"/>
    <col min="8461" max="8461" width="4.7109375" style="3" bestFit="1" customWidth="1"/>
    <col min="8462" max="8701" width="9.140625" style="3"/>
    <col min="8702" max="8702" width="12.7109375" style="3" bestFit="1" customWidth="1"/>
    <col min="8703" max="8703" width="28.42578125" style="3" bestFit="1" customWidth="1"/>
    <col min="8704" max="8704" width="27.42578125" style="3" bestFit="1" customWidth="1"/>
    <col min="8705" max="8705" width="11.42578125" style="3" customWidth="1"/>
    <col min="8706" max="8706" width="9.7109375" style="3" bestFit="1" customWidth="1"/>
    <col min="8707" max="8707" width="31.28515625" style="3" bestFit="1" customWidth="1"/>
    <col min="8708" max="8708" width="75.28515625" style="3" bestFit="1" customWidth="1"/>
    <col min="8709" max="8709" width="18.28515625" style="3" bestFit="1" customWidth="1"/>
    <col min="8710" max="8710" width="17.5703125" style="3" bestFit="1" customWidth="1"/>
    <col min="8711" max="8711" width="12.5703125" style="3" customWidth="1"/>
    <col min="8712" max="8712" width="14.28515625" style="3" bestFit="1" customWidth="1"/>
    <col min="8713" max="8713" width="26.42578125" style="3" bestFit="1" customWidth="1"/>
    <col min="8714" max="8714" width="24.28515625" style="3" bestFit="1" customWidth="1"/>
    <col min="8715" max="8715" width="18.85546875" style="3" bestFit="1" customWidth="1"/>
    <col min="8716" max="8716" width="14.28515625" style="3" bestFit="1" customWidth="1"/>
    <col min="8717" max="8717" width="4.7109375" style="3" bestFit="1" customWidth="1"/>
    <col min="8718" max="8957" width="9.140625" style="3"/>
    <col min="8958" max="8958" width="12.7109375" style="3" bestFit="1" customWidth="1"/>
    <col min="8959" max="8959" width="28.42578125" style="3" bestFit="1" customWidth="1"/>
    <col min="8960" max="8960" width="27.42578125" style="3" bestFit="1" customWidth="1"/>
    <col min="8961" max="8961" width="11.42578125" style="3" customWidth="1"/>
    <col min="8962" max="8962" width="9.7109375" style="3" bestFit="1" customWidth="1"/>
    <col min="8963" max="8963" width="31.28515625" style="3" bestFit="1" customWidth="1"/>
    <col min="8964" max="8964" width="75.28515625" style="3" bestFit="1" customWidth="1"/>
    <col min="8965" max="8965" width="18.28515625" style="3" bestFit="1" customWidth="1"/>
    <col min="8966" max="8966" width="17.5703125" style="3" bestFit="1" customWidth="1"/>
    <col min="8967" max="8967" width="12.5703125" style="3" customWidth="1"/>
    <col min="8968" max="8968" width="14.28515625" style="3" bestFit="1" customWidth="1"/>
    <col min="8969" max="8969" width="26.42578125" style="3" bestFit="1" customWidth="1"/>
    <col min="8970" max="8970" width="24.28515625" style="3" bestFit="1" customWidth="1"/>
    <col min="8971" max="8971" width="18.85546875" style="3" bestFit="1" customWidth="1"/>
    <col min="8972" max="8972" width="14.28515625" style="3" bestFit="1" customWidth="1"/>
    <col min="8973" max="8973" width="4.7109375" style="3" bestFit="1" customWidth="1"/>
    <col min="8974" max="9213" width="9.140625" style="3"/>
    <col min="9214" max="9214" width="12.7109375" style="3" bestFit="1" customWidth="1"/>
    <col min="9215" max="9215" width="28.42578125" style="3" bestFit="1" customWidth="1"/>
    <col min="9216" max="9216" width="27.42578125" style="3" bestFit="1" customWidth="1"/>
    <col min="9217" max="9217" width="11.42578125" style="3" customWidth="1"/>
    <col min="9218" max="9218" width="9.7109375" style="3" bestFit="1" customWidth="1"/>
    <col min="9219" max="9219" width="31.28515625" style="3" bestFit="1" customWidth="1"/>
    <col min="9220" max="9220" width="75.28515625" style="3" bestFit="1" customWidth="1"/>
    <col min="9221" max="9221" width="18.28515625" style="3" bestFit="1" customWidth="1"/>
    <col min="9222" max="9222" width="17.5703125" style="3" bestFit="1" customWidth="1"/>
    <col min="9223" max="9223" width="12.5703125" style="3" customWidth="1"/>
    <col min="9224" max="9224" width="14.28515625" style="3" bestFit="1" customWidth="1"/>
    <col min="9225" max="9225" width="26.42578125" style="3" bestFit="1" customWidth="1"/>
    <col min="9226" max="9226" width="24.28515625" style="3" bestFit="1" customWidth="1"/>
    <col min="9227" max="9227" width="18.85546875" style="3" bestFit="1" customWidth="1"/>
    <col min="9228" max="9228" width="14.28515625" style="3" bestFit="1" customWidth="1"/>
    <col min="9229" max="9229" width="4.7109375" style="3" bestFit="1" customWidth="1"/>
    <col min="9230" max="9469" width="9.140625" style="3"/>
    <col min="9470" max="9470" width="12.7109375" style="3" bestFit="1" customWidth="1"/>
    <col min="9471" max="9471" width="28.42578125" style="3" bestFit="1" customWidth="1"/>
    <col min="9472" max="9472" width="27.42578125" style="3" bestFit="1" customWidth="1"/>
    <col min="9473" max="9473" width="11.42578125" style="3" customWidth="1"/>
    <col min="9474" max="9474" width="9.7109375" style="3" bestFit="1" customWidth="1"/>
    <col min="9475" max="9475" width="31.28515625" style="3" bestFit="1" customWidth="1"/>
    <col min="9476" max="9476" width="75.28515625" style="3" bestFit="1" customWidth="1"/>
    <col min="9477" max="9477" width="18.28515625" style="3" bestFit="1" customWidth="1"/>
    <col min="9478" max="9478" width="17.5703125" style="3" bestFit="1" customWidth="1"/>
    <col min="9479" max="9479" width="12.5703125" style="3" customWidth="1"/>
    <col min="9480" max="9480" width="14.28515625" style="3" bestFit="1" customWidth="1"/>
    <col min="9481" max="9481" width="26.42578125" style="3" bestFit="1" customWidth="1"/>
    <col min="9482" max="9482" width="24.28515625" style="3" bestFit="1" customWidth="1"/>
    <col min="9483" max="9483" width="18.85546875" style="3" bestFit="1" customWidth="1"/>
    <col min="9484" max="9484" width="14.28515625" style="3" bestFit="1" customWidth="1"/>
    <col min="9485" max="9485" width="4.7109375" style="3" bestFit="1" customWidth="1"/>
    <col min="9486" max="9725" width="9.140625" style="3"/>
    <col min="9726" max="9726" width="12.7109375" style="3" bestFit="1" customWidth="1"/>
    <col min="9727" max="9727" width="28.42578125" style="3" bestFit="1" customWidth="1"/>
    <col min="9728" max="9728" width="27.42578125" style="3" bestFit="1" customWidth="1"/>
    <col min="9729" max="9729" width="11.42578125" style="3" customWidth="1"/>
    <col min="9730" max="9730" width="9.7109375" style="3" bestFit="1" customWidth="1"/>
    <col min="9731" max="9731" width="31.28515625" style="3" bestFit="1" customWidth="1"/>
    <col min="9732" max="9732" width="75.28515625" style="3" bestFit="1" customWidth="1"/>
    <col min="9733" max="9733" width="18.28515625" style="3" bestFit="1" customWidth="1"/>
    <col min="9734" max="9734" width="17.5703125" style="3" bestFit="1" customWidth="1"/>
    <col min="9735" max="9735" width="12.5703125" style="3" customWidth="1"/>
    <col min="9736" max="9736" width="14.28515625" style="3" bestFit="1" customWidth="1"/>
    <col min="9737" max="9737" width="26.42578125" style="3" bestFit="1" customWidth="1"/>
    <col min="9738" max="9738" width="24.28515625" style="3" bestFit="1" customWidth="1"/>
    <col min="9739" max="9739" width="18.85546875" style="3" bestFit="1" customWidth="1"/>
    <col min="9740" max="9740" width="14.28515625" style="3" bestFit="1" customWidth="1"/>
    <col min="9741" max="9741" width="4.7109375" style="3" bestFit="1" customWidth="1"/>
    <col min="9742" max="9981" width="9.140625" style="3"/>
    <col min="9982" max="9982" width="12.7109375" style="3" bestFit="1" customWidth="1"/>
    <col min="9983" max="9983" width="28.42578125" style="3" bestFit="1" customWidth="1"/>
    <col min="9984" max="9984" width="27.42578125" style="3" bestFit="1" customWidth="1"/>
    <col min="9985" max="9985" width="11.42578125" style="3" customWidth="1"/>
    <col min="9986" max="9986" width="9.7109375" style="3" bestFit="1" customWidth="1"/>
    <col min="9987" max="9987" width="31.28515625" style="3" bestFit="1" customWidth="1"/>
    <col min="9988" max="9988" width="75.28515625" style="3" bestFit="1" customWidth="1"/>
    <col min="9989" max="9989" width="18.28515625" style="3" bestFit="1" customWidth="1"/>
    <col min="9990" max="9990" width="17.5703125" style="3" bestFit="1" customWidth="1"/>
    <col min="9991" max="9991" width="12.5703125" style="3" customWidth="1"/>
    <col min="9992" max="9992" width="14.28515625" style="3" bestFit="1" customWidth="1"/>
    <col min="9993" max="9993" width="26.42578125" style="3" bestFit="1" customWidth="1"/>
    <col min="9994" max="9994" width="24.28515625" style="3" bestFit="1" customWidth="1"/>
    <col min="9995" max="9995" width="18.85546875" style="3" bestFit="1" customWidth="1"/>
    <col min="9996" max="9996" width="14.28515625" style="3" bestFit="1" customWidth="1"/>
    <col min="9997" max="9997" width="4.7109375" style="3" bestFit="1" customWidth="1"/>
    <col min="9998" max="10237" width="9.140625" style="3"/>
    <col min="10238" max="10238" width="12.7109375" style="3" bestFit="1" customWidth="1"/>
    <col min="10239" max="10239" width="28.42578125" style="3" bestFit="1" customWidth="1"/>
    <col min="10240" max="10240" width="27.42578125" style="3" bestFit="1" customWidth="1"/>
    <col min="10241" max="10241" width="11.42578125" style="3" customWidth="1"/>
    <col min="10242" max="10242" width="9.7109375" style="3" bestFit="1" customWidth="1"/>
    <col min="10243" max="10243" width="31.28515625" style="3" bestFit="1" customWidth="1"/>
    <col min="10244" max="10244" width="75.28515625" style="3" bestFit="1" customWidth="1"/>
    <col min="10245" max="10245" width="18.28515625" style="3" bestFit="1" customWidth="1"/>
    <col min="10246" max="10246" width="17.5703125" style="3" bestFit="1" customWidth="1"/>
    <col min="10247" max="10247" width="12.5703125" style="3" customWidth="1"/>
    <col min="10248" max="10248" width="14.28515625" style="3" bestFit="1" customWidth="1"/>
    <col min="10249" max="10249" width="26.42578125" style="3" bestFit="1" customWidth="1"/>
    <col min="10250" max="10250" width="24.28515625" style="3" bestFit="1" customWidth="1"/>
    <col min="10251" max="10251" width="18.85546875" style="3" bestFit="1" customWidth="1"/>
    <col min="10252" max="10252" width="14.28515625" style="3" bestFit="1" customWidth="1"/>
    <col min="10253" max="10253" width="4.7109375" style="3" bestFit="1" customWidth="1"/>
    <col min="10254" max="10493" width="9.140625" style="3"/>
    <col min="10494" max="10494" width="12.7109375" style="3" bestFit="1" customWidth="1"/>
    <col min="10495" max="10495" width="28.42578125" style="3" bestFit="1" customWidth="1"/>
    <col min="10496" max="10496" width="27.42578125" style="3" bestFit="1" customWidth="1"/>
    <col min="10497" max="10497" width="11.42578125" style="3" customWidth="1"/>
    <col min="10498" max="10498" width="9.7109375" style="3" bestFit="1" customWidth="1"/>
    <col min="10499" max="10499" width="31.28515625" style="3" bestFit="1" customWidth="1"/>
    <col min="10500" max="10500" width="75.28515625" style="3" bestFit="1" customWidth="1"/>
    <col min="10501" max="10501" width="18.28515625" style="3" bestFit="1" customWidth="1"/>
    <col min="10502" max="10502" width="17.5703125" style="3" bestFit="1" customWidth="1"/>
    <col min="10503" max="10503" width="12.5703125" style="3" customWidth="1"/>
    <col min="10504" max="10504" width="14.28515625" style="3" bestFit="1" customWidth="1"/>
    <col min="10505" max="10505" width="26.42578125" style="3" bestFit="1" customWidth="1"/>
    <col min="10506" max="10506" width="24.28515625" style="3" bestFit="1" customWidth="1"/>
    <col min="10507" max="10507" width="18.85546875" style="3" bestFit="1" customWidth="1"/>
    <col min="10508" max="10508" width="14.28515625" style="3" bestFit="1" customWidth="1"/>
    <col min="10509" max="10509" width="4.7109375" style="3" bestFit="1" customWidth="1"/>
    <col min="10510" max="10749" width="9.140625" style="3"/>
    <col min="10750" max="10750" width="12.7109375" style="3" bestFit="1" customWidth="1"/>
    <col min="10751" max="10751" width="28.42578125" style="3" bestFit="1" customWidth="1"/>
    <col min="10752" max="10752" width="27.42578125" style="3" bestFit="1" customWidth="1"/>
    <col min="10753" max="10753" width="11.42578125" style="3" customWidth="1"/>
    <col min="10754" max="10754" width="9.7109375" style="3" bestFit="1" customWidth="1"/>
    <col min="10755" max="10755" width="31.28515625" style="3" bestFit="1" customWidth="1"/>
    <col min="10756" max="10756" width="75.28515625" style="3" bestFit="1" customWidth="1"/>
    <col min="10757" max="10757" width="18.28515625" style="3" bestFit="1" customWidth="1"/>
    <col min="10758" max="10758" width="17.5703125" style="3" bestFit="1" customWidth="1"/>
    <col min="10759" max="10759" width="12.5703125" style="3" customWidth="1"/>
    <col min="10760" max="10760" width="14.28515625" style="3" bestFit="1" customWidth="1"/>
    <col min="10761" max="10761" width="26.42578125" style="3" bestFit="1" customWidth="1"/>
    <col min="10762" max="10762" width="24.28515625" style="3" bestFit="1" customWidth="1"/>
    <col min="10763" max="10763" width="18.85546875" style="3" bestFit="1" customWidth="1"/>
    <col min="10764" max="10764" width="14.28515625" style="3" bestFit="1" customWidth="1"/>
    <col min="10765" max="10765" width="4.7109375" style="3" bestFit="1" customWidth="1"/>
    <col min="10766" max="11005" width="9.140625" style="3"/>
    <col min="11006" max="11006" width="12.7109375" style="3" bestFit="1" customWidth="1"/>
    <col min="11007" max="11007" width="28.42578125" style="3" bestFit="1" customWidth="1"/>
    <col min="11008" max="11008" width="27.42578125" style="3" bestFit="1" customWidth="1"/>
    <col min="11009" max="11009" width="11.42578125" style="3" customWidth="1"/>
    <col min="11010" max="11010" width="9.7109375" style="3" bestFit="1" customWidth="1"/>
    <col min="11011" max="11011" width="31.28515625" style="3" bestFit="1" customWidth="1"/>
    <col min="11012" max="11012" width="75.28515625" style="3" bestFit="1" customWidth="1"/>
    <col min="11013" max="11013" width="18.28515625" style="3" bestFit="1" customWidth="1"/>
    <col min="11014" max="11014" width="17.5703125" style="3" bestFit="1" customWidth="1"/>
    <col min="11015" max="11015" width="12.5703125" style="3" customWidth="1"/>
    <col min="11016" max="11016" width="14.28515625" style="3" bestFit="1" customWidth="1"/>
    <col min="11017" max="11017" width="26.42578125" style="3" bestFit="1" customWidth="1"/>
    <col min="11018" max="11018" width="24.28515625" style="3" bestFit="1" customWidth="1"/>
    <col min="11019" max="11019" width="18.85546875" style="3" bestFit="1" customWidth="1"/>
    <col min="11020" max="11020" width="14.28515625" style="3" bestFit="1" customWidth="1"/>
    <col min="11021" max="11021" width="4.7109375" style="3" bestFit="1" customWidth="1"/>
    <col min="11022" max="11261" width="9.140625" style="3"/>
    <col min="11262" max="11262" width="12.7109375" style="3" bestFit="1" customWidth="1"/>
    <col min="11263" max="11263" width="28.42578125" style="3" bestFit="1" customWidth="1"/>
    <col min="11264" max="11264" width="27.42578125" style="3" bestFit="1" customWidth="1"/>
    <col min="11265" max="11265" width="11.42578125" style="3" customWidth="1"/>
    <col min="11266" max="11266" width="9.7109375" style="3" bestFit="1" customWidth="1"/>
    <col min="11267" max="11267" width="31.28515625" style="3" bestFit="1" customWidth="1"/>
    <col min="11268" max="11268" width="75.28515625" style="3" bestFit="1" customWidth="1"/>
    <col min="11269" max="11269" width="18.28515625" style="3" bestFit="1" customWidth="1"/>
    <col min="11270" max="11270" width="17.5703125" style="3" bestFit="1" customWidth="1"/>
    <col min="11271" max="11271" width="12.5703125" style="3" customWidth="1"/>
    <col min="11272" max="11272" width="14.28515625" style="3" bestFit="1" customWidth="1"/>
    <col min="11273" max="11273" width="26.42578125" style="3" bestFit="1" customWidth="1"/>
    <col min="11274" max="11274" width="24.28515625" style="3" bestFit="1" customWidth="1"/>
    <col min="11275" max="11275" width="18.85546875" style="3" bestFit="1" customWidth="1"/>
    <col min="11276" max="11276" width="14.28515625" style="3" bestFit="1" customWidth="1"/>
    <col min="11277" max="11277" width="4.7109375" style="3" bestFit="1" customWidth="1"/>
    <col min="11278" max="11517" width="9.140625" style="3"/>
    <col min="11518" max="11518" width="12.7109375" style="3" bestFit="1" customWidth="1"/>
    <col min="11519" max="11519" width="28.42578125" style="3" bestFit="1" customWidth="1"/>
    <col min="11520" max="11520" width="27.42578125" style="3" bestFit="1" customWidth="1"/>
    <col min="11521" max="11521" width="11.42578125" style="3" customWidth="1"/>
    <col min="11522" max="11522" width="9.7109375" style="3" bestFit="1" customWidth="1"/>
    <col min="11523" max="11523" width="31.28515625" style="3" bestFit="1" customWidth="1"/>
    <col min="11524" max="11524" width="75.28515625" style="3" bestFit="1" customWidth="1"/>
    <col min="11525" max="11525" width="18.28515625" style="3" bestFit="1" customWidth="1"/>
    <col min="11526" max="11526" width="17.5703125" style="3" bestFit="1" customWidth="1"/>
    <col min="11527" max="11527" width="12.5703125" style="3" customWidth="1"/>
    <col min="11528" max="11528" width="14.28515625" style="3" bestFit="1" customWidth="1"/>
    <col min="11529" max="11529" width="26.42578125" style="3" bestFit="1" customWidth="1"/>
    <col min="11530" max="11530" width="24.28515625" style="3" bestFit="1" customWidth="1"/>
    <col min="11531" max="11531" width="18.85546875" style="3" bestFit="1" customWidth="1"/>
    <col min="11532" max="11532" width="14.28515625" style="3" bestFit="1" customWidth="1"/>
    <col min="11533" max="11533" width="4.7109375" style="3" bestFit="1" customWidth="1"/>
    <col min="11534" max="11773" width="9.140625" style="3"/>
    <col min="11774" max="11774" width="12.7109375" style="3" bestFit="1" customWidth="1"/>
    <col min="11775" max="11775" width="28.42578125" style="3" bestFit="1" customWidth="1"/>
    <col min="11776" max="11776" width="27.42578125" style="3" bestFit="1" customWidth="1"/>
    <col min="11777" max="11777" width="11.42578125" style="3" customWidth="1"/>
    <col min="11778" max="11778" width="9.7109375" style="3" bestFit="1" customWidth="1"/>
    <col min="11779" max="11779" width="31.28515625" style="3" bestFit="1" customWidth="1"/>
    <col min="11780" max="11780" width="75.28515625" style="3" bestFit="1" customWidth="1"/>
    <col min="11781" max="11781" width="18.28515625" style="3" bestFit="1" customWidth="1"/>
    <col min="11782" max="11782" width="17.5703125" style="3" bestFit="1" customWidth="1"/>
    <col min="11783" max="11783" width="12.5703125" style="3" customWidth="1"/>
    <col min="11784" max="11784" width="14.28515625" style="3" bestFit="1" customWidth="1"/>
    <col min="11785" max="11785" width="26.42578125" style="3" bestFit="1" customWidth="1"/>
    <col min="11786" max="11786" width="24.28515625" style="3" bestFit="1" customWidth="1"/>
    <col min="11787" max="11787" width="18.85546875" style="3" bestFit="1" customWidth="1"/>
    <col min="11788" max="11788" width="14.28515625" style="3" bestFit="1" customWidth="1"/>
    <col min="11789" max="11789" width="4.7109375" style="3" bestFit="1" customWidth="1"/>
    <col min="11790" max="12029" width="9.140625" style="3"/>
    <col min="12030" max="12030" width="12.7109375" style="3" bestFit="1" customWidth="1"/>
    <col min="12031" max="12031" width="28.42578125" style="3" bestFit="1" customWidth="1"/>
    <col min="12032" max="12032" width="27.42578125" style="3" bestFit="1" customWidth="1"/>
    <col min="12033" max="12033" width="11.42578125" style="3" customWidth="1"/>
    <col min="12034" max="12034" width="9.7109375" style="3" bestFit="1" customWidth="1"/>
    <col min="12035" max="12035" width="31.28515625" style="3" bestFit="1" customWidth="1"/>
    <col min="12036" max="12036" width="75.28515625" style="3" bestFit="1" customWidth="1"/>
    <col min="12037" max="12037" width="18.28515625" style="3" bestFit="1" customWidth="1"/>
    <col min="12038" max="12038" width="17.5703125" style="3" bestFit="1" customWidth="1"/>
    <col min="12039" max="12039" width="12.5703125" style="3" customWidth="1"/>
    <col min="12040" max="12040" width="14.28515625" style="3" bestFit="1" customWidth="1"/>
    <col min="12041" max="12041" width="26.42578125" style="3" bestFit="1" customWidth="1"/>
    <col min="12042" max="12042" width="24.28515625" style="3" bestFit="1" customWidth="1"/>
    <col min="12043" max="12043" width="18.85546875" style="3" bestFit="1" customWidth="1"/>
    <col min="12044" max="12044" width="14.28515625" style="3" bestFit="1" customWidth="1"/>
    <col min="12045" max="12045" width="4.7109375" style="3" bestFit="1" customWidth="1"/>
    <col min="12046" max="12285" width="9.140625" style="3"/>
    <col min="12286" max="12286" width="12.7109375" style="3" bestFit="1" customWidth="1"/>
    <col min="12287" max="12287" width="28.42578125" style="3" bestFit="1" customWidth="1"/>
    <col min="12288" max="12288" width="27.42578125" style="3" bestFit="1" customWidth="1"/>
    <col min="12289" max="12289" width="11.42578125" style="3" customWidth="1"/>
    <col min="12290" max="12290" width="9.7109375" style="3" bestFit="1" customWidth="1"/>
    <col min="12291" max="12291" width="31.28515625" style="3" bestFit="1" customWidth="1"/>
    <col min="12292" max="12292" width="75.28515625" style="3" bestFit="1" customWidth="1"/>
    <col min="12293" max="12293" width="18.28515625" style="3" bestFit="1" customWidth="1"/>
    <col min="12294" max="12294" width="17.5703125" style="3" bestFit="1" customWidth="1"/>
    <col min="12295" max="12295" width="12.5703125" style="3" customWidth="1"/>
    <col min="12296" max="12296" width="14.28515625" style="3" bestFit="1" customWidth="1"/>
    <col min="12297" max="12297" width="26.42578125" style="3" bestFit="1" customWidth="1"/>
    <col min="12298" max="12298" width="24.28515625" style="3" bestFit="1" customWidth="1"/>
    <col min="12299" max="12299" width="18.85546875" style="3" bestFit="1" customWidth="1"/>
    <col min="12300" max="12300" width="14.28515625" style="3" bestFit="1" customWidth="1"/>
    <col min="12301" max="12301" width="4.7109375" style="3" bestFit="1" customWidth="1"/>
    <col min="12302" max="12541" width="9.140625" style="3"/>
    <col min="12542" max="12542" width="12.7109375" style="3" bestFit="1" customWidth="1"/>
    <col min="12543" max="12543" width="28.42578125" style="3" bestFit="1" customWidth="1"/>
    <col min="12544" max="12544" width="27.42578125" style="3" bestFit="1" customWidth="1"/>
    <col min="12545" max="12545" width="11.42578125" style="3" customWidth="1"/>
    <col min="12546" max="12546" width="9.7109375" style="3" bestFit="1" customWidth="1"/>
    <col min="12547" max="12547" width="31.28515625" style="3" bestFit="1" customWidth="1"/>
    <col min="12548" max="12548" width="75.28515625" style="3" bestFit="1" customWidth="1"/>
    <col min="12549" max="12549" width="18.28515625" style="3" bestFit="1" customWidth="1"/>
    <col min="12550" max="12550" width="17.5703125" style="3" bestFit="1" customWidth="1"/>
    <col min="12551" max="12551" width="12.5703125" style="3" customWidth="1"/>
    <col min="12552" max="12552" width="14.28515625" style="3" bestFit="1" customWidth="1"/>
    <col min="12553" max="12553" width="26.42578125" style="3" bestFit="1" customWidth="1"/>
    <col min="12554" max="12554" width="24.28515625" style="3" bestFit="1" customWidth="1"/>
    <col min="12555" max="12555" width="18.85546875" style="3" bestFit="1" customWidth="1"/>
    <col min="12556" max="12556" width="14.28515625" style="3" bestFit="1" customWidth="1"/>
    <col min="12557" max="12557" width="4.7109375" style="3" bestFit="1" customWidth="1"/>
    <col min="12558" max="12797" width="9.140625" style="3"/>
    <col min="12798" max="12798" width="12.7109375" style="3" bestFit="1" customWidth="1"/>
    <col min="12799" max="12799" width="28.42578125" style="3" bestFit="1" customWidth="1"/>
    <col min="12800" max="12800" width="27.42578125" style="3" bestFit="1" customWidth="1"/>
    <col min="12801" max="12801" width="11.42578125" style="3" customWidth="1"/>
    <col min="12802" max="12802" width="9.7109375" style="3" bestFit="1" customWidth="1"/>
    <col min="12803" max="12803" width="31.28515625" style="3" bestFit="1" customWidth="1"/>
    <col min="12804" max="12804" width="75.28515625" style="3" bestFit="1" customWidth="1"/>
    <col min="12805" max="12805" width="18.28515625" style="3" bestFit="1" customWidth="1"/>
    <col min="12806" max="12806" width="17.5703125" style="3" bestFit="1" customWidth="1"/>
    <col min="12807" max="12807" width="12.5703125" style="3" customWidth="1"/>
    <col min="12808" max="12808" width="14.28515625" style="3" bestFit="1" customWidth="1"/>
    <col min="12809" max="12809" width="26.42578125" style="3" bestFit="1" customWidth="1"/>
    <col min="12810" max="12810" width="24.28515625" style="3" bestFit="1" customWidth="1"/>
    <col min="12811" max="12811" width="18.85546875" style="3" bestFit="1" customWidth="1"/>
    <col min="12812" max="12812" width="14.28515625" style="3" bestFit="1" customWidth="1"/>
    <col min="12813" max="12813" width="4.7109375" style="3" bestFit="1" customWidth="1"/>
    <col min="12814" max="13053" width="9.140625" style="3"/>
    <col min="13054" max="13054" width="12.7109375" style="3" bestFit="1" customWidth="1"/>
    <col min="13055" max="13055" width="28.42578125" style="3" bestFit="1" customWidth="1"/>
    <col min="13056" max="13056" width="27.42578125" style="3" bestFit="1" customWidth="1"/>
    <col min="13057" max="13057" width="11.42578125" style="3" customWidth="1"/>
    <col min="13058" max="13058" width="9.7109375" style="3" bestFit="1" customWidth="1"/>
    <col min="13059" max="13059" width="31.28515625" style="3" bestFit="1" customWidth="1"/>
    <col min="13060" max="13060" width="75.28515625" style="3" bestFit="1" customWidth="1"/>
    <col min="13061" max="13061" width="18.28515625" style="3" bestFit="1" customWidth="1"/>
    <col min="13062" max="13062" width="17.5703125" style="3" bestFit="1" customWidth="1"/>
    <col min="13063" max="13063" width="12.5703125" style="3" customWidth="1"/>
    <col min="13064" max="13064" width="14.28515625" style="3" bestFit="1" customWidth="1"/>
    <col min="13065" max="13065" width="26.42578125" style="3" bestFit="1" customWidth="1"/>
    <col min="13066" max="13066" width="24.28515625" style="3" bestFit="1" customWidth="1"/>
    <col min="13067" max="13067" width="18.85546875" style="3" bestFit="1" customWidth="1"/>
    <col min="13068" max="13068" width="14.28515625" style="3" bestFit="1" customWidth="1"/>
    <col min="13069" max="13069" width="4.7109375" style="3" bestFit="1" customWidth="1"/>
    <col min="13070" max="13309" width="9.140625" style="3"/>
    <col min="13310" max="13310" width="12.7109375" style="3" bestFit="1" customWidth="1"/>
    <col min="13311" max="13311" width="28.42578125" style="3" bestFit="1" customWidth="1"/>
    <col min="13312" max="13312" width="27.42578125" style="3" bestFit="1" customWidth="1"/>
    <col min="13313" max="13313" width="11.42578125" style="3" customWidth="1"/>
    <col min="13314" max="13314" width="9.7109375" style="3" bestFit="1" customWidth="1"/>
    <col min="13315" max="13315" width="31.28515625" style="3" bestFit="1" customWidth="1"/>
    <col min="13316" max="13316" width="75.28515625" style="3" bestFit="1" customWidth="1"/>
    <col min="13317" max="13317" width="18.28515625" style="3" bestFit="1" customWidth="1"/>
    <col min="13318" max="13318" width="17.5703125" style="3" bestFit="1" customWidth="1"/>
    <col min="13319" max="13319" width="12.5703125" style="3" customWidth="1"/>
    <col min="13320" max="13320" width="14.28515625" style="3" bestFit="1" customWidth="1"/>
    <col min="13321" max="13321" width="26.42578125" style="3" bestFit="1" customWidth="1"/>
    <col min="13322" max="13322" width="24.28515625" style="3" bestFit="1" customWidth="1"/>
    <col min="13323" max="13323" width="18.85546875" style="3" bestFit="1" customWidth="1"/>
    <col min="13324" max="13324" width="14.28515625" style="3" bestFit="1" customWidth="1"/>
    <col min="13325" max="13325" width="4.7109375" style="3" bestFit="1" customWidth="1"/>
    <col min="13326" max="13565" width="9.140625" style="3"/>
    <col min="13566" max="13566" width="12.7109375" style="3" bestFit="1" customWidth="1"/>
    <col min="13567" max="13567" width="28.42578125" style="3" bestFit="1" customWidth="1"/>
    <col min="13568" max="13568" width="27.42578125" style="3" bestFit="1" customWidth="1"/>
    <col min="13569" max="13569" width="11.42578125" style="3" customWidth="1"/>
    <col min="13570" max="13570" width="9.7109375" style="3" bestFit="1" customWidth="1"/>
    <col min="13571" max="13571" width="31.28515625" style="3" bestFit="1" customWidth="1"/>
    <col min="13572" max="13572" width="75.28515625" style="3" bestFit="1" customWidth="1"/>
    <col min="13573" max="13573" width="18.28515625" style="3" bestFit="1" customWidth="1"/>
    <col min="13574" max="13574" width="17.5703125" style="3" bestFit="1" customWidth="1"/>
    <col min="13575" max="13575" width="12.5703125" style="3" customWidth="1"/>
    <col min="13576" max="13576" width="14.28515625" style="3" bestFit="1" customWidth="1"/>
    <col min="13577" max="13577" width="26.42578125" style="3" bestFit="1" customWidth="1"/>
    <col min="13578" max="13578" width="24.28515625" style="3" bestFit="1" customWidth="1"/>
    <col min="13579" max="13579" width="18.85546875" style="3" bestFit="1" customWidth="1"/>
    <col min="13580" max="13580" width="14.28515625" style="3" bestFit="1" customWidth="1"/>
    <col min="13581" max="13581" width="4.7109375" style="3" bestFit="1" customWidth="1"/>
    <col min="13582" max="13821" width="9.140625" style="3"/>
    <col min="13822" max="13822" width="12.7109375" style="3" bestFit="1" customWidth="1"/>
    <col min="13823" max="13823" width="28.42578125" style="3" bestFit="1" customWidth="1"/>
    <col min="13824" max="13824" width="27.42578125" style="3" bestFit="1" customWidth="1"/>
    <col min="13825" max="13825" width="11.42578125" style="3" customWidth="1"/>
    <col min="13826" max="13826" width="9.7109375" style="3" bestFit="1" customWidth="1"/>
    <col min="13827" max="13827" width="31.28515625" style="3" bestFit="1" customWidth="1"/>
    <col min="13828" max="13828" width="75.28515625" style="3" bestFit="1" customWidth="1"/>
    <col min="13829" max="13829" width="18.28515625" style="3" bestFit="1" customWidth="1"/>
    <col min="13830" max="13830" width="17.5703125" style="3" bestFit="1" customWidth="1"/>
    <col min="13831" max="13831" width="12.5703125" style="3" customWidth="1"/>
    <col min="13832" max="13832" width="14.28515625" style="3" bestFit="1" customWidth="1"/>
    <col min="13833" max="13833" width="26.42578125" style="3" bestFit="1" customWidth="1"/>
    <col min="13834" max="13834" width="24.28515625" style="3" bestFit="1" customWidth="1"/>
    <col min="13835" max="13835" width="18.85546875" style="3" bestFit="1" customWidth="1"/>
    <col min="13836" max="13836" width="14.28515625" style="3" bestFit="1" customWidth="1"/>
    <col min="13837" max="13837" width="4.7109375" style="3" bestFit="1" customWidth="1"/>
    <col min="13838" max="14077" width="9.140625" style="3"/>
    <col min="14078" max="14078" width="12.7109375" style="3" bestFit="1" customWidth="1"/>
    <col min="14079" max="14079" width="28.42578125" style="3" bestFit="1" customWidth="1"/>
    <col min="14080" max="14080" width="27.42578125" style="3" bestFit="1" customWidth="1"/>
    <col min="14081" max="14081" width="11.42578125" style="3" customWidth="1"/>
    <col min="14082" max="14082" width="9.7109375" style="3" bestFit="1" customWidth="1"/>
    <col min="14083" max="14083" width="31.28515625" style="3" bestFit="1" customWidth="1"/>
    <col min="14084" max="14084" width="75.28515625" style="3" bestFit="1" customWidth="1"/>
    <col min="14085" max="14085" width="18.28515625" style="3" bestFit="1" customWidth="1"/>
    <col min="14086" max="14086" width="17.5703125" style="3" bestFit="1" customWidth="1"/>
    <col min="14087" max="14087" width="12.5703125" style="3" customWidth="1"/>
    <col min="14088" max="14088" width="14.28515625" style="3" bestFit="1" customWidth="1"/>
    <col min="14089" max="14089" width="26.42578125" style="3" bestFit="1" customWidth="1"/>
    <col min="14090" max="14090" width="24.28515625" style="3" bestFit="1" customWidth="1"/>
    <col min="14091" max="14091" width="18.85546875" style="3" bestFit="1" customWidth="1"/>
    <col min="14092" max="14092" width="14.28515625" style="3" bestFit="1" customWidth="1"/>
    <col min="14093" max="14093" width="4.7109375" style="3" bestFit="1" customWidth="1"/>
    <col min="14094" max="14333" width="9.140625" style="3"/>
    <col min="14334" max="14334" width="12.7109375" style="3" bestFit="1" customWidth="1"/>
    <col min="14335" max="14335" width="28.42578125" style="3" bestFit="1" customWidth="1"/>
    <col min="14336" max="14336" width="27.42578125" style="3" bestFit="1" customWidth="1"/>
    <col min="14337" max="14337" width="11.42578125" style="3" customWidth="1"/>
    <col min="14338" max="14338" width="9.7109375" style="3" bestFit="1" customWidth="1"/>
    <col min="14339" max="14339" width="31.28515625" style="3" bestFit="1" customWidth="1"/>
    <col min="14340" max="14340" width="75.28515625" style="3" bestFit="1" customWidth="1"/>
    <col min="14341" max="14341" width="18.28515625" style="3" bestFit="1" customWidth="1"/>
    <col min="14342" max="14342" width="17.5703125" style="3" bestFit="1" customWidth="1"/>
    <col min="14343" max="14343" width="12.5703125" style="3" customWidth="1"/>
    <col min="14344" max="14344" width="14.28515625" style="3" bestFit="1" customWidth="1"/>
    <col min="14345" max="14345" width="26.42578125" style="3" bestFit="1" customWidth="1"/>
    <col min="14346" max="14346" width="24.28515625" style="3" bestFit="1" customWidth="1"/>
    <col min="14347" max="14347" width="18.85546875" style="3" bestFit="1" customWidth="1"/>
    <col min="14348" max="14348" width="14.28515625" style="3" bestFit="1" customWidth="1"/>
    <col min="14349" max="14349" width="4.7109375" style="3" bestFit="1" customWidth="1"/>
    <col min="14350" max="14589" width="9.140625" style="3"/>
    <col min="14590" max="14590" width="12.7109375" style="3" bestFit="1" customWidth="1"/>
    <col min="14591" max="14591" width="28.42578125" style="3" bestFit="1" customWidth="1"/>
    <col min="14592" max="14592" width="27.42578125" style="3" bestFit="1" customWidth="1"/>
    <col min="14593" max="14593" width="11.42578125" style="3" customWidth="1"/>
    <col min="14594" max="14594" width="9.7109375" style="3" bestFit="1" customWidth="1"/>
    <col min="14595" max="14595" width="31.28515625" style="3" bestFit="1" customWidth="1"/>
    <col min="14596" max="14596" width="75.28515625" style="3" bestFit="1" customWidth="1"/>
    <col min="14597" max="14597" width="18.28515625" style="3" bestFit="1" customWidth="1"/>
    <col min="14598" max="14598" width="17.5703125" style="3" bestFit="1" customWidth="1"/>
    <col min="14599" max="14599" width="12.5703125" style="3" customWidth="1"/>
    <col min="14600" max="14600" width="14.28515625" style="3" bestFit="1" customWidth="1"/>
    <col min="14601" max="14601" width="26.42578125" style="3" bestFit="1" customWidth="1"/>
    <col min="14602" max="14602" width="24.28515625" style="3" bestFit="1" customWidth="1"/>
    <col min="14603" max="14603" width="18.85546875" style="3" bestFit="1" customWidth="1"/>
    <col min="14604" max="14604" width="14.28515625" style="3" bestFit="1" customWidth="1"/>
    <col min="14605" max="14605" width="4.7109375" style="3" bestFit="1" customWidth="1"/>
    <col min="14606" max="14845" width="9.140625" style="3"/>
    <col min="14846" max="14846" width="12.7109375" style="3" bestFit="1" customWidth="1"/>
    <col min="14847" max="14847" width="28.42578125" style="3" bestFit="1" customWidth="1"/>
    <col min="14848" max="14848" width="27.42578125" style="3" bestFit="1" customWidth="1"/>
    <col min="14849" max="14849" width="11.42578125" style="3" customWidth="1"/>
    <col min="14850" max="14850" width="9.7109375" style="3" bestFit="1" customWidth="1"/>
    <col min="14851" max="14851" width="31.28515625" style="3" bestFit="1" customWidth="1"/>
    <col min="14852" max="14852" width="75.28515625" style="3" bestFit="1" customWidth="1"/>
    <col min="14853" max="14853" width="18.28515625" style="3" bestFit="1" customWidth="1"/>
    <col min="14854" max="14854" width="17.5703125" style="3" bestFit="1" customWidth="1"/>
    <col min="14855" max="14855" width="12.5703125" style="3" customWidth="1"/>
    <col min="14856" max="14856" width="14.28515625" style="3" bestFit="1" customWidth="1"/>
    <col min="14857" max="14857" width="26.42578125" style="3" bestFit="1" customWidth="1"/>
    <col min="14858" max="14858" width="24.28515625" style="3" bestFit="1" customWidth="1"/>
    <col min="14859" max="14859" width="18.85546875" style="3" bestFit="1" customWidth="1"/>
    <col min="14860" max="14860" width="14.28515625" style="3" bestFit="1" customWidth="1"/>
    <col min="14861" max="14861" width="4.7109375" style="3" bestFit="1" customWidth="1"/>
    <col min="14862" max="15101" width="9.140625" style="3"/>
    <col min="15102" max="15102" width="12.7109375" style="3" bestFit="1" customWidth="1"/>
    <col min="15103" max="15103" width="28.42578125" style="3" bestFit="1" customWidth="1"/>
    <col min="15104" max="15104" width="27.42578125" style="3" bestFit="1" customWidth="1"/>
    <col min="15105" max="15105" width="11.42578125" style="3" customWidth="1"/>
    <col min="15106" max="15106" width="9.7109375" style="3" bestFit="1" customWidth="1"/>
    <col min="15107" max="15107" width="31.28515625" style="3" bestFit="1" customWidth="1"/>
    <col min="15108" max="15108" width="75.28515625" style="3" bestFit="1" customWidth="1"/>
    <col min="15109" max="15109" width="18.28515625" style="3" bestFit="1" customWidth="1"/>
    <col min="15110" max="15110" width="17.5703125" style="3" bestFit="1" customWidth="1"/>
    <col min="15111" max="15111" width="12.5703125" style="3" customWidth="1"/>
    <col min="15112" max="15112" width="14.28515625" style="3" bestFit="1" customWidth="1"/>
    <col min="15113" max="15113" width="26.42578125" style="3" bestFit="1" customWidth="1"/>
    <col min="15114" max="15114" width="24.28515625" style="3" bestFit="1" customWidth="1"/>
    <col min="15115" max="15115" width="18.85546875" style="3" bestFit="1" customWidth="1"/>
    <col min="15116" max="15116" width="14.28515625" style="3" bestFit="1" customWidth="1"/>
    <col min="15117" max="15117" width="4.7109375" style="3" bestFit="1" customWidth="1"/>
    <col min="15118" max="15357" width="9.140625" style="3"/>
    <col min="15358" max="15358" width="12.7109375" style="3" bestFit="1" customWidth="1"/>
    <col min="15359" max="15359" width="28.42578125" style="3" bestFit="1" customWidth="1"/>
    <col min="15360" max="15360" width="27.42578125" style="3" bestFit="1" customWidth="1"/>
    <col min="15361" max="15361" width="11.42578125" style="3" customWidth="1"/>
    <col min="15362" max="15362" width="9.7109375" style="3" bestFit="1" customWidth="1"/>
    <col min="15363" max="15363" width="31.28515625" style="3" bestFit="1" customWidth="1"/>
    <col min="15364" max="15364" width="75.28515625" style="3" bestFit="1" customWidth="1"/>
    <col min="15365" max="15365" width="18.28515625" style="3" bestFit="1" customWidth="1"/>
    <col min="15366" max="15366" width="17.5703125" style="3" bestFit="1" customWidth="1"/>
    <col min="15367" max="15367" width="12.5703125" style="3" customWidth="1"/>
    <col min="15368" max="15368" width="14.28515625" style="3" bestFit="1" customWidth="1"/>
    <col min="15369" max="15369" width="26.42578125" style="3" bestFit="1" customWidth="1"/>
    <col min="15370" max="15370" width="24.28515625" style="3" bestFit="1" customWidth="1"/>
    <col min="15371" max="15371" width="18.85546875" style="3" bestFit="1" customWidth="1"/>
    <col min="15372" max="15372" width="14.28515625" style="3" bestFit="1" customWidth="1"/>
    <col min="15373" max="15373" width="4.7109375" style="3" bestFit="1" customWidth="1"/>
    <col min="15374" max="15613" width="9.140625" style="3"/>
    <col min="15614" max="15614" width="12.7109375" style="3" bestFit="1" customWidth="1"/>
    <col min="15615" max="15615" width="28.42578125" style="3" bestFit="1" customWidth="1"/>
    <col min="15616" max="15616" width="27.42578125" style="3" bestFit="1" customWidth="1"/>
    <col min="15617" max="15617" width="11.42578125" style="3" customWidth="1"/>
    <col min="15618" max="15618" width="9.7109375" style="3" bestFit="1" customWidth="1"/>
    <col min="15619" max="15619" width="31.28515625" style="3" bestFit="1" customWidth="1"/>
    <col min="15620" max="15620" width="75.28515625" style="3" bestFit="1" customWidth="1"/>
    <col min="15621" max="15621" width="18.28515625" style="3" bestFit="1" customWidth="1"/>
    <col min="15622" max="15622" width="17.5703125" style="3" bestFit="1" customWidth="1"/>
    <col min="15623" max="15623" width="12.5703125" style="3" customWidth="1"/>
    <col min="15624" max="15624" width="14.28515625" style="3" bestFit="1" customWidth="1"/>
    <col min="15625" max="15625" width="26.42578125" style="3" bestFit="1" customWidth="1"/>
    <col min="15626" max="15626" width="24.28515625" style="3" bestFit="1" customWidth="1"/>
    <col min="15627" max="15627" width="18.85546875" style="3" bestFit="1" customWidth="1"/>
    <col min="15628" max="15628" width="14.28515625" style="3" bestFit="1" customWidth="1"/>
    <col min="15629" max="15629" width="4.7109375" style="3" bestFit="1" customWidth="1"/>
    <col min="15630" max="15869" width="9.140625" style="3"/>
    <col min="15870" max="15870" width="12.7109375" style="3" bestFit="1" customWidth="1"/>
    <col min="15871" max="15871" width="28.42578125" style="3" bestFit="1" customWidth="1"/>
    <col min="15872" max="15872" width="27.42578125" style="3" bestFit="1" customWidth="1"/>
    <col min="15873" max="15873" width="11.42578125" style="3" customWidth="1"/>
    <col min="15874" max="15874" width="9.7109375" style="3" bestFit="1" customWidth="1"/>
    <col min="15875" max="15875" width="31.28515625" style="3" bestFit="1" customWidth="1"/>
    <col min="15876" max="15876" width="75.28515625" style="3" bestFit="1" customWidth="1"/>
    <col min="15877" max="15877" width="18.28515625" style="3" bestFit="1" customWidth="1"/>
    <col min="15878" max="15878" width="17.5703125" style="3" bestFit="1" customWidth="1"/>
    <col min="15879" max="15879" width="12.5703125" style="3" customWidth="1"/>
    <col min="15880" max="15880" width="14.28515625" style="3" bestFit="1" customWidth="1"/>
    <col min="15881" max="15881" width="26.42578125" style="3" bestFit="1" customWidth="1"/>
    <col min="15882" max="15882" width="24.28515625" style="3" bestFit="1" customWidth="1"/>
    <col min="15883" max="15883" width="18.85546875" style="3" bestFit="1" customWidth="1"/>
    <col min="15884" max="15884" width="14.28515625" style="3" bestFit="1" customWidth="1"/>
    <col min="15885" max="15885" width="4.7109375" style="3" bestFit="1" customWidth="1"/>
    <col min="15886" max="16125" width="9.140625" style="3"/>
    <col min="16126" max="16126" width="12.7109375" style="3" bestFit="1" customWidth="1"/>
    <col min="16127" max="16127" width="28.42578125" style="3" bestFit="1" customWidth="1"/>
    <col min="16128" max="16128" width="27.42578125" style="3" bestFit="1" customWidth="1"/>
    <col min="16129" max="16129" width="11.42578125" style="3" customWidth="1"/>
    <col min="16130" max="16130" width="9.7109375" style="3" bestFit="1" customWidth="1"/>
    <col min="16131" max="16131" width="31.28515625" style="3" bestFit="1" customWidth="1"/>
    <col min="16132" max="16132" width="75.28515625" style="3" bestFit="1" customWidth="1"/>
    <col min="16133" max="16133" width="18.28515625" style="3" bestFit="1" customWidth="1"/>
    <col min="16134" max="16134" width="17.5703125" style="3" bestFit="1" customWidth="1"/>
    <col min="16135" max="16135" width="12.5703125" style="3" customWidth="1"/>
    <col min="16136" max="16136" width="14.28515625" style="3" bestFit="1" customWidth="1"/>
    <col min="16137" max="16137" width="26.42578125" style="3" bestFit="1" customWidth="1"/>
    <col min="16138" max="16138" width="24.28515625" style="3" bestFit="1" customWidth="1"/>
    <col min="16139" max="16139" width="18.85546875" style="3" bestFit="1" customWidth="1"/>
    <col min="16140" max="16140" width="14.28515625" style="3" bestFit="1" customWidth="1"/>
    <col min="16141" max="16141" width="4.7109375" style="3" bestFit="1" customWidth="1"/>
    <col min="16142" max="16384" width="9.140625" style="3"/>
  </cols>
  <sheetData>
    <row r="1" spans="1:14" ht="30" x14ac:dyDescent="0.25">
      <c r="A1" s="1" t="s">
        <v>0</v>
      </c>
      <c r="B1" s="1" t="s">
        <v>36</v>
      </c>
      <c r="C1" s="1" t="s">
        <v>248</v>
      </c>
      <c r="D1" s="1" t="s">
        <v>2</v>
      </c>
      <c r="E1" s="1" t="s">
        <v>3</v>
      </c>
      <c r="F1" s="1" t="s">
        <v>47</v>
      </c>
      <c r="G1" s="1" t="s">
        <v>48</v>
      </c>
      <c r="H1" s="1" t="s">
        <v>4</v>
      </c>
      <c r="I1" s="1" t="s">
        <v>37</v>
      </c>
      <c r="J1" s="1" t="s">
        <v>6</v>
      </c>
      <c r="K1" s="1" t="s">
        <v>7</v>
      </c>
      <c r="L1" s="2" t="s">
        <v>8</v>
      </c>
    </row>
    <row r="2" spans="1:14" x14ac:dyDescent="0.25">
      <c r="A2" s="5">
        <v>44623</v>
      </c>
      <c r="B2" s="6" t="s">
        <v>530</v>
      </c>
      <c r="C2" s="6">
        <v>121099</v>
      </c>
      <c r="D2" s="7" t="s">
        <v>531</v>
      </c>
      <c r="E2" s="8" t="s">
        <v>19</v>
      </c>
      <c r="F2" s="10" t="s">
        <v>532</v>
      </c>
      <c r="G2" s="9" t="s">
        <v>533</v>
      </c>
      <c r="H2" s="7" t="s">
        <v>534</v>
      </c>
      <c r="I2" s="10" t="s">
        <v>10</v>
      </c>
      <c r="J2" s="11">
        <v>239800</v>
      </c>
      <c r="K2" s="12">
        <v>63.2</v>
      </c>
      <c r="L2" s="13">
        <f>J2/K2</f>
        <v>3794.3037974683543</v>
      </c>
    </row>
    <row r="3" spans="1:14" x14ac:dyDescent="0.25">
      <c r="A3" s="5">
        <v>44623</v>
      </c>
      <c r="B3" s="6" t="s">
        <v>535</v>
      </c>
      <c r="C3" s="7">
        <v>121099</v>
      </c>
      <c r="D3" s="7" t="s">
        <v>536</v>
      </c>
      <c r="E3" s="8" t="s">
        <v>19</v>
      </c>
      <c r="F3" s="10" t="s">
        <v>532</v>
      </c>
      <c r="G3" s="9" t="s">
        <v>533</v>
      </c>
      <c r="H3" s="7" t="s">
        <v>553</v>
      </c>
      <c r="I3" s="10" t="s">
        <v>10</v>
      </c>
      <c r="J3" s="11">
        <v>21000</v>
      </c>
      <c r="K3" s="12">
        <v>63.2</v>
      </c>
      <c r="L3" s="13">
        <f>J3/K3</f>
        <v>332.27848101265823</v>
      </c>
    </row>
    <row r="4" spans="1:14" x14ac:dyDescent="0.25">
      <c r="A4" s="5">
        <v>44623</v>
      </c>
      <c r="B4" s="6" t="s">
        <v>537</v>
      </c>
      <c r="C4" s="7">
        <v>121099</v>
      </c>
      <c r="D4" s="7" t="s">
        <v>538</v>
      </c>
      <c r="E4" s="8" t="s">
        <v>19</v>
      </c>
      <c r="F4" s="10" t="s">
        <v>532</v>
      </c>
      <c r="G4" s="9" t="s">
        <v>533</v>
      </c>
      <c r="H4" s="7" t="s">
        <v>539</v>
      </c>
      <c r="I4" s="10" t="s">
        <v>10</v>
      </c>
      <c r="J4" s="11">
        <v>52500</v>
      </c>
      <c r="K4" s="12">
        <v>63.2</v>
      </c>
      <c r="L4" s="13">
        <f t="shared" ref="L4:L13" si="0">J4/K4</f>
        <v>830.69620253164555</v>
      </c>
    </row>
    <row r="5" spans="1:14" x14ac:dyDescent="0.25">
      <c r="A5" s="5">
        <v>44623</v>
      </c>
      <c r="B5" s="6" t="s">
        <v>540</v>
      </c>
      <c r="C5" s="7">
        <v>121099</v>
      </c>
      <c r="D5" s="7" t="s">
        <v>541</v>
      </c>
      <c r="E5" s="8" t="s">
        <v>19</v>
      </c>
      <c r="F5" s="10" t="s">
        <v>532</v>
      </c>
      <c r="G5" s="9" t="s">
        <v>533</v>
      </c>
      <c r="H5" s="7" t="s">
        <v>553</v>
      </c>
      <c r="I5" s="10" t="s">
        <v>10</v>
      </c>
      <c r="J5" s="11">
        <v>123750</v>
      </c>
      <c r="K5" s="12">
        <v>63.2</v>
      </c>
      <c r="L5" s="13">
        <f t="shared" si="0"/>
        <v>1958.0696202531644</v>
      </c>
    </row>
    <row r="6" spans="1:14" x14ac:dyDescent="0.25">
      <c r="A6" s="5">
        <v>44623</v>
      </c>
      <c r="B6" s="6" t="s">
        <v>542</v>
      </c>
      <c r="C6" s="7">
        <v>121099</v>
      </c>
      <c r="D6" s="7" t="s">
        <v>543</v>
      </c>
      <c r="E6" s="8" t="s">
        <v>19</v>
      </c>
      <c r="F6" s="59" t="s">
        <v>532</v>
      </c>
      <c r="G6" s="9" t="s">
        <v>533</v>
      </c>
      <c r="H6" s="7" t="s">
        <v>544</v>
      </c>
      <c r="I6" s="10" t="s">
        <v>10</v>
      </c>
      <c r="J6" s="11">
        <v>52275</v>
      </c>
      <c r="K6" s="12">
        <v>63.2</v>
      </c>
      <c r="L6" s="13">
        <f t="shared" si="0"/>
        <v>827.13607594936707</v>
      </c>
    </row>
    <row r="7" spans="1:14" x14ac:dyDescent="0.25">
      <c r="A7" s="5">
        <v>44623</v>
      </c>
      <c r="B7" s="7" t="s">
        <v>545</v>
      </c>
      <c r="C7" s="7">
        <v>121099</v>
      </c>
      <c r="D7" s="7" t="s">
        <v>546</v>
      </c>
      <c r="E7" s="8" t="s">
        <v>19</v>
      </c>
      <c r="F7" s="10" t="s">
        <v>532</v>
      </c>
      <c r="G7" s="7" t="s">
        <v>533</v>
      </c>
      <c r="H7" s="7" t="s">
        <v>547</v>
      </c>
      <c r="I7" s="10" t="s">
        <v>10</v>
      </c>
      <c r="J7" s="14">
        <v>19008</v>
      </c>
      <c r="K7" s="12">
        <v>63.2</v>
      </c>
      <c r="L7" s="13">
        <f t="shared" si="0"/>
        <v>300.75949367088606</v>
      </c>
    </row>
    <row r="8" spans="1:14" x14ac:dyDescent="0.25">
      <c r="A8" s="5">
        <v>44623</v>
      </c>
      <c r="B8" s="7" t="s">
        <v>548</v>
      </c>
      <c r="C8" s="7">
        <v>121099</v>
      </c>
      <c r="D8" s="7" t="s">
        <v>549</v>
      </c>
      <c r="E8" s="8" t="s">
        <v>19</v>
      </c>
      <c r="F8" s="10" t="s">
        <v>532</v>
      </c>
      <c r="G8" s="15" t="s">
        <v>533</v>
      </c>
      <c r="H8" s="7" t="s">
        <v>547</v>
      </c>
      <c r="I8" s="10" t="s">
        <v>10</v>
      </c>
      <c r="J8" s="14">
        <v>163360</v>
      </c>
      <c r="K8" s="12">
        <v>63.2</v>
      </c>
      <c r="L8" s="13">
        <f t="shared" si="0"/>
        <v>2584.8101265822784</v>
      </c>
    </row>
    <row r="9" spans="1:14" x14ac:dyDescent="0.25">
      <c r="A9" s="5">
        <v>44623</v>
      </c>
      <c r="B9" s="7" t="s">
        <v>550</v>
      </c>
      <c r="C9" s="7">
        <v>121099</v>
      </c>
      <c r="D9" s="7" t="s">
        <v>551</v>
      </c>
      <c r="E9" s="8" t="s">
        <v>19</v>
      </c>
      <c r="F9" s="10" t="s">
        <v>532</v>
      </c>
      <c r="G9" s="9" t="s">
        <v>533</v>
      </c>
      <c r="H9" s="7" t="s">
        <v>552</v>
      </c>
      <c r="I9" s="10" t="s">
        <v>10</v>
      </c>
      <c r="J9" s="14">
        <v>34687.5</v>
      </c>
      <c r="K9" s="12">
        <v>63.2</v>
      </c>
      <c r="L9" s="13">
        <f t="shared" si="0"/>
        <v>548.85284810126575</v>
      </c>
    </row>
    <row r="10" spans="1:14" x14ac:dyDescent="0.25">
      <c r="A10" s="5">
        <v>44623</v>
      </c>
      <c r="B10" s="7" t="s">
        <v>733</v>
      </c>
      <c r="C10" s="7">
        <v>121099</v>
      </c>
      <c r="D10" s="7" t="s">
        <v>554</v>
      </c>
      <c r="E10" s="8" t="s">
        <v>19</v>
      </c>
      <c r="F10" s="10" t="s">
        <v>532</v>
      </c>
      <c r="G10" s="7" t="s">
        <v>533</v>
      </c>
      <c r="H10" s="7" t="s">
        <v>552</v>
      </c>
      <c r="I10" s="10" t="s">
        <v>10</v>
      </c>
      <c r="J10" s="14">
        <v>11745</v>
      </c>
      <c r="K10" s="12">
        <v>63.2</v>
      </c>
      <c r="L10" s="13">
        <f t="shared" si="0"/>
        <v>185.83860759493669</v>
      </c>
    </row>
    <row r="11" spans="1:14" x14ac:dyDescent="0.25">
      <c r="A11" s="5">
        <v>44623</v>
      </c>
      <c r="B11" s="7" t="s">
        <v>734</v>
      </c>
      <c r="C11" s="7">
        <v>121099</v>
      </c>
      <c r="D11" s="7" t="s">
        <v>555</v>
      </c>
      <c r="E11" s="8" t="s">
        <v>19</v>
      </c>
      <c r="F11" s="10" t="s">
        <v>532</v>
      </c>
      <c r="G11" s="7" t="s">
        <v>533</v>
      </c>
      <c r="H11" s="7" t="s">
        <v>556</v>
      </c>
      <c r="I11" s="10" t="s">
        <v>10</v>
      </c>
      <c r="J11" s="14">
        <v>194295</v>
      </c>
      <c r="K11" s="12">
        <v>63.2</v>
      </c>
      <c r="L11" s="13">
        <f t="shared" si="0"/>
        <v>3074.2879746835442</v>
      </c>
    </row>
    <row r="12" spans="1:14" x14ac:dyDescent="0.25">
      <c r="A12" s="5">
        <v>44623</v>
      </c>
      <c r="B12" s="7" t="s">
        <v>735</v>
      </c>
      <c r="C12" s="16">
        <v>121099</v>
      </c>
      <c r="D12" s="16" t="s">
        <v>557</v>
      </c>
      <c r="E12" s="8" t="s">
        <v>19</v>
      </c>
      <c r="F12" s="10" t="s">
        <v>532</v>
      </c>
      <c r="G12" s="17" t="s">
        <v>533</v>
      </c>
      <c r="H12" s="7" t="s">
        <v>547</v>
      </c>
      <c r="I12" s="10" t="s">
        <v>10</v>
      </c>
      <c r="J12" s="18">
        <v>295510</v>
      </c>
      <c r="K12" s="12">
        <v>63.2</v>
      </c>
      <c r="L12" s="13">
        <f t="shared" si="0"/>
        <v>4675.7911392405058</v>
      </c>
      <c r="N12" s="81"/>
    </row>
    <row r="13" spans="1:14" x14ac:dyDescent="0.25">
      <c r="A13" s="5">
        <v>44623</v>
      </c>
      <c r="B13" s="6" t="s">
        <v>736</v>
      </c>
      <c r="C13" s="6">
        <v>121099</v>
      </c>
      <c r="D13" s="7" t="s">
        <v>558</v>
      </c>
      <c r="E13" s="8" t="s">
        <v>19</v>
      </c>
      <c r="F13" s="10" t="s">
        <v>532</v>
      </c>
      <c r="G13" s="9" t="s">
        <v>533</v>
      </c>
      <c r="H13" s="7" t="s">
        <v>547</v>
      </c>
      <c r="I13" s="10" t="s">
        <v>10</v>
      </c>
      <c r="J13" s="14">
        <v>210434</v>
      </c>
      <c r="K13" s="12">
        <v>63.2</v>
      </c>
      <c r="L13" s="13">
        <f t="shared" si="0"/>
        <v>3329.6518987341769</v>
      </c>
    </row>
    <row r="14" spans="1:14" x14ac:dyDescent="0.25">
      <c r="A14" s="5">
        <v>44644</v>
      </c>
      <c r="B14" s="7" t="s">
        <v>737</v>
      </c>
      <c r="C14" s="7">
        <v>112101</v>
      </c>
      <c r="D14" s="7" t="s">
        <v>282</v>
      </c>
      <c r="E14" s="8" t="s">
        <v>19</v>
      </c>
      <c r="F14" s="10" t="s">
        <v>561</v>
      </c>
      <c r="G14" s="9" t="s">
        <v>35</v>
      </c>
      <c r="H14" s="7" t="s">
        <v>562</v>
      </c>
      <c r="I14" s="10" t="s">
        <v>10</v>
      </c>
      <c r="J14" s="18">
        <v>138600</v>
      </c>
      <c r="K14" s="12">
        <v>63.2</v>
      </c>
      <c r="L14" s="13">
        <f t="shared" ref="L14:L15" si="1">J14/K14</f>
        <v>2193.0379746835442</v>
      </c>
    </row>
    <row r="15" spans="1:14" x14ac:dyDescent="0.25">
      <c r="A15" s="5">
        <v>44644</v>
      </c>
      <c r="B15" s="7" t="s">
        <v>738</v>
      </c>
      <c r="C15" s="7">
        <v>112101</v>
      </c>
      <c r="D15" s="7" t="s">
        <v>282</v>
      </c>
      <c r="E15" s="8" t="s">
        <v>19</v>
      </c>
      <c r="F15" s="10" t="s">
        <v>561</v>
      </c>
      <c r="G15" s="7" t="s">
        <v>35</v>
      </c>
      <c r="H15" s="7" t="s">
        <v>562</v>
      </c>
      <c r="I15" s="10" t="s">
        <v>10</v>
      </c>
      <c r="J15" s="14">
        <v>85200</v>
      </c>
      <c r="K15" s="12">
        <v>63.2</v>
      </c>
      <c r="L15" s="13">
        <f t="shared" si="1"/>
        <v>1348.1012658227849</v>
      </c>
    </row>
    <row r="16" spans="1:14" x14ac:dyDescent="0.25">
      <c r="A16" s="5">
        <v>44644</v>
      </c>
      <c r="B16" s="6" t="s">
        <v>739</v>
      </c>
      <c r="C16" s="6">
        <v>122099</v>
      </c>
      <c r="D16" s="7" t="s">
        <v>559</v>
      </c>
      <c r="E16" s="8" t="s">
        <v>13</v>
      </c>
      <c r="F16" s="10" t="s">
        <v>560</v>
      </c>
      <c r="G16" s="9" t="s">
        <v>533</v>
      </c>
      <c r="H16" s="16" t="s">
        <v>563</v>
      </c>
      <c r="I16" s="10" t="s">
        <v>10</v>
      </c>
      <c r="J16" s="14">
        <v>719100</v>
      </c>
      <c r="K16" s="12">
        <v>63.2</v>
      </c>
      <c r="L16" s="13">
        <f t="shared" ref="L16:L98" si="2">J16/K16</f>
        <v>11378.164556962025</v>
      </c>
    </row>
    <row r="17" spans="1:12" x14ac:dyDescent="0.25">
      <c r="A17" s="5">
        <v>44680</v>
      </c>
      <c r="B17" s="6" t="s">
        <v>740</v>
      </c>
      <c r="C17" s="6">
        <v>122099</v>
      </c>
      <c r="D17" s="7" t="s">
        <v>564</v>
      </c>
      <c r="E17" s="8" t="s">
        <v>11</v>
      </c>
      <c r="F17" s="10" t="s">
        <v>565</v>
      </c>
      <c r="G17" s="9" t="s">
        <v>566</v>
      </c>
      <c r="H17" s="16" t="s">
        <v>568</v>
      </c>
      <c r="I17" s="10" t="s">
        <v>10</v>
      </c>
      <c r="J17" s="14">
        <v>10000</v>
      </c>
      <c r="K17" s="12">
        <v>63.2</v>
      </c>
      <c r="L17" s="13">
        <f t="shared" ref="L17:L97" si="3">J17/K17</f>
        <v>158.22784810126581</v>
      </c>
    </row>
    <row r="18" spans="1:12" x14ac:dyDescent="0.25">
      <c r="A18" s="5">
        <v>44686</v>
      </c>
      <c r="B18" s="6" t="s">
        <v>741</v>
      </c>
      <c r="C18" s="6">
        <v>121002</v>
      </c>
      <c r="D18" s="7" t="s">
        <v>578</v>
      </c>
      <c r="E18" s="8" t="s">
        <v>11</v>
      </c>
      <c r="F18" s="10" t="s">
        <v>565</v>
      </c>
      <c r="G18" s="9" t="s">
        <v>481</v>
      </c>
      <c r="H18" s="16" t="s">
        <v>579</v>
      </c>
      <c r="I18" s="10" t="s">
        <v>10</v>
      </c>
      <c r="J18" s="14">
        <v>104948</v>
      </c>
      <c r="K18" s="12">
        <v>63.2</v>
      </c>
      <c r="L18" s="13">
        <f t="shared" si="3"/>
        <v>1660.5696202531644</v>
      </c>
    </row>
    <row r="19" spans="1:12" x14ac:dyDescent="0.25">
      <c r="A19" s="5">
        <v>44687</v>
      </c>
      <c r="B19" s="6" t="s">
        <v>742</v>
      </c>
      <c r="C19" s="6">
        <v>122099</v>
      </c>
      <c r="D19" s="7" t="s">
        <v>567</v>
      </c>
      <c r="E19" s="8" t="s">
        <v>11</v>
      </c>
      <c r="F19" s="10" t="s">
        <v>565</v>
      </c>
      <c r="G19" s="9" t="s">
        <v>569</v>
      </c>
      <c r="H19" s="16" t="s">
        <v>570</v>
      </c>
      <c r="I19" s="10" t="s">
        <v>10</v>
      </c>
      <c r="J19" s="14">
        <v>26000</v>
      </c>
      <c r="K19" s="12">
        <v>63.2</v>
      </c>
      <c r="L19" s="13">
        <f t="shared" si="3"/>
        <v>411.39240506329111</v>
      </c>
    </row>
    <row r="20" spans="1:12" x14ac:dyDescent="0.25">
      <c r="A20" s="5">
        <v>44687</v>
      </c>
      <c r="B20" s="6" t="s">
        <v>743</v>
      </c>
      <c r="C20" s="6">
        <v>122099</v>
      </c>
      <c r="D20" s="7" t="s">
        <v>567</v>
      </c>
      <c r="E20" s="8" t="s">
        <v>11</v>
      </c>
      <c r="F20" s="10" t="s">
        <v>565</v>
      </c>
      <c r="G20" s="9" t="s">
        <v>569</v>
      </c>
      <c r="H20" s="16" t="s">
        <v>570</v>
      </c>
      <c r="I20" s="10" t="s">
        <v>10</v>
      </c>
      <c r="J20" s="14">
        <v>26000</v>
      </c>
      <c r="K20" s="12">
        <v>63.2</v>
      </c>
      <c r="L20" s="13">
        <f t="shared" si="3"/>
        <v>411.39240506329111</v>
      </c>
    </row>
    <row r="21" spans="1:12" x14ac:dyDescent="0.25">
      <c r="A21" s="5">
        <v>44687</v>
      </c>
      <c r="B21" s="6" t="s">
        <v>744</v>
      </c>
      <c r="C21" s="6">
        <v>112101</v>
      </c>
      <c r="D21" s="7" t="s">
        <v>571</v>
      </c>
      <c r="E21" s="8" t="s">
        <v>13</v>
      </c>
      <c r="F21" s="10" t="s">
        <v>572</v>
      </c>
      <c r="G21" s="9" t="s">
        <v>14</v>
      </c>
      <c r="H21" s="16" t="s">
        <v>573</v>
      </c>
      <c r="I21" s="10" t="s">
        <v>10</v>
      </c>
      <c r="J21" s="14">
        <v>42000</v>
      </c>
      <c r="K21" s="12">
        <v>63.2</v>
      </c>
      <c r="L21" s="13">
        <f t="shared" si="3"/>
        <v>664.55696202531647</v>
      </c>
    </row>
    <row r="22" spans="1:12" x14ac:dyDescent="0.25">
      <c r="A22" s="5">
        <v>44687</v>
      </c>
      <c r="B22" s="6" t="s">
        <v>745</v>
      </c>
      <c r="C22" s="6">
        <v>213001</v>
      </c>
      <c r="D22" s="7" t="s">
        <v>574</v>
      </c>
      <c r="E22" s="8" t="s">
        <v>19</v>
      </c>
      <c r="F22" s="10" t="s">
        <v>575</v>
      </c>
      <c r="G22" s="9" t="s">
        <v>576</v>
      </c>
      <c r="H22" s="16" t="s">
        <v>577</v>
      </c>
      <c r="I22" s="10" t="s">
        <v>10</v>
      </c>
      <c r="J22" s="14">
        <v>17641218.350000001</v>
      </c>
      <c r="K22" s="12">
        <v>63.2</v>
      </c>
      <c r="L22" s="13">
        <f t="shared" si="3"/>
        <v>279133.20174050634</v>
      </c>
    </row>
    <row r="23" spans="1:12" x14ac:dyDescent="0.25">
      <c r="A23" s="5">
        <v>44697</v>
      </c>
      <c r="B23" s="6" t="s">
        <v>746</v>
      </c>
      <c r="C23" s="6">
        <v>121001</v>
      </c>
      <c r="D23" s="7" t="s">
        <v>580</v>
      </c>
      <c r="E23" s="8" t="s">
        <v>11</v>
      </c>
      <c r="F23" s="10" t="s">
        <v>565</v>
      </c>
      <c r="G23" s="9" t="s">
        <v>481</v>
      </c>
      <c r="H23" s="16" t="s">
        <v>581</v>
      </c>
      <c r="I23" s="10" t="s">
        <v>10</v>
      </c>
      <c r="J23" s="14">
        <v>6600</v>
      </c>
      <c r="K23" s="12">
        <v>63.2</v>
      </c>
      <c r="L23" s="13">
        <f t="shared" si="3"/>
        <v>104.43037974683544</v>
      </c>
    </row>
    <row r="24" spans="1:12" x14ac:dyDescent="0.25">
      <c r="A24" s="5">
        <v>44697</v>
      </c>
      <c r="B24" s="6" t="s">
        <v>747</v>
      </c>
      <c r="C24" s="6">
        <v>213004</v>
      </c>
      <c r="D24" s="7" t="s">
        <v>582</v>
      </c>
      <c r="E24" s="8" t="s">
        <v>19</v>
      </c>
      <c r="F24" s="10" t="s">
        <v>583</v>
      </c>
      <c r="G24" s="9" t="s">
        <v>584</v>
      </c>
      <c r="H24" s="16" t="s">
        <v>585</v>
      </c>
      <c r="I24" s="10" t="s">
        <v>10</v>
      </c>
      <c r="J24" s="14">
        <v>1535434.28</v>
      </c>
      <c r="K24" s="12">
        <v>63.2</v>
      </c>
      <c r="L24" s="13">
        <f t="shared" si="3"/>
        <v>24294.846202531644</v>
      </c>
    </row>
    <row r="25" spans="1:12" ht="14.25" customHeight="1" x14ac:dyDescent="0.25">
      <c r="A25" s="5">
        <v>44699</v>
      </c>
      <c r="B25" s="6" t="s">
        <v>732</v>
      </c>
      <c r="C25" s="6">
        <v>121001</v>
      </c>
      <c r="D25" s="7" t="s">
        <v>578</v>
      </c>
      <c r="E25" s="8" t="s">
        <v>13</v>
      </c>
      <c r="F25" s="10" t="s">
        <v>586</v>
      </c>
      <c r="G25" s="9" t="s">
        <v>587</v>
      </c>
      <c r="H25" s="16" t="s">
        <v>588</v>
      </c>
      <c r="I25" s="10" t="s">
        <v>10</v>
      </c>
      <c r="J25" s="14">
        <v>14433.5</v>
      </c>
      <c r="K25" s="12">
        <v>63.2</v>
      </c>
      <c r="L25" s="13">
        <f t="shared" si="3"/>
        <v>228.37816455696202</v>
      </c>
    </row>
    <row r="26" spans="1:12" x14ac:dyDescent="0.25">
      <c r="A26" s="5">
        <v>44699</v>
      </c>
      <c r="B26" s="6" t="s">
        <v>731</v>
      </c>
      <c r="C26" s="6">
        <v>112101</v>
      </c>
      <c r="D26" s="7" t="s">
        <v>282</v>
      </c>
      <c r="E26" s="8" t="s">
        <v>13</v>
      </c>
      <c r="F26" s="10" t="s">
        <v>586</v>
      </c>
      <c r="G26" s="9" t="s">
        <v>35</v>
      </c>
      <c r="H26" s="16" t="s">
        <v>589</v>
      </c>
      <c r="I26" s="10" t="s">
        <v>10</v>
      </c>
      <c r="J26" s="14">
        <v>478800</v>
      </c>
      <c r="K26" s="12">
        <v>63.2</v>
      </c>
      <c r="L26" s="13">
        <f t="shared" si="3"/>
        <v>7575.9493670886077</v>
      </c>
    </row>
    <row r="27" spans="1:12" x14ac:dyDescent="0.25">
      <c r="A27" s="5">
        <v>44699</v>
      </c>
      <c r="B27" s="6" t="s">
        <v>730</v>
      </c>
      <c r="C27" s="6">
        <v>122099</v>
      </c>
      <c r="D27" s="7" t="s">
        <v>590</v>
      </c>
      <c r="E27" s="8" t="s">
        <v>11</v>
      </c>
      <c r="F27" s="10" t="s">
        <v>565</v>
      </c>
      <c r="G27" s="9" t="s">
        <v>566</v>
      </c>
      <c r="H27" s="16" t="s">
        <v>591</v>
      </c>
      <c r="I27" s="10" t="s">
        <v>10</v>
      </c>
      <c r="J27" s="14">
        <v>28000</v>
      </c>
      <c r="K27" s="12">
        <v>63.2</v>
      </c>
      <c r="L27" s="13">
        <f t="shared" si="3"/>
        <v>443.03797468354429</v>
      </c>
    </row>
    <row r="28" spans="1:12" x14ac:dyDescent="0.25">
      <c r="A28" s="5">
        <v>44706</v>
      </c>
      <c r="B28" s="6" t="s">
        <v>667</v>
      </c>
      <c r="C28" s="6">
        <v>112101</v>
      </c>
      <c r="D28" s="7" t="s">
        <v>282</v>
      </c>
      <c r="E28" s="8" t="s">
        <v>13</v>
      </c>
      <c r="F28" s="10" t="s">
        <v>668</v>
      </c>
      <c r="G28" s="9" t="s">
        <v>35</v>
      </c>
      <c r="H28" s="16" t="s">
        <v>669</v>
      </c>
      <c r="I28" s="10" t="s">
        <v>10</v>
      </c>
      <c r="J28" s="14">
        <v>349800</v>
      </c>
      <c r="K28" s="12">
        <v>63.2</v>
      </c>
      <c r="L28" s="13">
        <f t="shared" si="3"/>
        <v>5534.8101265822779</v>
      </c>
    </row>
    <row r="29" spans="1:12" x14ac:dyDescent="0.25">
      <c r="A29" s="5">
        <v>44706</v>
      </c>
      <c r="B29" s="6" t="s">
        <v>670</v>
      </c>
      <c r="C29" s="6">
        <v>112101</v>
      </c>
      <c r="D29" s="7" t="s">
        <v>282</v>
      </c>
      <c r="E29" s="8" t="s">
        <v>13</v>
      </c>
      <c r="F29" s="10" t="s">
        <v>668</v>
      </c>
      <c r="G29" s="9" t="s">
        <v>35</v>
      </c>
      <c r="H29" s="16" t="s">
        <v>671</v>
      </c>
      <c r="I29" s="10" t="s">
        <v>10</v>
      </c>
      <c r="J29" s="14">
        <v>409200</v>
      </c>
      <c r="K29" s="12">
        <v>63.2</v>
      </c>
      <c r="L29" s="13">
        <f t="shared" si="3"/>
        <v>6474.6835443037971</v>
      </c>
    </row>
    <row r="30" spans="1:12" x14ac:dyDescent="0.25">
      <c r="A30" s="5">
        <v>44708</v>
      </c>
      <c r="B30" s="6" t="s">
        <v>729</v>
      </c>
      <c r="C30" s="6">
        <v>122099</v>
      </c>
      <c r="D30" s="7" t="s">
        <v>375</v>
      </c>
      <c r="E30" s="8" t="s">
        <v>11</v>
      </c>
      <c r="F30" s="10" t="s">
        <v>565</v>
      </c>
      <c r="G30" s="9" t="s">
        <v>672</v>
      </c>
      <c r="H30" s="16" t="s">
        <v>673</v>
      </c>
      <c r="I30" s="10" t="s">
        <v>10</v>
      </c>
      <c r="J30" s="14">
        <v>25038</v>
      </c>
      <c r="K30" s="12">
        <v>63.2</v>
      </c>
      <c r="L30" s="13">
        <f t="shared" si="3"/>
        <v>396.17088607594934</v>
      </c>
    </row>
    <row r="31" spans="1:12" x14ac:dyDescent="0.25">
      <c r="A31" s="5">
        <v>44708</v>
      </c>
      <c r="B31" s="6" t="s">
        <v>729</v>
      </c>
      <c r="C31" s="6">
        <v>122099</v>
      </c>
      <c r="D31" s="7" t="s">
        <v>375</v>
      </c>
      <c r="E31" s="8" t="s">
        <v>19</v>
      </c>
      <c r="F31" s="10" t="s">
        <v>532</v>
      </c>
      <c r="G31" s="9" t="s">
        <v>672</v>
      </c>
      <c r="H31" s="16" t="s">
        <v>674</v>
      </c>
      <c r="I31" s="10" t="s">
        <v>10</v>
      </c>
      <c r="J31" s="14">
        <v>25038</v>
      </c>
      <c r="K31" s="12">
        <v>63.2</v>
      </c>
      <c r="L31" s="13">
        <f t="shared" si="3"/>
        <v>396.17088607594934</v>
      </c>
    </row>
    <row r="32" spans="1:12" x14ac:dyDescent="0.25">
      <c r="A32" s="5">
        <v>44708</v>
      </c>
      <c r="B32" s="6" t="s">
        <v>675</v>
      </c>
      <c r="C32" s="6">
        <v>121001</v>
      </c>
      <c r="D32" s="7" t="s">
        <v>676</v>
      </c>
      <c r="E32" s="8" t="s">
        <v>13</v>
      </c>
      <c r="F32" s="10" t="s">
        <v>668</v>
      </c>
      <c r="G32" s="9" t="s">
        <v>677</v>
      </c>
      <c r="H32" s="16" t="s">
        <v>678</v>
      </c>
      <c r="I32" s="10" t="s">
        <v>10</v>
      </c>
      <c r="J32" s="14">
        <v>11995.2</v>
      </c>
      <c r="K32" s="12">
        <v>63.2</v>
      </c>
      <c r="L32" s="13">
        <f t="shared" si="3"/>
        <v>189.79746835443038</v>
      </c>
    </row>
    <row r="33" spans="1:14" x14ac:dyDescent="0.25">
      <c r="A33" s="5">
        <v>44708</v>
      </c>
      <c r="B33" s="6" t="s">
        <v>728</v>
      </c>
      <c r="C33" s="6">
        <v>122099</v>
      </c>
      <c r="D33" s="7" t="s">
        <v>375</v>
      </c>
      <c r="E33" s="8" t="s">
        <v>19</v>
      </c>
      <c r="F33" s="10" t="s">
        <v>532</v>
      </c>
      <c r="G33" s="9" t="s">
        <v>679</v>
      </c>
      <c r="H33" s="16" t="s">
        <v>680</v>
      </c>
      <c r="I33" s="10" t="s">
        <v>10</v>
      </c>
      <c r="J33" s="14">
        <v>160243.20000000001</v>
      </c>
      <c r="K33" s="12">
        <v>63.2</v>
      </c>
      <c r="L33" s="13">
        <f t="shared" si="3"/>
        <v>2535.493670886076</v>
      </c>
    </row>
    <row r="34" spans="1:14" x14ac:dyDescent="0.25">
      <c r="A34" s="5">
        <v>44708</v>
      </c>
      <c r="B34" s="6" t="s">
        <v>727</v>
      </c>
      <c r="C34" s="6">
        <v>122099</v>
      </c>
      <c r="D34" s="7" t="s">
        <v>375</v>
      </c>
      <c r="E34" s="8" t="s">
        <v>19</v>
      </c>
      <c r="F34" s="10" t="s">
        <v>681</v>
      </c>
      <c r="G34" s="9" t="s">
        <v>672</v>
      </c>
      <c r="H34" s="16" t="s">
        <v>682</v>
      </c>
      <c r="I34" s="10" t="s">
        <v>10</v>
      </c>
      <c r="J34" s="14">
        <v>25038</v>
      </c>
      <c r="K34" s="12">
        <v>63.2</v>
      </c>
      <c r="L34" s="13">
        <f t="shared" si="3"/>
        <v>396.17088607594934</v>
      </c>
    </row>
    <row r="35" spans="1:14" x14ac:dyDescent="0.25">
      <c r="A35" s="5">
        <v>44713</v>
      </c>
      <c r="B35" s="6" t="s">
        <v>725</v>
      </c>
      <c r="C35" s="6">
        <v>112101</v>
      </c>
      <c r="D35" s="7" t="s">
        <v>282</v>
      </c>
      <c r="E35" s="8" t="s">
        <v>13</v>
      </c>
      <c r="F35" s="10" t="s">
        <v>586</v>
      </c>
      <c r="G35" s="9" t="s">
        <v>35</v>
      </c>
      <c r="H35" s="16" t="s">
        <v>683</v>
      </c>
      <c r="I35" s="10" t="s">
        <v>10</v>
      </c>
      <c r="J35" s="14">
        <v>1219800</v>
      </c>
      <c r="K35" s="12">
        <v>63.2</v>
      </c>
      <c r="L35" s="13">
        <f t="shared" si="3"/>
        <v>19300.632911392404</v>
      </c>
    </row>
    <row r="36" spans="1:14" x14ac:dyDescent="0.25">
      <c r="A36" s="5">
        <v>44713</v>
      </c>
      <c r="B36" s="6" t="s">
        <v>726</v>
      </c>
      <c r="C36" s="6">
        <v>112101</v>
      </c>
      <c r="D36" s="7" t="s">
        <v>282</v>
      </c>
      <c r="E36" s="8" t="s">
        <v>19</v>
      </c>
      <c r="F36" s="10" t="s">
        <v>561</v>
      </c>
      <c r="G36" s="9" t="s">
        <v>35</v>
      </c>
      <c r="H36" s="16" t="s">
        <v>684</v>
      </c>
      <c r="I36" s="10" t="s">
        <v>10</v>
      </c>
      <c r="J36" s="14">
        <v>26400</v>
      </c>
      <c r="K36" s="12">
        <v>63.2</v>
      </c>
      <c r="L36" s="13">
        <f t="shared" si="3"/>
        <v>417.72151898734177</v>
      </c>
    </row>
    <row r="37" spans="1:14" x14ac:dyDescent="0.25">
      <c r="A37" s="5">
        <v>44713</v>
      </c>
      <c r="B37" s="6" t="s">
        <v>718</v>
      </c>
      <c r="C37" s="6">
        <v>121028</v>
      </c>
      <c r="D37" s="7" t="s">
        <v>686</v>
      </c>
      <c r="E37" s="8" t="s">
        <v>19</v>
      </c>
      <c r="F37" s="10" t="s">
        <v>532</v>
      </c>
      <c r="G37" s="9" t="s">
        <v>35</v>
      </c>
      <c r="H37" s="16" t="s">
        <v>687</v>
      </c>
      <c r="I37" s="10" t="s">
        <v>10</v>
      </c>
      <c r="J37" s="14">
        <v>2174425</v>
      </c>
      <c r="K37" s="12">
        <v>63.2</v>
      </c>
      <c r="L37" s="13">
        <f t="shared" si="3"/>
        <v>34405.458860759492</v>
      </c>
    </row>
    <row r="38" spans="1:14" x14ac:dyDescent="0.25">
      <c r="A38" s="5">
        <v>44713</v>
      </c>
      <c r="B38" s="6" t="s">
        <v>719</v>
      </c>
      <c r="C38" s="6">
        <v>122099</v>
      </c>
      <c r="D38" s="7" t="s">
        <v>404</v>
      </c>
      <c r="E38" s="8" t="s">
        <v>13</v>
      </c>
      <c r="F38" s="10" t="s">
        <v>688</v>
      </c>
      <c r="G38" s="9" t="s">
        <v>689</v>
      </c>
      <c r="H38" s="16" t="s">
        <v>690</v>
      </c>
      <c r="I38" s="10" t="s">
        <v>10</v>
      </c>
      <c r="J38" s="14">
        <f>119400+83600</f>
        <v>203000</v>
      </c>
      <c r="K38" s="12">
        <v>63.2</v>
      </c>
      <c r="L38" s="13">
        <f t="shared" si="3"/>
        <v>3212.0253164556962</v>
      </c>
    </row>
    <row r="39" spans="1:14" x14ac:dyDescent="0.25">
      <c r="A39" s="5">
        <v>44713</v>
      </c>
      <c r="B39" s="6" t="s">
        <v>720</v>
      </c>
      <c r="C39" s="6">
        <v>122099</v>
      </c>
      <c r="D39" s="7" t="s">
        <v>404</v>
      </c>
      <c r="E39" s="8" t="s">
        <v>13</v>
      </c>
      <c r="F39" s="10" t="s">
        <v>668</v>
      </c>
      <c r="G39" s="9" t="s">
        <v>691</v>
      </c>
      <c r="H39" s="16" t="s">
        <v>692</v>
      </c>
      <c r="I39" s="10" t="s">
        <v>10</v>
      </c>
      <c r="J39" s="14">
        <v>291700</v>
      </c>
      <c r="K39" s="12">
        <v>63.2</v>
      </c>
      <c r="L39" s="13">
        <f t="shared" si="3"/>
        <v>4615.506329113924</v>
      </c>
      <c r="N39" s="31"/>
    </row>
    <row r="40" spans="1:14" x14ac:dyDescent="0.25">
      <c r="A40" s="5">
        <v>44713</v>
      </c>
      <c r="B40" s="6" t="s">
        <v>721</v>
      </c>
      <c r="C40" s="6">
        <v>122099</v>
      </c>
      <c r="D40" s="7" t="s">
        <v>29</v>
      </c>
      <c r="E40" s="8" t="s">
        <v>13</v>
      </c>
      <c r="F40" s="10" t="s">
        <v>668</v>
      </c>
      <c r="G40" s="9" t="s">
        <v>693</v>
      </c>
      <c r="H40" s="16" t="s">
        <v>716</v>
      </c>
      <c r="I40" s="10" t="s">
        <v>10</v>
      </c>
      <c r="J40" s="14">
        <v>87732.98</v>
      </c>
      <c r="K40" s="12">
        <v>63.2</v>
      </c>
      <c r="L40" s="13">
        <f t="shared" si="3"/>
        <v>1388.180063291139</v>
      </c>
    </row>
    <row r="41" spans="1:14" x14ac:dyDescent="0.25">
      <c r="A41" s="5">
        <v>44713</v>
      </c>
      <c r="B41" s="6" t="s">
        <v>721</v>
      </c>
      <c r="C41" s="6">
        <v>122099</v>
      </c>
      <c r="D41" s="7" t="s">
        <v>29</v>
      </c>
      <c r="E41" s="8" t="s">
        <v>13</v>
      </c>
      <c r="F41" s="10" t="s">
        <v>668</v>
      </c>
      <c r="G41" s="9" t="s">
        <v>693</v>
      </c>
      <c r="H41" s="16" t="s">
        <v>717</v>
      </c>
      <c r="I41" s="10" t="s">
        <v>10</v>
      </c>
      <c r="J41" s="14">
        <v>87732.98</v>
      </c>
      <c r="K41" s="12">
        <v>63.2</v>
      </c>
      <c r="L41" s="13">
        <f t="shared" si="3"/>
        <v>1388.180063291139</v>
      </c>
    </row>
    <row r="42" spans="1:14" x14ac:dyDescent="0.25">
      <c r="A42" s="5">
        <v>44713</v>
      </c>
      <c r="B42" s="6" t="s">
        <v>724</v>
      </c>
      <c r="C42" s="6">
        <v>122099</v>
      </c>
      <c r="D42" s="7" t="s">
        <v>375</v>
      </c>
      <c r="E42" s="8" t="s">
        <v>13</v>
      </c>
      <c r="F42" s="10" t="s">
        <v>668</v>
      </c>
      <c r="G42" s="9" t="s">
        <v>694</v>
      </c>
      <c r="H42" s="16" t="s">
        <v>695</v>
      </c>
      <c r="I42" s="10" t="s">
        <v>10</v>
      </c>
      <c r="J42" s="14">
        <v>353035.8</v>
      </c>
      <c r="K42" s="12">
        <v>63.2</v>
      </c>
      <c r="L42" s="13">
        <f t="shared" si="3"/>
        <v>5586.0094936708856</v>
      </c>
    </row>
    <row r="43" spans="1:14" x14ac:dyDescent="0.25">
      <c r="A43" s="5">
        <v>44713</v>
      </c>
      <c r="B43" s="6" t="s">
        <v>722</v>
      </c>
      <c r="C43" s="6">
        <v>122002</v>
      </c>
      <c r="D43" s="7" t="s">
        <v>320</v>
      </c>
      <c r="E43" s="8" t="s">
        <v>13</v>
      </c>
      <c r="F43" s="10" t="s">
        <v>668</v>
      </c>
      <c r="G43" s="9" t="s">
        <v>696</v>
      </c>
      <c r="H43" s="16" t="s">
        <v>699</v>
      </c>
      <c r="I43" s="10" t="s">
        <v>10</v>
      </c>
      <c r="J43" s="14">
        <f>117138+45776+45776+41776+41776+41776+41776</f>
        <v>375794</v>
      </c>
      <c r="K43" s="12">
        <v>63.2</v>
      </c>
      <c r="L43" s="13">
        <f t="shared" si="3"/>
        <v>5946.1075949367087</v>
      </c>
      <c r="N43" s="81"/>
    </row>
    <row r="44" spans="1:14" x14ac:dyDescent="0.25">
      <c r="A44" s="5">
        <v>44713</v>
      </c>
      <c r="B44" s="6" t="s">
        <v>723</v>
      </c>
      <c r="C44" s="6">
        <v>122002</v>
      </c>
      <c r="D44" s="7" t="s">
        <v>320</v>
      </c>
      <c r="E44" s="8" t="s">
        <v>13</v>
      </c>
      <c r="F44" s="10" t="s">
        <v>586</v>
      </c>
      <c r="G44" s="9" t="s">
        <v>697</v>
      </c>
      <c r="H44" s="16" t="s">
        <v>698</v>
      </c>
      <c r="I44" s="10" t="s">
        <v>10</v>
      </c>
      <c r="J44" s="14">
        <f>39046+40276+39046+36326+36326</f>
        <v>191020</v>
      </c>
      <c r="K44" s="12">
        <v>63.2</v>
      </c>
      <c r="L44" s="13">
        <f t="shared" si="3"/>
        <v>3022.4683544303798</v>
      </c>
    </row>
    <row r="45" spans="1:14" x14ac:dyDescent="0.25">
      <c r="A45" s="5">
        <v>44721</v>
      </c>
      <c r="B45" s="6" t="s">
        <v>701</v>
      </c>
      <c r="C45" s="6">
        <v>112101</v>
      </c>
      <c r="D45" s="7" t="s">
        <v>282</v>
      </c>
      <c r="E45" s="8" t="s">
        <v>13</v>
      </c>
      <c r="F45" s="10" t="s">
        <v>586</v>
      </c>
      <c r="G45" s="9" t="s">
        <v>35</v>
      </c>
      <c r="H45" s="16" t="s">
        <v>700</v>
      </c>
      <c r="I45" s="10" t="s">
        <v>10</v>
      </c>
      <c r="J45" s="14">
        <v>582600</v>
      </c>
      <c r="K45" s="12">
        <v>63.2</v>
      </c>
      <c r="L45" s="13">
        <f t="shared" si="3"/>
        <v>9218.3544303797462</v>
      </c>
    </row>
    <row r="46" spans="1:14" x14ac:dyDescent="0.25">
      <c r="A46" s="5">
        <v>44719</v>
      </c>
      <c r="B46" s="6" t="s">
        <v>750</v>
      </c>
      <c r="C46" s="6">
        <v>112101</v>
      </c>
      <c r="D46" s="7" t="s">
        <v>282</v>
      </c>
      <c r="E46" s="8" t="s">
        <v>13</v>
      </c>
      <c r="F46" s="10" t="s">
        <v>586</v>
      </c>
      <c r="G46" s="9" t="s">
        <v>35</v>
      </c>
      <c r="H46" s="16" t="s">
        <v>751</v>
      </c>
      <c r="I46" s="10" t="s">
        <v>10</v>
      </c>
      <c r="J46" s="14">
        <v>198000</v>
      </c>
      <c r="K46" s="12">
        <v>63.2</v>
      </c>
      <c r="L46" s="13">
        <f t="shared" si="3"/>
        <v>3132.911392405063</v>
      </c>
    </row>
    <row r="47" spans="1:14" x14ac:dyDescent="0.25">
      <c r="A47" s="5">
        <v>44721</v>
      </c>
      <c r="B47" s="6" t="s">
        <v>702</v>
      </c>
      <c r="C47" s="6">
        <v>112101</v>
      </c>
      <c r="D47" s="7" t="s">
        <v>282</v>
      </c>
      <c r="E47" s="8" t="s">
        <v>13</v>
      </c>
      <c r="F47" s="10" t="s">
        <v>586</v>
      </c>
      <c r="G47" s="9" t="s">
        <v>35</v>
      </c>
      <c r="H47" s="16" t="s">
        <v>703</v>
      </c>
      <c r="I47" s="10" t="s">
        <v>10</v>
      </c>
      <c r="J47" s="14">
        <f>399000+95400</f>
        <v>494400</v>
      </c>
      <c r="K47" s="12">
        <v>63.2</v>
      </c>
      <c r="L47" s="13">
        <f t="shared" si="3"/>
        <v>7822.7848101265818</v>
      </c>
      <c r="N47" s="82"/>
    </row>
    <row r="48" spans="1:14" x14ac:dyDescent="0.25">
      <c r="A48" s="5">
        <v>44721</v>
      </c>
      <c r="B48" s="6" t="s">
        <v>704</v>
      </c>
      <c r="C48" s="6">
        <v>121001</v>
      </c>
      <c r="D48" s="7" t="s">
        <v>676</v>
      </c>
      <c r="E48" s="8" t="s">
        <v>13</v>
      </c>
      <c r="F48" s="10" t="s">
        <v>668</v>
      </c>
      <c r="G48" s="9" t="s">
        <v>705</v>
      </c>
      <c r="H48" s="16" t="s">
        <v>706</v>
      </c>
      <c r="I48" s="10" t="s">
        <v>10</v>
      </c>
      <c r="J48" s="14">
        <v>20327.650000000001</v>
      </c>
      <c r="K48" s="12">
        <v>63.2</v>
      </c>
      <c r="L48" s="13">
        <f t="shared" si="3"/>
        <v>321.64003164556965</v>
      </c>
    </row>
    <row r="49" spans="1:12" x14ac:dyDescent="0.25">
      <c r="A49" s="5">
        <v>44719</v>
      </c>
      <c r="B49" s="83" t="s">
        <v>748</v>
      </c>
      <c r="C49" s="6">
        <v>112101</v>
      </c>
      <c r="D49" s="7" t="s">
        <v>282</v>
      </c>
      <c r="E49" s="8" t="s">
        <v>13</v>
      </c>
      <c r="F49" s="10" t="s">
        <v>668</v>
      </c>
      <c r="G49" s="9" t="s">
        <v>35</v>
      </c>
      <c r="H49" s="16" t="s">
        <v>749</v>
      </c>
      <c r="I49" s="10" t="s">
        <v>10</v>
      </c>
      <c r="J49" s="14">
        <v>148800</v>
      </c>
      <c r="K49" s="12">
        <v>63.2</v>
      </c>
      <c r="L49" s="13">
        <f t="shared" si="3"/>
        <v>2354.4303797468351</v>
      </c>
    </row>
    <row r="50" spans="1:12" x14ac:dyDescent="0.25">
      <c r="A50" s="5">
        <v>44721</v>
      </c>
      <c r="B50" s="6" t="s">
        <v>707</v>
      </c>
      <c r="C50" s="6">
        <v>121001</v>
      </c>
      <c r="D50" s="7" t="s">
        <v>432</v>
      </c>
      <c r="E50" s="8" t="s">
        <v>13</v>
      </c>
      <c r="F50" s="10" t="s">
        <v>586</v>
      </c>
      <c r="G50" s="9" t="s">
        <v>708</v>
      </c>
      <c r="H50" s="16" t="s">
        <v>709</v>
      </c>
      <c r="I50" s="10" t="s">
        <v>10</v>
      </c>
      <c r="J50" s="14">
        <v>16564</v>
      </c>
      <c r="K50" s="12">
        <v>63.2</v>
      </c>
      <c r="L50" s="13">
        <f t="shared" si="3"/>
        <v>262.08860759493672</v>
      </c>
    </row>
    <row r="51" spans="1:12" x14ac:dyDescent="0.25">
      <c r="A51" s="5">
        <v>44722</v>
      </c>
      <c r="B51" s="6" t="s">
        <v>752</v>
      </c>
      <c r="C51" s="6">
        <v>121001</v>
      </c>
      <c r="D51" s="7" t="s">
        <v>282</v>
      </c>
      <c r="E51" s="8" t="s">
        <v>13</v>
      </c>
      <c r="F51" s="10" t="s">
        <v>572</v>
      </c>
      <c r="G51" s="9" t="s">
        <v>753</v>
      </c>
      <c r="H51" s="16" t="s">
        <v>754</v>
      </c>
      <c r="I51" s="10" t="s">
        <v>10</v>
      </c>
      <c r="J51" s="14">
        <v>30138.9</v>
      </c>
      <c r="K51" s="12">
        <v>63.2</v>
      </c>
      <c r="L51" s="13">
        <f t="shared" si="3"/>
        <v>476.88132911392404</v>
      </c>
    </row>
    <row r="52" spans="1:12" x14ac:dyDescent="0.25">
      <c r="A52" s="5">
        <v>44722</v>
      </c>
      <c r="B52" s="83" t="s">
        <v>755</v>
      </c>
      <c r="C52" s="6">
        <v>112101</v>
      </c>
      <c r="D52" s="7" t="s">
        <v>282</v>
      </c>
      <c r="E52" s="8" t="s">
        <v>13</v>
      </c>
      <c r="F52" s="10" t="s">
        <v>572</v>
      </c>
      <c r="G52" s="9" t="s">
        <v>35</v>
      </c>
      <c r="H52" s="16" t="s">
        <v>756</v>
      </c>
      <c r="I52" s="10" t="s">
        <v>10</v>
      </c>
      <c r="J52" s="14">
        <v>585000</v>
      </c>
      <c r="K52" s="12">
        <v>63.2</v>
      </c>
      <c r="L52" s="13">
        <f t="shared" si="3"/>
        <v>9256.32911392405</v>
      </c>
    </row>
    <row r="53" spans="1:12" x14ac:dyDescent="0.25">
      <c r="A53" s="5">
        <v>44722</v>
      </c>
      <c r="B53" s="83" t="s">
        <v>763</v>
      </c>
      <c r="C53" s="6">
        <v>122099</v>
      </c>
      <c r="D53" s="7" t="s">
        <v>757</v>
      </c>
      <c r="E53" s="8" t="s">
        <v>13</v>
      </c>
      <c r="F53" s="10" t="s">
        <v>572</v>
      </c>
      <c r="G53" s="9"/>
      <c r="H53" s="16" t="s">
        <v>758</v>
      </c>
      <c r="I53" s="10" t="s">
        <v>10</v>
      </c>
      <c r="J53" s="14">
        <v>860</v>
      </c>
      <c r="K53" s="12">
        <v>63.2</v>
      </c>
      <c r="L53" s="13">
        <f t="shared" si="3"/>
        <v>13.60759493670886</v>
      </c>
    </row>
    <row r="54" spans="1:12" x14ac:dyDescent="0.25">
      <c r="A54" s="5">
        <v>44722</v>
      </c>
      <c r="B54" s="83" t="s">
        <v>762</v>
      </c>
      <c r="C54" s="6">
        <v>122099</v>
      </c>
      <c r="D54" s="7" t="s">
        <v>759</v>
      </c>
      <c r="E54" s="8" t="s">
        <v>13</v>
      </c>
      <c r="F54" s="10" t="s">
        <v>572</v>
      </c>
      <c r="G54" s="9"/>
      <c r="H54" s="16" t="s">
        <v>760</v>
      </c>
      <c r="I54" s="10" t="s">
        <v>10</v>
      </c>
      <c r="J54" s="14">
        <v>20260</v>
      </c>
      <c r="K54" s="12">
        <v>63.2</v>
      </c>
      <c r="L54" s="13">
        <f t="shared" si="3"/>
        <v>320.56962025316454</v>
      </c>
    </row>
    <row r="55" spans="1:12" x14ac:dyDescent="0.25">
      <c r="A55" s="5">
        <v>44723</v>
      </c>
      <c r="B55" s="83" t="s">
        <v>761</v>
      </c>
      <c r="C55" s="6">
        <v>112101</v>
      </c>
      <c r="D55" s="7" t="s">
        <v>282</v>
      </c>
      <c r="E55" s="8" t="s">
        <v>13</v>
      </c>
      <c r="F55" s="10" t="s">
        <v>572</v>
      </c>
      <c r="G55" s="9" t="s">
        <v>35</v>
      </c>
      <c r="H55" s="16" t="s">
        <v>764</v>
      </c>
      <c r="I55" s="10" t="s">
        <v>10</v>
      </c>
      <c r="J55" s="14">
        <v>1092000</v>
      </c>
      <c r="K55" s="12">
        <v>63.2</v>
      </c>
      <c r="L55" s="13">
        <f t="shared" si="3"/>
        <v>17278.481012658227</v>
      </c>
    </row>
    <row r="56" spans="1:12" x14ac:dyDescent="0.25">
      <c r="A56" s="5">
        <v>44722</v>
      </c>
      <c r="B56" s="83" t="s">
        <v>765</v>
      </c>
      <c r="C56" s="6">
        <v>121001</v>
      </c>
      <c r="D56" s="7" t="s">
        <v>766</v>
      </c>
      <c r="E56" s="8" t="s">
        <v>13</v>
      </c>
      <c r="F56" s="10" t="s">
        <v>572</v>
      </c>
      <c r="G56" s="9" t="s">
        <v>767</v>
      </c>
      <c r="H56" s="16" t="s">
        <v>768</v>
      </c>
      <c r="I56" s="10" t="s">
        <v>10</v>
      </c>
      <c r="J56" s="14">
        <v>44369.1</v>
      </c>
      <c r="K56" s="12">
        <v>63.2</v>
      </c>
      <c r="L56" s="13">
        <f t="shared" si="3"/>
        <v>702.04272151898726</v>
      </c>
    </row>
    <row r="57" spans="1:12" x14ac:dyDescent="0.25">
      <c r="A57" s="5">
        <v>44722</v>
      </c>
      <c r="B57" s="83" t="s">
        <v>769</v>
      </c>
      <c r="C57" s="6">
        <v>112101</v>
      </c>
      <c r="D57" s="7" t="s">
        <v>282</v>
      </c>
      <c r="E57" s="8" t="s">
        <v>13</v>
      </c>
      <c r="F57" s="10" t="s">
        <v>572</v>
      </c>
      <c r="G57" s="9" t="s">
        <v>35</v>
      </c>
      <c r="H57" s="16" t="s">
        <v>770</v>
      </c>
      <c r="I57" s="10" t="s">
        <v>10</v>
      </c>
      <c r="J57" s="14">
        <v>504600</v>
      </c>
      <c r="K57" s="12">
        <v>63.2</v>
      </c>
      <c r="L57" s="13">
        <f t="shared" si="3"/>
        <v>7984.1772151898731</v>
      </c>
    </row>
    <row r="58" spans="1:12" x14ac:dyDescent="0.25">
      <c r="A58" s="5">
        <v>44722</v>
      </c>
      <c r="B58" s="83" t="s">
        <v>771</v>
      </c>
      <c r="C58" s="6">
        <v>122099</v>
      </c>
      <c r="D58" s="7" t="s">
        <v>843</v>
      </c>
      <c r="E58" s="8" t="s">
        <v>13</v>
      </c>
      <c r="F58" s="10" t="s">
        <v>572</v>
      </c>
      <c r="G58" s="9"/>
      <c r="H58" s="16" t="s">
        <v>772</v>
      </c>
      <c r="I58" s="10" t="s">
        <v>10</v>
      </c>
      <c r="J58" s="14">
        <v>148700</v>
      </c>
      <c r="K58" s="12">
        <v>63.2</v>
      </c>
      <c r="L58" s="13">
        <f t="shared" si="3"/>
        <v>2352.8481012658226</v>
      </c>
    </row>
    <row r="59" spans="1:12" x14ac:dyDescent="0.25">
      <c r="A59" s="5">
        <v>44722</v>
      </c>
      <c r="B59" s="83" t="s">
        <v>773</v>
      </c>
      <c r="C59" s="6">
        <v>121001</v>
      </c>
      <c r="D59" s="7" t="s">
        <v>774</v>
      </c>
      <c r="E59" s="8" t="s">
        <v>13</v>
      </c>
      <c r="F59" s="10" t="s">
        <v>572</v>
      </c>
      <c r="G59" s="9" t="s">
        <v>775</v>
      </c>
      <c r="H59" s="16" t="s">
        <v>776</v>
      </c>
      <c r="I59" s="10" t="s">
        <v>10</v>
      </c>
      <c r="J59" s="14">
        <v>76489.899999999994</v>
      </c>
      <c r="K59" s="12">
        <v>63.2</v>
      </c>
      <c r="L59" s="13">
        <f t="shared" si="3"/>
        <v>1210.2832278481012</v>
      </c>
    </row>
    <row r="60" spans="1:12" x14ac:dyDescent="0.25">
      <c r="A60" s="5">
        <v>44723</v>
      </c>
      <c r="B60" s="83" t="s">
        <v>777</v>
      </c>
      <c r="C60" s="6">
        <v>112101</v>
      </c>
      <c r="D60" s="7" t="s">
        <v>282</v>
      </c>
      <c r="E60" s="8" t="s">
        <v>13</v>
      </c>
      <c r="F60" s="10" t="s">
        <v>688</v>
      </c>
      <c r="G60" s="9" t="s">
        <v>35</v>
      </c>
      <c r="H60" s="16" t="s">
        <v>778</v>
      </c>
      <c r="I60" s="10" t="s">
        <v>10</v>
      </c>
      <c r="J60" s="14">
        <v>672600</v>
      </c>
      <c r="K60" s="12">
        <v>63.2</v>
      </c>
      <c r="L60" s="13">
        <f t="shared" si="3"/>
        <v>10642.405063291139</v>
      </c>
    </row>
    <row r="61" spans="1:12" x14ac:dyDescent="0.25">
      <c r="A61" s="5">
        <v>44727</v>
      </c>
      <c r="B61" s="83" t="s">
        <v>779</v>
      </c>
      <c r="C61" s="6">
        <v>112101</v>
      </c>
      <c r="D61" s="7" t="s">
        <v>282</v>
      </c>
      <c r="E61" s="8" t="s">
        <v>13</v>
      </c>
      <c r="F61" s="10" t="s">
        <v>504</v>
      </c>
      <c r="G61" s="9" t="s">
        <v>35</v>
      </c>
      <c r="H61" s="16" t="s">
        <v>780</v>
      </c>
      <c r="I61" s="10" t="s">
        <v>10</v>
      </c>
      <c r="J61" s="14">
        <v>27600</v>
      </c>
      <c r="K61" s="12">
        <v>63.2</v>
      </c>
      <c r="L61" s="13">
        <f t="shared" si="3"/>
        <v>436.70886075949363</v>
      </c>
    </row>
    <row r="62" spans="1:12" x14ac:dyDescent="0.25">
      <c r="A62" s="5">
        <v>44727</v>
      </c>
      <c r="B62" s="83" t="s">
        <v>781</v>
      </c>
      <c r="C62" s="6">
        <v>122099</v>
      </c>
      <c r="D62" s="7" t="s">
        <v>782</v>
      </c>
      <c r="E62" s="8" t="s">
        <v>13</v>
      </c>
      <c r="F62" s="10" t="s">
        <v>688</v>
      </c>
      <c r="G62" s="9" t="s">
        <v>783</v>
      </c>
      <c r="H62" s="16" t="s">
        <v>784</v>
      </c>
      <c r="I62" s="10" t="s">
        <v>10</v>
      </c>
      <c r="J62" s="14">
        <v>79200</v>
      </c>
      <c r="K62" s="12">
        <v>63.2</v>
      </c>
      <c r="L62" s="13">
        <f t="shared" si="3"/>
        <v>1253.1645569620252</v>
      </c>
    </row>
    <row r="63" spans="1:12" x14ac:dyDescent="0.25">
      <c r="A63" s="5">
        <v>44727</v>
      </c>
      <c r="B63" s="83" t="s">
        <v>785</v>
      </c>
      <c r="C63" s="6">
        <v>121005</v>
      </c>
      <c r="D63" s="7" t="s">
        <v>455</v>
      </c>
      <c r="E63" s="8" t="s">
        <v>13</v>
      </c>
      <c r="F63" s="10" t="s">
        <v>668</v>
      </c>
      <c r="G63" s="9" t="s">
        <v>786</v>
      </c>
      <c r="H63" s="16" t="s">
        <v>787</v>
      </c>
      <c r="I63" s="10" t="s">
        <v>10</v>
      </c>
      <c r="J63" s="14">
        <v>33430</v>
      </c>
      <c r="K63" s="12">
        <v>63.2</v>
      </c>
      <c r="L63" s="13">
        <f t="shared" si="3"/>
        <v>528.95569620253161</v>
      </c>
    </row>
    <row r="64" spans="1:12" x14ac:dyDescent="0.25">
      <c r="A64" s="5">
        <v>44727</v>
      </c>
      <c r="B64" s="83" t="s">
        <v>788</v>
      </c>
      <c r="C64" s="6">
        <v>121005</v>
      </c>
      <c r="D64" s="7" t="s">
        <v>455</v>
      </c>
      <c r="E64" s="8" t="s">
        <v>13</v>
      </c>
      <c r="F64" s="10" t="s">
        <v>668</v>
      </c>
      <c r="G64" s="9" t="s">
        <v>789</v>
      </c>
      <c r="H64" s="16" t="s">
        <v>790</v>
      </c>
      <c r="I64" s="10" t="s">
        <v>10</v>
      </c>
      <c r="J64" s="14">
        <v>14030</v>
      </c>
      <c r="K64" s="12">
        <v>63.2</v>
      </c>
      <c r="L64" s="13">
        <f t="shared" si="3"/>
        <v>221.99367088607593</v>
      </c>
    </row>
    <row r="65" spans="1:12" x14ac:dyDescent="0.25">
      <c r="A65" s="5">
        <v>44727</v>
      </c>
      <c r="B65" s="83" t="s">
        <v>791</v>
      </c>
      <c r="C65" s="6">
        <v>121005</v>
      </c>
      <c r="D65" s="7" t="s">
        <v>455</v>
      </c>
      <c r="E65" s="8" t="s">
        <v>13</v>
      </c>
      <c r="F65" s="10" t="s">
        <v>586</v>
      </c>
      <c r="G65" s="9" t="s">
        <v>792</v>
      </c>
      <c r="H65" s="16" t="s">
        <v>713</v>
      </c>
      <c r="I65" s="10" t="s">
        <v>10</v>
      </c>
      <c r="J65" s="14">
        <v>3990</v>
      </c>
      <c r="K65" s="12">
        <v>63.2</v>
      </c>
      <c r="L65" s="13">
        <f t="shared" si="3"/>
        <v>63.132911392405063</v>
      </c>
    </row>
    <row r="66" spans="1:12" x14ac:dyDescent="0.25">
      <c r="A66" s="5">
        <v>44727</v>
      </c>
      <c r="B66" s="83" t="s">
        <v>793</v>
      </c>
      <c r="C66" s="6">
        <v>121001</v>
      </c>
      <c r="D66" s="7" t="s">
        <v>766</v>
      </c>
      <c r="E66" s="8" t="s">
        <v>13</v>
      </c>
      <c r="F66" s="10" t="s">
        <v>794</v>
      </c>
      <c r="G66" s="9" t="s">
        <v>481</v>
      </c>
      <c r="H66" s="16" t="s">
        <v>795</v>
      </c>
      <c r="I66" s="10" t="s">
        <v>10</v>
      </c>
      <c r="J66" s="14">
        <v>156483.5</v>
      </c>
      <c r="K66" s="12">
        <v>63.2</v>
      </c>
      <c r="L66" s="13">
        <f t="shared" si="3"/>
        <v>2476.0047468354428</v>
      </c>
    </row>
    <row r="67" spans="1:12" x14ac:dyDescent="0.25">
      <c r="A67" s="5">
        <v>44723</v>
      </c>
      <c r="B67" s="83" t="s">
        <v>796</v>
      </c>
      <c r="C67" s="6">
        <v>121001</v>
      </c>
      <c r="D67" s="7" t="s">
        <v>797</v>
      </c>
      <c r="E67" s="8" t="s">
        <v>13</v>
      </c>
      <c r="F67" s="10" t="s">
        <v>794</v>
      </c>
      <c r="G67" s="9" t="s">
        <v>798</v>
      </c>
      <c r="H67" s="16" t="s">
        <v>799</v>
      </c>
      <c r="I67" s="10" t="s">
        <v>10</v>
      </c>
      <c r="J67" s="14">
        <v>197425</v>
      </c>
      <c r="K67" s="12">
        <v>63.2</v>
      </c>
      <c r="L67" s="13">
        <f t="shared" si="3"/>
        <v>3123.8132911392404</v>
      </c>
    </row>
    <row r="68" spans="1:12" x14ac:dyDescent="0.25">
      <c r="A68" s="5">
        <v>44727</v>
      </c>
      <c r="B68" s="83" t="s">
        <v>800</v>
      </c>
      <c r="C68" s="6">
        <v>122002</v>
      </c>
      <c r="D68" s="7" t="s">
        <v>33</v>
      </c>
      <c r="E68" s="8" t="s">
        <v>13</v>
      </c>
      <c r="F68" s="10" t="s">
        <v>504</v>
      </c>
      <c r="G68" s="9" t="s">
        <v>801</v>
      </c>
      <c r="H68" s="16" t="s">
        <v>802</v>
      </c>
      <c r="I68" s="10" t="s">
        <v>10</v>
      </c>
      <c r="J68" s="14">
        <v>74572</v>
      </c>
      <c r="K68" s="12">
        <v>63.2</v>
      </c>
      <c r="L68" s="13">
        <f t="shared" si="3"/>
        <v>1179.9367088607594</v>
      </c>
    </row>
    <row r="69" spans="1:12" x14ac:dyDescent="0.25">
      <c r="A69" s="5">
        <v>44635</v>
      </c>
      <c r="B69" s="83" t="s">
        <v>803</v>
      </c>
      <c r="C69" s="6">
        <v>121001</v>
      </c>
      <c r="D69" s="7" t="s">
        <v>766</v>
      </c>
      <c r="E69" s="8" t="s">
        <v>13</v>
      </c>
      <c r="F69" s="10" t="s">
        <v>586</v>
      </c>
      <c r="G69" s="9" t="s">
        <v>804</v>
      </c>
      <c r="H69" s="16" t="s">
        <v>805</v>
      </c>
      <c r="I69" s="10" t="s">
        <v>10</v>
      </c>
      <c r="J69" s="14">
        <v>22161</v>
      </c>
      <c r="K69" s="12">
        <v>63.2</v>
      </c>
      <c r="L69" s="13">
        <f t="shared" si="3"/>
        <v>350.64873417721515</v>
      </c>
    </row>
    <row r="70" spans="1:12" x14ac:dyDescent="0.25">
      <c r="A70" s="5">
        <v>44729</v>
      </c>
      <c r="B70" s="83" t="s">
        <v>806</v>
      </c>
      <c r="C70" s="6">
        <v>122099</v>
      </c>
      <c r="D70" s="7" t="s">
        <v>807</v>
      </c>
      <c r="E70" s="8" t="s">
        <v>13</v>
      </c>
      <c r="F70" s="10" t="s">
        <v>572</v>
      </c>
      <c r="G70" s="9" t="s">
        <v>808</v>
      </c>
      <c r="H70" s="16" t="s">
        <v>809</v>
      </c>
      <c r="I70" s="10" t="s">
        <v>10</v>
      </c>
      <c r="J70" s="14">
        <v>440000</v>
      </c>
      <c r="K70" s="12">
        <v>63.2</v>
      </c>
      <c r="L70" s="13">
        <f t="shared" si="3"/>
        <v>6962.0253164556962</v>
      </c>
    </row>
    <row r="71" spans="1:12" x14ac:dyDescent="0.25">
      <c r="A71" s="5">
        <v>44729</v>
      </c>
      <c r="B71" s="83" t="s">
        <v>810</v>
      </c>
      <c r="C71" s="6">
        <v>122099</v>
      </c>
      <c r="D71" s="7" t="s">
        <v>807</v>
      </c>
      <c r="E71" s="8" t="s">
        <v>13</v>
      </c>
      <c r="F71" s="10" t="s">
        <v>572</v>
      </c>
      <c r="G71" s="9" t="s">
        <v>811</v>
      </c>
      <c r="H71" s="16" t="s">
        <v>809</v>
      </c>
      <c r="I71" s="10" t="s">
        <v>10</v>
      </c>
      <c r="J71" s="14">
        <v>575000</v>
      </c>
      <c r="K71" s="12">
        <v>63.2</v>
      </c>
      <c r="L71" s="13">
        <f t="shared" si="3"/>
        <v>9098.1012658227846</v>
      </c>
    </row>
    <row r="72" spans="1:12" x14ac:dyDescent="0.25">
      <c r="A72" s="5">
        <v>44729</v>
      </c>
      <c r="B72" s="83" t="s">
        <v>812</v>
      </c>
      <c r="C72" s="6">
        <v>122099</v>
      </c>
      <c r="D72" s="7" t="s">
        <v>807</v>
      </c>
      <c r="E72" s="8" t="s">
        <v>13</v>
      </c>
      <c r="F72" s="10" t="s">
        <v>572</v>
      </c>
      <c r="G72" s="9" t="s">
        <v>813</v>
      </c>
      <c r="H72" s="16" t="s">
        <v>809</v>
      </c>
      <c r="I72" s="10" t="s">
        <v>10</v>
      </c>
      <c r="J72" s="14">
        <v>707500</v>
      </c>
      <c r="K72" s="12">
        <v>63.2</v>
      </c>
      <c r="L72" s="13">
        <f t="shared" si="3"/>
        <v>11194.620253164556</v>
      </c>
    </row>
    <row r="73" spans="1:12" x14ac:dyDescent="0.25">
      <c r="A73" s="5">
        <v>44729</v>
      </c>
      <c r="B73" s="83" t="s">
        <v>814</v>
      </c>
      <c r="C73" s="6">
        <v>122099</v>
      </c>
      <c r="D73" s="7" t="s">
        <v>817</v>
      </c>
      <c r="E73" s="8" t="s">
        <v>13</v>
      </c>
      <c r="F73" s="10" t="s">
        <v>572</v>
      </c>
      <c r="G73" s="9" t="s">
        <v>815</v>
      </c>
      <c r="H73" s="16" t="s">
        <v>820</v>
      </c>
      <c r="I73" s="10" t="s">
        <v>10</v>
      </c>
      <c r="J73" s="14">
        <v>142500</v>
      </c>
      <c r="K73" s="12">
        <v>63.2</v>
      </c>
      <c r="L73" s="13">
        <f t="shared" si="3"/>
        <v>2254.746835443038</v>
      </c>
    </row>
    <row r="74" spans="1:12" x14ac:dyDescent="0.25">
      <c r="A74" s="5">
        <v>44729</v>
      </c>
      <c r="B74" s="83" t="s">
        <v>816</v>
      </c>
      <c r="C74" s="6">
        <v>122099</v>
      </c>
      <c r="D74" s="7" t="s">
        <v>817</v>
      </c>
      <c r="E74" s="8" t="s">
        <v>13</v>
      </c>
      <c r="F74" s="10" t="s">
        <v>572</v>
      </c>
      <c r="G74" s="9" t="s">
        <v>818</v>
      </c>
      <c r="H74" s="16" t="s">
        <v>819</v>
      </c>
      <c r="I74" s="10" t="s">
        <v>10</v>
      </c>
      <c r="J74" s="14">
        <v>154500</v>
      </c>
      <c r="K74" s="12">
        <v>63.2</v>
      </c>
      <c r="L74" s="13">
        <f t="shared" si="3"/>
        <v>2444.6202531645567</v>
      </c>
    </row>
    <row r="75" spans="1:12" x14ac:dyDescent="0.25">
      <c r="A75" s="5">
        <v>44734</v>
      </c>
      <c r="B75" s="83" t="s">
        <v>825</v>
      </c>
      <c r="C75" s="6">
        <v>222099</v>
      </c>
      <c r="D75" s="7" t="s">
        <v>822</v>
      </c>
      <c r="E75" s="8" t="s">
        <v>13</v>
      </c>
      <c r="F75" s="10" t="s">
        <v>824</v>
      </c>
      <c r="G75" s="9"/>
      <c r="H75" s="16" t="s">
        <v>823</v>
      </c>
      <c r="I75" s="10" t="s">
        <v>10</v>
      </c>
      <c r="J75" s="14">
        <v>108000</v>
      </c>
      <c r="K75" s="12">
        <v>63.2</v>
      </c>
      <c r="L75" s="13">
        <f t="shared" si="3"/>
        <v>1708.8607594936709</v>
      </c>
    </row>
    <row r="76" spans="1:12" x14ac:dyDescent="0.25">
      <c r="A76" s="5">
        <v>44729</v>
      </c>
      <c r="B76" s="83" t="s">
        <v>821</v>
      </c>
      <c r="C76" s="6">
        <v>122099</v>
      </c>
      <c r="D76" s="7" t="s">
        <v>826</v>
      </c>
      <c r="E76" s="8" t="s">
        <v>13</v>
      </c>
      <c r="F76" s="10" t="s">
        <v>668</v>
      </c>
      <c r="G76" s="9" t="s">
        <v>827</v>
      </c>
      <c r="H76" s="16" t="s">
        <v>828</v>
      </c>
      <c r="I76" s="10" t="s">
        <v>10</v>
      </c>
      <c r="J76" s="14">
        <v>249000</v>
      </c>
      <c r="K76" s="12">
        <v>63.2</v>
      </c>
      <c r="L76" s="13">
        <f t="shared" si="3"/>
        <v>3939.8734177215188</v>
      </c>
    </row>
    <row r="77" spans="1:12" x14ac:dyDescent="0.25">
      <c r="A77" s="5">
        <v>44730</v>
      </c>
      <c r="B77" s="83" t="s">
        <v>829</v>
      </c>
      <c r="C77" s="6">
        <v>122099</v>
      </c>
      <c r="D77" s="7" t="s">
        <v>817</v>
      </c>
      <c r="E77" s="8" t="s">
        <v>13</v>
      </c>
      <c r="F77" s="10" t="s">
        <v>668</v>
      </c>
      <c r="G77" s="9" t="s">
        <v>830</v>
      </c>
      <c r="H77" s="16" t="s">
        <v>831</v>
      </c>
      <c r="I77" s="10" t="s">
        <v>10</v>
      </c>
      <c r="J77" s="14">
        <v>20000</v>
      </c>
      <c r="K77" s="12">
        <v>63.2</v>
      </c>
      <c r="L77" s="13">
        <f t="shared" si="3"/>
        <v>316.45569620253161</v>
      </c>
    </row>
    <row r="78" spans="1:12" x14ac:dyDescent="0.25">
      <c r="A78" s="5">
        <v>44729</v>
      </c>
      <c r="B78" s="83" t="s">
        <v>832</v>
      </c>
      <c r="C78" s="6">
        <v>112101</v>
      </c>
      <c r="D78" s="7" t="s">
        <v>282</v>
      </c>
      <c r="E78" s="8" t="s">
        <v>13</v>
      </c>
      <c r="F78" s="10" t="s">
        <v>572</v>
      </c>
      <c r="G78" s="9" t="s">
        <v>35</v>
      </c>
      <c r="H78" s="16" t="s">
        <v>833</v>
      </c>
      <c r="I78" s="10" t="s">
        <v>10</v>
      </c>
      <c r="J78" s="14">
        <v>715200</v>
      </c>
      <c r="K78" s="12">
        <v>63.2</v>
      </c>
      <c r="L78" s="13">
        <f t="shared" si="3"/>
        <v>11316.455696202531</v>
      </c>
    </row>
    <row r="79" spans="1:12" x14ac:dyDescent="0.25">
      <c r="A79" s="5">
        <v>44729</v>
      </c>
      <c r="B79" s="83" t="s">
        <v>834</v>
      </c>
      <c r="C79" s="6">
        <v>112101</v>
      </c>
      <c r="D79" s="7" t="s">
        <v>282</v>
      </c>
      <c r="E79" s="8" t="s">
        <v>13</v>
      </c>
      <c r="F79" s="10" t="s">
        <v>572</v>
      </c>
      <c r="G79" s="9" t="s">
        <v>35</v>
      </c>
      <c r="H79" s="16" t="s">
        <v>835</v>
      </c>
      <c r="I79" s="10" t="s">
        <v>10</v>
      </c>
      <c r="J79" s="14">
        <v>727200</v>
      </c>
      <c r="K79" s="12">
        <v>63.2</v>
      </c>
      <c r="L79" s="13">
        <f t="shared" si="3"/>
        <v>11506.32911392405</v>
      </c>
    </row>
    <row r="80" spans="1:12" x14ac:dyDescent="0.25">
      <c r="A80" s="5">
        <v>44729</v>
      </c>
      <c r="B80" s="83" t="s">
        <v>836</v>
      </c>
      <c r="C80" s="6">
        <v>112101</v>
      </c>
      <c r="D80" s="7" t="s">
        <v>282</v>
      </c>
      <c r="E80" s="8" t="s">
        <v>13</v>
      </c>
      <c r="F80" s="10" t="s">
        <v>572</v>
      </c>
      <c r="G80" s="9" t="s">
        <v>35</v>
      </c>
      <c r="H80" s="16" t="s">
        <v>837</v>
      </c>
      <c r="I80" s="10" t="s">
        <v>10</v>
      </c>
      <c r="J80" s="14">
        <v>1118400</v>
      </c>
      <c r="K80" s="12">
        <v>63.2</v>
      </c>
      <c r="L80" s="13">
        <f t="shared" si="3"/>
        <v>17696.202531645569</v>
      </c>
    </row>
    <row r="81" spans="1:12" x14ac:dyDescent="0.25">
      <c r="A81" s="5">
        <v>44729</v>
      </c>
      <c r="B81" s="83" t="s">
        <v>838</v>
      </c>
      <c r="C81" s="6">
        <v>112101</v>
      </c>
      <c r="D81" s="7" t="s">
        <v>282</v>
      </c>
      <c r="E81" s="8" t="s">
        <v>13</v>
      </c>
      <c r="F81" s="10" t="s">
        <v>572</v>
      </c>
      <c r="G81" s="9" t="s">
        <v>839</v>
      </c>
      <c r="H81" s="16" t="s">
        <v>840</v>
      </c>
      <c r="I81" s="10" t="s">
        <v>10</v>
      </c>
      <c r="J81" s="14">
        <v>20400</v>
      </c>
      <c r="K81" s="12">
        <v>63.2</v>
      </c>
      <c r="L81" s="13">
        <f t="shared" si="3"/>
        <v>322.78481012658227</v>
      </c>
    </row>
    <row r="82" spans="1:12" x14ac:dyDescent="0.25">
      <c r="A82" s="5">
        <v>44729</v>
      </c>
      <c r="B82" s="83" t="s">
        <v>841</v>
      </c>
      <c r="C82" s="6">
        <v>122099</v>
      </c>
      <c r="D82" s="7" t="s">
        <v>843</v>
      </c>
      <c r="E82" s="8" t="s">
        <v>13</v>
      </c>
      <c r="F82" s="10" t="s">
        <v>572</v>
      </c>
      <c r="G82" s="9" t="s">
        <v>842</v>
      </c>
      <c r="H82" s="16" t="s">
        <v>846</v>
      </c>
      <c r="I82" s="10" t="s">
        <v>10</v>
      </c>
      <c r="J82" s="14">
        <v>245380</v>
      </c>
      <c r="K82" s="12">
        <v>63.2</v>
      </c>
      <c r="L82" s="13">
        <f t="shared" si="3"/>
        <v>3882.5949367088606</v>
      </c>
    </row>
    <row r="83" spans="1:12" x14ac:dyDescent="0.25">
      <c r="A83" s="5">
        <v>44729</v>
      </c>
      <c r="B83" s="83" t="s">
        <v>844</v>
      </c>
      <c r="C83" s="6">
        <v>122099</v>
      </c>
      <c r="D83" s="7" t="s">
        <v>757</v>
      </c>
      <c r="E83" s="8" t="s">
        <v>13</v>
      </c>
      <c r="F83" s="10" t="s">
        <v>572</v>
      </c>
      <c r="G83" s="9" t="s">
        <v>842</v>
      </c>
      <c r="H83" s="16" t="s">
        <v>845</v>
      </c>
      <c r="I83" s="10" t="s">
        <v>10</v>
      </c>
      <c r="J83" s="14">
        <v>26530</v>
      </c>
      <c r="K83" s="12">
        <v>63.2</v>
      </c>
      <c r="L83" s="13">
        <f t="shared" si="3"/>
        <v>419.77848101265823</v>
      </c>
    </row>
    <row r="84" spans="1:12" x14ac:dyDescent="0.25">
      <c r="A84" s="5">
        <v>44729</v>
      </c>
      <c r="B84" s="83" t="s">
        <v>847</v>
      </c>
      <c r="C84" s="6">
        <v>122099</v>
      </c>
      <c r="D84" s="7" t="s">
        <v>759</v>
      </c>
      <c r="E84" s="8" t="s">
        <v>13</v>
      </c>
      <c r="F84" s="10" t="s">
        <v>572</v>
      </c>
      <c r="G84" s="9" t="s">
        <v>842</v>
      </c>
      <c r="H84" s="16" t="s">
        <v>848</v>
      </c>
      <c r="I84" s="10" t="s">
        <v>10</v>
      </c>
      <c r="J84" s="14">
        <v>8700</v>
      </c>
      <c r="K84" s="12">
        <v>63.2</v>
      </c>
      <c r="L84" s="13">
        <f t="shared" si="3"/>
        <v>137.65822784810126</v>
      </c>
    </row>
    <row r="85" spans="1:12" x14ac:dyDescent="0.25">
      <c r="A85" s="5">
        <v>44729</v>
      </c>
      <c r="B85" s="83" t="s">
        <v>849</v>
      </c>
      <c r="C85" s="6">
        <v>122099</v>
      </c>
      <c r="D85" s="7" t="s">
        <v>850</v>
      </c>
      <c r="E85" s="8" t="s">
        <v>13</v>
      </c>
      <c r="F85" s="10" t="s">
        <v>572</v>
      </c>
      <c r="G85" s="9" t="s">
        <v>851</v>
      </c>
      <c r="H85" s="16" t="s">
        <v>852</v>
      </c>
      <c r="I85" s="10" t="s">
        <v>10</v>
      </c>
      <c r="J85" s="14">
        <v>210000</v>
      </c>
      <c r="K85" s="12">
        <v>63.2</v>
      </c>
      <c r="L85" s="13">
        <f t="shared" si="3"/>
        <v>3322.7848101265822</v>
      </c>
    </row>
    <row r="86" spans="1:12" x14ac:dyDescent="0.25">
      <c r="A86" s="5">
        <v>44729</v>
      </c>
      <c r="B86" s="83" t="s">
        <v>853</v>
      </c>
      <c r="C86" s="6">
        <v>121001</v>
      </c>
      <c r="D86" s="7" t="s">
        <v>854</v>
      </c>
      <c r="E86" s="8" t="s">
        <v>13</v>
      </c>
      <c r="F86" s="10" t="s">
        <v>572</v>
      </c>
      <c r="G86" s="9" t="s">
        <v>855</v>
      </c>
      <c r="H86" s="16" t="s">
        <v>856</v>
      </c>
      <c r="I86" s="10" t="s">
        <v>10</v>
      </c>
      <c r="J86" s="14">
        <v>350000</v>
      </c>
      <c r="K86" s="12">
        <v>63.2</v>
      </c>
      <c r="L86" s="13">
        <f t="shared" si="3"/>
        <v>5537.9746835443038</v>
      </c>
    </row>
    <row r="87" spans="1:12" x14ac:dyDescent="0.25">
      <c r="A87" s="5">
        <v>44734</v>
      </c>
      <c r="B87" s="83" t="s">
        <v>857</v>
      </c>
      <c r="C87" s="6">
        <v>112101</v>
      </c>
      <c r="D87" s="7" t="s">
        <v>282</v>
      </c>
      <c r="E87" s="8" t="s">
        <v>13</v>
      </c>
      <c r="F87" s="10" t="s">
        <v>572</v>
      </c>
      <c r="G87" s="9" t="s">
        <v>35</v>
      </c>
      <c r="H87" s="16" t="s">
        <v>858</v>
      </c>
      <c r="I87" s="10" t="s">
        <v>10</v>
      </c>
      <c r="J87" s="14">
        <v>1279200</v>
      </c>
      <c r="K87" s="12">
        <v>63.2</v>
      </c>
      <c r="L87" s="13">
        <f t="shared" si="3"/>
        <v>20240.506329113923</v>
      </c>
    </row>
    <row r="88" spans="1:12" x14ac:dyDescent="0.25">
      <c r="A88" s="5">
        <v>44734</v>
      </c>
      <c r="B88" s="83" t="s">
        <v>859</v>
      </c>
      <c r="C88" s="6">
        <v>121001</v>
      </c>
      <c r="D88" s="7" t="s">
        <v>766</v>
      </c>
      <c r="E88" s="8" t="s">
        <v>13</v>
      </c>
      <c r="F88" s="10" t="s">
        <v>586</v>
      </c>
      <c r="G88" s="9" t="s">
        <v>860</v>
      </c>
      <c r="H88" s="16" t="s">
        <v>861</v>
      </c>
      <c r="I88" s="10" t="s">
        <v>10</v>
      </c>
      <c r="J88" s="14">
        <v>25953.4</v>
      </c>
      <c r="K88" s="12">
        <v>63.2</v>
      </c>
      <c r="L88" s="13">
        <f t="shared" si="3"/>
        <v>410.65506329113924</v>
      </c>
    </row>
    <row r="89" spans="1:12" x14ac:dyDescent="0.25">
      <c r="A89" s="5">
        <v>44741</v>
      </c>
      <c r="B89" s="83" t="s">
        <v>862</v>
      </c>
      <c r="C89" s="6">
        <v>122099</v>
      </c>
      <c r="D89" s="7" t="s">
        <v>807</v>
      </c>
      <c r="E89" s="8" t="s">
        <v>13</v>
      </c>
      <c r="F89" s="10" t="s">
        <v>572</v>
      </c>
      <c r="G89" s="9" t="s">
        <v>863</v>
      </c>
      <c r="H89" s="16" t="s">
        <v>864</v>
      </c>
      <c r="I89" s="10" t="s">
        <v>869</v>
      </c>
      <c r="J89" s="14">
        <v>707500</v>
      </c>
      <c r="K89" s="12">
        <v>63.2</v>
      </c>
      <c r="L89" s="13">
        <f t="shared" si="3"/>
        <v>11194.620253164556</v>
      </c>
    </row>
    <row r="90" spans="1:12" x14ac:dyDescent="0.25">
      <c r="A90" s="5">
        <v>44741</v>
      </c>
      <c r="B90" s="83" t="s">
        <v>865</v>
      </c>
      <c r="C90" s="6">
        <v>122099</v>
      </c>
      <c r="D90" s="7" t="s">
        <v>807</v>
      </c>
      <c r="E90" s="8" t="s">
        <v>13</v>
      </c>
      <c r="F90" s="10" t="s">
        <v>572</v>
      </c>
      <c r="G90" s="9" t="s">
        <v>866</v>
      </c>
      <c r="H90" s="16" t="s">
        <v>867</v>
      </c>
      <c r="I90" s="10" t="s">
        <v>868</v>
      </c>
      <c r="J90" s="14">
        <v>575000</v>
      </c>
      <c r="K90" s="12">
        <v>63.2</v>
      </c>
      <c r="L90" s="13">
        <f t="shared" si="3"/>
        <v>9098.1012658227846</v>
      </c>
    </row>
    <row r="91" spans="1:12" x14ac:dyDescent="0.25">
      <c r="A91" s="5">
        <v>44741</v>
      </c>
      <c r="B91" s="83" t="s">
        <v>870</v>
      </c>
      <c r="C91" s="6">
        <v>122099</v>
      </c>
      <c r="D91" s="7" t="s">
        <v>807</v>
      </c>
      <c r="E91" s="8" t="s">
        <v>13</v>
      </c>
      <c r="F91" s="10" t="s">
        <v>572</v>
      </c>
      <c r="G91" s="9" t="s">
        <v>871</v>
      </c>
      <c r="H91" s="16" t="s">
        <v>872</v>
      </c>
      <c r="I91" s="10" t="s">
        <v>873</v>
      </c>
      <c r="J91" s="14">
        <v>440000</v>
      </c>
      <c r="K91" s="12">
        <v>63.2</v>
      </c>
      <c r="L91" s="13">
        <f t="shared" si="3"/>
        <v>6962.0253164556962</v>
      </c>
    </row>
    <row r="92" spans="1:12" x14ac:dyDescent="0.25">
      <c r="A92" s="5">
        <v>44741</v>
      </c>
      <c r="B92" s="83" t="s">
        <v>874</v>
      </c>
      <c r="C92" s="6">
        <v>122099</v>
      </c>
      <c r="D92" s="7" t="s">
        <v>807</v>
      </c>
      <c r="E92" s="8" t="s">
        <v>13</v>
      </c>
      <c r="F92" s="10" t="s">
        <v>572</v>
      </c>
      <c r="G92" s="9" t="s">
        <v>875</v>
      </c>
      <c r="H92" s="16" t="s">
        <v>876</v>
      </c>
      <c r="I92" s="10" t="s">
        <v>877</v>
      </c>
      <c r="J92" s="14">
        <v>1605000</v>
      </c>
      <c r="K92" s="12">
        <v>63.2</v>
      </c>
      <c r="L92" s="13">
        <f t="shared" si="3"/>
        <v>25395.569620253162</v>
      </c>
    </row>
    <row r="93" spans="1:12" x14ac:dyDescent="0.25">
      <c r="A93" s="5">
        <v>44741</v>
      </c>
      <c r="B93" s="83" t="s">
        <v>878</v>
      </c>
      <c r="C93" s="6">
        <v>122099</v>
      </c>
      <c r="D93" s="7" t="s">
        <v>807</v>
      </c>
      <c r="E93" s="8" t="s">
        <v>13</v>
      </c>
      <c r="F93" s="10" t="s">
        <v>572</v>
      </c>
      <c r="G93" s="9" t="s">
        <v>879</v>
      </c>
      <c r="H93" s="16" t="s">
        <v>880</v>
      </c>
      <c r="I93" s="10" t="s">
        <v>881</v>
      </c>
      <c r="J93" s="14">
        <v>900000</v>
      </c>
      <c r="K93" s="12">
        <v>63.2</v>
      </c>
      <c r="L93" s="13">
        <f t="shared" si="3"/>
        <v>14240.506329113923</v>
      </c>
    </row>
    <row r="94" spans="1:12" x14ac:dyDescent="0.25">
      <c r="A94" s="5">
        <v>44741</v>
      </c>
      <c r="B94" s="83" t="s">
        <v>882</v>
      </c>
      <c r="C94" s="6">
        <v>122099</v>
      </c>
      <c r="D94" s="7" t="s">
        <v>807</v>
      </c>
      <c r="E94" s="8" t="s">
        <v>13</v>
      </c>
      <c r="F94" s="10" t="s">
        <v>572</v>
      </c>
      <c r="G94" s="9" t="s">
        <v>883</v>
      </c>
      <c r="H94" s="16" t="s">
        <v>884</v>
      </c>
      <c r="I94" s="10" t="s">
        <v>885</v>
      </c>
      <c r="J94" s="14">
        <v>357500</v>
      </c>
      <c r="K94" s="12">
        <v>63.2</v>
      </c>
      <c r="L94" s="13">
        <f t="shared" si="3"/>
        <v>5656.6455696202529</v>
      </c>
    </row>
    <row r="95" spans="1:12" x14ac:dyDescent="0.25">
      <c r="A95" s="5">
        <v>44722</v>
      </c>
      <c r="B95" s="6" t="s">
        <v>685</v>
      </c>
      <c r="C95" s="6">
        <v>122099</v>
      </c>
      <c r="D95" s="7" t="s">
        <v>404</v>
      </c>
      <c r="E95" s="8" t="s">
        <v>13</v>
      </c>
      <c r="F95" s="10" t="s">
        <v>688</v>
      </c>
      <c r="G95" s="9" t="s">
        <v>710</v>
      </c>
      <c r="H95" s="16" t="s">
        <v>758</v>
      </c>
      <c r="I95" s="10" t="s">
        <v>10</v>
      </c>
      <c r="J95" s="14">
        <v>79200</v>
      </c>
      <c r="K95" s="12">
        <v>63.2</v>
      </c>
      <c r="L95" s="13">
        <f t="shared" si="3"/>
        <v>1253.1645569620252</v>
      </c>
    </row>
    <row r="96" spans="1:12" x14ac:dyDescent="0.25">
      <c r="A96" s="5">
        <v>44722</v>
      </c>
      <c r="B96" s="6" t="s">
        <v>685</v>
      </c>
      <c r="C96" s="6">
        <v>121000</v>
      </c>
      <c r="D96" s="7" t="s">
        <v>455</v>
      </c>
      <c r="E96" s="8" t="s">
        <v>13</v>
      </c>
      <c r="F96" s="10" t="s">
        <v>668</v>
      </c>
      <c r="G96" s="9" t="s">
        <v>711</v>
      </c>
      <c r="H96" s="16" t="s">
        <v>712</v>
      </c>
      <c r="I96" s="10" t="s">
        <v>10</v>
      </c>
      <c r="J96" s="14">
        <v>33430</v>
      </c>
      <c r="K96" s="12">
        <v>63.2</v>
      </c>
      <c r="L96" s="13">
        <f t="shared" si="3"/>
        <v>528.95569620253161</v>
      </c>
    </row>
    <row r="97" spans="1:16" x14ac:dyDescent="0.25">
      <c r="A97" s="5">
        <v>44722</v>
      </c>
      <c r="B97" s="6" t="s">
        <v>685</v>
      </c>
      <c r="C97" s="6">
        <v>121000</v>
      </c>
      <c r="D97" s="7" t="s">
        <v>455</v>
      </c>
      <c r="E97" s="8" t="s">
        <v>13</v>
      </c>
      <c r="F97" s="10" t="s">
        <v>668</v>
      </c>
      <c r="G97" s="9" t="s">
        <v>714</v>
      </c>
      <c r="H97" s="16" t="s">
        <v>715</v>
      </c>
      <c r="I97" s="10" t="s">
        <v>10</v>
      </c>
      <c r="J97" s="14">
        <v>14030</v>
      </c>
      <c r="K97" s="12">
        <v>63.2</v>
      </c>
      <c r="L97" s="13">
        <f t="shared" si="3"/>
        <v>221.99367088607593</v>
      </c>
    </row>
    <row r="98" spans="1:16" x14ac:dyDescent="0.25">
      <c r="A98" s="5"/>
      <c r="B98" s="6"/>
      <c r="C98" s="6"/>
      <c r="D98" s="7"/>
      <c r="E98" s="8"/>
      <c r="F98" s="10"/>
      <c r="G98" s="9"/>
      <c r="H98" s="16"/>
      <c r="I98" s="10"/>
      <c r="J98" s="14"/>
      <c r="K98" s="12">
        <v>63.2</v>
      </c>
      <c r="L98" s="13">
        <f t="shared" si="2"/>
        <v>0</v>
      </c>
      <c r="N98" s="81"/>
    </row>
    <row r="99" spans="1:16" x14ac:dyDescent="0.25">
      <c r="A99" s="221" t="s">
        <v>529</v>
      </c>
      <c r="B99" s="222"/>
      <c r="C99" s="222"/>
      <c r="D99" s="222"/>
      <c r="E99" s="222"/>
      <c r="F99" s="222"/>
      <c r="G99" s="222"/>
      <c r="H99" s="223"/>
      <c r="I99" s="10"/>
      <c r="J99" s="80">
        <f>SUM(J2:J98)</f>
        <v>45371416.240000002</v>
      </c>
      <c r="K99" s="80"/>
      <c r="L99" s="80">
        <f>SUM(L2:L98)</f>
        <v>717902.15569620288</v>
      </c>
      <c r="O99" s="81"/>
    </row>
    <row r="100" spans="1:16" x14ac:dyDescent="0.25">
      <c r="J100" s="31"/>
      <c r="K100" s="37"/>
      <c r="N100" s="81"/>
      <c r="O100" s="81"/>
    </row>
    <row r="101" spans="1:16" x14ac:dyDescent="0.25">
      <c r="J101" s="31"/>
      <c r="K101" s="37"/>
      <c r="M101" s="81"/>
      <c r="N101" s="81"/>
      <c r="O101" s="81"/>
    </row>
    <row r="102" spans="1:16" x14ac:dyDescent="0.25">
      <c r="J102" s="4"/>
      <c r="K102" s="37"/>
      <c r="M102" s="81"/>
      <c r="N102" s="81"/>
      <c r="O102" s="81"/>
    </row>
    <row r="103" spans="1:16" x14ac:dyDescent="0.25">
      <c r="J103" s="31"/>
      <c r="K103" s="37"/>
      <c r="N103" s="81"/>
      <c r="O103" s="81"/>
      <c r="P103" s="81"/>
    </row>
    <row r="104" spans="1:16" x14ac:dyDescent="0.25">
      <c r="K104" s="37"/>
      <c r="N104" s="81"/>
      <c r="O104" s="81"/>
    </row>
    <row r="105" spans="1:16" x14ac:dyDescent="0.25">
      <c r="N105" s="81"/>
      <c r="O105" s="81"/>
    </row>
    <row r="106" spans="1:16" x14ac:dyDescent="0.25">
      <c r="M106" s="81"/>
      <c r="O106" s="81"/>
    </row>
    <row r="107" spans="1:16" x14ac:dyDescent="0.25">
      <c r="O107" s="81"/>
    </row>
    <row r="108" spans="1:16" x14ac:dyDescent="0.25">
      <c r="J108" s="31"/>
      <c r="O108" s="81"/>
    </row>
  </sheetData>
  <autoFilter ref="A1:WVX99" xr:uid="{00000000-0009-0000-0000-000009000000}"/>
  <mergeCells count="1">
    <mergeCell ref="A99:H99"/>
  </mergeCells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3"/>
  <sheetViews>
    <sheetView topLeftCell="E38" workbookViewId="0">
      <selection activeCell="I53" sqref="I53"/>
    </sheetView>
  </sheetViews>
  <sheetFormatPr defaultRowHeight="15" x14ac:dyDescent="0.25"/>
  <cols>
    <col min="1" max="1" width="12.7109375" bestFit="1" customWidth="1"/>
    <col min="2" max="2" width="34.5703125" bestFit="1" customWidth="1"/>
    <col min="3" max="3" width="20.7109375" bestFit="1" customWidth="1"/>
    <col min="6" max="6" width="18.5703125" bestFit="1" customWidth="1"/>
    <col min="7" max="7" width="75.85546875" bestFit="1" customWidth="1"/>
    <col min="9" max="9" width="17.5703125" style="66" bestFit="1" customWidth="1"/>
    <col min="10" max="10" width="9.140625" style="66"/>
    <col min="11" max="11" width="14.28515625" style="66" bestFit="1" customWidth="1"/>
    <col min="12" max="12" width="11.5703125" bestFit="1" customWidth="1"/>
  </cols>
  <sheetData>
    <row r="1" spans="1:11" ht="78.75" x14ac:dyDescent="0.25">
      <c r="A1" s="40" t="s">
        <v>52</v>
      </c>
      <c r="B1" s="40" t="s">
        <v>1</v>
      </c>
      <c r="C1" s="40" t="s">
        <v>2</v>
      </c>
      <c r="D1" s="40" t="s">
        <v>3</v>
      </c>
      <c r="E1" s="40" t="s">
        <v>47</v>
      </c>
      <c r="F1" s="40" t="s">
        <v>48</v>
      </c>
      <c r="G1" s="40" t="s">
        <v>4</v>
      </c>
      <c r="H1" s="40" t="s">
        <v>5</v>
      </c>
      <c r="I1" s="41" t="s">
        <v>6</v>
      </c>
      <c r="J1" s="41" t="s">
        <v>7</v>
      </c>
      <c r="K1" s="41" t="s">
        <v>8</v>
      </c>
    </row>
    <row r="2" spans="1:11" s="63" customFormat="1" x14ac:dyDescent="0.25">
      <c r="A2" s="67">
        <v>44501</v>
      </c>
      <c r="B2" s="68" t="s">
        <v>219</v>
      </c>
      <c r="C2" s="68" t="s">
        <v>220</v>
      </c>
      <c r="D2" s="68" t="s">
        <v>17</v>
      </c>
      <c r="E2" s="68">
        <v>3</v>
      </c>
      <c r="F2" s="68" t="s">
        <v>45</v>
      </c>
      <c r="G2" s="68" t="s">
        <v>221</v>
      </c>
      <c r="H2" s="68" t="s">
        <v>222</v>
      </c>
      <c r="I2" s="69">
        <v>134400</v>
      </c>
      <c r="J2" s="69">
        <v>62.7</v>
      </c>
      <c r="K2" s="69">
        <f>I2/J2</f>
        <v>2143.5406698564593</v>
      </c>
    </row>
    <row r="3" spans="1:11" s="63" customFormat="1" x14ac:dyDescent="0.25">
      <c r="A3" s="67">
        <v>44501</v>
      </c>
      <c r="B3" s="68" t="s">
        <v>223</v>
      </c>
      <c r="C3" s="68" t="s">
        <v>220</v>
      </c>
      <c r="D3" s="68" t="s">
        <v>17</v>
      </c>
      <c r="E3" s="68">
        <v>3</v>
      </c>
      <c r="F3" s="68" t="s">
        <v>45</v>
      </c>
      <c r="G3" s="68" t="s">
        <v>224</v>
      </c>
      <c r="H3" s="68" t="s">
        <v>225</v>
      </c>
      <c r="I3" s="69">
        <v>7000</v>
      </c>
      <c r="J3" s="69">
        <v>62.7</v>
      </c>
      <c r="K3" s="69">
        <f t="shared" ref="K3:K38" si="0">I3/J3</f>
        <v>111.64274322169058</v>
      </c>
    </row>
    <row r="4" spans="1:11" s="63" customFormat="1" x14ac:dyDescent="0.25">
      <c r="A4" s="67">
        <v>44503</v>
      </c>
      <c r="B4" s="68" t="s">
        <v>112</v>
      </c>
      <c r="C4" s="68" t="s">
        <v>113</v>
      </c>
      <c r="D4" s="68" t="s">
        <v>13</v>
      </c>
      <c r="E4" s="68">
        <v>3</v>
      </c>
      <c r="F4" s="68" t="s">
        <v>45</v>
      </c>
      <c r="G4" s="68" t="s">
        <v>114</v>
      </c>
      <c r="H4" s="68" t="s">
        <v>120</v>
      </c>
      <c r="I4" s="69">
        <v>241020</v>
      </c>
      <c r="J4" s="69">
        <v>62.7</v>
      </c>
      <c r="K4" s="69">
        <f t="shared" si="0"/>
        <v>3844.0191387559807</v>
      </c>
    </row>
    <row r="5" spans="1:11" s="63" customFormat="1" x14ac:dyDescent="0.25">
      <c r="A5" s="67">
        <v>44503</v>
      </c>
      <c r="B5" s="68" t="s">
        <v>209</v>
      </c>
      <c r="C5" s="68" t="s">
        <v>33</v>
      </c>
      <c r="D5" s="68" t="s">
        <v>13</v>
      </c>
      <c r="E5" s="68">
        <v>3</v>
      </c>
      <c r="F5" s="68" t="s">
        <v>45</v>
      </c>
      <c r="G5" s="68" t="s">
        <v>210</v>
      </c>
      <c r="H5" s="68" t="s">
        <v>226</v>
      </c>
      <c r="I5" s="69">
        <v>199000</v>
      </c>
      <c r="J5" s="69">
        <v>62.7</v>
      </c>
      <c r="K5" s="69">
        <f t="shared" si="0"/>
        <v>3173.8437001594893</v>
      </c>
    </row>
    <row r="6" spans="1:11" s="63" customFormat="1" x14ac:dyDescent="0.25">
      <c r="A6" s="67">
        <v>44503</v>
      </c>
      <c r="B6" s="68" t="s">
        <v>115</v>
      </c>
      <c r="C6" s="68" t="s">
        <v>116</v>
      </c>
      <c r="D6" s="68" t="s">
        <v>17</v>
      </c>
      <c r="E6" s="68">
        <v>3</v>
      </c>
      <c r="F6" s="68" t="s">
        <v>45</v>
      </c>
      <c r="G6" s="68" t="s">
        <v>117</v>
      </c>
      <c r="H6" s="68" t="s">
        <v>121</v>
      </c>
      <c r="I6" s="69">
        <v>141453</v>
      </c>
      <c r="J6" s="69">
        <v>62.7</v>
      </c>
      <c r="K6" s="69">
        <f t="shared" ref="K6:K8" si="1">I6/J6</f>
        <v>2256.0287081339711</v>
      </c>
    </row>
    <row r="7" spans="1:11" s="63" customFormat="1" x14ac:dyDescent="0.25">
      <c r="A7" s="76">
        <v>44503</v>
      </c>
      <c r="B7" s="70" t="s">
        <v>245</v>
      </c>
      <c r="C7" s="70" t="s">
        <v>244</v>
      </c>
      <c r="D7" s="70" t="s">
        <v>17</v>
      </c>
      <c r="E7" s="70">
        <v>3</v>
      </c>
      <c r="F7" s="70" t="s">
        <v>45</v>
      </c>
      <c r="G7" s="70" t="s">
        <v>246</v>
      </c>
      <c r="H7" s="70" t="s">
        <v>247</v>
      </c>
      <c r="I7" s="77">
        <v>28920</v>
      </c>
      <c r="J7" s="77">
        <v>62.7</v>
      </c>
      <c r="K7" s="77">
        <f t="shared" si="1"/>
        <v>461.24401913875596</v>
      </c>
    </row>
    <row r="8" spans="1:11" s="63" customFormat="1" x14ac:dyDescent="0.25">
      <c r="A8" s="67">
        <v>44512</v>
      </c>
      <c r="B8" s="68" t="s">
        <v>227</v>
      </c>
      <c r="C8" s="68" t="s">
        <v>118</v>
      </c>
      <c r="D8" s="68" t="s">
        <v>13</v>
      </c>
      <c r="E8" s="68">
        <v>3</v>
      </c>
      <c r="F8" s="68" t="s">
        <v>30</v>
      </c>
      <c r="G8" s="68" t="s">
        <v>119</v>
      </c>
      <c r="H8" s="68" t="s">
        <v>122</v>
      </c>
      <c r="I8" s="69">
        <f>251680+208320+187200+283608</f>
        <v>930808</v>
      </c>
      <c r="J8" s="69">
        <v>62.7</v>
      </c>
      <c r="K8" s="69">
        <f t="shared" si="1"/>
        <v>14845.42264752791</v>
      </c>
    </row>
    <row r="9" spans="1:11" s="63" customFormat="1" x14ac:dyDescent="0.25">
      <c r="A9" s="67">
        <v>44512</v>
      </c>
      <c r="B9" s="68" t="s">
        <v>123</v>
      </c>
      <c r="C9" s="68" t="s">
        <v>107</v>
      </c>
      <c r="D9" s="68" t="s">
        <v>17</v>
      </c>
      <c r="E9" s="68">
        <v>3</v>
      </c>
      <c r="F9" s="68" t="s">
        <v>108</v>
      </c>
      <c r="G9" s="68" t="s">
        <v>109</v>
      </c>
      <c r="H9" s="68" t="s">
        <v>124</v>
      </c>
      <c r="I9" s="69">
        <v>71019</v>
      </c>
      <c r="J9" s="69">
        <v>62.7</v>
      </c>
      <c r="K9" s="69">
        <f t="shared" si="0"/>
        <v>1132.6794258373204</v>
      </c>
    </row>
    <row r="10" spans="1:11" s="63" customFormat="1" x14ac:dyDescent="0.25">
      <c r="A10" s="67">
        <v>44518</v>
      </c>
      <c r="B10" s="68" t="s">
        <v>125</v>
      </c>
      <c r="C10" s="68" t="s">
        <v>126</v>
      </c>
      <c r="D10" s="70"/>
      <c r="E10" s="68" t="s">
        <v>127</v>
      </c>
      <c r="F10" s="68" t="s">
        <v>14</v>
      </c>
      <c r="G10" s="68" t="s">
        <v>128</v>
      </c>
      <c r="H10" s="68" t="s">
        <v>129</v>
      </c>
      <c r="I10" s="69">
        <f>7800+13800+13800+7800+7800</f>
        <v>51000</v>
      </c>
      <c r="J10" s="69">
        <v>62.7</v>
      </c>
      <c r="K10" s="69">
        <f t="shared" si="0"/>
        <v>813.3971291866028</v>
      </c>
    </row>
    <row r="11" spans="1:11" s="63" customFormat="1" x14ac:dyDescent="0.25">
      <c r="A11" s="67">
        <v>44519</v>
      </c>
      <c r="B11" s="68" t="s">
        <v>130</v>
      </c>
      <c r="C11" s="68" t="s">
        <v>131</v>
      </c>
      <c r="D11" s="68" t="s">
        <v>11</v>
      </c>
      <c r="E11" s="70"/>
      <c r="F11" s="68" t="s">
        <v>45</v>
      </c>
      <c r="G11" s="68" t="s">
        <v>132</v>
      </c>
      <c r="H11" s="68" t="s">
        <v>133</v>
      </c>
      <c r="I11" s="69">
        <v>1049154.6299999999</v>
      </c>
      <c r="J11" s="69">
        <v>62.7</v>
      </c>
      <c r="K11" s="69">
        <f t="shared" si="0"/>
        <v>16732.928708133968</v>
      </c>
    </row>
    <row r="12" spans="1:11" s="63" customFormat="1" x14ac:dyDescent="0.25">
      <c r="A12" s="67">
        <v>44519</v>
      </c>
      <c r="B12" s="68" t="s">
        <v>134</v>
      </c>
      <c r="C12" s="68" t="s">
        <v>126</v>
      </c>
      <c r="D12" s="70"/>
      <c r="E12" s="68" t="s">
        <v>135</v>
      </c>
      <c r="F12" s="68" t="s">
        <v>14</v>
      </c>
      <c r="G12" s="68" t="s">
        <v>136</v>
      </c>
      <c r="H12" s="68" t="s">
        <v>137</v>
      </c>
      <c r="I12" s="69">
        <f>25800+25800</f>
        <v>51600</v>
      </c>
      <c r="J12" s="69">
        <v>62.7</v>
      </c>
      <c r="K12" s="69">
        <f t="shared" si="0"/>
        <v>822.96650717703346</v>
      </c>
    </row>
    <row r="13" spans="1:11" s="63" customFormat="1" x14ac:dyDescent="0.25">
      <c r="A13" s="67">
        <v>44519</v>
      </c>
      <c r="B13" s="68" t="s">
        <v>211</v>
      </c>
      <c r="C13" s="68" t="s">
        <v>212</v>
      </c>
      <c r="D13" s="68" t="s">
        <v>17</v>
      </c>
      <c r="E13" s="68">
        <v>3</v>
      </c>
      <c r="F13" s="68" t="s">
        <v>45</v>
      </c>
      <c r="G13" s="68" t="s">
        <v>215</v>
      </c>
      <c r="H13" s="68" t="s">
        <v>216</v>
      </c>
      <c r="I13" s="69">
        <v>20400</v>
      </c>
      <c r="J13" s="69">
        <v>62.7</v>
      </c>
      <c r="K13" s="69">
        <f t="shared" si="0"/>
        <v>325.35885167464113</v>
      </c>
    </row>
    <row r="14" spans="1:11" s="63" customFormat="1" x14ac:dyDescent="0.25">
      <c r="A14" s="67">
        <v>44519</v>
      </c>
      <c r="B14" s="68" t="s">
        <v>211</v>
      </c>
      <c r="C14" s="68" t="s">
        <v>213</v>
      </c>
      <c r="D14" s="68" t="s">
        <v>17</v>
      </c>
      <c r="E14" s="68">
        <v>3</v>
      </c>
      <c r="F14" s="68" t="s">
        <v>45</v>
      </c>
      <c r="G14" s="68" t="s">
        <v>215</v>
      </c>
      <c r="H14" s="68" t="s">
        <v>217</v>
      </c>
      <c r="I14" s="69">
        <v>262000</v>
      </c>
      <c r="J14" s="69">
        <v>62.7</v>
      </c>
      <c r="K14" s="69">
        <f t="shared" si="0"/>
        <v>4178.6283891547046</v>
      </c>
    </row>
    <row r="15" spans="1:11" s="63" customFormat="1" x14ac:dyDescent="0.25">
      <c r="A15" s="67">
        <v>44519</v>
      </c>
      <c r="B15" s="68" t="s">
        <v>211</v>
      </c>
      <c r="C15" s="68" t="s">
        <v>214</v>
      </c>
      <c r="D15" s="68" t="s">
        <v>17</v>
      </c>
      <c r="E15" s="68">
        <v>3</v>
      </c>
      <c r="F15" s="68" t="s">
        <v>45</v>
      </c>
      <c r="G15" s="68" t="s">
        <v>215</v>
      </c>
      <c r="H15" s="68" t="s">
        <v>218</v>
      </c>
      <c r="I15" s="69">
        <v>142800</v>
      </c>
      <c r="J15" s="69">
        <v>62.7</v>
      </c>
      <c r="K15" s="69">
        <f t="shared" si="0"/>
        <v>2277.5119617224877</v>
      </c>
    </row>
    <row r="16" spans="1:11" s="63" customFormat="1" x14ac:dyDescent="0.25">
      <c r="A16" s="67">
        <v>44519</v>
      </c>
      <c r="B16" s="68" t="s">
        <v>138</v>
      </c>
      <c r="C16" s="68" t="s">
        <v>39</v>
      </c>
      <c r="D16" s="68" t="s">
        <v>17</v>
      </c>
      <c r="E16" s="68">
        <v>3</v>
      </c>
      <c r="F16" s="68" t="s">
        <v>45</v>
      </c>
      <c r="G16" s="68" t="s">
        <v>139</v>
      </c>
      <c r="H16" s="68" t="s">
        <v>140</v>
      </c>
      <c r="I16" s="69">
        <v>402708.86</v>
      </c>
      <c r="J16" s="69">
        <v>62.7</v>
      </c>
      <c r="K16" s="69">
        <f t="shared" si="0"/>
        <v>6422.788835725677</v>
      </c>
    </row>
    <row r="17" spans="1:12" s="63" customFormat="1" x14ac:dyDescent="0.25">
      <c r="A17" s="67">
        <v>44519</v>
      </c>
      <c r="B17" s="68" t="s">
        <v>141</v>
      </c>
      <c r="C17" s="68" t="s">
        <v>33</v>
      </c>
      <c r="D17" s="68" t="s">
        <v>13</v>
      </c>
      <c r="E17" s="68">
        <v>3</v>
      </c>
      <c r="F17" s="68" t="s">
        <v>45</v>
      </c>
      <c r="G17" s="68" t="s">
        <v>142</v>
      </c>
      <c r="H17" s="68" t="s">
        <v>143</v>
      </c>
      <c r="I17" s="69">
        <v>34500</v>
      </c>
      <c r="J17" s="69">
        <v>62.7</v>
      </c>
      <c r="K17" s="69">
        <f t="shared" si="0"/>
        <v>550.23923444976072</v>
      </c>
    </row>
    <row r="18" spans="1:12" s="63" customFormat="1" x14ac:dyDescent="0.25">
      <c r="A18" s="67">
        <v>44519</v>
      </c>
      <c r="B18" s="68" t="s">
        <v>144</v>
      </c>
      <c r="C18" s="68" t="s">
        <v>113</v>
      </c>
      <c r="D18" s="68" t="s">
        <v>13</v>
      </c>
      <c r="E18" s="68">
        <v>3</v>
      </c>
      <c r="F18" s="68" t="s">
        <v>45</v>
      </c>
      <c r="G18" s="68" t="s">
        <v>114</v>
      </c>
      <c r="H18" s="68" t="s">
        <v>145</v>
      </c>
      <c r="I18" s="69">
        <v>174533.05</v>
      </c>
      <c r="J18" s="69">
        <v>62.7</v>
      </c>
      <c r="K18" s="69">
        <f t="shared" si="0"/>
        <v>2783.621212121212</v>
      </c>
      <c r="L18" s="75"/>
    </row>
    <row r="19" spans="1:12" s="63" customFormat="1" x14ac:dyDescent="0.25">
      <c r="A19" s="67">
        <v>44522</v>
      </c>
      <c r="B19" s="68" t="s">
        <v>146</v>
      </c>
      <c r="C19" s="68" t="s">
        <v>147</v>
      </c>
      <c r="D19" s="68" t="s">
        <v>13</v>
      </c>
      <c r="E19" s="68">
        <v>3</v>
      </c>
      <c r="F19" s="68" t="s">
        <v>14</v>
      </c>
      <c r="G19" s="68" t="s">
        <v>148</v>
      </c>
      <c r="H19" s="68" t="s">
        <v>149</v>
      </c>
      <c r="I19" s="69">
        <f>1800+1800+1800</f>
        <v>5400</v>
      </c>
      <c r="J19" s="69">
        <v>62.7</v>
      </c>
      <c r="K19" s="69">
        <f t="shared" si="0"/>
        <v>86.124401913875587</v>
      </c>
    </row>
    <row r="20" spans="1:12" s="63" customFormat="1" x14ac:dyDescent="0.25">
      <c r="A20" s="67">
        <v>44522</v>
      </c>
      <c r="B20" s="68" t="s">
        <v>150</v>
      </c>
      <c r="C20" s="68" t="s">
        <v>151</v>
      </c>
      <c r="D20" s="70"/>
      <c r="E20" s="68" t="s">
        <v>135</v>
      </c>
      <c r="F20" s="68" t="s">
        <v>14</v>
      </c>
      <c r="G20" s="68" t="s">
        <v>136</v>
      </c>
      <c r="H20" s="68" t="s">
        <v>152</v>
      </c>
      <c r="I20" s="69">
        <f>19800+13800</f>
        <v>33600</v>
      </c>
      <c r="J20" s="69">
        <v>62.7</v>
      </c>
      <c r="K20" s="69">
        <f t="shared" si="0"/>
        <v>535.88516746411483</v>
      </c>
    </row>
    <row r="21" spans="1:12" s="63" customFormat="1" x14ac:dyDescent="0.25">
      <c r="A21" s="67">
        <v>44522</v>
      </c>
      <c r="B21" s="68" t="s">
        <v>153</v>
      </c>
      <c r="C21" s="68" t="s">
        <v>126</v>
      </c>
      <c r="D21" s="70"/>
      <c r="E21" s="68" t="s">
        <v>154</v>
      </c>
      <c r="F21" s="68" t="s">
        <v>14</v>
      </c>
      <c r="G21" s="68" t="s">
        <v>161</v>
      </c>
      <c r="H21" s="68" t="s">
        <v>155</v>
      </c>
      <c r="I21" s="69">
        <f>(19800*8)+1800</f>
        <v>160200</v>
      </c>
      <c r="J21" s="69">
        <v>62.7</v>
      </c>
      <c r="K21" s="69">
        <f t="shared" si="0"/>
        <v>2555.0239234449759</v>
      </c>
    </row>
    <row r="22" spans="1:12" s="63" customFormat="1" x14ac:dyDescent="0.25">
      <c r="A22" s="67">
        <v>44525</v>
      </c>
      <c r="B22" s="68" t="s">
        <v>156</v>
      </c>
      <c r="C22" s="68" t="s">
        <v>126</v>
      </c>
      <c r="D22" s="68" t="s">
        <v>13</v>
      </c>
      <c r="E22" s="68">
        <v>3</v>
      </c>
      <c r="F22" s="68" t="s">
        <v>14</v>
      </c>
      <c r="G22" s="68" t="s">
        <v>157</v>
      </c>
      <c r="H22" s="68" t="s">
        <v>158</v>
      </c>
      <c r="I22" s="69">
        <v>159600</v>
      </c>
      <c r="J22" s="69">
        <v>62.7</v>
      </c>
      <c r="K22" s="69">
        <f t="shared" si="0"/>
        <v>2545.4545454545455</v>
      </c>
    </row>
    <row r="23" spans="1:12" s="63" customFormat="1" x14ac:dyDescent="0.25">
      <c r="A23" s="67">
        <v>44526</v>
      </c>
      <c r="B23" s="68" t="s">
        <v>159</v>
      </c>
      <c r="C23" s="68" t="s">
        <v>126</v>
      </c>
      <c r="D23" s="70"/>
      <c r="E23" s="68" t="s">
        <v>154</v>
      </c>
      <c r="F23" s="68" t="s">
        <v>14</v>
      </c>
      <c r="G23" s="68" t="s">
        <v>160</v>
      </c>
      <c r="H23" s="68" t="s">
        <v>162</v>
      </c>
      <c r="I23" s="69">
        <v>837600</v>
      </c>
      <c r="J23" s="69">
        <v>62.7</v>
      </c>
      <c r="K23" s="69">
        <f t="shared" si="0"/>
        <v>13358.851674641148</v>
      </c>
    </row>
    <row r="24" spans="1:12" s="63" customFormat="1" x14ac:dyDescent="0.25">
      <c r="A24" s="67">
        <v>44529</v>
      </c>
      <c r="B24" s="68" t="s">
        <v>163</v>
      </c>
      <c r="C24" s="68" t="s">
        <v>126</v>
      </c>
      <c r="D24" s="68" t="s">
        <v>13</v>
      </c>
      <c r="E24" s="68">
        <v>3</v>
      </c>
      <c r="F24" s="68" t="s">
        <v>14</v>
      </c>
      <c r="G24" s="68" t="s">
        <v>164</v>
      </c>
      <c r="H24" s="68" t="s">
        <v>165</v>
      </c>
      <c r="I24" s="69">
        <f>(39600*7)+19800</f>
        <v>297000</v>
      </c>
      <c r="J24" s="69">
        <v>62.7</v>
      </c>
      <c r="K24" s="69">
        <f t="shared" si="0"/>
        <v>4736.8421052631575</v>
      </c>
    </row>
    <row r="25" spans="1:12" s="63" customFormat="1" x14ac:dyDescent="0.25">
      <c r="A25" s="67">
        <v>44529</v>
      </c>
      <c r="B25" s="68" t="s">
        <v>166</v>
      </c>
      <c r="C25" s="68" t="s">
        <v>126</v>
      </c>
      <c r="D25" s="68" t="s">
        <v>13</v>
      </c>
      <c r="E25" s="68">
        <v>3</v>
      </c>
      <c r="F25" s="68" t="s">
        <v>14</v>
      </c>
      <c r="G25" s="68" t="s">
        <v>167</v>
      </c>
      <c r="H25" s="68" t="s">
        <v>168</v>
      </c>
      <c r="I25" s="69">
        <v>815400</v>
      </c>
      <c r="J25" s="69">
        <v>62.7</v>
      </c>
      <c r="K25" s="69">
        <f t="shared" si="0"/>
        <v>13004.784688995214</v>
      </c>
    </row>
    <row r="26" spans="1:12" s="63" customFormat="1" x14ac:dyDescent="0.25">
      <c r="A26" s="67">
        <v>44530</v>
      </c>
      <c r="B26" s="68" t="s">
        <v>169</v>
      </c>
      <c r="C26" s="68" t="s">
        <v>170</v>
      </c>
      <c r="D26" s="68" t="s">
        <v>13</v>
      </c>
      <c r="E26" s="68">
        <v>3</v>
      </c>
      <c r="F26" s="68" t="s">
        <v>14</v>
      </c>
      <c r="G26" s="68" t="s">
        <v>171</v>
      </c>
      <c r="H26" s="68" t="s">
        <v>172</v>
      </c>
      <c r="I26" s="69">
        <v>132600</v>
      </c>
      <c r="J26" s="69">
        <v>62.7</v>
      </c>
      <c r="K26" s="69">
        <f t="shared" si="0"/>
        <v>2114.8325358851675</v>
      </c>
    </row>
    <row r="27" spans="1:12" s="63" customFormat="1" x14ac:dyDescent="0.25">
      <c r="A27" s="67">
        <v>44530</v>
      </c>
      <c r="B27" s="68" t="s">
        <v>173</v>
      </c>
      <c r="C27" s="68" t="s">
        <v>174</v>
      </c>
      <c r="D27" s="70"/>
      <c r="E27" s="70"/>
      <c r="F27" s="68" t="s">
        <v>14</v>
      </c>
      <c r="G27" s="68" t="s">
        <v>175</v>
      </c>
      <c r="H27" s="68" t="s">
        <v>176</v>
      </c>
      <c r="I27" s="69">
        <v>103200</v>
      </c>
      <c r="J27" s="69">
        <v>62.7</v>
      </c>
      <c r="K27" s="69">
        <f t="shared" si="0"/>
        <v>1645.9330143540669</v>
      </c>
    </row>
    <row r="28" spans="1:12" s="63" customFormat="1" x14ac:dyDescent="0.25">
      <c r="A28" s="67">
        <v>44531</v>
      </c>
      <c r="B28" s="68" t="s">
        <v>177</v>
      </c>
      <c r="C28" s="68" t="s">
        <v>178</v>
      </c>
      <c r="D28" s="70"/>
      <c r="E28" s="70"/>
      <c r="F28" s="68" t="s">
        <v>14</v>
      </c>
      <c r="G28" s="68" t="s">
        <v>175</v>
      </c>
      <c r="H28" s="68" t="s">
        <v>179</v>
      </c>
      <c r="I28" s="69">
        <v>25800</v>
      </c>
      <c r="J28" s="69">
        <v>62.7</v>
      </c>
      <c r="K28" s="69">
        <f t="shared" si="0"/>
        <v>411.48325358851673</v>
      </c>
    </row>
    <row r="29" spans="1:12" s="63" customFormat="1" x14ac:dyDescent="0.25">
      <c r="A29" s="67">
        <v>44531</v>
      </c>
      <c r="B29" s="68" t="s">
        <v>180</v>
      </c>
      <c r="C29" s="68" t="s">
        <v>181</v>
      </c>
      <c r="D29" s="68" t="s">
        <v>13</v>
      </c>
      <c r="E29" s="68">
        <v>3</v>
      </c>
      <c r="F29" s="68" t="s">
        <v>14</v>
      </c>
      <c r="G29" s="68" t="s">
        <v>182</v>
      </c>
      <c r="H29" s="68" t="s">
        <v>183</v>
      </c>
      <c r="I29" s="69">
        <v>22200</v>
      </c>
      <c r="J29" s="69">
        <v>62.7</v>
      </c>
      <c r="K29" s="69">
        <f t="shared" si="0"/>
        <v>354.06698564593302</v>
      </c>
    </row>
    <row r="30" spans="1:12" s="63" customFormat="1" x14ac:dyDescent="0.25">
      <c r="A30" s="67">
        <v>44531</v>
      </c>
      <c r="B30" s="68" t="s">
        <v>184</v>
      </c>
      <c r="C30" s="68" t="s">
        <v>147</v>
      </c>
      <c r="D30" s="68" t="s">
        <v>13</v>
      </c>
      <c r="E30" s="68">
        <v>3</v>
      </c>
      <c r="F30" s="68" t="s">
        <v>14</v>
      </c>
      <c r="G30" s="68" t="s">
        <v>185</v>
      </c>
      <c r="H30" s="68" t="s">
        <v>186</v>
      </c>
      <c r="I30" s="69">
        <f>19800*3</f>
        <v>59400</v>
      </c>
      <c r="J30" s="69">
        <v>62.7</v>
      </c>
      <c r="K30" s="69">
        <f t="shared" si="0"/>
        <v>947.36842105263156</v>
      </c>
    </row>
    <row r="31" spans="1:12" s="63" customFormat="1" x14ac:dyDescent="0.25">
      <c r="A31" s="67">
        <v>44532</v>
      </c>
      <c r="B31" s="68" t="s">
        <v>110</v>
      </c>
      <c r="C31" s="68" t="s">
        <v>29</v>
      </c>
      <c r="D31" s="68" t="s">
        <v>13</v>
      </c>
      <c r="E31" s="68">
        <v>3</v>
      </c>
      <c r="F31" s="68" t="s">
        <v>45</v>
      </c>
      <c r="G31" s="68" t="s">
        <v>111</v>
      </c>
      <c r="H31" s="68">
        <v>2480</v>
      </c>
      <c r="I31" s="69">
        <v>104500</v>
      </c>
      <c r="J31" s="69">
        <v>62.7</v>
      </c>
      <c r="K31" s="69">
        <f t="shared" si="0"/>
        <v>1666.6666666666665</v>
      </c>
    </row>
    <row r="32" spans="1:12" s="63" customFormat="1" x14ac:dyDescent="0.25">
      <c r="A32" s="67">
        <v>44532</v>
      </c>
      <c r="B32" s="68" t="s">
        <v>106</v>
      </c>
      <c r="C32" s="68" t="s">
        <v>107</v>
      </c>
      <c r="D32" s="68" t="s">
        <v>17</v>
      </c>
      <c r="E32" s="68">
        <v>3</v>
      </c>
      <c r="F32" s="68" t="s">
        <v>108</v>
      </c>
      <c r="G32" s="68" t="s">
        <v>109</v>
      </c>
      <c r="H32" s="68">
        <v>2481</v>
      </c>
      <c r="I32" s="69">
        <v>44300</v>
      </c>
      <c r="J32" s="69">
        <v>62.7</v>
      </c>
      <c r="K32" s="69">
        <f t="shared" si="0"/>
        <v>706.53907496012755</v>
      </c>
    </row>
    <row r="33" spans="1:11" s="63" customFormat="1" x14ac:dyDescent="0.25">
      <c r="A33" s="67">
        <v>44532</v>
      </c>
      <c r="B33" s="68" t="s">
        <v>102</v>
      </c>
      <c r="C33" s="68" t="s">
        <v>103</v>
      </c>
      <c r="D33" s="68" t="s">
        <v>17</v>
      </c>
      <c r="E33" s="68">
        <v>3</v>
      </c>
      <c r="F33" s="68" t="s">
        <v>104</v>
      </c>
      <c r="G33" s="68" t="s">
        <v>105</v>
      </c>
      <c r="H33" s="68">
        <v>2482</v>
      </c>
      <c r="I33" s="69">
        <v>124824.39</v>
      </c>
      <c r="J33" s="69">
        <v>62.7</v>
      </c>
      <c r="K33" s="69">
        <f t="shared" si="0"/>
        <v>1990.8196172248802</v>
      </c>
    </row>
    <row r="34" spans="1:11" s="63" customFormat="1" x14ac:dyDescent="0.25">
      <c r="A34" s="67">
        <v>44532</v>
      </c>
      <c r="B34" s="68" t="s">
        <v>228</v>
      </c>
      <c r="C34" s="68" t="s">
        <v>229</v>
      </c>
      <c r="D34" s="68" t="s">
        <v>13</v>
      </c>
      <c r="E34" s="68">
        <v>3</v>
      </c>
      <c r="F34" s="68" t="s">
        <v>45</v>
      </c>
      <c r="G34" s="68" t="s">
        <v>230</v>
      </c>
      <c r="H34" s="68" t="s">
        <v>231</v>
      </c>
      <c r="I34" s="69">
        <v>327450</v>
      </c>
      <c r="J34" s="69">
        <v>62.7</v>
      </c>
      <c r="K34" s="69">
        <f t="shared" si="0"/>
        <v>5222.4880382775118</v>
      </c>
    </row>
    <row r="35" spans="1:11" s="63" customFormat="1" x14ac:dyDescent="0.25">
      <c r="A35" s="67">
        <v>44532</v>
      </c>
      <c r="B35" s="68" t="s">
        <v>232</v>
      </c>
      <c r="C35" s="68" t="s">
        <v>229</v>
      </c>
      <c r="D35" s="68" t="s">
        <v>13</v>
      </c>
      <c r="E35" s="68">
        <v>3</v>
      </c>
      <c r="F35" s="68" t="s">
        <v>45</v>
      </c>
      <c r="G35" s="68" t="s">
        <v>233</v>
      </c>
      <c r="H35" s="68" t="s">
        <v>234</v>
      </c>
      <c r="I35" s="69">
        <v>310800</v>
      </c>
      <c r="J35" s="69">
        <v>62.7</v>
      </c>
      <c r="K35" s="69">
        <f t="shared" si="0"/>
        <v>4956.9377990430621</v>
      </c>
    </row>
    <row r="36" spans="1:11" s="63" customFormat="1" x14ac:dyDescent="0.25">
      <c r="A36" s="67">
        <v>44532</v>
      </c>
      <c r="B36" s="68" t="s">
        <v>235</v>
      </c>
      <c r="C36" s="68" t="s">
        <v>229</v>
      </c>
      <c r="D36" s="68" t="s">
        <v>13</v>
      </c>
      <c r="E36" s="68">
        <v>3</v>
      </c>
      <c r="F36" s="68" t="s">
        <v>45</v>
      </c>
      <c r="G36" s="68" t="s">
        <v>236</v>
      </c>
      <c r="H36" s="68" t="s">
        <v>237</v>
      </c>
      <c r="I36" s="69">
        <v>296000</v>
      </c>
      <c r="J36" s="69">
        <v>62.7</v>
      </c>
      <c r="K36" s="69">
        <f t="shared" si="0"/>
        <v>4720.8931419457731</v>
      </c>
    </row>
    <row r="37" spans="1:11" s="63" customFormat="1" x14ac:dyDescent="0.25">
      <c r="A37" s="67">
        <v>44532</v>
      </c>
      <c r="B37" s="68" t="s">
        <v>238</v>
      </c>
      <c r="C37" s="68" t="s">
        <v>229</v>
      </c>
      <c r="D37" s="68" t="s">
        <v>13</v>
      </c>
      <c r="E37" s="68">
        <v>3</v>
      </c>
      <c r="F37" s="68" t="s">
        <v>45</v>
      </c>
      <c r="G37" s="68" t="s">
        <v>239</v>
      </c>
      <c r="H37" s="68" t="s">
        <v>240</v>
      </c>
      <c r="I37" s="69">
        <v>225000</v>
      </c>
      <c r="J37" s="69">
        <v>62.7</v>
      </c>
      <c r="K37" s="69">
        <f t="shared" si="0"/>
        <v>3588.5167464114829</v>
      </c>
    </row>
    <row r="38" spans="1:11" s="63" customFormat="1" ht="15.75" x14ac:dyDescent="0.25">
      <c r="A38" s="67">
        <v>44536</v>
      </c>
      <c r="B38" s="68" t="s">
        <v>241</v>
      </c>
      <c r="C38" s="68" t="s">
        <v>42</v>
      </c>
      <c r="D38" s="68" t="s">
        <v>11</v>
      </c>
      <c r="E38" s="68">
        <v>2</v>
      </c>
      <c r="F38" s="53" t="s">
        <v>74</v>
      </c>
      <c r="G38" s="55" t="s">
        <v>242</v>
      </c>
      <c r="H38" s="68" t="s">
        <v>243</v>
      </c>
      <c r="I38" s="69">
        <v>944161.4</v>
      </c>
      <c r="J38" s="69">
        <v>62.7</v>
      </c>
      <c r="K38" s="69">
        <f t="shared" si="0"/>
        <v>15058.39553429027</v>
      </c>
    </row>
    <row r="39" spans="1:11" ht="15.75" x14ac:dyDescent="0.25">
      <c r="A39" s="52">
        <v>44537</v>
      </c>
      <c r="B39" s="47" t="s">
        <v>96</v>
      </c>
      <c r="C39" s="56" t="s">
        <v>66</v>
      </c>
      <c r="D39" s="54" t="s">
        <v>13</v>
      </c>
      <c r="E39" s="57" t="s">
        <v>50</v>
      </c>
      <c r="F39" s="53" t="s">
        <v>14</v>
      </c>
      <c r="G39" s="55" t="s">
        <v>67</v>
      </c>
      <c r="H39" s="48" t="s">
        <v>97</v>
      </c>
      <c r="I39" s="49">
        <v>221400</v>
      </c>
      <c r="J39" s="69">
        <v>62.7</v>
      </c>
      <c r="K39" s="49">
        <f t="shared" ref="K39" si="2">I39/J39</f>
        <v>3531.1004784688994</v>
      </c>
    </row>
    <row r="40" spans="1:11" ht="15.75" x14ac:dyDescent="0.25">
      <c r="A40" s="52">
        <v>44538</v>
      </c>
      <c r="B40" s="47" t="s">
        <v>65</v>
      </c>
      <c r="C40" s="56" t="s">
        <v>66</v>
      </c>
      <c r="D40" s="54" t="s">
        <v>13</v>
      </c>
      <c r="E40" s="57" t="s">
        <v>50</v>
      </c>
      <c r="F40" s="53" t="s">
        <v>14</v>
      </c>
      <c r="G40" s="55" t="s">
        <v>67</v>
      </c>
      <c r="H40" s="48" t="s">
        <v>68</v>
      </c>
      <c r="I40" s="49">
        <v>160800</v>
      </c>
      <c r="J40" s="69">
        <v>62.7</v>
      </c>
      <c r="K40" s="49">
        <f t="shared" ref="K40" si="3">I40/J40</f>
        <v>2564.5933014354064</v>
      </c>
    </row>
    <row r="41" spans="1:11" ht="15.75" x14ac:dyDescent="0.25">
      <c r="A41" s="52">
        <v>44538</v>
      </c>
      <c r="B41" s="47" t="s">
        <v>57</v>
      </c>
      <c r="C41" s="56" t="s">
        <v>58</v>
      </c>
      <c r="D41" s="54" t="s">
        <v>13</v>
      </c>
      <c r="E41" s="57" t="s">
        <v>50</v>
      </c>
      <c r="F41" s="53" t="s">
        <v>14</v>
      </c>
      <c r="G41" s="55" t="s">
        <v>59</v>
      </c>
      <c r="H41" s="48" t="s">
        <v>60</v>
      </c>
      <c r="I41" s="49">
        <v>13800</v>
      </c>
      <c r="J41" s="64">
        <v>62.7</v>
      </c>
      <c r="K41" s="49">
        <f t="shared" ref="K41:K49" si="4">I41/J41</f>
        <v>220.09569377990431</v>
      </c>
    </row>
    <row r="42" spans="1:11" ht="15.75" x14ac:dyDescent="0.25">
      <c r="A42" s="52">
        <v>44538</v>
      </c>
      <c r="B42" s="47" t="s">
        <v>61</v>
      </c>
      <c r="C42" s="56" t="s">
        <v>62</v>
      </c>
      <c r="D42" s="61"/>
      <c r="E42" s="62"/>
      <c r="F42" s="53" t="s">
        <v>14</v>
      </c>
      <c r="G42" s="55" t="s">
        <v>63</v>
      </c>
      <c r="H42" s="48" t="s">
        <v>64</v>
      </c>
      <c r="I42" s="49">
        <v>5400</v>
      </c>
      <c r="J42" s="64">
        <v>62.7</v>
      </c>
      <c r="K42" s="49">
        <f t="shared" si="4"/>
        <v>86.124401913875587</v>
      </c>
    </row>
    <row r="43" spans="1:11" ht="15.75" x14ac:dyDescent="0.25">
      <c r="A43" s="52">
        <v>44544</v>
      </c>
      <c r="B43" s="47" t="s">
        <v>187</v>
      </c>
      <c r="C43" s="56" t="s">
        <v>188</v>
      </c>
      <c r="D43" s="54" t="s">
        <v>13</v>
      </c>
      <c r="E43" s="57" t="s">
        <v>50</v>
      </c>
      <c r="F43" s="53" t="s">
        <v>45</v>
      </c>
      <c r="G43" s="55" t="s">
        <v>189</v>
      </c>
      <c r="H43" s="48" t="s">
        <v>190</v>
      </c>
      <c r="I43" s="49">
        <v>619850</v>
      </c>
      <c r="J43" s="64">
        <v>62.7</v>
      </c>
      <c r="K43" s="49">
        <f t="shared" si="4"/>
        <v>9885.9649122807004</v>
      </c>
    </row>
    <row r="44" spans="1:11" ht="15.75" x14ac:dyDescent="0.25">
      <c r="A44" s="52">
        <v>44544</v>
      </c>
      <c r="B44" s="47" t="s">
        <v>98</v>
      </c>
      <c r="C44" s="56" t="s">
        <v>99</v>
      </c>
      <c r="D44" s="54" t="s">
        <v>13</v>
      </c>
      <c r="E44" s="57" t="s">
        <v>50</v>
      </c>
      <c r="F44" s="53" t="s">
        <v>45</v>
      </c>
      <c r="G44" s="55" t="s">
        <v>100</v>
      </c>
      <c r="H44" s="48" t="s">
        <v>101</v>
      </c>
      <c r="I44" s="49">
        <v>125892</v>
      </c>
      <c r="J44" s="64">
        <v>62.7</v>
      </c>
      <c r="K44" s="49">
        <f t="shared" si="4"/>
        <v>2007.8468899521531</v>
      </c>
    </row>
    <row r="45" spans="1:11" ht="15.75" x14ac:dyDescent="0.25">
      <c r="A45" s="52">
        <v>44550</v>
      </c>
      <c r="B45" s="47" t="s">
        <v>191</v>
      </c>
      <c r="C45" s="56" t="s">
        <v>192</v>
      </c>
      <c r="D45" s="54" t="s">
        <v>13</v>
      </c>
      <c r="E45" s="57" t="s">
        <v>50</v>
      </c>
      <c r="F45" s="53" t="s">
        <v>14</v>
      </c>
      <c r="G45" s="55" t="s">
        <v>193</v>
      </c>
      <c r="H45" s="48" t="s">
        <v>194</v>
      </c>
      <c r="I45" s="49">
        <f>61800*4</f>
        <v>247200</v>
      </c>
      <c r="J45" s="64">
        <v>62.7</v>
      </c>
      <c r="K45" s="49">
        <f t="shared" si="4"/>
        <v>3942.583732057416</v>
      </c>
    </row>
    <row r="46" spans="1:11" ht="15.75" x14ac:dyDescent="0.25">
      <c r="A46" s="52">
        <v>44550</v>
      </c>
      <c r="B46" s="47" t="s">
        <v>93</v>
      </c>
      <c r="C46" s="56" t="s">
        <v>32</v>
      </c>
      <c r="D46" s="54" t="s">
        <v>13</v>
      </c>
      <c r="E46" s="57" t="s">
        <v>50</v>
      </c>
      <c r="F46" s="53" t="s">
        <v>28</v>
      </c>
      <c r="G46" s="55" t="s">
        <v>94</v>
      </c>
      <c r="H46" s="48" t="s">
        <v>95</v>
      </c>
      <c r="I46" s="60">
        <f>560584-31600</f>
        <v>528984</v>
      </c>
      <c r="J46" s="64">
        <v>62.7</v>
      </c>
      <c r="K46" s="49">
        <f t="shared" si="4"/>
        <v>8436.7464114832528</v>
      </c>
    </row>
    <row r="47" spans="1:11" ht="15.75" x14ac:dyDescent="0.25">
      <c r="A47" s="52">
        <v>44552</v>
      </c>
      <c r="B47" s="47" t="s">
        <v>77</v>
      </c>
      <c r="C47" s="56" t="s">
        <v>42</v>
      </c>
      <c r="D47" s="54" t="s">
        <v>11</v>
      </c>
      <c r="E47" s="57" t="s">
        <v>49</v>
      </c>
      <c r="F47" s="53" t="s">
        <v>74</v>
      </c>
      <c r="G47" s="55" t="s">
        <v>75</v>
      </c>
      <c r="H47" s="48" t="s">
        <v>80</v>
      </c>
      <c r="I47" s="60">
        <v>3843019.11</v>
      </c>
      <c r="J47" s="64">
        <v>62.7</v>
      </c>
      <c r="K47" s="49">
        <f t="shared" si="4"/>
        <v>61292.170813397126</v>
      </c>
    </row>
    <row r="48" spans="1:11" ht="15.75" x14ac:dyDescent="0.25">
      <c r="A48" s="52">
        <v>44552</v>
      </c>
      <c r="B48" s="47" t="s">
        <v>78</v>
      </c>
      <c r="C48" s="56" t="s">
        <v>69</v>
      </c>
      <c r="D48" s="54" t="s">
        <v>11</v>
      </c>
      <c r="E48" s="62"/>
      <c r="F48" s="53" t="s">
        <v>71</v>
      </c>
      <c r="G48" s="55" t="s">
        <v>72</v>
      </c>
      <c r="H48" s="48" t="s">
        <v>73</v>
      </c>
      <c r="I48" s="60">
        <v>1183237.24</v>
      </c>
      <c r="J48" s="64">
        <v>62.7</v>
      </c>
      <c r="K48" s="49">
        <f t="shared" ref="K48" si="5">I48/J48</f>
        <v>18871.407336523123</v>
      </c>
    </row>
    <row r="49" spans="1:11" ht="15.75" x14ac:dyDescent="0.25">
      <c r="A49" s="52">
        <v>44552</v>
      </c>
      <c r="B49" s="47" t="s">
        <v>79</v>
      </c>
      <c r="C49" s="56" t="s">
        <v>42</v>
      </c>
      <c r="D49" s="54" t="s">
        <v>11</v>
      </c>
      <c r="E49" s="57" t="s">
        <v>49</v>
      </c>
      <c r="F49" s="53" t="s">
        <v>74</v>
      </c>
      <c r="G49" s="55" t="s">
        <v>75</v>
      </c>
      <c r="H49" s="48" t="s">
        <v>76</v>
      </c>
      <c r="I49" s="60">
        <v>8032162.5800000001</v>
      </c>
      <c r="J49" s="64">
        <v>62.7</v>
      </c>
      <c r="K49" s="49">
        <f t="shared" si="4"/>
        <v>128104.66634768739</v>
      </c>
    </row>
    <row r="50" spans="1:11" x14ac:dyDescent="0.25">
      <c r="A50" s="44"/>
      <c r="B50" s="42"/>
      <c r="C50" s="42"/>
      <c r="D50" s="43"/>
      <c r="E50" s="44"/>
      <c r="F50" s="50"/>
      <c r="G50" s="50"/>
      <c r="H50" s="44"/>
      <c r="I50" s="65">
        <f>SUM(I2:I49)</f>
        <v>23953097.259999998</v>
      </c>
      <c r="J50" s="45"/>
      <c r="K50" s="46" t="e">
        <f>SUM(#REF!)</f>
        <v>#REF!</v>
      </c>
    </row>
    <row r="51" spans="1:11" x14ac:dyDescent="0.25">
      <c r="I51" s="66" t="e">
        <f>#REF!+'[1]Grant Dezembro'!I50</f>
        <v>#REF!</v>
      </c>
    </row>
    <row r="52" spans="1:11" x14ac:dyDescent="0.25">
      <c r="I52" s="66">
        <v>160858540.13999999</v>
      </c>
    </row>
    <row r="53" spans="1:11" x14ac:dyDescent="0.25">
      <c r="I53" s="66" t="e">
        <f>I51-I52</f>
        <v>#REF!</v>
      </c>
    </row>
  </sheetData>
  <autoFilter ref="A1:K50" xr:uid="{00000000-0009-0000-0000-00000A000000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4"/>
  <sheetViews>
    <sheetView topLeftCell="C1" workbookViewId="0">
      <selection activeCell="I11" sqref="I11"/>
    </sheetView>
  </sheetViews>
  <sheetFormatPr defaultColWidth="9.140625" defaultRowHeight="15" x14ac:dyDescent="0.2"/>
  <cols>
    <col min="1" max="1" width="12.7109375" style="73" bestFit="1" customWidth="1"/>
    <col min="2" max="2" width="33.140625" style="73" bestFit="1" customWidth="1"/>
    <col min="3" max="3" width="20.7109375" style="73" bestFit="1" customWidth="1"/>
    <col min="4" max="5" width="9.140625" style="73"/>
    <col min="6" max="6" width="18.5703125" style="73" bestFit="1" customWidth="1"/>
    <col min="7" max="7" width="75.85546875" style="73" bestFit="1" customWidth="1"/>
    <col min="8" max="8" width="9.140625" style="73"/>
    <col min="9" max="9" width="17.5703125" style="73" bestFit="1" customWidth="1"/>
    <col min="10" max="10" width="9.140625" style="73"/>
    <col min="11" max="11" width="12.85546875" style="73" bestFit="1" customWidth="1"/>
    <col min="12" max="16384" width="9.140625" style="73"/>
  </cols>
  <sheetData>
    <row r="1" spans="1:11" ht="78.75" x14ac:dyDescent="0.2">
      <c r="A1" s="40" t="s">
        <v>52</v>
      </c>
      <c r="B1" s="40" t="s">
        <v>1</v>
      </c>
      <c r="C1" s="40" t="s">
        <v>2</v>
      </c>
      <c r="D1" s="40" t="s">
        <v>3</v>
      </c>
      <c r="E1" s="40" t="s">
        <v>47</v>
      </c>
      <c r="F1" s="40" t="s">
        <v>48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</row>
    <row r="2" spans="1:11" x14ac:dyDescent="0.2">
      <c r="A2" s="52">
        <v>44515</v>
      </c>
      <c r="B2" s="47" t="s">
        <v>195</v>
      </c>
      <c r="C2" s="56" t="s">
        <v>82</v>
      </c>
      <c r="D2" s="54" t="s">
        <v>9</v>
      </c>
      <c r="E2" s="57" t="s">
        <v>50</v>
      </c>
      <c r="F2" s="53" t="s">
        <v>28</v>
      </c>
      <c r="G2" s="55" t="s">
        <v>196</v>
      </c>
      <c r="H2" s="48" t="s">
        <v>197</v>
      </c>
      <c r="I2" s="49">
        <v>6197392</v>
      </c>
      <c r="J2" s="48">
        <v>62.7</v>
      </c>
      <c r="K2" s="49">
        <f t="shared" ref="K2:K10" si="0">I2/J2</f>
        <v>98841.977671451357</v>
      </c>
    </row>
    <row r="3" spans="1:11" x14ac:dyDescent="0.2">
      <c r="A3" s="52">
        <v>44515</v>
      </c>
      <c r="B3" s="47" t="s">
        <v>201</v>
      </c>
      <c r="C3" s="56" t="s">
        <v>89</v>
      </c>
      <c r="D3" s="54" t="s">
        <v>9</v>
      </c>
      <c r="E3" s="57" t="s">
        <v>50</v>
      </c>
      <c r="F3" s="53" t="s">
        <v>28</v>
      </c>
      <c r="G3" s="55" t="s">
        <v>202</v>
      </c>
      <c r="H3" s="48" t="s">
        <v>203</v>
      </c>
      <c r="I3" s="49">
        <v>1010252</v>
      </c>
      <c r="J3" s="48">
        <v>62.7</v>
      </c>
      <c r="K3" s="49">
        <f t="shared" si="0"/>
        <v>16112.472089314193</v>
      </c>
    </row>
    <row r="4" spans="1:11" x14ac:dyDescent="0.2">
      <c r="A4" s="52">
        <v>44515</v>
      </c>
      <c r="B4" s="47" t="s">
        <v>198</v>
      </c>
      <c r="C4" s="56" t="s">
        <v>46</v>
      </c>
      <c r="D4" s="54" t="s">
        <v>9</v>
      </c>
      <c r="E4" s="57" t="s">
        <v>50</v>
      </c>
      <c r="F4" s="72" t="s">
        <v>28</v>
      </c>
      <c r="G4" s="55" t="s">
        <v>199</v>
      </c>
      <c r="H4" s="48" t="s">
        <v>200</v>
      </c>
      <c r="I4" s="49">
        <v>1281380</v>
      </c>
      <c r="J4" s="48">
        <v>62.7</v>
      </c>
      <c r="K4" s="49">
        <f t="shared" si="0"/>
        <v>20436.682615629983</v>
      </c>
    </row>
    <row r="5" spans="1:11" x14ac:dyDescent="0.2">
      <c r="A5" s="52">
        <v>44515</v>
      </c>
      <c r="B5" s="47" t="s">
        <v>204</v>
      </c>
      <c r="C5" s="56" t="s">
        <v>32</v>
      </c>
      <c r="D5" s="54" t="s">
        <v>13</v>
      </c>
      <c r="E5" s="57" t="s">
        <v>50</v>
      </c>
      <c r="F5" s="71" t="s">
        <v>28</v>
      </c>
      <c r="G5" s="55" t="s">
        <v>94</v>
      </c>
      <c r="H5" s="48" t="s">
        <v>205</v>
      </c>
      <c r="I5" s="49">
        <v>528984</v>
      </c>
      <c r="J5" s="48">
        <v>62.7</v>
      </c>
      <c r="K5" s="49">
        <f t="shared" si="0"/>
        <v>8436.7464114832528</v>
      </c>
    </row>
    <row r="6" spans="1:11" x14ac:dyDescent="0.2">
      <c r="A6" s="52">
        <v>44536</v>
      </c>
      <c r="B6" s="47" t="s">
        <v>206</v>
      </c>
      <c r="C6" s="56" t="s">
        <v>207</v>
      </c>
      <c r="D6" s="54" t="s">
        <v>17</v>
      </c>
      <c r="E6" s="57" t="s">
        <v>50</v>
      </c>
      <c r="F6" s="50" t="s">
        <v>31</v>
      </c>
      <c r="G6" s="74" t="s">
        <v>51</v>
      </c>
      <c r="H6" s="48" t="s">
        <v>208</v>
      </c>
      <c r="I6" s="49">
        <v>480000</v>
      </c>
      <c r="J6" s="48">
        <v>62.7</v>
      </c>
      <c r="K6" s="49">
        <f t="shared" si="0"/>
        <v>7655.5023923444969</v>
      </c>
    </row>
    <row r="7" spans="1:11" x14ac:dyDescent="0.2">
      <c r="A7" s="52">
        <v>44550</v>
      </c>
      <c r="B7" s="47" t="s">
        <v>81</v>
      </c>
      <c r="C7" s="56" t="s">
        <v>82</v>
      </c>
      <c r="D7" s="54" t="s">
        <v>9</v>
      </c>
      <c r="E7" s="57" t="s">
        <v>50</v>
      </c>
      <c r="F7" s="53" t="s">
        <v>83</v>
      </c>
      <c r="G7" s="55" t="s">
        <v>85</v>
      </c>
      <c r="H7" s="48" t="s">
        <v>84</v>
      </c>
      <c r="I7" s="49">
        <v>4776446.01</v>
      </c>
      <c r="J7" s="48">
        <v>62.7</v>
      </c>
      <c r="K7" s="49">
        <f t="shared" si="0"/>
        <v>76179.362200956937</v>
      </c>
    </row>
    <row r="8" spans="1:11" x14ac:dyDescent="0.2">
      <c r="A8" s="52">
        <v>44550</v>
      </c>
      <c r="B8" s="47" t="s">
        <v>90</v>
      </c>
      <c r="C8" s="56" t="s">
        <v>46</v>
      </c>
      <c r="D8" s="54" t="s">
        <v>9</v>
      </c>
      <c r="E8" s="57" t="s">
        <v>50</v>
      </c>
      <c r="F8" s="53" t="s">
        <v>83</v>
      </c>
      <c r="G8" s="55" t="s">
        <v>86</v>
      </c>
      <c r="H8" s="48" t="s">
        <v>87</v>
      </c>
      <c r="I8" s="49">
        <v>968013.08</v>
      </c>
      <c r="J8" s="48">
        <v>62.7</v>
      </c>
      <c r="K8" s="49">
        <f t="shared" si="0"/>
        <v>15438.805103668261</v>
      </c>
    </row>
    <row r="9" spans="1:11" x14ac:dyDescent="0.2">
      <c r="A9" s="52">
        <v>44550</v>
      </c>
      <c r="B9" s="47" t="s">
        <v>88</v>
      </c>
      <c r="C9" s="56" t="s">
        <v>89</v>
      </c>
      <c r="D9" s="54" t="s">
        <v>9</v>
      </c>
      <c r="E9" s="57" t="s">
        <v>50</v>
      </c>
      <c r="F9" s="53" t="s">
        <v>83</v>
      </c>
      <c r="G9" s="55" t="s">
        <v>91</v>
      </c>
      <c r="H9" s="48" t="s">
        <v>92</v>
      </c>
      <c r="I9" s="49">
        <v>707356.12</v>
      </c>
      <c r="J9" s="48">
        <v>62.7</v>
      </c>
      <c r="K9" s="49">
        <f t="shared" si="0"/>
        <v>11281.596810207337</v>
      </c>
    </row>
    <row r="10" spans="1:11" x14ac:dyDescent="0.2">
      <c r="A10" s="52">
        <v>44552</v>
      </c>
      <c r="B10" s="47" t="s">
        <v>53</v>
      </c>
      <c r="C10" s="56" t="s">
        <v>54</v>
      </c>
      <c r="D10" s="54" t="s">
        <v>11</v>
      </c>
      <c r="E10" s="57" t="s">
        <v>49</v>
      </c>
      <c r="F10" s="53" t="s">
        <v>70</v>
      </c>
      <c r="G10" s="55" t="s">
        <v>55</v>
      </c>
      <c r="H10" s="48" t="s">
        <v>56</v>
      </c>
      <c r="I10" s="49">
        <v>435375.01</v>
      </c>
      <c r="J10" s="48">
        <v>62.7</v>
      </c>
      <c r="K10" s="49">
        <f t="shared" si="0"/>
        <v>6943.7800637958535</v>
      </c>
    </row>
    <row r="11" spans="1:11" x14ac:dyDescent="0.2">
      <c r="A11" s="44"/>
      <c r="B11" s="42"/>
      <c r="C11" s="42"/>
      <c r="D11" s="43"/>
      <c r="E11" s="44"/>
      <c r="F11" s="50"/>
      <c r="G11" s="50"/>
      <c r="H11" s="44"/>
      <c r="I11" s="51">
        <f>SUM(I2:I10)</f>
        <v>16385198.219999999</v>
      </c>
      <c r="J11" s="50"/>
      <c r="K11" s="46" t="e">
        <f>SUM(#REF!)</f>
        <v>#REF!</v>
      </c>
    </row>
    <row r="12" spans="1:11" x14ac:dyDescent="0.2">
      <c r="I12" s="78" t="e">
        <f>#REF!+'[2]Loan Dezembro'!I11</f>
        <v>#REF!</v>
      </c>
    </row>
    <row r="13" spans="1:11" x14ac:dyDescent="0.2">
      <c r="I13" s="79">
        <v>65196150.75</v>
      </c>
    </row>
    <row r="14" spans="1:11" x14ac:dyDescent="0.2">
      <c r="I14" s="78" t="e">
        <f>I12-I13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workbookViewId="0">
      <selection activeCell="A4" sqref="A4"/>
    </sheetView>
  </sheetViews>
  <sheetFormatPr defaultRowHeight="14.25" x14ac:dyDescent="0.25"/>
  <cols>
    <col min="1" max="1" width="12.7109375" style="33" bestFit="1" customWidth="1"/>
    <col min="2" max="2" width="25.7109375" style="34" customWidth="1"/>
    <col min="3" max="3" width="13.7109375" style="34" bestFit="1" customWidth="1"/>
    <col min="4" max="4" width="32.42578125" style="34" customWidth="1"/>
    <col min="5" max="5" width="14.7109375" style="35" bestFit="1" customWidth="1"/>
    <col min="6" max="6" width="17.28515625" style="33" bestFit="1" customWidth="1"/>
    <col min="7" max="7" width="32" style="34" customWidth="1"/>
    <col min="8" max="8" width="75.28515625" style="34" customWidth="1"/>
    <col min="9" max="9" width="18.28515625" style="33" customWidth="1"/>
    <col min="10" max="10" width="16.140625" style="3" bestFit="1" customWidth="1"/>
    <col min="11" max="11" width="15.5703125" style="34" bestFit="1" customWidth="1"/>
    <col min="12" max="12" width="14" style="4" bestFit="1" customWidth="1"/>
    <col min="13" max="13" width="26.42578125" style="3" bestFit="1" customWidth="1"/>
    <col min="14" max="14" width="24.28515625" style="3" bestFit="1" customWidth="1"/>
    <col min="15" max="15" width="18.85546875" style="3" bestFit="1" customWidth="1"/>
    <col min="16" max="16" width="14.28515625" style="4" bestFit="1" customWidth="1"/>
    <col min="17" max="17" width="4.7109375" style="3" bestFit="1" customWidth="1"/>
    <col min="18" max="257" width="9.140625" style="3"/>
    <col min="258" max="258" width="12.7109375" style="3" bestFit="1" customWidth="1"/>
    <col min="259" max="259" width="28.42578125" style="3" bestFit="1" customWidth="1"/>
    <col min="260" max="260" width="27.42578125" style="3" bestFit="1" customWidth="1"/>
    <col min="261" max="261" width="11.42578125" style="3" customWidth="1"/>
    <col min="262" max="262" width="9.7109375" style="3" bestFit="1" customWidth="1"/>
    <col min="263" max="263" width="31.28515625" style="3" bestFit="1" customWidth="1"/>
    <col min="264" max="264" width="75.28515625" style="3" bestFit="1" customWidth="1"/>
    <col min="265" max="265" width="18.28515625" style="3" bestFit="1" customWidth="1"/>
    <col min="266" max="266" width="17.5703125" style="3" bestFit="1" customWidth="1"/>
    <col min="267" max="267" width="12.5703125" style="3" customWidth="1"/>
    <col min="268" max="268" width="14.28515625" style="3" bestFit="1" customWidth="1"/>
    <col min="269" max="269" width="26.42578125" style="3" bestFit="1" customWidth="1"/>
    <col min="270" max="270" width="24.28515625" style="3" bestFit="1" customWidth="1"/>
    <col min="271" max="271" width="18.85546875" style="3" bestFit="1" customWidth="1"/>
    <col min="272" max="272" width="14.28515625" style="3" bestFit="1" customWidth="1"/>
    <col min="273" max="273" width="4.7109375" style="3" bestFit="1" customWidth="1"/>
    <col min="274" max="513" width="9.140625" style="3"/>
    <col min="514" max="514" width="12.7109375" style="3" bestFit="1" customWidth="1"/>
    <col min="515" max="515" width="28.42578125" style="3" bestFit="1" customWidth="1"/>
    <col min="516" max="516" width="27.42578125" style="3" bestFit="1" customWidth="1"/>
    <col min="517" max="517" width="11.42578125" style="3" customWidth="1"/>
    <col min="518" max="518" width="9.7109375" style="3" bestFit="1" customWidth="1"/>
    <col min="519" max="519" width="31.28515625" style="3" bestFit="1" customWidth="1"/>
    <col min="520" max="520" width="75.28515625" style="3" bestFit="1" customWidth="1"/>
    <col min="521" max="521" width="18.28515625" style="3" bestFit="1" customWidth="1"/>
    <col min="522" max="522" width="17.5703125" style="3" bestFit="1" customWidth="1"/>
    <col min="523" max="523" width="12.5703125" style="3" customWidth="1"/>
    <col min="524" max="524" width="14.28515625" style="3" bestFit="1" customWidth="1"/>
    <col min="525" max="525" width="26.42578125" style="3" bestFit="1" customWidth="1"/>
    <col min="526" max="526" width="24.28515625" style="3" bestFit="1" customWidth="1"/>
    <col min="527" max="527" width="18.85546875" style="3" bestFit="1" customWidth="1"/>
    <col min="528" max="528" width="14.28515625" style="3" bestFit="1" customWidth="1"/>
    <col min="529" max="529" width="4.7109375" style="3" bestFit="1" customWidth="1"/>
    <col min="530" max="769" width="9.140625" style="3"/>
    <col min="770" max="770" width="12.7109375" style="3" bestFit="1" customWidth="1"/>
    <col min="771" max="771" width="28.42578125" style="3" bestFit="1" customWidth="1"/>
    <col min="772" max="772" width="27.42578125" style="3" bestFit="1" customWidth="1"/>
    <col min="773" max="773" width="11.42578125" style="3" customWidth="1"/>
    <col min="774" max="774" width="9.7109375" style="3" bestFit="1" customWidth="1"/>
    <col min="775" max="775" width="31.28515625" style="3" bestFit="1" customWidth="1"/>
    <col min="776" max="776" width="75.28515625" style="3" bestFit="1" customWidth="1"/>
    <col min="777" max="777" width="18.28515625" style="3" bestFit="1" customWidth="1"/>
    <col min="778" max="778" width="17.5703125" style="3" bestFit="1" customWidth="1"/>
    <col min="779" max="779" width="12.5703125" style="3" customWidth="1"/>
    <col min="780" max="780" width="14.28515625" style="3" bestFit="1" customWidth="1"/>
    <col min="781" max="781" width="26.42578125" style="3" bestFit="1" customWidth="1"/>
    <col min="782" max="782" width="24.28515625" style="3" bestFit="1" customWidth="1"/>
    <col min="783" max="783" width="18.85546875" style="3" bestFit="1" customWidth="1"/>
    <col min="784" max="784" width="14.28515625" style="3" bestFit="1" customWidth="1"/>
    <col min="785" max="785" width="4.7109375" style="3" bestFit="1" customWidth="1"/>
    <col min="786" max="1025" width="9.140625" style="3"/>
    <col min="1026" max="1026" width="12.7109375" style="3" bestFit="1" customWidth="1"/>
    <col min="1027" max="1027" width="28.42578125" style="3" bestFit="1" customWidth="1"/>
    <col min="1028" max="1028" width="27.42578125" style="3" bestFit="1" customWidth="1"/>
    <col min="1029" max="1029" width="11.42578125" style="3" customWidth="1"/>
    <col min="1030" max="1030" width="9.7109375" style="3" bestFit="1" customWidth="1"/>
    <col min="1031" max="1031" width="31.28515625" style="3" bestFit="1" customWidth="1"/>
    <col min="1032" max="1032" width="75.28515625" style="3" bestFit="1" customWidth="1"/>
    <col min="1033" max="1033" width="18.28515625" style="3" bestFit="1" customWidth="1"/>
    <col min="1034" max="1034" width="17.5703125" style="3" bestFit="1" customWidth="1"/>
    <col min="1035" max="1035" width="12.5703125" style="3" customWidth="1"/>
    <col min="1036" max="1036" width="14.28515625" style="3" bestFit="1" customWidth="1"/>
    <col min="1037" max="1037" width="26.42578125" style="3" bestFit="1" customWidth="1"/>
    <col min="1038" max="1038" width="24.28515625" style="3" bestFit="1" customWidth="1"/>
    <col min="1039" max="1039" width="18.85546875" style="3" bestFit="1" customWidth="1"/>
    <col min="1040" max="1040" width="14.28515625" style="3" bestFit="1" customWidth="1"/>
    <col min="1041" max="1041" width="4.7109375" style="3" bestFit="1" customWidth="1"/>
    <col min="1042" max="1281" width="9.140625" style="3"/>
    <col min="1282" max="1282" width="12.7109375" style="3" bestFit="1" customWidth="1"/>
    <col min="1283" max="1283" width="28.42578125" style="3" bestFit="1" customWidth="1"/>
    <col min="1284" max="1284" width="27.42578125" style="3" bestFit="1" customWidth="1"/>
    <col min="1285" max="1285" width="11.42578125" style="3" customWidth="1"/>
    <col min="1286" max="1286" width="9.7109375" style="3" bestFit="1" customWidth="1"/>
    <col min="1287" max="1287" width="31.28515625" style="3" bestFit="1" customWidth="1"/>
    <col min="1288" max="1288" width="75.28515625" style="3" bestFit="1" customWidth="1"/>
    <col min="1289" max="1289" width="18.28515625" style="3" bestFit="1" customWidth="1"/>
    <col min="1290" max="1290" width="17.5703125" style="3" bestFit="1" customWidth="1"/>
    <col min="1291" max="1291" width="12.5703125" style="3" customWidth="1"/>
    <col min="1292" max="1292" width="14.28515625" style="3" bestFit="1" customWidth="1"/>
    <col min="1293" max="1293" width="26.42578125" style="3" bestFit="1" customWidth="1"/>
    <col min="1294" max="1294" width="24.28515625" style="3" bestFit="1" customWidth="1"/>
    <col min="1295" max="1295" width="18.85546875" style="3" bestFit="1" customWidth="1"/>
    <col min="1296" max="1296" width="14.28515625" style="3" bestFit="1" customWidth="1"/>
    <col min="1297" max="1297" width="4.7109375" style="3" bestFit="1" customWidth="1"/>
    <col min="1298" max="1537" width="9.140625" style="3"/>
    <col min="1538" max="1538" width="12.7109375" style="3" bestFit="1" customWidth="1"/>
    <col min="1539" max="1539" width="28.42578125" style="3" bestFit="1" customWidth="1"/>
    <col min="1540" max="1540" width="27.42578125" style="3" bestFit="1" customWidth="1"/>
    <col min="1541" max="1541" width="11.42578125" style="3" customWidth="1"/>
    <col min="1542" max="1542" width="9.7109375" style="3" bestFit="1" customWidth="1"/>
    <col min="1543" max="1543" width="31.28515625" style="3" bestFit="1" customWidth="1"/>
    <col min="1544" max="1544" width="75.28515625" style="3" bestFit="1" customWidth="1"/>
    <col min="1545" max="1545" width="18.28515625" style="3" bestFit="1" customWidth="1"/>
    <col min="1546" max="1546" width="17.5703125" style="3" bestFit="1" customWidth="1"/>
    <col min="1547" max="1547" width="12.5703125" style="3" customWidth="1"/>
    <col min="1548" max="1548" width="14.28515625" style="3" bestFit="1" customWidth="1"/>
    <col min="1549" max="1549" width="26.42578125" style="3" bestFit="1" customWidth="1"/>
    <col min="1550" max="1550" width="24.28515625" style="3" bestFit="1" customWidth="1"/>
    <col min="1551" max="1551" width="18.85546875" style="3" bestFit="1" customWidth="1"/>
    <col min="1552" max="1552" width="14.28515625" style="3" bestFit="1" customWidth="1"/>
    <col min="1553" max="1553" width="4.7109375" style="3" bestFit="1" customWidth="1"/>
    <col min="1554" max="1793" width="9.140625" style="3"/>
    <col min="1794" max="1794" width="12.7109375" style="3" bestFit="1" customWidth="1"/>
    <col min="1795" max="1795" width="28.42578125" style="3" bestFit="1" customWidth="1"/>
    <col min="1796" max="1796" width="27.42578125" style="3" bestFit="1" customWidth="1"/>
    <col min="1797" max="1797" width="11.42578125" style="3" customWidth="1"/>
    <col min="1798" max="1798" width="9.7109375" style="3" bestFit="1" customWidth="1"/>
    <col min="1799" max="1799" width="31.28515625" style="3" bestFit="1" customWidth="1"/>
    <col min="1800" max="1800" width="75.28515625" style="3" bestFit="1" customWidth="1"/>
    <col min="1801" max="1801" width="18.28515625" style="3" bestFit="1" customWidth="1"/>
    <col min="1802" max="1802" width="17.5703125" style="3" bestFit="1" customWidth="1"/>
    <col min="1803" max="1803" width="12.5703125" style="3" customWidth="1"/>
    <col min="1804" max="1804" width="14.28515625" style="3" bestFit="1" customWidth="1"/>
    <col min="1805" max="1805" width="26.42578125" style="3" bestFit="1" customWidth="1"/>
    <col min="1806" max="1806" width="24.28515625" style="3" bestFit="1" customWidth="1"/>
    <col min="1807" max="1807" width="18.85546875" style="3" bestFit="1" customWidth="1"/>
    <col min="1808" max="1808" width="14.28515625" style="3" bestFit="1" customWidth="1"/>
    <col min="1809" max="1809" width="4.7109375" style="3" bestFit="1" customWidth="1"/>
    <col min="1810" max="2049" width="9.140625" style="3"/>
    <col min="2050" max="2050" width="12.7109375" style="3" bestFit="1" customWidth="1"/>
    <col min="2051" max="2051" width="28.42578125" style="3" bestFit="1" customWidth="1"/>
    <col min="2052" max="2052" width="27.42578125" style="3" bestFit="1" customWidth="1"/>
    <col min="2053" max="2053" width="11.42578125" style="3" customWidth="1"/>
    <col min="2054" max="2054" width="9.7109375" style="3" bestFit="1" customWidth="1"/>
    <col min="2055" max="2055" width="31.28515625" style="3" bestFit="1" customWidth="1"/>
    <col min="2056" max="2056" width="75.28515625" style="3" bestFit="1" customWidth="1"/>
    <col min="2057" max="2057" width="18.28515625" style="3" bestFit="1" customWidth="1"/>
    <col min="2058" max="2058" width="17.5703125" style="3" bestFit="1" customWidth="1"/>
    <col min="2059" max="2059" width="12.5703125" style="3" customWidth="1"/>
    <col min="2060" max="2060" width="14.28515625" style="3" bestFit="1" customWidth="1"/>
    <col min="2061" max="2061" width="26.42578125" style="3" bestFit="1" customWidth="1"/>
    <col min="2062" max="2062" width="24.28515625" style="3" bestFit="1" customWidth="1"/>
    <col min="2063" max="2063" width="18.85546875" style="3" bestFit="1" customWidth="1"/>
    <col min="2064" max="2064" width="14.28515625" style="3" bestFit="1" customWidth="1"/>
    <col min="2065" max="2065" width="4.7109375" style="3" bestFit="1" customWidth="1"/>
    <col min="2066" max="2305" width="9.140625" style="3"/>
    <col min="2306" max="2306" width="12.7109375" style="3" bestFit="1" customWidth="1"/>
    <col min="2307" max="2307" width="28.42578125" style="3" bestFit="1" customWidth="1"/>
    <col min="2308" max="2308" width="27.42578125" style="3" bestFit="1" customWidth="1"/>
    <col min="2309" max="2309" width="11.42578125" style="3" customWidth="1"/>
    <col min="2310" max="2310" width="9.7109375" style="3" bestFit="1" customWidth="1"/>
    <col min="2311" max="2311" width="31.28515625" style="3" bestFit="1" customWidth="1"/>
    <col min="2312" max="2312" width="75.28515625" style="3" bestFit="1" customWidth="1"/>
    <col min="2313" max="2313" width="18.28515625" style="3" bestFit="1" customWidth="1"/>
    <col min="2314" max="2314" width="17.5703125" style="3" bestFit="1" customWidth="1"/>
    <col min="2315" max="2315" width="12.5703125" style="3" customWidth="1"/>
    <col min="2316" max="2316" width="14.28515625" style="3" bestFit="1" customWidth="1"/>
    <col min="2317" max="2317" width="26.42578125" style="3" bestFit="1" customWidth="1"/>
    <col min="2318" max="2318" width="24.28515625" style="3" bestFit="1" customWidth="1"/>
    <col min="2319" max="2319" width="18.85546875" style="3" bestFit="1" customWidth="1"/>
    <col min="2320" max="2320" width="14.28515625" style="3" bestFit="1" customWidth="1"/>
    <col min="2321" max="2321" width="4.7109375" style="3" bestFit="1" customWidth="1"/>
    <col min="2322" max="2561" width="9.140625" style="3"/>
    <col min="2562" max="2562" width="12.7109375" style="3" bestFit="1" customWidth="1"/>
    <col min="2563" max="2563" width="28.42578125" style="3" bestFit="1" customWidth="1"/>
    <col min="2564" max="2564" width="27.42578125" style="3" bestFit="1" customWidth="1"/>
    <col min="2565" max="2565" width="11.42578125" style="3" customWidth="1"/>
    <col min="2566" max="2566" width="9.7109375" style="3" bestFit="1" customWidth="1"/>
    <col min="2567" max="2567" width="31.28515625" style="3" bestFit="1" customWidth="1"/>
    <col min="2568" max="2568" width="75.28515625" style="3" bestFit="1" customWidth="1"/>
    <col min="2569" max="2569" width="18.28515625" style="3" bestFit="1" customWidth="1"/>
    <col min="2570" max="2570" width="17.5703125" style="3" bestFit="1" customWidth="1"/>
    <col min="2571" max="2571" width="12.5703125" style="3" customWidth="1"/>
    <col min="2572" max="2572" width="14.28515625" style="3" bestFit="1" customWidth="1"/>
    <col min="2573" max="2573" width="26.42578125" style="3" bestFit="1" customWidth="1"/>
    <col min="2574" max="2574" width="24.28515625" style="3" bestFit="1" customWidth="1"/>
    <col min="2575" max="2575" width="18.85546875" style="3" bestFit="1" customWidth="1"/>
    <col min="2576" max="2576" width="14.28515625" style="3" bestFit="1" customWidth="1"/>
    <col min="2577" max="2577" width="4.7109375" style="3" bestFit="1" customWidth="1"/>
    <col min="2578" max="2817" width="9.140625" style="3"/>
    <col min="2818" max="2818" width="12.7109375" style="3" bestFit="1" customWidth="1"/>
    <col min="2819" max="2819" width="28.42578125" style="3" bestFit="1" customWidth="1"/>
    <col min="2820" max="2820" width="27.42578125" style="3" bestFit="1" customWidth="1"/>
    <col min="2821" max="2821" width="11.42578125" style="3" customWidth="1"/>
    <col min="2822" max="2822" width="9.7109375" style="3" bestFit="1" customWidth="1"/>
    <col min="2823" max="2823" width="31.28515625" style="3" bestFit="1" customWidth="1"/>
    <col min="2824" max="2824" width="75.28515625" style="3" bestFit="1" customWidth="1"/>
    <col min="2825" max="2825" width="18.28515625" style="3" bestFit="1" customWidth="1"/>
    <col min="2826" max="2826" width="17.5703125" style="3" bestFit="1" customWidth="1"/>
    <col min="2827" max="2827" width="12.5703125" style="3" customWidth="1"/>
    <col min="2828" max="2828" width="14.28515625" style="3" bestFit="1" customWidth="1"/>
    <col min="2829" max="2829" width="26.42578125" style="3" bestFit="1" customWidth="1"/>
    <col min="2830" max="2830" width="24.28515625" style="3" bestFit="1" customWidth="1"/>
    <col min="2831" max="2831" width="18.85546875" style="3" bestFit="1" customWidth="1"/>
    <col min="2832" max="2832" width="14.28515625" style="3" bestFit="1" customWidth="1"/>
    <col min="2833" max="2833" width="4.7109375" style="3" bestFit="1" customWidth="1"/>
    <col min="2834" max="3073" width="9.140625" style="3"/>
    <col min="3074" max="3074" width="12.7109375" style="3" bestFit="1" customWidth="1"/>
    <col min="3075" max="3075" width="28.42578125" style="3" bestFit="1" customWidth="1"/>
    <col min="3076" max="3076" width="27.42578125" style="3" bestFit="1" customWidth="1"/>
    <col min="3077" max="3077" width="11.42578125" style="3" customWidth="1"/>
    <col min="3078" max="3078" width="9.7109375" style="3" bestFit="1" customWidth="1"/>
    <col min="3079" max="3079" width="31.28515625" style="3" bestFit="1" customWidth="1"/>
    <col min="3080" max="3080" width="75.28515625" style="3" bestFit="1" customWidth="1"/>
    <col min="3081" max="3081" width="18.28515625" style="3" bestFit="1" customWidth="1"/>
    <col min="3082" max="3082" width="17.5703125" style="3" bestFit="1" customWidth="1"/>
    <col min="3083" max="3083" width="12.5703125" style="3" customWidth="1"/>
    <col min="3084" max="3084" width="14.28515625" style="3" bestFit="1" customWidth="1"/>
    <col min="3085" max="3085" width="26.42578125" style="3" bestFit="1" customWidth="1"/>
    <col min="3086" max="3086" width="24.28515625" style="3" bestFit="1" customWidth="1"/>
    <col min="3087" max="3087" width="18.85546875" style="3" bestFit="1" customWidth="1"/>
    <col min="3088" max="3088" width="14.28515625" style="3" bestFit="1" customWidth="1"/>
    <col min="3089" max="3089" width="4.7109375" style="3" bestFit="1" customWidth="1"/>
    <col min="3090" max="3329" width="9.140625" style="3"/>
    <col min="3330" max="3330" width="12.7109375" style="3" bestFit="1" customWidth="1"/>
    <col min="3331" max="3331" width="28.42578125" style="3" bestFit="1" customWidth="1"/>
    <col min="3332" max="3332" width="27.42578125" style="3" bestFit="1" customWidth="1"/>
    <col min="3333" max="3333" width="11.42578125" style="3" customWidth="1"/>
    <col min="3334" max="3334" width="9.7109375" style="3" bestFit="1" customWidth="1"/>
    <col min="3335" max="3335" width="31.28515625" style="3" bestFit="1" customWidth="1"/>
    <col min="3336" max="3336" width="75.28515625" style="3" bestFit="1" customWidth="1"/>
    <col min="3337" max="3337" width="18.28515625" style="3" bestFit="1" customWidth="1"/>
    <col min="3338" max="3338" width="17.5703125" style="3" bestFit="1" customWidth="1"/>
    <col min="3339" max="3339" width="12.5703125" style="3" customWidth="1"/>
    <col min="3340" max="3340" width="14.28515625" style="3" bestFit="1" customWidth="1"/>
    <col min="3341" max="3341" width="26.42578125" style="3" bestFit="1" customWidth="1"/>
    <col min="3342" max="3342" width="24.28515625" style="3" bestFit="1" customWidth="1"/>
    <col min="3343" max="3343" width="18.85546875" style="3" bestFit="1" customWidth="1"/>
    <col min="3344" max="3344" width="14.28515625" style="3" bestFit="1" customWidth="1"/>
    <col min="3345" max="3345" width="4.7109375" style="3" bestFit="1" customWidth="1"/>
    <col min="3346" max="3585" width="9.140625" style="3"/>
    <col min="3586" max="3586" width="12.7109375" style="3" bestFit="1" customWidth="1"/>
    <col min="3587" max="3587" width="28.42578125" style="3" bestFit="1" customWidth="1"/>
    <col min="3588" max="3588" width="27.42578125" style="3" bestFit="1" customWidth="1"/>
    <col min="3589" max="3589" width="11.42578125" style="3" customWidth="1"/>
    <col min="3590" max="3590" width="9.7109375" style="3" bestFit="1" customWidth="1"/>
    <col min="3591" max="3591" width="31.28515625" style="3" bestFit="1" customWidth="1"/>
    <col min="3592" max="3592" width="75.28515625" style="3" bestFit="1" customWidth="1"/>
    <col min="3593" max="3593" width="18.28515625" style="3" bestFit="1" customWidth="1"/>
    <col min="3594" max="3594" width="17.5703125" style="3" bestFit="1" customWidth="1"/>
    <col min="3595" max="3595" width="12.5703125" style="3" customWidth="1"/>
    <col min="3596" max="3596" width="14.28515625" style="3" bestFit="1" customWidth="1"/>
    <col min="3597" max="3597" width="26.42578125" style="3" bestFit="1" customWidth="1"/>
    <col min="3598" max="3598" width="24.28515625" style="3" bestFit="1" customWidth="1"/>
    <col min="3599" max="3599" width="18.85546875" style="3" bestFit="1" customWidth="1"/>
    <col min="3600" max="3600" width="14.28515625" style="3" bestFit="1" customWidth="1"/>
    <col min="3601" max="3601" width="4.7109375" style="3" bestFit="1" customWidth="1"/>
    <col min="3602" max="3841" width="9.140625" style="3"/>
    <col min="3842" max="3842" width="12.7109375" style="3" bestFit="1" customWidth="1"/>
    <col min="3843" max="3843" width="28.42578125" style="3" bestFit="1" customWidth="1"/>
    <col min="3844" max="3844" width="27.42578125" style="3" bestFit="1" customWidth="1"/>
    <col min="3845" max="3845" width="11.42578125" style="3" customWidth="1"/>
    <col min="3846" max="3846" width="9.7109375" style="3" bestFit="1" customWidth="1"/>
    <col min="3847" max="3847" width="31.28515625" style="3" bestFit="1" customWidth="1"/>
    <col min="3848" max="3848" width="75.28515625" style="3" bestFit="1" customWidth="1"/>
    <col min="3849" max="3849" width="18.28515625" style="3" bestFit="1" customWidth="1"/>
    <col min="3850" max="3850" width="17.5703125" style="3" bestFit="1" customWidth="1"/>
    <col min="3851" max="3851" width="12.5703125" style="3" customWidth="1"/>
    <col min="3852" max="3852" width="14.28515625" style="3" bestFit="1" customWidth="1"/>
    <col min="3853" max="3853" width="26.42578125" style="3" bestFit="1" customWidth="1"/>
    <col min="3854" max="3854" width="24.28515625" style="3" bestFit="1" customWidth="1"/>
    <col min="3855" max="3855" width="18.85546875" style="3" bestFit="1" customWidth="1"/>
    <col min="3856" max="3856" width="14.28515625" style="3" bestFit="1" customWidth="1"/>
    <col min="3857" max="3857" width="4.7109375" style="3" bestFit="1" customWidth="1"/>
    <col min="3858" max="4097" width="9.140625" style="3"/>
    <col min="4098" max="4098" width="12.7109375" style="3" bestFit="1" customWidth="1"/>
    <col min="4099" max="4099" width="28.42578125" style="3" bestFit="1" customWidth="1"/>
    <col min="4100" max="4100" width="27.42578125" style="3" bestFit="1" customWidth="1"/>
    <col min="4101" max="4101" width="11.42578125" style="3" customWidth="1"/>
    <col min="4102" max="4102" width="9.7109375" style="3" bestFit="1" customWidth="1"/>
    <col min="4103" max="4103" width="31.28515625" style="3" bestFit="1" customWidth="1"/>
    <col min="4104" max="4104" width="75.28515625" style="3" bestFit="1" customWidth="1"/>
    <col min="4105" max="4105" width="18.28515625" style="3" bestFit="1" customWidth="1"/>
    <col min="4106" max="4106" width="17.5703125" style="3" bestFit="1" customWidth="1"/>
    <col min="4107" max="4107" width="12.5703125" style="3" customWidth="1"/>
    <col min="4108" max="4108" width="14.28515625" style="3" bestFit="1" customWidth="1"/>
    <col min="4109" max="4109" width="26.42578125" style="3" bestFit="1" customWidth="1"/>
    <col min="4110" max="4110" width="24.28515625" style="3" bestFit="1" customWidth="1"/>
    <col min="4111" max="4111" width="18.85546875" style="3" bestFit="1" customWidth="1"/>
    <col min="4112" max="4112" width="14.28515625" style="3" bestFit="1" customWidth="1"/>
    <col min="4113" max="4113" width="4.7109375" style="3" bestFit="1" customWidth="1"/>
    <col min="4114" max="4353" width="9.140625" style="3"/>
    <col min="4354" max="4354" width="12.7109375" style="3" bestFit="1" customWidth="1"/>
    <col min="4355" max="4355" width="28.42578125" style="3" bestFit="1" customWidth="1"/>
    <col min="4356" max="4356" width="27.42578125" style="3" bestFit="1" customWidth="1"/>
    <col min="4357" max="4357" width="11.42578125" style="3" customWidth="1"/>
    <col min="4358" max="4358" width="9.7109375" style="3" bestFit="1" customWidth="1"/>
    <col min="4359" max="4359" width="31.28515625" style="3" bestFit="1" customWidth="1"/>
    <col min="4360" max="4360" width="75.28515625" style="3" bestFit="1" customWidth="1"/>
    <col min="4361" max="4361" width="18.28515625" style="3" bestFit="1" customWidth="1"/>
    <col min="4362" max="4362" width="17.5703125" style="3" bestFit="1" customWidth="1"/>
    <col min="4363" max="4363" width="12.5703125" style="3" customWidth="1"/>
    <col min="4364" max="4364" width="14.28515625" style="3" bestFit="1" customWidth="1"/>
    <col min="4365" max="4365" width="26.42578125" style="3" bestFit="1" customWidth="1"/>
    <col min="4366" max="4366" width="24.28515625" style="3" bestFit="1" customWidth="1"/>
    <col min="4367" max="4367" width="18.85546875" style="3" bestFit="1" customWidth="1"/>
    <col min="4368" max="4368" width="14.28515625" style="3" bestFit="1" customWidth="1"/>
    <col min="4369" max="4369" width="4.7109375" style="3" bestFit="1" customWidth="1"/>
    <col min="4370" max="4609" width="9.140625" style="3"/>
    <col min="4610" max="4610" width="12.7109375" style="3" bestFit="1" customWidth="1"/>
    <col min="4611" max="4611" width="28.42578125" style="3" bestFit="1" customWidth="1"/>
    <col min="4612" max="4612" width="27.42578125" style="3" bestFit="1" customWidth="1"/>
    <col min="4613" max="4613" width="11.42578125" style="3" customWidth="1"/>
    <col min="4614" max="4614" width="9.7109375" style="3" bestFit="1" customWidth="1"/>
    <col min="4615" max="4615" width="31.28515625" style="3" bestFit="1" customWidth="1"/>
    <col min="4616" max="4616" width="75.28515625" style="3" bestFit="1" customWidth="1"/>
    <col min="4617" max="4617" width="18.28515625" style="3" bestFit="1" customWidth="1"/>
    <col min="4618" max="4618" width="17.5703125" style="3" bestFit="1" customWidth="1"/>
    <col min="4619" max="4619" width="12.5703125" style="3" customWidth="1"/>
    <col min="4620" max="4620" width="14.28515625" style="3" bestFit="1" customWidth="1"/>
    <col min="4621" max="4621" width="26.42578125" style="3" bestFit="1" customWidth="1"/>
    <col min="4622" max="4622" width="24.28515625" style="3" bestFit="1" customWidth="1"/>
    <col min="4623" max="4623" width="18.85546875" style="3" bestFit="1" customWidth="1"/>
    <col min="4624" max="4624" width="14.28515625" style="3" bestFit="1" customWidth="1"/>
    <col min="4625" max="4625" width="4.7109375" style="3" bestFit="1" customWidth="1"/>
    <col min="4626" max="4865" width="9.140625" style="3"/>
    <col min="4866" max="4866" width="12.7109375" style="3" bestFit="1" customWidth="1"/>
    <col min="4867" max="4867" width="28.42578125" style="3" bestFit="1" customWidth="1"/>
    <col min="4868" max="4868" width="27.42578125" style="3" bestFit="1" customWidth="1"/>
    <col min="4869" max="4869" width="11.42578125" style="3" customWidth="1"/>
    <col min="4870" max="4870" width="9.7109375" style="3" bestFit="1" customWidth="1"/>
    <col min="4871" max="4871" width="31.28515625" style="3" bestFit="1" customWidth="1"/>
    <col min="4872" max="4872" width="75.28515625" style="3" bestFit="1" customWidth="1"/>
    <col min="4873" max="4873" width="18.28515625" style="3" bestFit="1" customWidth="1"/>
    <col min="4874" max="4874" width="17.5703125" style="3" bestFit="1" customWidth="1"/>
    <col min="4875" max="4875" width="12.5703125" style="3" customWidth="1"/>
    <col min="4876" max="4876" width="14.28515625" style="3" bestFit="1" customWidth="1"/>
    <col min="4877" max="4877" width="26.42578125" style="3" bestFit="1" customWidth="1"/>
    <col min="4878" max="4878" width="24.28515625" style="3" bestFit="1" customWidth="1"/>
    <col min="4879" max="4879" width="18.85546875" style="3" bestFit="1" customWidth="1"/>
    <col min="4880" max="4880" width="14.28515625" style="3" bestFit="1" customWidth="1"/>
    <col min="4881" max="4881" width="4.7109375" style="3" bestFit="1" customWidth="1"/>
    <col min="4882" max="5121" width="9.140625" style="3"/>
    <col min="5122" max="5122" width="12.7109375" style="3" bestFit="1" customWidth="1"/>
    <col min="5123" max="5123" width="28.42578125" style="3" bestFit="1" customWidth="1"/>
    <col min="5124" max="5124" width="27.42578125" style="3" bestFit="1" customWidth="1"/>
    <col min="5125" max="5125" width="11.42578125" style="3" customWidth="1"/>
    <col min="5126" max="5126" width="9.7109375" style="3" bestFit="1" customWidth="1"/>
    <col min="5127" max="5127" width="31.28515625" style="3" bestFit="1" customWidth="1"/>
    <col min="5128" max="5128" width="75.28515625" style="3" bestFit="1" customWidth="1"/>
    <col min="5129" max="5129" width="18.28515625" style="3" bestFit="1" customWidth="1"/>
    <col min="5130" max="5130" width="17.5703125" style="3" bestFit="1" customWidth="1"/>
    <col min="5131" max="5131" width="12.5703125" style="3" customWidth="1"/>
    <col min="5132" max="5132" width="14.28515625" style="3" bestFit="1" customWidth="1"/>
    <col min="5133" max="5133" width="26.42578125" style="3" bestFit="1" customWidth="1"/>
    <col min="5134" max="5134" width="24.28515625" style="3" bestFit="1" customWidth="1"/>
    <col min="5135" max="5135" width="18.85546875" style="3" bestFit="1" customWidth="1"/>
    <col min="5136" max="5136" width="14.28515625" style="3" bestFit="1" customWidth="1"/>
    <col min="5137" max="5137" width="4.7109375" style="3" bestFit="1" customWidth="1"/>
    <col min="5138" max="5377" width="9.140625" style="3"/>
    <col min="5378" max="5378" width="12.7109375" style="3" bestFit="1" customWidth="1"/>
    <col min="5379" max="5379" width="28.42578125" style="3" bestFit="1" customWidth="1"/>
    <col min="5380" max="5380" width="27.42578125" style="3" bestFit="1" customWidth="1"/>
    <col min="5381" max="5381" width="11.42578125" style="3" customWidth="1"/>
    <col min="5382" max="5382" width="9.7109375" style="3" bestFit="1" customWidth="1"/>
    <col min="5383" max="5383" width="31.28515625" style="3" bestFit="1" customWidth="1"/>
    <col min="5384" max="5384" width="75.28515625" style="3" bestFit="1" customWidth="1"/>
    <col min="5385" max="5385" width="18.28515625" style="3" bestFit="1" customWidth="1"/>
    <col min="5386" max="5386" width="17.5703125" style="3" bestFit="1" customWidth="1"/>
    <col min="5387" max="5387" width="12.5703125" style="3" customWidth="1"/>
    <col min="5388" max="5388" width="14.28515625" style="3" bestFit="1" customWidth="1"/>
    <col min="5389" max="5389" width="26.42578125" style="3" bestFit="1" customWidth="1"/>
    <col min="5390" max="5390" width="24.28515625" style="3" bestFit="1" customWidth="1"/>
    <col min="5391" max="5391" width="18.85546875" style="3" bestFit="1" customWidth="1"/>
    <col min="5392" max="5392" width="14.28515625" style="3" bestFit="1" customWidth="1"/>
    <col min="5393" max="5393" width="4.7109375" style="3" bestFit="1" customWidth="1"/>
    <col min="5394" max="5633" width="9.140625" style="3"/>
    <col min="5634" max="5634" width="12.7109375" style="3" bestFit="1" customWidth="1"/>
    <col min="5635" max="5635" width="28.42578125" style="3" bestFit="1" customWidth="1"/>
    <col min="5636" max="5636" width="27.42578125" style="3" bestFit="1" customWidth="1"/>
    <col min="5637" max="5637" width="11.42578125" style="3" customWidth="1"/>
    <col min="5638" max="5638" width="9.7109375" style="3" bestFit="1" customWidth="1"/>
    <col min="5639" max="5639" width="31.28515625" style="3" bestFit="1" customWidth="1"/>
    <col min="5640" max="5640" width="75.28515625" style="3" bestFit="1" customWidth="1"/>
    <col min="5641" max="5641" width="18.28515625" style="3" bestFit="1" customWidth="1"/>
    <col min="5642" max="5642" width="17.5703125" style="3" bestFit="1" customWidth="1"/>
    <col min="5643" max="5643" width="12.5703125" style="3" customWidth="1"/>
    <col min="5644" max="5644" width="14.28515625" style="3" bestFit="1" customWidth="1"/>
    <col min="5645" max="5645" width="26.42578125" style="3" bestFit="1" customWidth="1"/>
    <col min="5646" max="5646" width="24.28515625" style="3" bestFit="1" customWidth="1"/>
    <col min="5647" max="5647" width="18.85546875" style="3" bestFit="1" customWidth="1"/>
    <col min="5648" max="5648" width="14.28515625" style="3" bestFit="1" customWidth="1"/>
    <col min="5649" max="5649" width="4.7109375" style="3" bestFit="1" customWidth="1"/>
    <col min="5650" max="5889" width="9.140625" style="3"/>
    <col min="5890" max="5890" width="12.7109375" style="3" bestFit="1" customWidth="1"/>
    <col min="5891" max="5891" width="28.42578125" style="3" bestFit="1" customWidth="1"/>
    <col min="5892" max="5892" width="27.42578125" style="3" bestFit="1" customWidth="1"/>
    <col min="5893" max="5893" width="11.42578125" style="3" customWidth="1"/>
    <col min="5894" max="5894" width="9.7109375" style="3" bestFit="1" customWidth="1"/>
    <col min="5895" max="5895" width="31.28515625" style="3" bestFit="1" customWidth="1"/>
    <col min="5896" max="5896" width="75.28515625" style="3" bestFit="1" customWidth="1"/>
    <col min="5897" max="5897" width="18.28515625" style="3" bestFit="1" customWidth="1"/>
    <col min="5898" max="5898" width="17.5703125" style="3" bestFit="1" customWidth="1"/>
    <col min="5899" max="5899" width="12.5703125" style="3" customWidth="1"/>
    <col min="5900" max="5900" width="14.28515625" style="3" bestFit="1" customWidth="1"/>
    <col min="5901" max="5901" width="26.42578125" style="3" bestFit="1" customWidth="1"/>
    <col min="5902" max="5902" width="24.28515625" style="3" bestFit="1" customWidth="1"/>
    <col min="5903" max="5903" width="18.85546875" style="3" bestFit="1" customWidth="1"/>
    <col min="5904" max="5904" width="14.28515625" style="3" bestFit="1" customWidth="1"/>
    <col min="5905" max="5905" width="4.7109375" style="3" bestFit="1" customWidth="1"/>
    <col min="5906" max="6145" width="9.140625" style="3"/>
    <col min="6146" max="6146" width="12.7109375" style="3" bestFit="1" customWidth="1"/>
    <col min="6147" max="6147" width="28.42578125" style="3" bestFit="1" customWidth="1"/>
    <col min="6148" max="6148" width="27.42578125" style="3" bestFit="1" customWidth="1"/>
    <col min="6149" max="6149" width="11.42578125" style="3" customWidth="1"/>
    <col min="6150" max="6150" width="9.7109375" style="3" bestFit="1" customWidth="1"/>
    <col min="6151" max="6151" width="31.28515625" style="3" bestFit="1" customWidth="1"/>
    <col min="6152" max="6152" width="75.28515625" style="3" bestFit="1" customWidth="1"/>
    <col min="6153" max="6153" width="18.28515625" style="3" bestFit="1" customWidth="1"/>
    <col min="6154" max="6154" width="17.5703125" style="3" bestFit="1" customWidth="1"/>
    <col min="6155" max="6155" width="12.5703125" style="3" customWidth="1"/>
    <col min="6156" max="6156" width="14.28515625" style="3" bestFit="1" customWidth="1"/>
    <col min="6157" max="6157" width="26.42578125" style="3" bestFit="1" customWidth="1"/>
    <col min="6158" max="6158" width="24.28515625" style="3" bestFit="1" customWidth="1"/>
    <col min="6159" max="6159" width="18.85546875" style="3" bestFit="1" customWidth="1"/>
    <col min="6160" max="6160" width="14.28515625" style="3" bestFit="1" customWidth="1"/>
    <col min="6161" max="6161" width="4.7109375" style="3" bestFit="1" customWidth="1"/>
    <col min="6162" max="6401" width="9.140625" style="3"/>
    <col min="6402" max="6402" width="12.7109375" style="3" bestFit="1" customWidth="1"/>
    <col min="6403" max="6403" width="28.42578125" style="3" bestFit="1" customWidth="1"/>
    <col min="6404" max="6404" width="27.42578125" style="3" bestFit="1" customWidth="1"/>
    <col min="6405" max="6405" width="11.42578125" style="3" customWidth="1"/>
    <col min="6406" max="6406" width="9.7109375" style="3" bestFit="1" customWidth="1"/>
    <col min="6407" max="6407" width="31.28515625" style="3" bestFit="1" customWidth="1"/>
    <col min="6408" max="6408" width="75.28515625" style="3" bestFit="1" customWidth="1"/>
    <col min="6409" max="6409" width="18.28515625" style="3" bestFit="1" customWidth="1"/>
    <col min="6410" max="6410" width="17.5703125" style="3" bestFit="1" customWidth="1"/>
    <col min="6411" max="6411" width="12.5703125" style="3" customWidth="1"/>
    <col min="6412" max="6412" width="14.28515625" style="3" bestFit="1" customWidth="1"/>
    <col min="6413" max="6413" width="26.42578125" style="3" bestFit="1" customWidth="1"/>
    <col min="6414" max="6414" width="24.28515625" style="3" bestFit="1" customWidth="1"/>
    <col min="6415" max="6415" width="18.85546875" style="3" bestFit="1" customWidth="1"/>
    <col min="6416" max="6416" width="14.28515625" style="3" bestFit="1" customWidth="1"/>
    <col min="6417" max="6417" width="4.7109375" style="3" bestFit="1" customWidth="1"/>
    <col min="6418" max="6657" width="9.140625" style="3"/>
    <col min="6658" max="6658" width="12.7109375" style="3" bestFit="1" customWidth="1"/>
    <col min="6659" max="6659" width="28.42578125" style="3" bestFit="1" customWidth="1"/>
    <col min="6660" max="6660" width="27.42578125" style="3" bestFit="1" customWidth="1"/>
    <col min="6661" max="6661" width="11.42578125" style="3" customWidth="1"/>
    <col min="6662" max="6662" width="9.7109375" style="3" bestFit="1" customWidth="1"/>
    <col min="6663" max="6663" width="31.28515625" style="3" bestFit="1" customWidth="1"/>
    <col min="6664" max="6664" width="75.28515625" style="3" bestFit="1" customWidth="1"/>
    <col min="6665" max="6665" width="18.28515625" style="3" bestFit="1" customWidth="1"/>
    <col min="6666" max="6666" width="17.5703125" style="3" bestFit="1" customWidth="1"/>
    <col min="6667" max="6667" width="12.5703125" style="3" customWidth="1"/>
    <col min="6668" max="6668" width="14.28515625" style="3" bestFit="1" customWidth="1"/>
    <col min="6669" max="6669" width="26.42578125" style="3" bestFit="1" customWidth="1"/>
    <col min="6670" max="6670" width="24.28515625" style="3" bestFit="1" customWidth="1"/>
    <col min="6671" max="6671" width="18.85546875" style="3" bestFit="1" customWidth="1"/>
    <col min="6672" max="6672" width="14.28515625" style="3" bestFit="1" customWidth="1"/>
    <col min="6673" max="6673" width="4.7109375" style="3" bestFit="1" customWidth="1"/>
    <col min="6674" max="6913" width="9.140625" style="3"/>
    <col min="6914" max="6914" width="12.7109375" style="3" bestFit="1" customWidth="1"/>
    <col min="6915" max="6915" width="28.42578125" style="3" bestFit="1" customWidth="1"/>
    <col min="6916" max="6916" width="27.42578125" style="3" bestFit="1" customWidth="1"/>
    <col min="6917" max="6917" width="11.42578125" style="3" customWidth="1"/>
    <col min="6918" max="6918" width="9.7109375" style="3" bestFit="1" customWidth="1"/>
    <col min="6919" max="6919" width="31.28515625" style="3" bestFit="1" customWidth="1"/>
    <col min="6920" max="6920" width="75.28515625" style="3" bestFit="1" customWidth="1"/>
    <col min="6921" max="6921" width="18.28515625" style="3" bestFit="1" customWidth="1"/>
    <col min="6922" max="6922" width="17.5703125" style="3" bestFit="1" customWidth="1"/>
    <col min="6923" max="6923" width="12.5703125" style="3" customWidth="1"/>
    <col min="6924" max="6924" width="14.28515625" style="3" bestFit="1" customWidth="1"/>
    <col min="6925" max="6925" width="26.42578125" style="3" bestFit="1" customWidth="1"/>
    <col min="6926" max="6926" width="24.28515625" style="3" bestFit="1" customWidth="1"/>
    <col min="6927" max="6927" width="18.85546875" style="3" bestFit="1" customWidth="1"/>
    <col min="6928" max="6928" width="14.28515625" style="3" bestFit="1" customWidth="1"/>
    <col min="6929" max="6929" width="4.7109375" style="3" bestFit="1" customWidth="1"/>
    <col min="6930" max="7169" width="9.140625" style="3"/>
    <col min="7170" max="7170" width="12.7109375" style="3" bestFit="1" customWidth="1"/>
    <col min="7171" max="7171" width="28.42578125" style="3" bestFit="1" customWidth="1"/>
    <col min="7172" max="7172" width="27.42578125" style="3" bestFit="1" customWidth="1"/>
    <col min="7173" max="7173" width="11.42578125" style="3" customWidth="1"/>
    <col min="7174" max="7174" width="9.7109375" style="3" bestFit="1" customWidth="1"/>
    <col min="7175" max="7175" width="31.28515625" style="3" bestFit="1" customWidth="1"/>
    <col min="7176" max="7176" width="75.28515625" style="3" bestFit="1" customWidth="1"/>
    <col min="7177" max="7177" width="18.28515625" style="3" bestFit="1" customWidth="1"/>
    <col min="7178" max="7178" width="17.5703125" style="3" bestFit="1" customWidth="1"/>
    <col min="7179" max="7179" width="12.5703125" style="3" customWidth="1"/>
    <col min="7180" max="7180" width="14.28515625" style="3" bestFit="1" customWidth="1"/>
    <col min="7181" max="7181" width="26.42578125" style="3" bestFit="1" customWidth="1"/>
    <col min="7182" max="7182" width="24.28515625" style="3" bestFit="1" customWidth="1"/>
    <col min="7183" max="7183" width="18.85546875" style="3" bestFit="1" customWidth="1"/>
    <col min="7184" max="7184" width="14.28515625" style="3" bestFit="1" customWidth="1"/>
    <col min="7185" max="7185" width="4.7109375" style="3" bestFit="1" customWidth="1"/>
    <col min="7186" max="7425" width="9.140625" style="3"/>
    <col min="7426" max="7426" width="12.7109375" style="3" bestFit="1" customWidth="1"/>
    <col min="7427" max="7427" width="28.42578125" style="3" bestFit="1" customWidth="1"/>
    <col min="7428" max="7428" width="27.42578125" style="3" bestFit="1" customWidth="1"/>
    <col min="7429" max="7429" width="11.42578125" style="3" customWidth="1"/>
    <col min="7430" max="7430" width="9.7109375" style="3" bestFit="1" customWidth="1"/>
    <col min="7431" max="7431" width="31.28515625" style="3" bestFit="1" customWidth="1"/>
    <col min="7432" max="7432" width="75.28515625" style="3" bestFit="1" customWidth="1"/>
    <col min="7433" max="7433" width="18.28515625" style="3" bestFit="1" customWidth="1"/>
    <col min="7434" max="7434" width="17.5703125" style="3" bestFit="1" customWidth="1"/>
    <col min="7435" max="7435" width="12.5703125" style="3" customWidth="1"/>
    <col min="7436" max="7436" width="14.28515625" style="3" bestFit="1" customWidth="1"/>
    <col min="7437" max="7437" width="26.42578125" style="3" bestFit="1" customWidth="1"/>
    <col min="7438" max="7438" width="24.28515625" style="3" bestFit="1" customWidth="1"/>
    <col min="7439" max="7439" width="18.85546875" style="3" bestFit="1" customWidth="1"/>
    <col min="7440" max="7440" width="14.28515625" style="3" bestFit="1" customWidth="1"/>
    <col min="7441" max="7441" width="4.7109375" style="3" bestFit="1" customWidth="1"/>
    <col min="7442" max="7681" width="9.140625" style="3"/>
    <col min="7682" max="7682" width="12.7109375" style="3" bestFit="1" customWidth="1"/>
    <col min="7683" max="7683" width="28.42578125" style="3" bestFit="1" customWidth="1"/>
    <col min="7684" max="7684" width="27.42578125" style="3" bestFit="1" customWidth="1"/>
    <col min="7685" max="7685" width="11.42578125" style="3" customWidth="1"/>
    <col min="7686" max="7686" width="9.7109375" style="3" bestFit="1" customWidth="1"/>
    <col min="7687" max="7687" width="31.28515625" style="3" bestFit="1" customWidth="1"/>
    <col min="7688" max="7688" width="75.28515625" style="3" bestFit="1" customWidth="1"/>
    <col min="7689" max="7689" width="18.28515625" style="3" bestFit="1" customWidth="1"/>
    <col min="7690" max="7690" width="17.5703125" style="3" bestFit="1" customWidth="1"/>
    <col min="7691" max="7691" width="12.5703125" style="3" customWidth="1"/>
    <col min="7692" max="7692" width="14.28515625" style="3" bestFit="1" customWidth="1"/>
    <col min="7693" max="7693" width="26.42578125" style="3" bestFit="1" customWidth="1"/>
    <col min="7694" max="7694" width="24.28515625" style="3" bestFit="1" customWidth="1"/>
    <col min="7695" max="7695" width="18.85546875" style="3" bestFit="1" customWidth="1"/>
    <col min="7696" max="7696" width="14.28515625" style="3" bestFit="1" customWidth="1"/>
    <col min="7697" max="7697" width="4.7109375" style="3" bestFit="1" customWidth="1"/>
    <col min="7698" max="7937" width="9.140625" style="3"/>
    <col min="7938" max="7938" width="12.7109375" style="3" bestFit="1" customWidth="1"/>
    <col min="7939" max="7939" width="28.42578125" style="3" bestFit="1" customWidth="1"/>
    <col min="7940" max="7940" width="27.42578125" style="3" bestFit="1" customWidth="1"/>
    <col min="7941" max="7941" width="11.42578125" style="3" customWidth="1"/>
    <col min="7942" max="7942" width="9.7109375" style="3" bestFit="1" customWidth="1"/>
    <col min="7943" max="7943" width="31.28515625" style="3" bestFit="1" customWidth="1"/>
    <col min="7944" max="7944" width="75.28515625" style="3" bestFit="1" customWidth="1"/>
    <col min="7945" max="7945" width="18.28515625" style="3" bestFit="1" customWidth="1"/>
    <col min="7946" max="7946" width="17.5703125" style="3" bestFit="1" customWidth="1"/>
    <col min="7947" max="7947" width="12.5703125" style="3" customWidth="1"/>
    <col min="7948" max="7948" width="14.28515625" style="3" bestFit="1" customWidth="1"/>
    <col min="7949" max="7949" width="26.42578125" style="3" bestFit="1" customWidth="1"/>
    <col min="7950" max="7950" width="24.28515625" style="3" bestFit="1" customWidth="1"/>
    <col min="7951" max="7951" width="18.85546875" style="3" bestFit="1" customWidth="1"/>
    <col min="7952" max="7952" width="14.28515625" style="3" bestFit="1" customWidth="1"/>
    <col min="7953" max="7953" width="4.7109375" style="3" bestFit="1" customWidth="1"/>
    <col min="7954" max="8193" width="9.140625" style="3"/>
    <col min="8194" max="8194" width="12.7109375" style="3" bestFit="1" customWidth="1"/>
    <col min="8195" max="8195" width="28.42578125" style="3" bestFit="1" customWidth="1"/>
    <col min="8196" max="8196" width="27.42578125" style="3" bestFit="1" customWidth="1"/>
    <col min="8197" max="8197" width="11.42578125" style="3" customWidth="1"/>
    <col min="8198" max="8198" width="9.7109375" style="3" bestFit="1" customWidth="1"/>
    <col min="8199" max="8199" width="31.28515625" style="3" bestFit="1" customWidth="1"/>
    <col min="8200" max="8200" width="75.28515625" style="3" bestFit="1" customWidth="1"/>
    <col min="8201" max="8201" width="18.28515625" style="3" bestFit="1" customWidth="1"/>
    <col min="8202" max="8202" width="17.5703125" style="3" bestFit="1" customWidth="1"/>
    <col min="8203" max="8203" width="12.5703125" style="3" customWidth="1"/>
    <col min="8204" max="8204" width="14.28515625" style="3" bestFit="1" customWidth="1"/>
    <col min="8205" max="8205" width="26.42578125" style="3" bestFit="1" customWidth="1"/>
    <col min="8206" max="8206" width="24.28515625" style="3" bestFit="1" customWidth="1"/>
    <col min="8207" max="8207" width="18.85546875" style="3" bestFit="1" customWidth="1"/>
    <col min="8208" max="8208" width="14.28515625" style="3" bestFit="1" customWidth="1"/>
    <col min="8209" max="8209" width="4.7109375" style="3" bestFit="1" customWidth="1"/>
    <col min="8210" max="8449" width="9.140625" style="3"/>
    <col min="8450" max="8450" width="12.7109375" style="3" bestFit="1" customWidth="1"/>
    <col min="8451" max="8451" width="28.42578125" style="3" bestFit="1" customWidth="1"/>
    <col min="8452" max="8452" width="27.42578125" style="3" bestFit="1" customWidth="1"/>
    <col min="8453" max="8453" width="11.42578125" style="3" customWidth="1"/>
    <col min="8454" max="8454" width="9.7109375" style="3" bestFit="1" customWidth="1"/>
    <col min="8455" max="8455" width="31.28515625" style="3" bestFit="1" customWidth="1"/>
    <col min="8456" max="8456" width="75.28515625" style="3" bestFit="1" customWidth="1"/>
    <col min="8457" max="8457" width="18.28515625" style="3" bestFit="1" customWidth="1"/>
    <col min="8458" max="8458" width="17.5703125" style="3" bestFit="1" customWidth="1"/>
    <col min="8459" max="8459" width="12.5703125" style="3" customWidth="1"/>
    <col min="8460" max="8460" width="14.28515625" style="3" bestFit="1" customWidth="1"/>
    <col min="8461" max="8461" width="26.42578125" style="3" bestFit="1" customWidth="1"/>
    <col min="8462" max="8462" width="24.28515625" style="3" bestFit="1" customWidth="1"/>
    <col min="8463" max="8463" width="18.85546875" style="3" bestFit="1" customWidth="1"/>
    <col min="8464" max="8464" width="14.28515625" style="3" bestFit="1" customWidth="1"/>
    <col min="8465" max="8465" width="4.7109375" style="3" bestFit="1" customWidth="1"/>
    <col min="8466" max="8705" width="9.140625" style="3"/>
    <col min="8706" max="8706" width="12.7109375" style="3" bestFit="1" customWidth="1"/>
    <col min="8707" max="8707" width="28.42578125" style="3" bestFit="1" customWidth="1"/>
    <col min="8708" max="8708" width="27.42578125" style="3" bestFit="1" customWidth="1"/>
    <col min="8709" max="8709" width="11.42578125" style="3" customWidth="1"/>
    <col min="8710" max="8710" width="9.7109375" style="3" bestFit="1" customWidth="1"/>
    <col min="8711" max="8711" width="31.28515625" style="3" bestFit="1" customWidth="1"/>
    <col min="8712" max="8712" width="75.28515625" style="3" bestFit="1" customWidth="1"/>
    <col min="8713" max="8713" width="18.28515625" style="3" bestFit="1" customWidth="1"/>
    <col min="8714" max="8714" width="17.5703125" style="3" bestFit="1" customWidth="1"/>
    <col min="8715" max="8715" width="12.5703125" style="3" customWidth="1"/>
    <col min="8716" max="8716" width="14.28515625" style="3" bestFit="1" customWidth="1"/>
    <col min="8717" max="8717" width="26.42578125" style="3" bestFit="1" customWidth="1"/>
    <col min="8718" max="8718" width="24.28515625" style="3" bestFit="1" customWidth="1"/>
    <col min="8719" max="8719" width="18.85546875" style="3" bestFit="1" customWidth="1"/>
    <col min="8720" max="8720" width="14.28515625" style="3" bestFit="1" customWidth="1"/>
    <col min="8721" max="8721" width="4.7109375" style="3" bestFit="1" customWidth="1"/>
    <col min="8722" max="8961" width="9.140625" style="3"/>
    <col min="8962" max="8962" width="12.7109375" style="3" bestFit="1" customWidth="1"/>
    <col min="8963" max="8963" width="28.42578125" style="3" bestFit="1" customWidth="1"/>
    <col min="8964" max="8964" width="27.42578125" style="3" bestFit="1" customWidth="1"/>
    <col min="8965" max="8965" width="11.42578125" style="3" customWidth="1"/>
    <col min="8966" max="8966" width="9.7109375" style="3" bestFit="1" customWidth="1"/>
    <col min="8967" max="8967" width="31.28515625" style="3" bestFit="1" customWidth="1"/>
    <col min="8968" max="8968" width="75.28515625" style="3" bestFit="1" customWidth="1"/>
    <col min="8969" max="8969" width="18.28515625" style="3" bestFit="1" customWidth="1"/>
    <col min="8970" max="8970" width="17.5703125" style="3" bestFit="1" customWidth="1"/>
    <col min="8971" max="8971" width="12.5703125" style="3" customWidth="1"/>
    <col min="8972" max="8972" width="14.28515625" style="3" bestFit="1" customWidth="1"/>
    <col min="8973" max="8973" width="26.42578125" style="3" bestFit="1" customWidth="1"/>
    <col min="8974" max="8974" width="24.28515625" style="3" bestFit="1" customWidth="1"/>
    <col min="8975" max="8975" width="18.85546875" style="3" bestFit="1" customWidth="1"/>
    <col min="8976" max="8976" width="14.28515625" style="3" bestFit="1" customWidth="1"/>
    <col min="8977" max="8977" width="4.7109375" style="3" bestFit="1" customWidth="1"/>
    <col min="8978" max="9217" width="9.140625" style="3"/>
    <col min="9218" max="9218" width="12.7109375" style="3" bestFit="1" customWidth="1"/>
    <col min="9219" max="9219" width="28.42578125" style="3" bestFit="1" customWidth="1"/>
    <col min="9220" max="9220" width="27.42578125" style="3" bestFit="1" customWidth="1"/>
    <col min="9221" max="9221" width="11.42578125" style="3" customWidth="1"/>
    <col min="9222" max="9222" width="9.7109375" style="3" bestFit="1" customWidth="1"/>
    <col min="9223" max="9223" width="31.28515625" style="3" bestFit="1" customWidth="1"/>
    <col min="9224" max="9224" width="75.28515625" style="3" bestFit="1" customWidth="1"/>
    <col min="9225" max="9225" width="18.28515625" style="3" bestFit="1" customWidth="1"/>
    <col min="9226" max="9226" width="17.5703125" style="3" bestFit="1" customWidth="1"/>
    <col min="9227" max="9227" width="12.5703125" style="3" customWidth="1"/>
    <col min="9228" max="9228" width="14.28515625" style="3" bestFit="1" customWidth="1"/>
    <col min="9229" max="9229" width="26.42578125" style="3" bestFit="1" customWidth="1"/>
    <col min="9230" max="9230" width="24.28515625" style="3" bestFit="1" customWidth="1"/>
    <col min="9231" max="9231" width="18.85546875" style="3" bestFit="1" customWidth="1"/>
    <col min="9232" max="9232" width="14.28515625" style="3" bestFit="1" customWidth="1"/>
    <col min="9233" max="9233" width="4.7109375" style="3" bestFit="1" customWidth="1"/>
    <col min="9234" max="9473" width="9.140625" style="3"/>
    <col min="9474" max="9474" width="12.7109375" style="3" bestFit="1" customWidth="1"/>
    <col min="9475" max="9475" width="28.42578125" style="3" bestFit="1" customWidth="1"/>
    <col min="9476" max="9476" width="27.42578125" style="3" bestFit="1" customWidth="1"/>
    <col min="9477" max="9477" width="11.42578125" style="3" customWidth="1"/>
    <col min="9478" max="9478" width="9.7109375" style="3" bestFit="1" customWidth="1"/>
    <col min="9479" max="9479" width="31.28515625" style="3" bestFit="1" customWidth="1"/>
    <col min="9480" max="9480" width="75.28515625" style="3" bestFit="1" customWidth="1"/>
    <col min="9481" max="9481" width="18.28515625" style="3" bestFit="1" customWidth="1"/>
    <col min="9482" max="9482" width="17.5703125" style="3" bestFit="1" customWidth="1"/>
    <col min="9483" max="9483" width="12.5703125" style="3" customWidth="1"/>
    <col min="9484" max="9484" width="14.28515625" style="3" bestFit="1" customWidth="1"/>
    <col min="9485" max="9485" width="26.42578125" style="3" bestFit="1" customWidth="1"/>
    <col min="9486" max="9486" width="24.28515625" style="3" bestFit="1" customWidth="1"/>
    <col min="9487" max="9487" width="18.85546875" style="3" bestFit="1" customWidth="1"/>
    <col min="9488" max="9488" width="14.28515625" style="3" bestFit="1" customWidth="1"/>
    <col min="9489" max="9489" width="4.7109375" style="3" bestFit="1" customWidth="1"/>
    <col min="9490" max="9729" width="9.140625" style="3"/>
    <col min="9730" max="9730" width="12.7109375" style="3" bestFit="1" customWidth="1"/>
    <col min="9731" max="9731" width="28.42578125" style="3" bestFit="1" customWidth="1"/>
    <col min="9732" max="9732" width="27.42578125" style="3" bestFit="1" customWidth="1"/>
    <col min="9733" max="9733" width="11.42578125" style="3" customWidth="1"/>
    <col min="9734" max="9734" width="9.7109375" style="3" bestFit="1" customWidth="1"/>
    <col min="9735" max="9735" width="31.28515625" style="3" bestFit="1" customWidth="1"/>
    <col min="9736" max="9736" width="75.28515625" style="3" bestFit="1" customWidth="1"/>
    <col min="9737" max="9737" width="18.28515625" style="3" bestFit="1" customWidth="1"/>
    <col min="9738" max="9738" width="17.5703125" style="3" bestFit="1" customWidth="1"/>
    <col min="9739" max="9739" width="12.5703125" style="3" customWidth="1"/>
    <col min="9740" max="9740" width="14.28515625" style="3" bestFit="1" customWidth="1"/>
    <col min="9741" max="9741" width="26.42578125" style="3" bestFit="1" customWidth="1"/>
    <col min="9742" max="9742" width="24.28515625" style="3" bestFit="1" customWidth="1"/>
    <col min="9743" max="9743" width="18.85546875" style="3" bestFit="1" customWidth="1"/>
    <col min="9744" max="9744" width="14.28515625" style="3" bestFit="1" customWidth="1"/>
    <col min="9745" max="9745" width="4.7109375" style="3" bestFit="1" customWidth="1"/>
    <col min="9746" max="9985" width="9.140625" style="3"/>
    <col min="9986" max="9986" width="12.7109375" style="3" bestFit="1" customWidth="1"/>
    <col min="9987" max="9987" width="28.42578125" style="3" bestFit="1" customWidth="1"/>
    <col min="9988" max="9988" width="27.42578125" style="3" bestFit="1" customWidth="1"/>
    <col min="9989" max="9989" width="11.42578125" style="3" customWidth="1"/>
    <col min="9990" max="9990" width="9.7109375" style="3" bestFit="1" customWidth="1"/>
    <col min="9991" max="9991" width="31.28515625" style="3" bestFit="1" customWidth="1"/>
    <col min="9992" max="9992" width="75.28515625" style="3" bestFit="1" customWidth="1"/>
    <col min="9993" max="9993" width="18.28515625" style="3" bestFit="1" customWidth="1"/>
    <col min="9994" max="9994" width="17.5703125" style="3" bestFit="1" customWidth="1"/>
    <col min="9995" max="9995" width="12.5703125" style="3" customWidth="1"/>
    <col min="9996" max="9996" width="14.28515625" style="3" bestFit="1" customWidth="1"/>
    <col min="9997" max="9997" width="26.42578125" style="3" bestFit="1" customWidth="1"/>
    <col min="9998" max="9998" width="24.28515625" style="3" bestFit="1" customWidth="1"/>
    <col min="9999" max="9999" width="18.85546875" style="3" bestFit="1" customWidth="1"/>
    <col min="10000" max="10000" width="14.28515625" style="3" bestFit="1" customWidth="1"/>
    <col min="10001" max="10001" width="4.7109375" style="3" bestFit="1" customWidth="1"/>
    <col min="10002" max="10241" width="9.140625" style="3"/>
    <col min="10242" max="10242" width="12.7109375" style="3" bestFit="1" customWidth="1"/>
    <col min="10243" max="10243" width="28.42578125" style="3" bestFit="1" customWidth="1"/>
    <col min="10244" max="10244" width="27.42578125" style="3" bestFit="1" customWidth="1"/>
    <col min="10245" max="10245" width="11.42578125" style="3" customWidth="1"/>
    <col min="10246" max="10246" width="9.7109375" style="3" bestFit="1" customWidth="1"/>
    <col min="10247" max="10247" width="31.28515625" style="3" bestFit="1" customWidth="1"/>
    <col min="10248" max="10248" width="75.28515625" style="3" bestFit="1" customWidth="1"/>
    <col min="10249" max="10249" width="18.28515625" style="3" bestFit="1" customWidth="1"/>
    <col min="10250" max="10250" width="17.5703125" style="3" bestFit="1" customWidth="1"/>
    <col min="10251" max="10251" width="12.5703125" style="3" customWidth="1"/>
    <col min="10252" max="10252" width="14.28515625" style="3" bestFit="1" customWidth="1"/>
    <col min="10253" max="10253" width="26.42578125" style="3" bestFit="1" customWidth="1"/>
    <col min="10254" max="10254" width="24.28515625" style="3" bestFit="1" customWidth="1"/>
    <col min="10255" max="10255" width="18.85546875" style="3" bestFit="1" customWidth="1"/>
    <col min="10256" max="10256" width="14.28515625" style="3" bestFit="1" customWidth="1"/>
    <col min="10257" max="10257" width="4.7109375" style="3" bestFit="1" customWidth="1"/>
    <col min="10258" max="10497" width="9.140625" style="3"/>
    <col min="10498" max="10498" width="12.7109375" style="3" bestFit="1" customWidth="1"/>
    <col min="10499" max="10499" width="28.42578125" style="3" bestFit="1" customWidth="1"/>
    <col min="10500" max="10500" width="27.42578125" style="3" bestFit="1" customWidth="1"/>
    <col min="10501" max="10501" width="11.42578125" style="3" customWidth="1"/>
    <col min="10502" max="10502" width="9.7109375" style="3" bestFit="1" customWidth="1"/>
    <col min="10503" max="10503" width="31.28515625" style="3" bestFit="1" customWidth="1"/>
    <col min="10504" max="10504" width="75.28515625" style="3" bestFit="1" customWidth="1"/>
    <col min="10505" max="10505" width="18.28515625" style="3" bestFit="1" customWidth="1"/>
    <col min="10506" max="10506" width="17.5703125" style="3" bestFit="1" customWidth="1"/>
    <col min="10507" max="10507" width="12.5703125" style="3" customWidth="1"/>
    <col min="10508" max="10508" width="14.28515625" style="3" bestFit="1" customWidth="1"/>
    <col min="10509" max="10509" width="26.42578125" style="3" bestFit="1" customWidth="1"/>
    <col min="10510" max="10510" width="24.28515625" style="3" bestFit="1" customWidth="1"/>
    <col min="10511" max="10511" width="18.85546875" style="3" bestFit="1" customWidth="1"/>
    <col min="10512" max="10512" width="14.28515625" style="3" bestFit="1" customWidth="1"/>
    <col min="10513" max="10513" width="4.7109375" style="3" bestFit="1" customWidth="1"/>
    <col min="10514" max="10753" width="9.140625" style="3"/>
    <col min="10754" max="10754" width="12.7109375" style="3" bestFit="1" customWidth="1"/>
    <col min="10755" max="10755" width="28.42578125" style="3" bestFit="1" customWidth="1"/>
    <col min="10756" max="10756" width="27.42578125" style="3" bestFit="1" customWidth="1"/>
    <col min="10757" max="10757" width="11.42578125" style="3" customWidth="1"/>
    <col min="10758" max="10758" width="9.7109375" style="3" bestFit="1" customWidth="1"/>
    <col min="10759" max="10759" width="31.28515625" style="3" bestFit="1" customWidth="1"/>
    <col min="10760" max="10760" width="75.28515625" style="3" bestFit="1" customWidth="1"/>
    <col min="10761" max="10761" width="18.28515625" style="3" bestFit="1" customWidth="1"/>
    <col min="10762" max="10762" width="17.5703125" style="3" bestFit="1" customWidth="1"/>
    <col min="10763" max="10763" width="12.5703125" style="3" customWidth="1"/>
    <col min="10764" max="10764" width="14.28515625" style="3" bestFit="1" customWidth="1"/>
    <col min="10765" max="10765" width="26.42578125" style="3" bestFit="1" customWidth="1"/>
    <col min="10766" max="10766" width="24.28515625" style="3" bestFit="1" customWidth="1"/>
    <col min="10767" max="10767" width="18.85546875" style="3" bestFit="1" customWidth="1"/>
    <col min="10768" max="10768" width="14.28515625" style="3" bestFit="1" customWidth="1"/>
    <col min="10769" max="10769" width="4.7109375" style="3" bestFit="1" customWidth="1"/>
    <col min="10770" max="11009" width="9.140625" style="3"/>
    <col min="11010" max="11010" width="12.7109375" style="3" bestFit="1" customWidth="1"/>
    <col min="11011" max="11011" width="28.42578125" style="3" bestFit="1" customWidth="1"/>
    <col min="11012" max="11012" width="27.42578125" style="3" bestFit="1" customWidth="1"/>
    <col min="11013" max="11013" width="11.42578125" style="3" customWidth="1"/>
    <col min="11014" max="11014" width="9.7109375" style="3" bestFit="1" customWidth="1"/>
    <col min="11015" max="11015" width="31.28515625" style="3" bestFit="1" customWidth="1"/>
    <col min="11016" max="11016" width="75.28515625" style="3" bestFit="1" customWidth="1"/>
    <col min="11017" max="11017" width="18.28515625" style="3" bestFit="1" customWidth="1"/>
    <col min="11018" max="11018" width="17.5703125" style="3" bestFit="1" customWidth="1"/>
    <col min="11019" max="11019" width="12.5703125" style="3" customWidth="1"/>
    <col min="11020" max="11020" width="14.28515625" style="3" bestFit="1" customWidth="1"/>
    <col min="11021" max="11021" width="26.42578125" style="3" bestFit="1" customWidth="1"/>
    <col min="11022" max="11022" width="24.28515625" style="3" bestFit="1" customWidth="1"/>
    <col min="11023" max="11023" width="18.85546875" style="3" bestFit="1" customWidth="1"/>
    <col min="11024" max="11024" width="14.28515625" style="3" bestFit="1" customWidth="1"/>
    <col min="11025" max="11025" width="4.7109375" style="3" bestFit="1" customWidth="1"/>
    <col min="11026" max="11265" width="9.140625" style="3"/>
    <col min="11266" max="11266" width="12.7109375" style="3" bestFit="1" customWidth="1"/>
    <col min="11267" max="11267" width="28.42578125" style="3" bestFit="1" customWidth="1"/>
    <col min="11268" max="11268" width="27.42578125" style="3" bestFit="1" customWidth="1"/>
    <col min="11269" max="11269" width="11.42578125" style="3" customWidth="1"/>
    <col min="11270" max="11270" width="9.7109375" style="3" bestFit="1" customWidth="1"/>
    <col min="11271" max="11271" width="31.28515625" style="3" bestFit="1" customWidth="1"/>
    <col min="11272" max="11272" width="75.28515625" style="3" bestFit="1" customWidth="1"/>
    <col min="11273" max="11273" width="18.28515625" style="3" bestFit="1" customWidth="1"/>
    <col min="11274" max="11274" width="17.5703125" style="3" bestFit="1" customWidth="1"/>
    <col min="11275" max="11275" width="12.5703125" style="3" customWidth="1"/>
    <col min="11276" max="11276" width="14.28515625" style="3" bestFit="1" customWidth="1"/>
    <col min="11277" max="11277" width="26.42578125" style="3" bestFit="1" customWidth="1"/>
    <col min="11278" max="11278" width="24.28515625" style="3" bestFit="1" customWidth="1"/>
    <col min="11279" max="11279" width="18.85546875" style="3" bestFit="1" customWidth="1"/>
    <col min="11280" max="11280" width="14.28515625" style="3" bestFit="1" customWidth="1"/>
    <col min="11281" max="11281" width="4.7109375" style="3" bestFit="1" customWidth="1"/>
    <col min="11282" max="11521" width="9.140625" style="3"/>
    <col min="11522" max="11522" width="12.7109375" style="3" bestFit="1" customWidth="1"/>
    <col min="11523" max="11523" width="28.42578125" style="3" bestFit="1" customWidth="1"/>
    <col min="11524" max="11524" width="27.42578125" style="3" bestFit="1" customWidth="1"/>
    <col min="11525" max="11525" width="11.42578125" style="3" customWidth="1"/>
    <col min="11526" max="11526" width="9.7109375" style="3" bestFit="1" customWidth="1"/>
    <col min="11527" max="11527" width="31.28515625" style="3" bestFit="1" customWidth="1"/>
    <col min="11528" max="11528" width="75.28515625" style="3" bestFit="1" customWidth="1"/>
    <col min="11529" max="11529" width="18.28515625" style="3" bestFit="1" customWidth="1"/>
    <col min="11530" max="11530" width="17.5703125" style="3" bestFit="1" customWidth="1"/>
    <col min="11531" max="11531" width="12.5703125" style="3" customWidth="1"/>
    <col min="11532" max="11532" width="14.28515625" style="3" bestFit="1" customWidth="1"/>
    <col min="11533" max="11533" width="26.42578125" style="3" bestFit="1" customWidth="1"/>
    <col min="11534" max="11534" width="24.28515625" style="3" bestFit="1" customWidth="1"/>
    <col min="11535" max="11535" width="18.85546875" style="3" bestFit="1" customWidth="1"/>
    <col min="11536" max="11536" width="14.28515625" style="3" bestFit="1" customWidth="1"/>
    <col min="11537" max="11537" width="4.7109375" style="3" bestFit="1" customWidth="1"/>
    <col min="11538" max="11777" width="9.140625" style="3"/>
    <col min="11778" max="11778" width="12.7109375" style="3" bestFit="1" customWidth="1"/>
    <col min="11779" max="11779" width="28.42578125" style="3" bestFit="1" customWidth="1"/>
    <col min="11780" max="11780" width="27.42578125" style="3" bestFit="1" customWidth="1"/>
    <col min="11781" max="11781" width="11.42578125" style="3" customWidth="1"/>
    <col min="11782" max="11782" width="9.7109375" style="3" bestFit="1" customWidth="1"/>
    <col min="11783" max="11783" width="31.28515625" style="3" bestFit="1" customWidth="1"/>
    <col min="11784" max="11784" width="75.28515625" style="3" bestFit="1" customWidth="1"/>
    <col min="11785" max="11785" width="18.28515625" style="3" bestFit="1" customWidth="1"/>
    <col min="11786" max="11786" width="17.5703125" style="3" bestFit="1" customWidth="1"/>
    <col min="11787" max="11787" width="12.5703125" style="3" customWidth="1"/>
    <col min="11788" max="11788" width="14.28515625" style="3" bestFit="1" customWidth="1"/>
    <col min="11789" max="11789" width="26.42578125" style="3" bestFit="1" customWidth="1"/>
    <col min="11790" max="11790" width="24.28515625" style="3" bestFit="1" customWidth="1"/>
    <col min="11791" max="11791" width="18.85546875" style="3" bestFit="1" customWidth="1"/>
    <col min="11792" max="11792" width="14.28515625" style="3" bestFit="1" customWidth="1"/>
    <col min="11793" max="11793" width="4.7109375" style="3" bestFit="1" customWidth="1"/>
    <col min="11794" max="12033" width="9.140625" style="3"/>
    <col min="12034" max="12034" width="12.7109375" style="3" bestFit="1" customWidth="1"/>
    <col min="12035" max="12035" width="28.42578125" style="3" bestFit="1" customWidth="1"/>
    <col min="12036" max="12036" width="27.42578125" style="3" bestFit="1" customWidth="1"/>
    <col min="12037" max="12037" width="11.42578125" style="3" customWidth="1"/>
    <col min="12038" max="12038" width="9.7109375" style="3" bestFit="1" customWidth="1"/>
    <col min="12039" max="12039" width="31.28515625" style="3" bestFit="1" customWidth="1"/>
    <col min="12040" max="12040" width="75.28515625" style="3" bestFit="1" customWidth="1"/>
    <col min="12041" max="12041" width="18.28515625" style="3" bestFit="1" customWidth="1"/>
    <col min="12042" max="12042" width="17.5703125" style="3" bestFit="1" customWidth="1"/>
    <col min="12043" max="12043" width="12.5703125" style="3" customWidth="1"/>
    <col min="12044" max="12044" width="14.28515625" style="3" bestFit="1" customWidth="1"/>
    <col min="12045" max="12045" width="26.42578125" style="3" bestFit="1" customWidth="1"/>
    <col min="12046" max="12046" width="24.28515625" style="3" bestFit="1" customWidth="1"/>
    <col min="12047" max="12047" width="18.85546875" style="3" bestFit="1" customWidth="1"/>
    <col min="12048" max="12048" width="14.28515625" style="3" bestFit="1" customWidth="1"/>
    <col min="12049" max="12049" width="4.7109375" style="3" bestFit="1" customWidth="1"/>
    <col min="12050" max="12289" width="9.140625" style="3"/>
    <col min="12290" max="12290" width="12.7109375" style="3" bestFit="1" customWidth="1"/>
    <col min="12291" max="12291" width="28.42578125" style="3" bestFit="1" customWidth="1"/>
    <col min="12292" max="12292" width="27.42578125" style="3" bestFit="1" customWidth="1"/>
    <col min="12293" max="12293" width="11.42578125" style="3" customWidth="1"/>
    <col min="12294" max="12294" width="9.7109375" style="3" bestFit="1" customWidth="1"/>
    <col min="12295" max="12295" width="31.28515625" style="3" bestFit="1" customWidth="1"/>
    <col min="12296" max="12296" width="75.28515625" style="3" bestFit="1" customWidth="1"/>
    <col min="12297" max="12297" width="18.28515625" style="3" bestFit="1" customWidth="1"/>
    <col min="12298" max="12298" width="17.5703125" style="3" bestFit="1" customWidth="1"/>
    <col min="12299" max="12299" width="12.5703125" style="3" customWidth="1"/>
    <col min="12300" max="12300" width="14.28515625" style="3" bestFit="1" customWidth="1"/>
    <col min="12301" max="12301" width="26.42578125" style="3" bestFit="1" customWidth="1"/>
    <col min="12302" max="12302" width="24.28515625" style="3" bestFit="1" customWidth="1"/>
    <col min="12303" max="12303" width="18.85546875" style="3" bestFit="1" customWidth="1"/>
    <col min="12304" max="12304" width="14.28515625" style="3" bestFit="1" customWidth="1"/>
    <col min="12305" max="12305" width="4.7109375" style="3" bestFit="1" customWidth="1"/>
    <col min="12306" max="12545" width="9.140625" style="3"/>
    <col min="12546" max="12546" width="12.7109375" style="3" bestFit="1" customWidth="1"/>
    <col min="12547" max="12547" width="28.42578125" style="3" bestFit="1" customWidth="1"/>
    <col min="12548" max="12548" width="27.42578125" style="3" bestFit="1" customWidth="1"/>
    <col min="12549" max="12549" width="11.42578125" style="3" customWidth="1"/>
    <col min="12550" max="12550" width="9.7109375" style="3" bestFit="1" customWidth="1"/>
    <col min="12551" max="12551" width="31.28515625" style="3" bestFit="1" customWidth="1"/>
    <col min="12552" max="12552" width="75.28515625" style="3" bestFit="1" customWidth="1"/>
    <col min="12553" max="12553" width="18.28515625" style="3" bestFit="1" customWidth="1"/>
    <col min="12554" max="12554" width="17.5703125" style="3" bestFit="1" customWidth="1"/>
    <col min="12555" max="12555" width="12.5703125" style="3" customWidth="1"/>
    <col min="12556" max="12556" width="14.28515625" style="3" bestFit="1" customWidth="1"/>
    <col min="12557" max="12557" width="26.42578125" style="3" bestFit="1" customWidth="1"/>
    <col min="12558" max="12558" width="24.28515625" style="3" bestFit="1" customWidth="1"/>
    <col min="12559" max="12559" width="18.85546875" style="3" bestFit="1" customWidth="1"/>
    <col min="12560" max="12560" width="14.28515625" style="3" bestFit="1" customWidth="1"/>
    <col min="12561" max="12561" width="4.7109375" style="3" bestFit="1" customWidth="1"/>
    <col min="12562" max="12801" width="9.140625" style="3"/>
    <col min="12802" max="12802" width="12.7109375" style="3" bestFit="1" customWidth="1"/>
    <col min="12803" max="12803" width="28.42578125" style="3" bestFit="1" customWidth="1"/>
    <col min="12804" max="12804" width="27.42578125" style="3" bestFit="1" customWidth="1"/>
    <col min="12805" max="12805" width="11.42578125" style="3" customWidth="1"/>
    <col min="12806" max="12806" width="9.7109375" style="3" bestFit="1" customWidth="1"/>
    <col min="12807" max="12807" width="31.28515625" style="3" bestFit="1" customWidth="1"/>
    <col min="12808" max="12808" width="75.28515625" style="3" bestFit="1" customWidth="1"/>
    <col min="12809" max="12809" width="18.28515625" style="3" bestFit="1" customWidth="1"/>
    <col min="12810" max="12810" width="17.5703125" style="3" bestFit="1" customWidth="1"/>
    <col min="12811" max="12811" width="12.5703125" style="3" customWidth="1"/>
    <col min="12812" max="12812" width="14.28515625" style="3" bestFit="1" customWidth="1"/>
    <col min="12813" max="12813" width="26.42578125" style="3" bestFit="1" customWidth="1"/>
    <col min="12814" max="12814" width="24.28515625" style="3" bestFit="1" customWidth="1"/>
    <col min="12815" max="12815" width="18.85546875" style="3" bestFit="1" customWidth="1"/>
    <col min="12816" max="12816" width="14.28515625" style="3" bestFit="1" customWidth="1"/>
    <col min="12817" max="12817" width="4.7109375" style="3" bestFit="1" customWidth="1"/>
    <col min="12818" max="13057" width="9.140625" style="3"/>
    <col min="13058" max="13058" width="12.7109375" style="3" bestFit="1" customWidth="1"/>
    <col min="13059" max="13059" width="28.42578125" style="3" bestFit="1" customWidth="1"/>
    <col min="13060" max="13060" width="27.42578125" style="3" bestFit="1" customWidth="1"/>
    <col min="13061" max="13061" width="11.42578125" style="3" customWidth="1"/>
    <col min="13062" max="13062" width="9.7109375" style="3" bestFit="1" customWidth="1"/>
    <col min="13063" max="13063" width="31.28515625" style="3" bestFit="1" customWidth="1"/>
    <col min="13064" max="13064" width="75.28515625" style="3" bestFit="1" customWidth="1"/>
    <col min="13065" max="13065" width="18.28515625" style="3" bestFit="1" customWidth="1"/>
    <col min="13066" max="13066" width="17.5703125" style="3" bestFit="1" customWidth="1"/>
    <col min="13067" max="13067" width="12.5703125" style="3" customWidth="1"/>
    <col min="13068" max="13068" width="14.28515625" style="3" bestFit="1" customWidth="1"/>
    <col min="13069" max="13069" width="26.42578125" style="3" bestFit="1" customWidth="1"/>
    <col min="13070" max="13070" width="24.28515625" style="3" bestFit="1" customWidth="1"/>
    <col min="13071" max="13071" width="18.85546875" style="3" bestFit="1" customWidth="1"/>
    <col min="13072" max="13072" width="14.28515625" style="3" bestFit="1" customWidth="1"/>
    <col min="13073" max="13073" width="4.7109375" style="3" bestFit="1" customWidth="1"/>
    <col min="13074" max="13313" width="9.140625" style="3"/>
    <col min="13314" max="13314" width="12.7109375" style="3" bestFit="1" customWidth="1"/>
    <col min="13315" max="13315" width="28.42578125" style="3" bestFit="1" customWidth="1"/>
    <col min="13316" max="13316" width="27.42578125" style="3" bestFit="1" customWidth="1"/>
    <col min="13317" max="13317" width="11.42578125" style="3" customWidth="1"/>
    <col min="13318" max="13318" width="9.7109375" style="3" bestFit="1" customWidth="1"/>
    <col min="13319" max="13319" width="31.28515625" style="3" bestFit="1" customWidth="1"/>
    <col min="13320" max="13320" width="75.28515625" style="3" bestFit="1" customWidth="1"/>
    <col min="13321" max="13321" width="18.28515625" style="3" bestFit="1" customWidth="1"/>
    <col min="13322" max="13322" width="17.5703125" style="3" bestFit="1" customWidth="1"/>
    <col min="13323" max="13323" width="12.5703125" style="3" customWidth="1"/>
    <col min="13324" max="13324" width="14.28515625" style="3" bestFit="1" customWidth="1"/>
    <col min="13325" max="13325" width="26.42578125" style="3" bestFit="1" customWidth="1"/>
    <col min="13326" max="13326" width="24.28515625" style="3" bestFit="1" customWidth="1"/>
    <col min="13327" max="13327" width="18.85546875" style="3" bestFit="1" customWidth="1"/>
    <col min="13328" max="13328" width="14.28515625" style="3" bestFit="1" customWidth="1"/>
    <col min="13329" max="13329" width="4.7109375" style="3" bestFit="1" customWidth="1"/>
    <col min="13330" max="13569" width="9.140625" style="3"/>
    <col min="13570" max="13570" width="12.7109375" style="3" bestFit="1" customWidth="1"/>
    <col min="13571" max="13571" width="28.42578125" style="3" bestFit="1" customWidth="1"/>
    <col min="13572" max="13572" width="27.42578125" style="3" bestFit="1" customWidth="1"/>
    <col min="13573" max="13573" width="11.42578125" style="3" customWidth="1"/>
    <col min="13574" max="13574" width="9.7109375" style="3" bestFit="1" customWidth="1"/>
    <col min="13575" max="13575" width="31.28515625" style="3" bestFit="1" customWidth="1"/>
    <col min="13576" max="13576" width="75.28515625" style="3" bestFit="1" customWidth="1"/>
    <col min="13577" max="13577" width="18.28515625" style="3" bestFit="1" customWidth="1"/>
    <col min="13578" max="13578" width="17.5703125" style="3" bestFit="1" customWidth="1"/>
    <col min="13579" max="13579" width="12.5703125" style="3" customWidth="1"/>
    <col min="13580" max="13580" width="14.28515625" style="3" bestFit="1" customWidth="1"/>
    <col min="13581" max="13581" width="26.42578125" style="3" bestFit="1" customWidth="1"/>
    <col min="13582" max="13582" width="24.28515625" style="3" bestFit="1" customWidth="1"/>
    <col min="13583" max="13583" width="18.85546875" style="3" bestFit="1" customWidth="1"/>
    <col min="13584" max="13584" width="14.28515625" style="3" bestFit="1" customWidth="1"/>
    <col min="13585" max="13585" width="4.7109375" style="3" bestFit="1" customWidth="1"/>
    <col min="13586" max="13825" width="9.140625" style="3"/>
    <col min="13826" max="13826" width="12.7109375" style="3" bestFit="1" customWidth="1"/>
    <col min="13827" max="13827" width="28.42578125" style="3" bestFit="1" customWidth="1"/>
    <col min="13828" max="13828" width="27.42578125" style="3" bestFit="1" customWidth="1"/>
    <col min="13829" max="13829" width="11.42578125" style="3" customWidth="1"/>
    <col min="13830" max="13830" width="9.7109375" style="3" bestFit="1" customWidth="1"/>
    <col min="13831" max="13831" width="31.28515625" style="3" bestFit="1" customWidth="1"/>
    <col min="13832" max="13832" width="75.28515625" style="3" bestFit="1" customWidth="1"/>
    <col min="13833" max="13833" width="18.28515625" style="3" bestFit="1" customWidth="1"/>
    <col min="13834" max="13834" width="17.5703125" style="3" bestFit="1" customWidth="1"/>
    <col min="13835" max="13835" width="12.5703125" style="3" customWidth="1"/>
    <col min="13836" max="13836" width="14.28515625" style="3" bestFit="1" customWidth="1"/>
    <col min="13837" max="13837" width="26.42578125" style="3" bestFit="1" customWidth="1"/>
    <col min="13838" max="13838" width="24.28515625" style="3" bestFit="1" customWidth="1"/>
    <col min="13839" max="13839" width="18.85546875" style="3" bestFit="1" customWidth="1"/>
    <col min="13840" max="13840" width="14.28515625" style="3" bestFit="1" customWidth="1"/>
    <col min="13841" max="13841" width="4.7109375" style="3" bestFit="1" customWidth="1"/>
    <col min="13842" max="14081" width="9.140625" style="3"/>
    <col min="14082" max="14082" width="12.7109375" style="3" bestFit="1" customWidth="1"/>
    <col min="14083" max="14083" width="28.42578125" style="3" bestFit="1" customWidth="1"/>
    <col min="14084" max="14084" width="27.42578125" style="3" bestFit="1" customWidth="1"/>
    <col min="14085" max="14085" width="11.42578125" style="3" customWidth="1"/>
    <col min="14086" max="14086" width="9.7109375" style="3" bestFit="1" customWidth="1"/>
    <col min="14087" max="14087" width="31.28515625" style="3" bestFit="1" customWidth="1"/>
    <col min="14088" max="14088" width="75.28515625" style="3" bestFit="1" customWidth="1"/>
    <col min="14089" max="14089" width="18.28515625" style="3" bestFit="1" customWidth="1"/>
    <col min="14090" max="14090" width="17.5703125" style="3" bestFit="1" customWidth="1"/>
    <col min="14091" max="14091" width="12.5703125" style="3" customWidth="1"/>
    <col min="14092" max="14092" width="14.28515625" style="3" bestFit="1" customWidth="1"/>
    <col min="14093" max="14093" width="26.42578125" style="3" bestFit="1" customWidth="1"/>
    <col min="14094" max="14094" width="24.28515625" style="3" bestFit="1" customWidth="1"/>
    <col min="14095" max="14095" width="18.85546875" style="3" bestFit="1" customWidth="1"/>
    <col min="14096" max="14096" width="14.28515625" style="3" bestFit="1" customWidth="1"/>
    <col min="14097" max="14097" width="4.7109375" style="3" bestFit="1" customWidth="1"/>
    <col min="14098" max="14337" width="9.140625" style="3"/>
    <col min="14338" max="14338" width="12.7109375" style="3" bestFit="1" customWidth="1"/>
    <col min="14339" max="14339" width="28.42578125" style="3" bestFit="1" customWidth="1"/>
    <col min="14340" max="14340" width="27.42578125" style="3" bestFit="1" customWidth="1"/>
    <col min="14341" max="14341" width="11.42578125" style="3" customWidth="1"/>
    <col min="14342" max="14342" width="9.7109375" style="3" bestFit="1" customWidth="1"/>
    <col min="14343" max="14343" width="31.28515625" style="3" bestFit="1" customWidth="1"/>
    <col min="14344" max="14344" width="75.28515625" style="3" bestFit="1" customWidth="1"/>
    <col min="14345" max="14345" width="18.28515625" style="3" bestFit="1" customWidth="1"/>
    <col min="14346" max="14346" width="17.5703125" style="3" bestFit="1" customWidth="1"/>
    <col min="14347" max="14347" width="12.5703125" style="3" customWidth="1"/>
    <col min="14348" max="14348" width="14.28515625" style="3" bestFit="1" customWidth="1"/>
    <col min="14349" max="14349" width="26.42578125" style="3" bestFit="1" customWidth="1"/>
    <col min="14350" max="14350" width="24.28515625" style="3" bestFit="1" customWidth="1"/>
    <col min="14351" max="14351" width="18.85546875" style="3" bestFit="1" customWidth="1"/>
    <col min="14352" max="14352" width="14.28515625" style="3" bestFit="1" customWidth="1"/>
    <col min="14353" max="14353" width="4.7109375" style="3" bestFit="1" customWidth="1"/>
    <col min="14354" max="14593" width="9.140625" style="3"/>
    <col min="14594" max="14594" width="12.7109375" style="3" bestFit="1" customWidth="1"/>
    <col min="14595" max="14595" width="28.42578125" style="3" bestFit="1" customWidth="1"/>
    <col min="14596" max="14596" width="27.42578125" style="3" bestFit="1" customWidth="1"/>
    <col min="14597" max="14597" width="11.42578125" style="3" customWidth="1"/>
    <col min="14598" max="14598" width="9.7109375" style="3" bestFit="1" customWidth="1"/>
    <col min="14599" max="14599" width="31.28515625" style="3" bestFit="1" customWidth="1"/>
    <col min="14600" max="14600" width="75.28515625" style="3" bestFit="1" customWidth="1"/>
    <col min="14601" max="14601" width="18.28515625" style="3" bestFit="1" customWidth="1"/>
    <col min="14602" max="14602" width="17.5703125" style="3" bestFit="1" customWidth="1"/>
    <col min="14603" max="14603" width="12.5703125" style="3" customWidth="1"/>
    <col min="14604" max="14604" width="14.28515625" style="3" bestFit="1" customWidth="1"/>
    <col min="14605" max="14605" width="26.42578125" style="3" bestFit="1" customWidth="1"/>
    <col min="14606" max="14606" width="24.28515625" style="3" bestFit="1" customWidth="1"/>
    <col min="14607" max="14607" width="18.85546875" style="3" bestFit="1" customWidth="1"/>
    <col min="14608" max="14608" width="14.28515625" style="3" bestFit="1" customWidth="1"/>
    <col min="14609" max="14609" width="4.7109375" style="3" bestFit="1" customWidth="1"/>
    <col min="14610" max="14849" width="9.140625" style="3"/>
    <col min="14850" max="14850" width="12.7109375" style="3" bestFit="1" customWidth="1"/>
    <col min="14851" max="14851" width="28.42578125" style="3" bestFit="1" customWidth="1"/>
    <col min="14852" max="14852" width="27.42578125" style="3" bestFit="1" customWidth="1"/>
    <col min="14853" max="14853" width="11.42578125" style="3" customWidth="1"/>
    <col min="14854" max="14854" width="9.7109375" style="3" bestFit="1" customWidth="1"/>
    <col min="14855" max="14855" width="31.28515625" style="3" bestFit="1" customWidth="1"/>
    <col min="14856" max="14856" width="75.28515625" style="3" bestFit="1" customWidth="1"/>
    <col min="14857" max="14857" width="18.28515625" style="3" bestFit="1" customWidth="1"/>
    <col min="14858" max="14858" width="17.5703125" style="3" bestFit="1" customWidth="1"/>
    <col min="14859" max="14859" width="12.5703125" style="3" customWidth="1"/>
    <col min="14860" max="14860" width="14.28515625" style="3" bestFit="1" customWidth="1"/>
    <col min="14861" max="14861" width="26.42578125" style="3" bestFit="1" customWidth="1"/>
    <col min="14862" max="14862" width="24.28515625" style="3" bestFit="1" customWidth="1"/>
    <col min="14863" max="14863" width="18.85546875" style="3" bestFit="1" customWidth="1"/>
    <col min="14864" max="14864" width="14.28515625" style="3" bestFit="1" customWidth="1"/>
    <col min="14865" max="14865" width="4.7109375" style="3" bestFit="1" customWidth="1"/>
    <col min="14866" max="15105" width="9.140625" style="3"/>
    <col min="15106" max="15106" width="12.7109375" style="3" bestFit="1" customWidth="1"/>
    <col min="15107" max="15107" width="28.42578125" style="3" bestFit="1" customWidth="1"/>
    <col min="15108" max="15108" width="27.42578125" style="3" bestFit="1" customWidth="1"/>
    <col min="15109" max="15109" width="11.42578125" style="3" customWidth="1"/>
    <col min="15110" max="15110" width="9.7109375" style="3" bestFit="1" customWidth="1"/>
    <col min="15111" max="15111" width="31.28515625" style="3" bestFit="1" customWidth="1"/>
    <col min="15112" max="15112" width="75.28515625" style="3" bestFit="1" customWidth="1"/>
    <col min="15113" max="15113" width="18.28515625" style="3" bestFit="1" customWidth="1"/>
    <col min="15114" max="15114" width="17.5703125" style="3" bestFit="1" customWidth="1"/>
    <col min="15115" max="15115" width="12.5703125" style="3" customWidth="1"/>
    <col min="15116" max="15116" width="14.28515625" style="3" bestFit="1" customWidth="1"/>
    <col min="15117" max="15117" width="26.42578125" style="3" bestFit="1" customWidth="1"/>
    <col min="15118" max="15118" width="24.28515625" style="3" bestFit="1" customWidth="1"/>
    <col min="15119" max="15119" width="18.85546875" style="3" bestFit="1" customWidth="1"/>
    <col min="15120" max="15120" width="14.28515625" style="3" bestFit="1" customWidth="1"/>
    <col min="15121" max="15121" width="4.7109375" style="3" bestFit="1" customWidth="1"/>
    <col min="15122" max="15361" width="9.140625" style="3"/>
    <col min="15362" max="15362" width="12.7109375" style="3" bestFit="1" customWidth="1"/>
    <col min="15363" max="15363" width="28.42578125" style="3" bestFit="1" customWidth="1"/>
    <col min="15364" max="15364" width="27.42578125" style="3" bestFit="1" customWidth="1"/>
    <col min="15365" max="15365" width="11.42578125" style="3" customWidth="1"/>
    <col min="15366" max="15366" width="9.7109375" style="3" bestFit="1" customWidth="1"/>
    <col min="15367" max="15367" width="31.28515625" style="3" bestFit="1" customWidth="1"/>
    <col min="15368" max="15368" width="75.28515625" style="3" bestFit="1" customWidth="1"/>
    <col min="15369" max="15369" width="18.28515625" style="3" bestFit="1" customWidth="1"/>
    <col min="15370" max="15370" width="17.5703125" style="3" bestFit="1" customWidth="1"/>
    <col min="15371" max="15371" width="12.5703125" style="3" customWidth="1"/>
    <col min="15372" max="15372" width="14.28515625" style="3" bestFit="1" customWidth="1"/>
    <col min="15373" max="15373" width="26.42578125" style="3" bestFit="1" customWidth="1"/>
    <col min="15374" max="15374" width="24.28515625" style="3" bestFit="1" customWidth="1"/>
    <col min="15375" max="15375" width="18.85546875" style="3" bestFit="1" customWidth="1"/>
    <col min="15376" max="15376" width="14.28515625" style="3" bestFit="1" customWidth="1"/>
    <col min="15377" max="15377" width="4.7109375" style="3" bestFit="1" customWidth="1"/>
    <col min="15378" max="15617" width="9.140625" style="3"/>
    <col min="15618" max="15618" width="12.7109375" style="3" bestFit="1" customWidth="1"/>
    <col min="15619" max="15619" width="28.42578125" style="3" bestFit="1" customWidth="1"/>
    <col min="15620" max="15620" width="27.42578125" style="3" bestFit="1" customWidth="1"/>
    <col min="15621" max="15621" width="11.42578125" style="3" customWidth="1"/>
    <col min="15622" max="15622" width="9.7109375" style="3" bestFit="1" customWidth="1"/>
    <col min="15623" max="15623" width="31.28515625" style="3" bestFit="1" customWidth="1"/>
    <col min="15624" max="15624" width="75.28515625" style="3" bestFit="1" customWidth="1"/>
    <col min="15625" max="15625" width="18.28515625" style="3" bestFit="1" customWidth="1"/>
    <col min="15626" max="15626" width="17.5703125" style="3" bestFit="1" customWidth="1"/>
    <col min="15627" max="15627" width="12.5703125" style="3" customWidth="1"/>
    <col min="15628" max="15628" width="14.28515625" style="3" bestFit="1" customWidth="1"/>
    <col min="15629" max="15629" width="26.42578125" style="3" bestFit="1" customWidth="1"/>
    <col min="15630" max="15630" width="24.28515625" style="3" bestFit="1" customWidth="1"/>
    <col min="15631" max="15631" width="18.85546875" style="3" bestFit="1" customWidth="1"/>
    <col min="15632" max="15632" width="14.28515625" style="3" bestFit="1" customWidth="1"/>
    <col min="15633" max="15633" width="4.7109375" style="3" bestFit="1" customWidth="1"/>
    <col min="15634" max="15873" width="9.140625" style="3"/>
    <col min="15874" max="15874" width="12.7109375" style="3" bestFit="1" customWidth="1"/>
    <col min="15875" max="15875" width="28.42578125" style="3" bestFit="1" customWidth="1"/>
    <col min="15876" max="15876" width="27.42578125" style="3" bestFit="1" customWidth="1"/>
    <col min="15877" max="15877" width="11.42578125" style="3" customWidth="1"/>
    <col min="15878" max="15878" width="9.7109375" style="3" bestFit="1" customWidth="1"/>
    <col min="15879" max="15879" width="31.28515625" style="3" bestFit="1" customWidth="1"/>
    <col min="15880" max="15880" width="75.28515625" style="3" bestFit="1" customWidth="1"/>
    <col min="15881" max="15881" width="18.28515625" style="3" bestFit="1" customWidth="1"/>
    <col min="15882" max="15882" width="17.5703125" style="3" bestFit="1" customWidth="1"/>
    <col min="15883" max="15883" width="12.5703125" style="3" customWidth="1"/>
    <col min="15884" max="15884" width="14.28515625" style="3" bestFit="1" customWidth="1"/>
    <col min="15885" max="15885" width="26.42578125" style="3" bestFit="1" customWidth="1"/>
    <col min="15886" max="15886" width="24.28515625" style="3" bestFit="1" customWidth="1"/>
    <col min="15887" max="15887" width="18.85546875" style="3" bestFit="1" customWidth="1"/>
    <col min="15888" max="15888" width="14.28515625" style="3" bestFit="1" customWidth="1"/>
    <col min="15889" max="15889" width="4.7109375" style="3" bestFit="1" customWidth="1"/>
    <col min="15890" max="16129" width="9.140625" style="3"/>
    <col min="16130" max="16130" width="12.7109375" style="3" bestFit="1" customWidth="1"/>
    <col min="16131" max="16131" width="28.42578125" style="3" bestFit="1" customWidth="1"/>
    <col min="16132" max="16132" width="27.42578125" style="3" bestFit="1" customWidth="1"/>
    <col min="16133" max="16133" width="11.42578125" style="3" customWidth="1"/>
    <col min="16134" max="16134" width="9.7109375" style="3" bestFit="1" customWidth="1"/>
    <col min="16135" max="16135" width="31.28515625" style="3" bestFit="1" customWidth="1"/>
    <col min="16136" max="16136" width="75.28515625" style="3" bestFit="1" customWidth="1"/>
    <col min="16137" max="16137" width="18.28515625" style="3" bestFit="1" customWidth="1"/>
    <col min="16138" max="16138" width="17.5703125" style="3" bestFit="1" customWidth="1"/>
    <col min="16139" max="16139" width="12.5703125" style="3" customWidth="1"/>
    <col min="16140" max="16140" width="14.28515625" style="3" bestFit="1" customWidth="1"/>
    <col min="16141" max="16141" width="26.42578125" style="3" bestFit="1" customWidth="1"/>
    <col min="16142" max="16142" width="24.28515625" style="3" bestFit="1" customWidth="1"/>
    <col min="16143" max="16143" width="18.85546875" style="3" bestFit="1" customWidth="1"/>
    <col min="16144" max="16144" width="14.28515625" style="3" bestFit="1" customWidth="1"/>
    <col min="16145" max="16145" width="4.7109375" style="3" bestFit="1" customWidth="1"/>
    <col min="16146" max="16384" width="9.140625" style="3"/>
  </cols>
  <sheetData>
    <row r="1" spans="1:15" ht="30" x14ac:dyDescent="0.25">
      <c r="A1" s="1" t="s">
        <v>0</v>
      </c>
      <c r="B1" s="1" t="s">
        <v>36</v>
      </c>
      <c r="C1" s="1" t="s">
        <v>248</v>
      </c>
      <c r="D1" s="1" t="s">
        <v>2</v>
      </c>
      <c r="E1" s="1" t="s">
        <v>3</v>
      </c>
      <c r="F1" s="1" t="s">
        <v>47</v>
      </c>
      <c r="G1" s="1" t="s">
        <v>48</v>
      </c>
      <c r="H1" s="1" t="s">
        <v>4</v>
      </c>
      <c r="I1" s="1" t="s">
        <v>37</v>
      </c>
      <c r="J1" s="1" t="s">
        <v>6</v>
      </c>
      <c r="K1" s="1" t="s">
        <v>7</v>
      </c>
      <c r="L1" s="2" t="s">
        <v>8</v>
      </c>
    </row>
    <row r="2" spans="1:15" ht="28.5" x14ac:dyDescent="0.25">
      <c r="A2" s="5">
        <v>44609</v>
      </c>
      <c r="B2" s="6" t="s">
        <v>363</v>
      </c>
      <c r="C2" s="6">
        <v>121000</v>
      </c>
      <c r="D2" s="7" t="s">
        <v>364</v>
      </c>
      <c r="E2" s="8" t="s">
        <v>17</v>
      </c>
      <c r="F2" s="10" t="s">
        <v>528</v>
      </c>
      <c r="G2" s="7" t="s">
        <v>481</v>
      </c>
      <c r="H2" s="7" t="s">
        <v>365</v>
      </c>
      <c r="I2" s="10" t="s">
        <v>367</v>
      </c>
      <c r="J2" s="11">
        <f>5850+17550</f>
        <v>23400</v>
      </c>
      <c r="K2" s="12">
        <v>62.7</v>
      </c>
      <c r="L2" s="13">
        <f>J2/K2</f>
        <v>373.20574162679424</v>
      </c>
      <c r="N2" s="31"/>
    </row>
    <row r="3" spans="1:15" x14ac:dyDescent="0.25">
      <c r="A3" s="221" t="s">
        <v>529</v>
      </c>
      <c r="B3" s="222"/>
      <c r="C3" s="222"/>
      <c r="D3" s="222"/>
      <c r="E3" s="222"/>
      <c r="F3" s="222"/>
      <c r="G3" s="222"/>
      <c r="H3" s="223"/>
      <c r="I3" s="10"/>
      <c r="J3" s="32">
        <f>SUM(J2:J2)</f>
        <v>23400</v>
      </c>
      <c r="K3" s="12"/>
      <c r="L3" s="13">
        <f>SUM(L2:L2)</f>
        <v>373.20574162679424</v>
      </c>
      <c r="M3" s="31"/>
    </row>
    <row r="4" spans="1:15" x14ac:dyDescent="0.25">
      <c r="J4" s="36"/>
      <c r="K4" s="37"/>
      <c r="M4" s="4"/>
      <c r="N4" s="4"/>
      <c r="O4" s="4"/>
    </row>
    <row r="5" spans="1:15" x14ac:dyDescent="0.25">
      <c r="J5" s="31"/>
      <c r="K5" s="37"/>
      <c r="M5" s="4"/>
      <c r="N5" s="4"/>
      <c r="O5" s="4"/>
    </row>
    <row r="6" spans="1:15" ht="15" x14ac:dyDescent="0.25">
      <c r="J6" s="4"/>
      <c r="K6" s="37"/>
      <c r="M6" s="31"/>
      <c r="N6" s="38"/>
      <c r="O6" s="39"/>
    </row>
    <row r="7" spans="1:15" ht="15" x14ac:dyDescent="0.25">
      <c r="J7" s="31"/>
      <c r="K7" s="37"/>
      <c r="N7" s="38"/>
      <c r="O7" s="38"/>
    </row>
    <row r="8" spans="1:15" x14ac:dyDescent="0.25">
      <c r="K8" s="37"/>
      <c r="O8" s="31"/>
    </row>
    <row r="12" spans="1:15" x14ac:dyDescent="0.25">
      <c r="J12" s="31"/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topLeftCell="H5" workbookViewId="0">
      <selection activeCell="H23" sqref="H23"/>
    </sheetView>
  </sheetViews>
  <sheetFormatPr defaultRowHeight="14.25" x14ac:dyDescent="0.25"/>
  <cols>
    <col min="1" max="1" width="12.28515625" style="33" bestFit="1" customWidth="1"/>
    <col min="2" max="2" width="20.5703125" style="34" bestFit="1" customWidth="1"/>
    <col min="3" max="3" width="9.140625" style="34" bestFit="1" customWidth="1"/>
    <col min="4" max="4" width="29.28515625" style="34" bestFit="1" customWidth="1"/>
    <col min="5" max="5" width="10.140625" style="35" bestFit="1" customWidth="1"/>
    <col min="6" max="6" width="12.7109375" style="33" bestFit="1" customWidth="1"/>
    <col min="7" max="7" width="20.85546875" style="34" customWidth="1"/>
    <col min="8" max="8" width="104.7109375" style="34" bestFit="1" customWidth="1"/>
    <col min="9" max="9" width="18.28515625" style="33" customWidth="1"/>
    <col min="10" max="10" width="16.140625" style="3" bestFit="1" customWidth="1"/>
    <col min="11" max="11" width="15.5703125" style="34" bestFit="1" customWidth="1"/>
    <col min="12" max="12" width="14" style="4" bestFit="1" customWidth="1"/>
    <col min="13" max="13" width="4.7109375" style="3" bestFit="1" customWidth="1"/>
    <col min="14" max="253" width="9.140625" style="3"/>
    <col min="254" max="254" width="12.7109375" style="3" bestFit="1" customWidth="1"/>
    <col min="255" max="255" width="28.42578125" style="3" bestFit="1" customWidth="1"/>
    <col min="256" max="256" width="27.42578125" style="3" bestFit="1" customWidth="1"/>
    <col min="257" max="257" width="11.42578125" style="3" customWidth="1"/>
    <col min="258" max="258" width="9.7109375" style="3" bestFit="1" customWidth="1"/>
    <col min="259" max="259" width="31.28515625" style="3" bestFit="1" customWidth="1"/>
    <col min="260" max="260" width="75.28515625" style="3" bestFit="1" customWidth="1"/>
    <col min="261" max="261" width="18.28515625" style="3" bestFit="1" customWidth="1"/>
    <col min="262" max="262" width="17.5703125" style="3" bestFit="1" customWidth="1"/>
    <col min="263" max="263" width="12.5703125" style="3" customWidth="1"/>
    <col min="264" max="264" width="14.28515625" style="3" bestFit="1" customWidth="1"/>
    <col min="265" max="265" width="26.42578125" style="3" bestFit="1" customWidth="1"/>
    <col min="266" max="266" width="24.28515625" style="3" bestFit="1" customWidth="1"/>
    <col min="267" max="267" width="18.85546875" style="3" bestFit="1" customWidth="1"/>
    <col min="268" max="268" width="14.28515625" style="3" bestFit="1" customWidth="1"/>
    <col min="269" max="269" width="4.7109375" style="3" bestFit="1" customWidth="1"/>
    <col min="270" max="509" width="9.140625" style="3"/>
    <col min="510" max="510" width="12.7109375" style="3" bestFit="1" customWidth="1"/>
    <col min="511" max="511" width="28.42578125" style="3" bestFit="1" customWidth="1"/>
    <col min="512" max="512" width="27.42578125" style="3" bestFit="1" customWidth="1"/>
    <col min="513" max="513" width="11.42578125" style="3" customWidth="1"/>
    <col min="514" max="514" width="9.7109375" style="3" bestFit="1" customWidth="1"/>
    <col min="515" max="515" width="31.28515625" style="3" bestFit="1" customWidth="1"/>
    <col min="516" max="516" width="75.28515625" style="3" bestFit="1" customWidth="1"/>
    <col min="517" max="517" width="18.28515625" style="3" bestFit="1" customWidth="1"/>
    <col min="518" max="518" width="17.5703125" style="3" bestFit="1" customWidth="1"/>
    <col min="519" max="519" width="12.5703125" style="3" customWidth="1"/>
    <col min="520" max="520" width="14.28515625" style="3" bestFit="1" customWidth="1"/>
    <col min="521" max="521" width="26.42578125" style="3" bestFit="1" customWidth="1"/>
    <col min="522" max="522" width="24.28515625" style="3" bestFit="1" customWidth="1"/>
    <col min="523" max="523" width="18.85546875" style="3" bestFit="1" customWidth="1"/>
    <col min="524" max="524" width="14.28515625" style="3" bestFit="1" customWidth="1"/>
    <col min="525" max="525" width="4.7109375" style="3" bestFit="1" customWidth="1"/>
    <col min="526" max="765" width="9.140625" style="3"/>
    <col min="766" max="766" width="12.7109375" style="3" bestFit="1" customWidth="1"/>
    <col min="767" max="767" width="28.42578125" style="3" bestFit="1" customWidth="1"/>
    <col min="768" max="768" width="27.42578125" style="3" bestFit="1" customWidth="1"/>
    <col min="769" max="769" width="11.42578125" style="3" customWidth="1"/>
    <col min="770" max="770" width="9.7109375" style="3" bestFit="1" customWidth="1"/>
    <col min="771" max="771" width="31.28515625" style="3" bestFit="1" customWidth="1"/>
    <col min="772" max="772" width="75.28515625" style="3" bestFit="1" customWidth="1"/>
    <col min="773" max="773" width="18.28515625" style="3" bestFit="1" customWidth="1"/>
    <col min="774" max="774" width="17.5703125" style="3" bestFit="1" customWidth="1"/>
    <col min="775" max="775" width="12.5703125" style="3" customWidth="1"/>
    <col min="776" max="776" width="14.28515625" style="3" bestFit="1" customWidth="1"/>
    <col min="777" max="777" width="26.42578125" style="3" bestFit="1" customWidth="1"/>
    <col min="778" max="778" width="24.28515625" style="3" bestFit="1" customWidth="1"/>
    <col min="779" max="779" width="18.85546875" style="3" bestFit="1" customWidth="1"/>
    <col min="780" max="780" width="14.28515625" style="3" bestFit="1" customWidth="1"/>
    <col min="781" max="781" width="4.7109375" style="3" bestFit="1" customWidth="1"/>
    <col min="782" max="1021" width="9.140625" style="3"/>
    <col min="1022" max="1022" width="12.7109375" style="3" bestFit="1" customWidth="1"/>
    <col min="1023" max="1023" width="28.42578125" style="3" bestFit="1" customWidth="1"/>
    <col min="1024" max="1024" width="27.42578125" style="3" bestFit="1" customWidth="1"/>
    <col min="1025" max="1025" width="11.42578125" style="3" customWidth="1"/>
    <col min="1026" max="1026" width="9.7109375" style="3" bestFit="1" customWidth="1"/>
    <col min="1027" max="1027" width="31.28515625" style="3" bestFit="1" customWidth="1"/>
    <col min="1028" max="1028" width="75.28515625" style="3" bestFit="1" customWidth="1"/>
    <col min="1029" max="1029" width="18.28515625" style="3" bestFit="1" customWidth="1"/>
    <col min="1030" max="1030" width="17.5703125" style="3" bestFit="1" customWidth="1"/>
    <col min="1031" max="1031" width="12.5703125" style="3" customWidth="1"/>
    <col min="1032" max="1032" width="14.28515625" style="3" bestFit="1" customWidth="1"/>
    <col min="1033" max="1033" width="26.42578125" style="3" bestFit="1" customWidth="1"/>
    <col min="1034" max="1034" width="24.28515625" style="3" bestFit="1" customWidth="1"/>
    <col min="1035" max="1035" width="18.85546875" style="3" bestFit="1" customWidth="1"/>
    <col min="1036" max="1036" width="14.28515625" style="3" bestFit="1" customWidth="1"/>
    <col min="1037" max="1037" width="4.7109375" style="3" bestFit="1" customWidth="1"/>
    <col min="1038" max="1277" width="9.140625" style="3"/>
    <col min="1278" max="1278" width="12.7109375" style="3" bestFit="1" customWidth="1"/>
    <col min="1279" max="1279" width="28.42578125" style="3" bestFit="1" customWidth="1"/>
    <col min="1280" max="1280" width="27.42578125" style="3" bestFit="1" customWidth="1"/>
    <col min="1281" max="1281" width="11.42578125" style="3" customWidth="1"/>
    <col min="1282" max="1282" width="9.7109375" style="3" bestFit="1" customWidth="1"/>
    <col min="1283" max="1283" width="31.28515625" style="3" bestFit="1" customWidth="1"/>
    <col min="1284" max="1284" width="75.28515625" style="3" bestFit="1" customWidth="1"/>
    <col min="1285" max="1285" width="18.28515625" style="3" bestFit="1" customWidth="1"/>
    <col min="1286" max="1286" width="17.5703125" style="3" bestFit="1" customWidth="1"/>
    <col min="1287" max="1287" width="12.5703125" style="3" customWidth="1"/>
    <col min="1288" max="1288" width="14.28515625" style="3" bestFit="1" customWidth="1"/>
    <col min="1289" max="1289" width="26.42578125" style="3" bestFit="1" customWidth="1"/>
    <col min="1290" max="1290" width="24.28515625" style="3" bestFit="1" customWidth="1"/>
    <col min="1291" max="1291" width="18.85546875" style="3" bestFit="1" customWidth="1"/>
    <col min="1292" max="1292" width="14.28515625" style="3" bestFit="1" customWidth="1"/>
    <col min="1293" max="1293" width="4.7109375" style="3" bestFit="1" customWidth="1"/>
    <col min="1294" max="1533" width="9.140625" style="3"/>
    <col min="1534" max="1534" width="12.7109375" style="3" bestFit="1" customWidth="1"/>
    <col min="1535" max="1535" width="28.42578125" style="3" bestFit="1" customWidth="1"/>
    <col min="1536" max="1536" width="27.42578125" style="3" bestFit="1" customWidth="1"/>
    <col min="1537" max="1537" width="11.42578125" style="3" customWidth="1"/>
    <col min="1538" max="1538" width="9.7109375" style="3" bestFit="1" customWidth="1"/>
    <col min="1539" max="1539" width="31.28515625" style="3" bestFit="1" customWidth="1"/>
    <col min="1540" max="1540" width="75.28515625" style="3" bestFit="1" customWidth="1"/>
    <col min="1541" max="1541" width="18.28515625" style="3" bestFit="1" customWidth="1"/>
    <col min="1542" max="1542" width="17.5703125" style="3" bestFit="1" customWidth="1"/>
    <col min="1543" max="1543" width="12.5703125" style="3" customWidth="1"/>
    <col min="1544" max="1544" width="14.28515625" style="3" bestFit="1" customWidth="1"/>
    <col min="1545" max="1545" width="26.42578125" style="3" bestFit="1" customWidth="1"/>
    <col min="1546" max="1546" width="24.28515625" style="3" bestFit="1" customWidth="1"/>
    <col min="1547" max="1547" width="18.85546875" style="3" bestFit="1" customWidth="1"/>
    <col min="1548" max="1548" width="14.28515625" style="3" bestFit="1" customWidth="1"/>
    <col min="1549" max="1549" width="4.7109375" style="3" bestFit="1" customWidth="1"/>
    <col min="1550" max="1789" width="9.140625" style="3"/>
    <col min="1790" max="1790" width="12.7109375" style="3" bestFit="1" customWidth="1"/>
    <col min="1791" max="1791" width="28.42578125" style="3" bestFit="1" customWidth="1"/>
    <col min="1792" max="1792" width="27.42578125" style="3" bestFit="1" customWidth="1"/>
    <col min="1793" max="1793" width="11.42578125" style="3" customWidth="1"/>
    <col min="1794" max="1794" width="9.7109375" style="3" bestFit="1" customWidth="1"/>
    <col min="1795" max="1795" width="31.28515625" style="3" bestFit="1" customWidth="1"/>
    <col min="1796" max="1796" width="75.28515625" style="3" bestFit="1" customWidth="1"/>
    <col min="1797" max="1797" width="18.28515625" style="3" bestFit="1" customWidth="1"/>
    <col min="1798" max="1798" width="17.5703125" style="3" bestFit="1" customWidth="1"/>
    <col min="1799" max="1799" width="12.5703125" style="3" customWidth="1"/>
    <col min="1800" max="1800" width="14.28515625" style="3" bestFit="1" customWidth="1"/>
    <col min="1801" max="1801" width="26.42578125" style="3" bestFit="1" customWidth="1"/>
    <col min="1802" max="1802" width="24.28515625" style="3" bestFit="1" customWidth="1"/>
    <col min="1803" max="1803" width="18.85546875" style="3" bestFit="1" customWidth="1"/>
    <col min="1804" max="1804" width="14.28515625" style="3" bestFit="1" customWidth="1"/>
    <col min="1805" max="1805" width="4.7109375" style="3" bestFit="1" customWidth="1"/>
    <col min="1806" max="2045" width="9.140625" style="3"/>
    <col min="2046" max="2046" width="12.7109375" style="3" bestFit="1" customWidth="1"/>
    <col min="2047" max="2047" width="28.42578125" style="3" bestFit="1" customWidth="1"/>
    <col min="2048" max="2048" width="27.42578125" style="3" bestFit="1" customWidth="1"/>
    <col min="2049" max="2049" width="11.42578125" style="3" customWidth="1"/>
    <col min="2050" max="2050" width="9.7109375" style="3" bestFit="1" customWidth="1"/>
    <col min="2051" max="2051" width="31.28515625" style="3" bestFit="1" customWidth="1"/>
    <col min="2052" max="2052" width="75.28515625" style="3" bestFit="1" customWidth="1"/>
    <col min="2053" max="2053" width="18.28515625" style="3" bestFit="1" customWidth="1"/>
    <col min="2054" max="2054" width="17.5703125" style="3" bestFit="1" customWidth="1"/>
    <col min="2055" max="2055" width="12.5703125" style="3" customWidth="1"/>
    <col min="2056" max="2056" width="14.28515625" style="3" bestFit="1" customWidth="1"/>
    <col min="2057" max="2057" width="26.42578125" style="3" bestFit="1" customWidth="1"/>
    <col min="2058" max="2058" width="24.28515625" style="3" bestFit="1" customWidth="1"/>
    <col min="2059" max="2059" width="18.85546875" style="3" bestFit="1" customWidth="1"/>
    <col min="2060" max="2060" width="14.28515625" style="3" bestFit="1" customWidth="1"/>
    <col min="2061" max="2061" width="4.7109375" style="3" bestFit="1" customWidth="1"/>
    <col min="2062" max="2301" width="9.140625" style="3"/>
    <col min="2302" max="2302" width="12.7109375" style="3" bestFit="1" customWidth="1"/>
    <col min="2303" max="2303" width="28.42578125" style="3" bestFit="1" customWidth="1"/>
    <col min="2304" max="2304" width="27.42578125" style="3" bestFit="1" customWidth="1"/>
    <col min="2305" max="2305" width="11.42578125" style="3" customWidth="1"/>
    <col min="2306" max="2306" width="9.7109375" style="3" bestFit="1" customWidth="1"/>
    <col min="2307" max="2307" width="31.28515625" style="3" bestFit="1" customWidth="1"/>
    <col min="2308" max="2308" width="75.28515625" style="3" bestFit="1" customWidth="1"/>
    <col min="2309" max="2309" width="18.28515625" style="3" bestFit="1" customWidth="1"/>
    <col min="2310" max="2310" width="17.5703125" style="3" bestFit="1" customWidth="1"/>
    <col min="2311" max="2311" width="12.5703125" style="3" customWidth="1"/>
    <col min="2312" max="2312" width="14.28515625" style="3" bestFit="1" customWidth="1"/>
    <col min="2313" max="2313" width="26.42578125" style="3" bestFit="1" customWidth="1"/>
    <col min="2314" max="2314" width="24.28515625" style="3" bestFit="1" customWidth="1"/>
    <col min="2315" max="2315" width="18.85546875" style="3" bestFit="1" customWidth="1"/>
    <col min="2316" max="2316" width="14.28515625" style="3" bestFit="1" customWidth="1"/>
    <col min="2317" max="2317" width="4.7109375" style="3" bestFit="1" customWidth="1"/>
    <col min="2318" max="2557" width="9.140625" style="3"/>
    <col min="2558" max="2558" width="12.7109375" style="3" bestFit="1" customWidth="1"/>
    <col min="2559" max="2559" width="28.42578125" style="3" bestFit="1" customWidth="1"/>
    <col min="2560" max="2560" width="27.42578125" style="3" bestFit="1" customWidth="1"/>
    <col min="2561" max="2561" width="11.42578125" style="3" customWidth="1"/>
    <col min="2562" max="2562" width="9.7109375" style="3" bestFit="1" customWidth="1"/>
    <col min="2563" max="2563" width="31.28515625" style="3" bestFit="1" customWidth="1"/>
    <col min="2564" max="2564" width="75.28515625" style="3" bestFit="1" customWidth="1"/>
    <col min="2565" max="2565" width="18.28515625" style="3" bestFit="1" customWidth="1"/>
    <col min="2566" max="2566" width="17.5703125" style="3" bestFit="1" customWidth="1"/>
    <col min="2567" max="2567" width="12.5703125" style="3" customWidth="1"/>
    <col min="2568" max="2568" width="14.28515625" style="3" bestFit="1" customWidth="1"/>
    <col min="2569" max="2569" width="26.42578125" style="3" bestFit="1" customWidth="1"/>
    <col min="2570" max="2570" width="24.28515625" style="3" bestFit="1" customWidth="1"/>
    <col min="2571" max="2571" width="18.85546875" style="3" bestFit="1" customWidth="1"/>
    <col min="2572" max="2572" width="14.28515625" style="3" bestFit="1" customWidth="1"/>
    <col min="2573" max="2573" width="4.7109375" style="3" bestFit="1" customWidth="1"/>
    <col min="2574" max="2813" width="9.140625" style="3"/>
    <col min="2814" max="2814" width="12.7109375" style="3" bestFit="1" customWidth="1"/>
    <col min="2815" max="2815" width="28.42578125" style="3" bestFit="1" customWidth="1"/>
    <col min="2816" max="2816" width="27.42578125" style="3" bestFit="1" customWidth="1"/>
    <col min="2817" max="2817" width="11.42578125" style="3" customWidth="1"/>
    <col min="2818" max="2818" width="9.7109375" style="3" bestFit="1" customWidth="1"/>
    <col min="2819" max="2819" width="31.28515625" style="3" bestFit="1" customWidth="1"/>
    <col min="2820" max="2820" width="75.28515625" style="3" bestFit="1" customWidth="1"/>
    <col min="2821" max="2821" width="18.28515625" style="3" bestFit="1" customWidth="1"/>
    <col min="2822" max="2822" width="17.5703125" style="3" bestFit="1" customWidth="1"/>
    <col min="2823" max="2823" width="12.5703125" style="3" customWidth="1"/>
    <col min="2824" max="2824" width="14.28515625" style="3" bestFit="1" customWidth="1"/>
    <col min="2825" max="2825" width="26.42578125" style="3" bestFit="1" customWidth="1"/>
    <col min="2826" max="2826" width="24.28515625" style="3" bestFit="1" customWidth="1"/>
    <col min="2827" max="2827" width="18.85546875" style="3" bestFit="1" customWidth="1"/>
    <col min="2828" max="2828" width="14.28515625" style="3" bestFit="1" customWidth="1"/>
    <col min="2829" max="2829" width="4.7109375" style="3" bestFit="1" customWidth="1"/>
    <col min="2830" max="3069" width="9.140625" style="3"/>
    <col min="3070" max="3070" width="12.7109375" style="3" bestFit="1" customWidth="1"/>
    <col min="3071" max="3071" width="28.42578125" style="3" bestFit="1" customWidth="1"/>
    <col min="3072" max="3072" width="27.42578125" style="3" bestFit="1" customWidth="1"/>
    <col min="3073" max="3073" width="11.42578125" style="3" customWidth="1"/>
    <col min="3074" max="3074" width="9.7109375" style="3" bestFit="1" customWidth="1"/>
    <col min="3075" max="3075" width="31.28515625" style="3" bestFit="1" customWidth="1"/>
    <col min="3076" max="3076" width="75.28515625" style="3" bestFit="1" customWidth="1"/>
    <col min="3077" max="3077" width="18.28515625" style="3" bestFit="1" customWidth="1"/>
    <col min="3078" max="3078" width="17.5703125" style="3" bestFit="1" customWidth="1"/>
    <col min="3079" max="3079" width="12.5703125" style="3" customWidth="1"/>
    <col min="3080" max="3080" width="14.28515625" style="3" bestFit="1" customWidth="1"/>
    <col min="3081" max="3081" width="26.42578125" style="3" bestFit="1" customWidth="1"/>
    <col min="3082" max="3082" width="24.28515625" style="3" bestFit="1" customWidth="1"/>
    <col min="3083" max="3083" width="18.85546875" style="3" bestFit="1" customWidth="1"/>
    <col min="3084" max="3084" width="14.28515625" style="3" bestFit="1" customWidth="1"/>
    <col min="3085" max="3085" width="4.7109375" style="3" bestFit="1" customWidth="1"/>
    <col min="3086" max="3325" width="9.140625" style="3"/>
    <col min="3326" max="3326" width="12.7109375" style="3" bestFit="1" customWidth="1"/>
    <col min="3327" max="3327" width="28.42578125" style="3" bestFit="1" customWidth="1"/>
    <col min="3328" max="3328" width="27.42578125" style="3" bestFit="1" customWidth="1"/>
    <col min="3329" max="3329" width="11.42578125" style="3" customWidth="1"/>
    <col min="3330" max="3330" width="9.7109375" style="3" bestFit="1" customWidth="1"/>
    <col min="3331" max="3331" width="31.28515625" style="3" bestFit="1" customWidth="1"/>
    <col min="3332" max="3332" width="75.28515625" style="3" bestFit="1" customWidth="1"/>
    <col min="3333" max="3333" width="18.28515625" style="3" bestFit="1" customWidth="1"/>
    <col min="3334" max="3334" width="17.5703125" style="3" bestFit="1" customWidth="1"/>
    <col min="3335" max="3335" width="12.5703125" style="3" customWidth="1"/>
    <col min="3336" max="3336" width="14.28515625" style="3" bestFit="1" customWidth="1"/>
    <col min="3337" max="3337" width="26.42578125" style="3" bestFit="1" customWidth="1"/>
    <col min="3338" max="3338" width="24.28515625" style="3" bestFit="1" customWidth="1"/>
    <col min="3339" max="3339" width="18.85546875" style="3" bestFit="1" customWidth="1"/>
    <col min="3340" max="3340" width="14.28515625" style="3" bestFit="1" customWidth="1"/>
    <col min="3341" max="3341" width="4.7109375" style="3" bestFit="1" customWidth="1"/>
    <col min="3342" max="3581" width="9.140625" style="3"/>
    <col min="3582" max="3582" width="12.7109375" style="3" bestFit="1" customWidth="1"/>
    <col min="3583" max="3583" width="28.42578125" style="3" bestFit="1" customWidth="1"/>
    <col min="3584" max="3584" width="27.42578125" style="3" bestFit="1" customWidth="1"/>
    <col min="3585" max="3585" width="11.42578125" style="3" customWidth="1"/>
    <col min="3586" max="3586" width="9.7109375" style="3" bestFit="1" customWidth="1"/>
    <col min="3587" max="3587" width="31.28515625" style="3" bestFit="1" customWidth="1"/>
    <col min="3588" max="3588" width="75.28515625" style="3" bestFit="1" customWidth="1"/>
    <col min="3589" max="3589" width="18.28515625" style="3" bestFit="1" customWidth="1"/>
    <col min="3590" max="3590" width="17.5703125" style="3" bestFit="1" customWidth="1"/>
    <col min="3591" max="3591" width="12.5703125" style="3" customWidth="1"/>
    <col min="3592" max="3592" width="14.28515625" style="3" bestFit="1" customWidth="1"/>
    <col min="3593" max="3593" width="26.42578125" style="3" bestFit="1" customWidth="1"/>
    <col min="3594" max="3594" width="24.28515625" style="3" bestFit="1" customWidth="1"/>
    <col min="3595" max="3595" width="18.85546875" style="3" bestFit="1" customWidth="1"/>
    <col min="3596" max="3596" width="14.28515625" style="3" bestFit="1" customWidth="1"/>
    <col min="3597" max="3597" width="4.7109375" style="3" bestFit="1" customWidth="1"/>
    <col min="3598" max="3837" width="9.140625" style="3"/>
    <col min="3838" max="3838" width="12.7109375" style="3" bestFit="1" customWidth="1"/>
    <col min="3839" max="3839" width="28.42578125" style="3" bestFit="1" customWidth="1"/>
    <col min="3840" max="3840" width="27.42578125" style="3" bestFit="1" customWidth="1"/>
    <col min="3841" max="3841" width="11.42578125" style="3" customWidth="1"/>
    <col min="3842" max="3842" width="9.7109375" style="3" bestFit="1" customWidth="1"/>
    <col min="3843" max="3843" width="31.28515625" style="3" bestFit="1" customWidth="1"/>
    <col min="3844" max="3844" width="75.28515625" style="3" bestFit="1" customWidth="1"/>
    <col min="3845" max="3845" width="18.28515625" style="3" bestFit="1" customWidth="1"/>
    <col min="3846" max="3846" width="17.5703125" style="3" bestFit="1" customWidth="1"/>
    <col min="3847" max="3847" width="12.5703125" style="3" customWidth="1"/>
    <col min="3848" max="3848" width="14.28515625" style="3" bestFit="1" customWidth="1"/>
    <col min="3849" max="3849" width="26.42578125" style="3" bestFit="1" customWidth="1"/>
    <col min="3850" max="3850" width="24.28515625" style="3" bestFit="1" customWidth="1"/>
    <col min="3851" max="3851" width="18.85546875" style="3" bestFit="1" customWidth="1"/>
    <col min="3852" max="3852" width="14.28515625" style="3" bestFit="1" customWidth="1"/>
    <col min="3853" max="3853" width="4.7109375" style="3" bestFit="1" customWidth="1"/>
    <col min="3854" max="4093" width="9.140625" style="3"/>
    <col min="4094" max="4094" width="12.7109375" style="3" bestFit="1" customWidth="1"/>
    <col min="4095" max="4095" width="28.42578125" style="3" bestFit="1" customWidth="1"/>
    <col min="4096" max="4096" width="27.42578125" style="3" bestFit="1" customWidth="1"/>
    <col min="4097" max="4097" width="11.42578125" style="3" customWidth="1"/>
    <col min="4098" max="4098" width="9.7109375" style="3" bestFit="1" customWidth="1"/>
    <col min="4099" max="4099" width="31.28515625" style="3" bestFit="1" customWidth="1"/>
    <col min="4100" max="4100" width="75.28515625" style="3" bestFit="1" customWidth="1"/>
    <col min="4101" max="4101" width="18.28515625" style="3" bestFit="1" customWidth="1"/>
    <col min="4102" max="4102" width="17.5703125" style="3" bestFit="1" customWidth="1"/>
    <col min="4103" max="4103" width="12.5703125" style="3" customWidth="1"/>
    <col min="4104" max="4104" width="14.28515625" style="3" bestFit="1" customWidth="1"/>
    <col min="4105" max="4105" width="26.42578125" style="3" bestFit="1" customWidth="1"/>
    <col min="4106" max="4106" width="24.28515625" style="3" bestFit="1" customWidth="1"/>
    <col min="4107" max="4107" width="18.85546875" style="3" bestFit="1" customWidth="1"/>
    <col min="4108" max="4108" width="14.28515625" style="3" bestFit="1" customWidth="1"/>
    <col min="4109" max="4109" width="4.7109375" style="3" bestFit="1" customWidth="1"/>
    <col min="4110" max="4349" width="9.140625" style="3"/>
    <col min="4350" max="4350" width="12.7109375" style="3" bestFit="1" customWidth="1"/>
    <col min="4351" max="4351" width="28.42578125" style="3" bestFit="1" customWidth="1"/>
    <col min="4352" max="4352" width="27.42578125" style="3" bestFit="1" customWidth="1"/>
    <col min="4353" max="4353" width="11.42578125" style="3" customWidth="1"/>
    <col min="4354" max="4354" width="9.7109375" style="3" bestFit="1" customWidth="1"/>
    <col min="4355" max="4355" width="31.28515625" style="3" bestFit="1" customWidth="1"/>
    <col min="4356" max="4356" width="75.28515625" style="3" bestFit="1" customWidth="1"/>
    <col min="4357" max="4357" width="18.28515625" style="3" bestFit="1" customWidth="1"/>
    <col min="4358" max="4358" width="17.5703125" style="3" bestFit="1" customWidth="1"/>
    <col min="4359" max="4359" width="12.5703125" style="3" customWidth="1"/>
    <col min="4360" max="4360" width="14.28515625" style="3" bestFit="1" customWidth="1"/>
    <col min="4361" max="4361" width="26.42578125" style="3" bestFit="1" customWidth="1"/>
    <col min="4362" max="4362" width="24.28515625" style="3" bestFit="1" customWidth="1"/>
    <col min="4363" max="4363" width="18.85546875" style="3" bestFit="1" customWidth="1"/>
    <col min="4364" max="4364" width="14.28515625" style="3" bestFit="1" customWidth="1"/>
    <col min="4365" max="4365" width="4.7109375" style="3" bestFit="1" customWidth="1"/>
    <col min="4366" max="4605" width="9.140625" style="3"/>
    <col min="4606" max="4606" width="12.7109375" style="3" bestFit="1" customWidth="1"/>
    <col min="4607" max="4607" width="28.42578125" style="3" bestFit="1" customWidth="1"/>
    <col min="4608" max="4608" width="27.42578125" style="3" bestFit="1" customWidth="1"/>
    <col min="4609" max="4609" width="11.42578125" style="3" customWidth="1"/>
    <col min="4610" max="4610" width="9.7109375" style="3" bestFit="1" customWidth="1"/>
    <col min="4611" max="4611" width="31.28515625" style="3" bestFit="1" customWidth="1"/>
    <col min="4612" max="4612" width="75.28515625" style="3" bestFit="1" customWidth="1"/>
    <col min="4613" max="4613" width="18.28515625" style="3" bestFit="1" customWidth="1"/>
    <col min="4614" max="4614" width="17.5703125" style="3" bestFit="1" customWidth="1"/>
    <col min="4615" max="4615" width="12.5703125" style="3" customWidth="1"/>
    <col min="4616" max="4616" width="14.28515625" style="3" bestFit="1" customWidth="1"/>
    <col min="4617" max="4617" width="26.42578125" style="3" bestFit="1" customWidth="1"/>
    <col min="4618" max="4618" width="24.28515625" style="3" bestFit="1" customWidth="1"/>
    <col min="4619" max="4619" width="18.85546875" style="3" bestFit="1" customWidth="1"/>
    <col min="4620" max="4620" width="14.28515625" style="3" bestFit="1" customWidth="1"/>
    <col min="4621" max="4621" width="4.7109375" style="3" bestFit="1" customWidth="1"/>
    <col min="4622" max="4861" width="9.140625" style="3"/>
    <col min="4862" max="4862" width="12.7109375" style="3" bestFit="1" customWidth="1"/>
    <col min="4863" max="4863" width="28.42578125" style="3" bestFit="1" customWidth="1"/>
    <col min="4864" max="4864" width="27.42578125" style="3" bestFit="1" customWidth="1"/>
    <col min="4865" max="4865" width="11.42578125" style="3" customWidth="1"/>
    <col min="4866" max="4866" width="9.7109375" style="3" bestFit="1" customWidth="1"/>
    <col min="4867" max="4867" width="31.28515625" style="3" bestFit="1" customWidth="1"/>
    <col min="4868" max="4868" width="75.28515625" style="3" bestFit="1" customWidth="1"/>
    <col min="4869" max="4869" width="18.28515625" style="3" bestFit="1" customWidth="1"/>
    <col min="4870" max="4870" width="17.5703125" style="3" bestFit="1" customWidth="1"/>
    <col min="4871" max="4871" width="12.5703125" style="3" customWidth="1"/>
    <col min="4872" max="4872" width="14.28515625" style="3" bestFit="1" customWidth="1"/>
    <col min="4873" max="4873" width="26.42578125" style="3" bestFit="1" customWidth="1"/>
    <col min="4874" max="4874" width="24.28515625" style="3" bestFit="1" customWidth="1"/>
    <col min="4875" max="4875" width="18.85546875" style="3" bestFit="1" customWidth="1"/>
    <col min="4876" max="4876" width="14.28515625" style="3" bestFit="1" customWidth="1"/>
    <col min="4877" max="4877" width="4.7109375" style="3" bestFit="1" customWidth="1"/>
    <col min="4878" max="5117" width="9.140625" style="3"/>
    <col min="5118" max="5118" width="12.7109375" style="3" bestFit="1" customWidth="1"/>
    <col min="5119" max="5119" width="28.42578125" style="3" bestFit="1" customWidth="1"/>
    <col min="5120" max="5120" width="27.42578125" style="3" bestFit="1" customWidth="1"/>
    <col min="5121" max="5121" width="11.42578125" style="3" customWidth="1"/>
    <col min="5122" max="5122" width="9.7109375" style="3" bestFit="1" customWidth="1"/>
    <col min="5123" max="5123" width="31.28515625" style="3" bestFit="1" customWidth="1"/>
    <col min="5124" max="5124" width="75.28515625" style="3" bestFit="1" customWidth="1"/>
    <col min="5125" max="5125" width="18.28515625" style="3" bestFit="1" customWidth="1"/>
    <col min="5126" max="5126" width="17.5703125" style="3" bestFit="1" customWidth="1"/>
    <col min="5127" max="5127" width="12.5703125" style="3" customWidth="1"/>
    <col min="5128" max="5128" width="14.28515625" style="3" bestFit="1" customWidth="1"/>
    <col min="5129" max="5129" width="26.42578125" style="3" bestFit="1" customWidth="1"/>
    <col min="5130" max="5130" width="24.28515625" style="3" bestFit="1" customWidth="1"/>
    <col min="5131" max="5131" width="18.85546875" style="3" bestFit="1" customWidth="1"/>
    <col min="5132" max="5132" width="14.28515625" style="3" bestFit="1" customWidth="1"/>
    <col min="5133" max="5133" width="4.7109375" style="3" bestFit="1" customWidth="1"/>
    <col min="5134" max="5373" width="9.140625" style="3"/>
    <col min="5374" max="5374" width="12.7109375" style="3" bestFit="1" customWidth="1"/>
    <col min="5375" max="5375" width="28.42578125" style="3" bestFit="1" customWidth="1"/>
    <col min="5376" max="5376" width="27.42578125" style="3" bestFit="1" customWidth="1"/>
    <col min="5377" max="5377" width="11.42578125" style="3" customWidth="1"/>
    <col min="5378" max="5378" width="9.7109375" style="3" bestFit="1" customWidth="1"/>
    <col min="5379" max="5379" width="31.28515625" style="3" bestFit="1" customWidth="1"/>
    <col min="5380" max="5380" width="75.28515625" style="3" bestFit="1" customWidth="1"/>
    <col min="5381" max="5381" width="18.28515625" style="3" bestFit="1" customWidth="1"/>
    <col min="5382" max="5382" width="17.5703125" style="3" bestFit="1" customWidth="1"/>
    <col min="5383" max="5383" width="12.5703125" style="3" customWidth="1"/>
    <col min="5384" max="5384" width="14.28515625" style="3" bestFit="1" customWidth="1"/>
    <col min="5385" max="5385" width="26.42578125" style="3" bestFit="1" customWidth="1"/>
    <col min="5386" max="5386" width="24.28515625" style="3" bestFit="1" customWidth="1"/>
    <col min="5387" max="5387" width="18.85546875" style="3" bestFit="1" customWidth="1"/>
    <col min="5388" max="5388" width="14.28515625" style="3" bestFit="1" customWidth="1"/>
    <col min="5389" max="5389" width="4.7109375" style="3" bestFit="1" customWidth="1"/>
    <col min="5390" max="5629" width="9.140625" style="3"/>
    <col min="5630" max="5630" width="12.7109375" style="3" bestFit="1" customWidth="1"/>
    <col min="5631" max="5631" width="28.42578125" style="3" bestFit="1" customWidth="1"/>
    <col min="5632" max="5632" width="27.42578125" style="3" bestFit="1" customWidth="1"/>
    <col min="5633" max="5633" width="11.42578125" style="3" customWidth="1"/>
    <col min="5634" max="5634" width="9.7109375" style="3" bestFit="1" customWidth="1"/>
    <col min="5635" max="5635" width="31.28515625" style="3" bestFit="1" customWidth="1"/>
    <col min="5636" max="5636" width="75.28515625" style="3" bestFit="1" customWidth="1"/>
    <col min="5637" max="5637" width="18.28515625" style="3" bestFit="1" customWidth="1"/>
    <col min="5638" max="5638" width="17.5703125" style="3" bestFit="1" customWidth="1"/>
    <col min="5639" max="5639" width="12.5703125" style="3" customWidth="1"/>
    <col min="5640" max="5640" width="14.28515625" style="3" bestFit="1" customWidth="1"/>
    <col min="5641" max="5641" width="26.42578125" style="3" bestFit="1" customWidth="1"/>
    <col min="5642" max="5642" width="24.28515625" style="3" bestFit="1" customWidth="1"/>
    <col min="5643" max="5643" width="18.85546875" style="3" bestFit="1" customWidth="1"/>
    <col min="5644" max="5644" width="14.28515625" style="3" bestFit="1" customWidth="1"/>
    <col min="5645" max="5645" width="4.7109375" style="3" bestFit="1" customWidth="1"/>
    <col min="5646" max="5885" width="9.140625" style="3"/>
    <col min="5886" max="5886" width="12.7109375" style="3" bestFit="1" customWidth="1"/>
    <col min="5887" max="5887" width="28.42578125" style="3" bestFit="1" customWidth="1"/>
    <col min="5888" max="5888" width="27.42578125" style="3" bestFit="1" customWidth="1"/>
    <col min="5889" max="5889" width="11.42578125" style="3" customWidth="1"/>
    <col min="5890" max="5890" width="9.7109375" style="3" bestFit="1" customWidth="1"/>
    <col min="5891" max="5891" width="31.28515625" style="3" bestFit="1" customWidth="1"/>
    <col min="5892" max="5892" width="75.28515625" style="3" bestFit="1" customWidth="1"/>
    <col min="5893" max="5893" width="18.28515625" style="3" bestFit="1" customWidth="1"/>
    <col min="5894" max="5894" width="17.5703125" style="3" bestFit="1" customWidth="1"/>
    <col min="5895" max="5895" width="12.5703125" style="3" customWidth="1"/>
    <col min="5896" max="5896" width="14.28515625" style="3" bestFit="1" customWidth="1"/>
    <col min="5897" max="5897" width="26.42578125" style="3" bestFit="1" customWidth="1"/>
    <col min="5898" max="5898" width="24.28515625" style="3" bestFit="1" customWidth="1"/>
    <col min="5899" max="5899" width="18.85546875" style="3" bestFit="1" customWidth="1"/>
    <col min="5900" max="5900" width="14.28515625" style="3" bestFit="1" customWidth="1"/>
    <col min="5901" max="5901" width="4.7109375" style="3" bestFit="1" customWidth="1"/>
    <col min="5902" max="6141" width="9.140625" style="3"/>
    <col min="6142" max="6142" width="12.7109375" style="3" bestFit="1" customWidth="1"/>
    <col min="6143" max="6143" width="28.42578125" style="3" bestFit="1" customWidth="1"/>
    <col min="6144" max="6144" width="27.42578125" style="3" bestFit="1" customWidth="1"/>
    <col min="6145" max="6145" width="11.42578125" style="3" customWidth="1"/>
    <col min="6146" max="6146" width="9.7109375" style="3" bestFit="1" customWidth="1"/>
    <col min="6147" max="6147" width="31.28515625" style="3" bestFit="1" customWidth="1"/>
    <col min="6148" max="6148" width="75.28515625" style="3" bestFit="1" customWidth="1"/>
    <col min="6149" max="6149" width="18.28515625" style="3" bestFit="1" customWidth="1"/>
    <col min="6150" max="6150" width="17.5703125" style="3" bestFit="1" customWidth="1"/>
    <col min="6151" max="6151" width="12.5703125" style="3" customWidth="1"/>
    <col min="6152" max="6152" width="14.28515625" style="3" bestFit="1" customWidth="1"/>
    <col min="6153" max="6153" width="26.42578125" style="3" bestFit="1" customWidth="1"/>
    <col min="6154" max="6154" width="24.28515625" style="3" bestFit="1" customWidth="1"/>
    <col min="6155" max="6155" width="18.85546875" style="3" bestFit="1" customWidth="1"/>
    <col min="6156" max="6156" width="14.28515625" style="3" bestFit="1" customWidth="1"/>
    <col min="6157" max="6157" width="4.7109375" style="3" bestFit="1" customWidth="1"/>
    <col min="6158" max="6397" width="9.140625" style="3"/>
    <col min="6398" max="6398" width="12.7109375" style="3" bestFit="1" customWidth="1"/>
    <col min="6399" max="6399" width="28.42578125" style="3" bestFit="1" customWidth="1"/>
    <col min="6400" max="6400" width="27.42578125" style="3" bestFit="1" customWidth="1"/>
    <col min="6401" max="6401" width="11.42578125" style="3" customWidth="1"/>
    <col min="6402" max="6402" width="9.7109375" style="3" bestFit="1" customWidth="1"/>
    <col min="6403" max="6403" width="31.28515625" style="3" bestFit="1" customWidth="1"/>
    <col min="6404" max="6404" width="75.28515625" style="3" bestFit="1" customWidth="1"/>
    <col min="6405" max="6405" width="18.28515625" style="3" bestFit="1" customWidth="1"/>
    <col min="6406" max="6406" width="17.5703125" style="3" bestFit="1" customWidth="1"/>
    <col min="6407" max="6407" width="12.5703125" style="3" customWidth="1"/>
    <col min="6408" max="6408" width="14.28515625" style="3" bestFit="1" customWidth="1"/>
    <col min="6409" max="6409" width="26.42578125" style="3" bestFit="1" customWidth="1"/>
    <col min="6410" max="6410" width="24.28515625" style="3" bestFit="1" customWidth="1"/>
    <col min="6411" max="6411" width="18.85546875" style="3" bestFit="1" customWidth="1"/>
    <col min="6412" max="6412" width="14.28515625" style="3" bestFit="1" customWidth="1"/>
    <col min="6413" max="6413" width="4.7109375" style="3" bestFit="1" customWidth="1"/>
    <col min="6414" max="6653" width="9.140625" style="3"/>
    <col min="6654" max="6654" width="12.7109375" style="3" bestFit="1" customWidth="1"/>
    <col min="6655" max="6655" width="28.42578125" style="3" bestFit="1" customWidth="1"/>
    <col min="6656" max="6656" width="27.42578125" style="3" bestFit="1" customWidth="1"/>
    <col min="6657" max="6657" width="11.42578125" style="3" customWidth="1"/>
    <col min="6658" max="6658" width="9.7109375" style="3" bestFit="1" customWidth="1"/>
    <col min="6659" max="6659" width="31.28515625" style="3" bestFit="1" customWidth="1"/>
    <col min="6660" max="6660" width="75.28515625" style="3" bestFit="1" customWidth="1"/>
    <col min="6661" max="6661" width="18.28515625" style="3" bestFit="1" customWidth="1"/>
    <col min="6662" max="6662" width="17.5703125" style="3" bestFit="1" customWidth="1"/>
    <col min="6663" max="6663" width="12.5703125" style="3" customWidth="1"/>
    <col min="6664" max="6664" width="14.28515625" style="3" bestFit="1" customWidth="1"/>
    <col min="6665" max="6665" width="26.42578125" style="3" bestFit="1" customWidth="1"/>
    <col min="6666" max="6666" width="24.28515625" style="3" bestFit="1" customWidth="1"/>
    <col min="6667" max="6667" width="18.85546875" style="3" bestFit="1" customWidth="1"/>
    <col min="6668" max="6668" width="14.28515625" style="3" bestFit="1" customWidth="1"/>
    <col min="6669" max="6669" width="4.7109375" style="3" bestFit="1" customWidth="1"/>
    <col min="6670" max="6909" width="9.140625" style="3"/>
    <col min="6910" max="6910" width="12.7109375" style="3" bestFit="1" customWidth="1"/>
    <col min="6911" max="6911" width="28.42578125" style="3" bestFit="1" customWidth="1"/>
    <col min="6912" max="6912" width="27.42578125" style="3" bestFit="1" customWidth="1"/>
    <col min="6913" max="6913" width="11.42578125" style="3" customWidth="1"/>
    <col min="6914" max="6914" width="9.7109375" style="3" bestFit="1" customWidth="1"/>
    <col min="6915" max="6915" width="31.28515625" style="3" bestFit="1" customWidth="1"/>
    <col min="6916" max="6916" width="75.28515625" style="3" bestFit="1" customWidth="1"/>
    <col min="6917" max="6917" width="18.28515625" style="3" bestFit="1" customWidth="1"/>
    <col min="6918" max="6918" width="17.5703125" style="3" bestFit="1" customWidth="1"/>
    <col min="6919" max="6919" width="12.5703125" style="3" customWidth="1"/>
    <col min="6920" max="6920" width="14.28515625" style="3" bestFit="1" customWidth="1"/>
    <col min="6921" max="6921" width="26.42578125" style="3" bestFit="1" customWidth="1"/>
    <col min="6922" max="6922" width="24.28515625" style="3" bestFit="1" customWidth="1"/>
    <col min="6923" max="6923" width="18.85546875" style="3" bestFit="1" customWidth="1"/>
    <col min="6924" max="6924" width="14.28515625" style="3" bestFit="1" customWidth="1"/>
    <col min="6925" max="6925" width="4.7109375" style="3" bestFit="1" customWidth="1"/>
    <col min="6926" max="7165" width="9.140625" style="3"/>
    <col min="7166" max="7166" width="12.7109375" style="3" bestFit="1" customWidth="1"/>
    <col min="7167" max="7167" width="28.42578125" style="3" bestFit="1" customWidth="1"/>
    <col min="7168" max="7168" width="27.42578125" style="3" bestFit="1" customWidth="1"/>
    <col min="7169" max="7169" width="11.42578125" style="3" customWidth="1"/>
    <col min="7170" max="7170" width="9.7109375" style="3" bestFit="1" customWidth="1"/>
    <col min="7171" max="7171" width="31.28515625" style="3" bestFit="1" customWidth="1"/>
    <col min="7172" max="7172" width="75.28515625" style="3" bestFit="1" customWidth="1"/>
    <col min="7173" max="7173" width="18.28515625" style="3" bestFit="1" customWidth="1"/>
    <col min="7174" max="7174" width="17.5703125" style="3" bestFit="1" customWidth="1"/>
    <col min="7175" max="7175" width="12.5703125" style="3" customWidth="1"/>
    <col min="7176" max="7176" width="14.28515625" style="3" bestFit="1" customWidth="1"/>
    <col min="7177" max="7177" width="26.42578125" style="3" bestFit="1" customWidth="1"/>
    <col min="7178" max="7178" width="24.28515625" style="3" bestFit="1" customWidth="1"/>
    <col min="7179" max="7179" width="18.85546875" style="3" bestFit="1" customWidth="1"/>
    <col min="7180" max="7180" width="14.28515625" style="3" bestFit="1" customWidth="1"/>
    <col min="7181" max="7181" width="4.7109375" style="3" bestFit="1" customWidth="1"/>
    <col min="7182" max="7421" width="9.140625" style="3"/>
    <col min="7422" max="7422" width="12.7109375" style="3" bestFit="1" customWidth="1"/>
    <col min="7423" max="7423" width="28.42578125" style="3" bestFit="1" customWidth="1"/>
    <col min="7424" max="7424" width="27.42578125" style="3" bestFit="1" customWidth="1"/>
    <col min="7425" max="7425" width="11.42578125" style="3" customWidth="1"/>
    <col min="7426" max="7426" width="9.7109375" style="3" bestFit="1" customWidth="1"/>
    <col min="7427" max="7427" width="31.28515625" style="3" bestFit="1" customWidth="1"/>
    <col min="7428" max="7428" width="75.28515625" style="3" bestFit="1" customWidth="1"/>
    <col min="7429" max="7429" width="18.28515625" style="3" bestFit="1" customWidth="1"/>
    <col min="7430" max="7430" width="17.5703125" style="3" bestFit="1" customWidth="1"/>
    <col min="7431" max="7431" width="12.5703125" style="3" customWidth="1"/>
    <col min="7432" max="7432" width="14.28515625" style="3" bestFit="1" customWidth="1"/>
    <col min="7433" max="7433" width="26.42578125" style="3" bestFit="1" customWidth="1"/>
    <col min="7434" max="7434" width="24.28515625" style="3" bestFit="1" customWidth="1"/>
    <col min="7435" max="7435" width="18.85546875" style="3" bestFit="1" customWidth="1"/>
    <col min="7436" max="7436" width="14.28515625" style="3" bestFit="1" customWidth="1"/>
    <col min="7437" max="7437" width="4.7109375" style="3" bestFit="1" customWidth="1"/>
    <col min="7438" max="7677" width="9.140625" style="3"/>
    <col min="7678" max="7678" width="12.7109375" style="3" bestFit="1" customWidth="1"/>
    <col min="7679" max="7679" width="28.42578125" style="3" bestFit="1" customWidth="1"/>
    <col min="7680" max="7680" width="27.42578125" style="3" bestFit="1" customWidth="1"/>
    <col min="7681" max="7681" width="11.42578125" style="3" customWidth="1"/>
    <col min="7682" max="7682" width="9.7109375" style="3" bestFit="1" customWidth="1"/>
    <col min="7683" max="7683" width="31.28515625" style="3" bestFit="1" customWidth="1"/>
    <col min="7684" max="7684" width="75.28515625" style="3" bestFit="1" customWidth="1"/>
    <col min="7685" max="7685" width="18.28515625" style="3" bestFit="1" customWidth="1"/>
    <col min="7686" max="7686" width="17.5703125" style="3" bestFit="1" customWidth="1"/>
    <col min="7687" max="7687" width="12.5703125" style="3" customWidth="1"/>
    <col min="7688" max="7688" width="14.28515625" style="3" bestFit="1" customWidth="1"/>
    <col min="7689" max="7689" width="26.42578125" style="3" bestFit="1" customWidth="1"/>
    <col min="7690" max="7690" width="24.28515625" style="3" bestFit="1" customWidth="1"/>
    <col min="7691" max="7691" width="18.85546875" style="3" bestFit="1" customWidth="1"/>
    <col min="7692" max="7692" width="14.28515625" style="3" bestFit="1" customWidth="1"/>
    <col min="7693" max="7693" width="4.7109375" style="3" bestFit="1" customWidth="1"/>
    <col min="7694" max="7933" width="9.140625" style="3"/>
    <col min="7934" max="7934" width="12.7109375" style="3" bestFit="1" customWidth="1"/>
    <col min="7935" max="7935" width="28.42578125" style="3" bestFit="1" customWidth="1"/>
    <col min="7936" max="7936" width="27.42578125" style="3" bestFit="1" customWidth="1"/>
    <col min="7937" max="7937" width="11.42578125" style="3" customWidth="1"/>
    <col min="7938" max="7938" width="9.7109375" style="3" bestFit="1" customWidth="1"/>
    <col min="7939" max="7939" width="31.28515625" style="3" bestFit="1" customWidth="1"/>
    <col min="7940" max="7940" width="75.28515625" style="3" bestFit="1" customWidth="1"/>
    <col min="7941" max="7941" width="18.28515625" style="3" bestFit="1" customWidth="1"/>
    <col min="7942" max="7942" width="17.5703125" style="3" bestFit="1" customWidth="1"/>
    <col min="7943" max="7943" width="12.5703125" style="3" customWidth="1"/>
    <col min="7944" max="7944" width="14.28515625" style="3" bestFit="1" customWidth="1"/>
    <col min="7945" max="7945" width="26.42578125" style="3" bestFit="1" customWidth="1"/>
    <col min="7946" max="7946" width="24.28515625" style="3" bestFit="1" customWidth="1"/>
    <col min="7947" max="7947" width="18.85546875" style="3" bestFit="1" customWidth="1"/>
    <col min="7948" max="7948" width="14.28515625" style="3" bestFit="1" customWidth="1"/>
    <col min="7949" max="7949" width="4.7109375" style="3" bestFit="1" customWidth="1"/>
    <col min="7950" max="8189" width="9.140625" style="3"/>
    <col min="8190" max="8190" width="12.7109375" style="3" bestFit="1" customWidth="1"/>
    <col min="8191" max="8191" width="28.42578125" style="3" bestFit="1" customWidth="1"/>
    <col min="8192" max="8192" width="27.42578125" style="3" bestFit="1" customWidth="1"/>
    <col min="8193" max="8193" width="11.42578125" style="3" customWidth="1"/>
    <col min="8194" max="8194" width="9.7109375" style="3" bestFit="1" customWidth="1"/>
    <col min="8195" max="8195" width="31.28515625" style="3" bestFit="1" customWidth="1"/>
    <col min="8196" max="8196" width="75.28515625" style="3" bestFit="1" customWidth="1"/>
    <col min="8197" max="8197" width="18.28515625" style="3" bestFit="1" customWidth="1"/>
    <col min="8198" max="8198" width="17.5703125" style="3" bestFit="1" customWidth="1"/>
    <col min="8199" max="8199" width="12.5703125" style="3" customWidth="1"/>
    <col min="8200" max="8200" width="14.28515625" style="3" bestFit="1" customWidth="1"/>
    <col min="8201" max="8201" width="26.42578125" style="3" bestFit="1" customWidth="1"/>
    <col min="8202" max="8202" width="24.28515625" style="3" bestFit="1" customWidth="1"/>
    <col min="8203" max="8203" width="18.85546875" style="3" bestFit="1" customWidth="1"/>
    <col min="8204" max="8204" width="14.28515625" style="3" bestFit="1" customWidth="1"/>
    <col min="8205" max="8205" width="4.7109375" style="3" bestFit="1" customWidth="1"/>
    <col min="8206" max="8445" width="9.140625" style="3"/>
    <col min="8446" max="8446" width="12.7109375" style="3" bestFit="1" customWidth="1"/>
    <col min="8447" max="8447" width="28.42578125" style="3" bestFit="1" customWidth="1"/>
    <col min="8448" max="8448" width="27.42578125" style="3" bestFit="1" customWidth="1"/>
    <col min="8449" max="8449" width="11.42578125" style="3" customWidth="1"/>
    <col min="8450" max="8450" width="9.7109375" style="3" bestFit="1" customWidth="1"/>
    <col min="8451" max="8451" width="31.28515625" style="3" bestFit="1" customWidth="1"/>
    <col min="8452" max="8452" width="75.28515625" style="3" bestFit="1" customWidth="1"/>
    <col min="8453" max="8453" width="18.28515625" style="3" bestFit="1" customWidth="1"/>
    <col min="8454" max="8454" width="17.5703125" style="3" bestFit="1" customWidth="1"/>
    <col min="8455" max="8455" width="12.5703125" style="3" customWidth="1"/>
    <col min="8456" max="8456" width="14.28515625" style="3" bestFit="1" customWidth="1"/>
    <col min="8457" max="8457" width="26.42578125" style="3" bestFit="1" customWidth="1"/>
    <col min="8458" max="8458" width="24.28515625" style="3" bestFit="1" customWidth="1"/>
    <col min="8459" max="8459" width="18.85546875" style="3" bestFit="1" customWidth="1"/>
    <col min="8460" max="8460" width="14.28515625" style="3" bestFit="1" customWidth="1"/>
    <col min="8461" max="8461" width="4.7109375" style="3" bestFit="1" customWidth="1"/>
    <col min="8462" max="8701" width="9.140625" style="3"/>
    <col min="8702" max="8702" width="12.7109375" style="3" bestFit="1" customWidth="1"/>
    <col min="8703" max="8703" width="28.42578125" style="3" bestFit="1" customWidth="1"/>
    <col min="8704" max="8704" width="27.42578125" style="3" bestFit="1" customWidth="1"/>
    <col min="8705" max="8705" width="11.42578125" style="3" customWidth="1"/>
    <col min="8706" max="8706" width="9.7109375" style="3" bestFit="1" customWidth="1"/>
    <col min="8707" max="8707" width="31.28515625" style="3" bestFit="1" customWidth="1"/>
    <col min="8708" max="8708" width="75.28515625" style="3" bestFit="1" customWidth="1"/>
    <col min="8709" max="8709" width="18.28515625" style="3" bestFit="1" customWidth="1"/>
    <col min="8710" max="8710" width="17.5703125" style="3" bestFit="1" customWidth="1"/>
    <col min="8711" max="8711" width="12.5703125" style="3" customWidth="1"/>
    <col min="8712" max="8712" width="14.28515625" style="3" bestFit="1" customWidth="1"/>
    <col min="8713" max="8713" width="26.42578125" style="3" bestFit="1" customWidth="1"/>
    <col min="8714" max="8714" width="24.28515625" style="3" bestFit="1" customWidth="1"/>
    <col min="8715" max="8715" width="18.85546875" style="3" bestFit="1" customWidth="1"/>
    <col min="8716" max="8716" width="14.28515625" style="3" bestFit="1" customWidth="1"/>
    <col min="8717" max="8717" width="4.7109375" style="3" bestFit="1" customWidth="1"/>
    <col min="8718" max="8957" width="9.140625" style="3"/>
    <col min="8958" max="8958" width="12.7109375" style="3" bestFit="1" customWidth="1"/>
    <col min="8959" max="8959" width="28.42578125" style="3" bestFit="1" customWidth="1"/>
    <col min="8960" max="8960" width="27.42578125" style="3" bestFit="1" customWidth="1"/>
    <col min="8961" max="8961" width="11.42578125" style="3" customWidth="1"/>
    <col min="8962" max="8962" width="9.7109375" style="3" bestFit="1" customWidth="1"/>
    <col min="8963" max="8963" width="31.28515625" style="3" bestFit="1" customWidth="1"/>
    <col min="8964" max="8964" width="75.28515625" style="3" bestFit="1" customWidth="1"/>
    <col min="8965" max="8965" width="18.28515625" style="3" bestFit="1" customWidth="1"/>
    <col min="8966" max="8966" width="17.5703125" style="3" bestFit="1" customWidth="1"/>
    <col min="8967" max="8967" width="12.5703125" style="3" customWidth="1"/>
    <col min="8968" max="8968" width="14.28515625" style="3" bestFit="1" customWidth="1"/>
    <col min="8969" max="8969" width="26.42578125" style="3" bestFit="1" customWidth="1"/>
    <col min="8970" max="8970" width="24.28515625" style="3" bestFit="1" customWidth="1"/>
    <col min="8971" max="8971" width="18.85546875" style="3" bestFit="1" customWidth="1"/>
    <col min="8972" max="8972" width="14.28515625" style="3" bestFit="1" customWidth="1"/>
    <col min="8973" max="8973" width="4.7109375" style="3" bestFit="1" customWidth="1"/>
    <col min="8974" max="9213" width="9.140625" style="3"/>
    <col min="9214" max="9214" width="12.7109375" style="3" bestFit="1" customWidth="1"/>
    <col min="9215" max="9215" width="28.42578125" style="3" bestFit="1" customWidth="1"/>
    <col min="9216" max="9216" width="27.42578125" style="3" bestFit="1" customWidth="1"/>
    <col min="9217" max="9217" width="11.42578125" style="3" customWidth="1"/>
    <col min="9218" max="9218" width="9.7109375" style="3" bestFit="1" customWidth="1"/>
    <col min="9219" max="9219" width="31.28515625" style="3" bestFit="1" customWidth="1"/>
    <col min="9220" max="9220" width="75.28515625" style="3" bestFit="1" customWidth="1"/>
    <col min="9221" max="9221" width="18.28515625" style="3" bestFit="1" customWidth="1"/>
    <col min="9222" max="9222" width="17.5703125" style="3" bestFit="1" customWidth="1"/>
    <col min="9223" max="9223" width="12.5703125" style="3" customWidth="1"/>
    <col min="9224" max="9224" width="14.28515625" style="3" bestFit="1" customWidth="1"/>
    <col min="9225" max="9225" width="26.42578125" style="3" bestFit="1" customWidth="1"/>
    <col min="9226" max="9226" width="24.28515625" style="3" bestFit="1" customWidth="1"/>
    <col min="9227" max="9227" width="18.85546875" style="3" bestFit="1" customWidth="1"/>
    <col min="9228" max="9228" width="14.28515625" style="3" bestFit="1" customWidth="1"/>
    <col min="9229" max="9229" width="4.7109375" style="3" bestFit="1" customWidth="1"/>
    <col min="9230" max="9469" width="9.140625" style="3"/>
    <col min="9470" max="9470" width="12.7109375" style="3" bestFit="1" customWidth="1"/>
    <col min="9471" max="9471" width="28.42578125" style="3" bestFit="1" customWidth="1"/>
    <col min="9472" max="9472" width="27.42578125" style="3" bestFit="1" customWidth="1"/>
    <col min="9473" max="9473" width="11.42578125" style="3" customWidth="1"/>
    <col min="9474" max="9474" width="9.7109375" style="3" bestFit="1" customWidth="1"/>
    <col min="9475" max="9475" width="31.28515625" style="3" bestFit="1" customWidth="1"/>
    <col min="9476" max="9476" width="75.28515625" style="3" bestFit="1" customWidth="1"/>
    <col min="9477" max="9477" width="18.28515625" style="3" bestFit="1" customWidth="1"/>
    <col min="9478" max="9478" width="17.5703125" style="3" bestFit="1" customWidth="1"/>
    <col min="9479" max="9479" width="12.5703125" style="3" customWidth="1"/>
    <col min="9480" max="9480" width="14.28515625" style="3" bestFit="1" customWidth="1"/>
    <col min="9481" max="9481" width="26.42578125" style="3" bestFit="1" customWidth="1"/>
    <col min="9482" max="9482" width="24.28515625" style="3" bestFit="1" customWidth="1"/>
    <col min="9483" max="9483" width="18.85546875" style="3" bestFit="1" customWidth="1"/>
    <col min="9484" max="9484" width="14.28515625" style="3" bestFit="1" customWidth="1"/>
    <col min="9485" max="9485" width="4.7109375" style="3" bestFit="1" customWidth="1"/>
    <col min="9486" max="9725" width="9.140625" style="3"/>
    <col min="9726" max="9726" width="12.7109375" style="3" bestFit="1" customWidth="1"/>
    <col min="9727" max="9727" width="28.42578125" style="3" bestFit="1" customWidth="1"/>
    <col min="9728" max="9728" width="27.42578125" style="3" bestFit="1" customWidth="1"/>
    <col min="9729" max="9729" width="11.42578125" style="3" customWidth="1"/>
    <col min="9730" max="9730" width="9.7109375" style="3" bestFit="1" customWidth="1"/>
    <col min="9731" max="9731" width="31.28515625" style="3" bestFit="1" customWidth="1"/>
    <col min="9732" max="9732" width="75.28515625" style="3" bestFit="1" customWidth="1"/>
    <col min="9733" max="9733" width="18.28515625" style="3" bestFit="1" customWidth="1"/>
    <col min="9734" max="9734" width="17.5703125" style="3" bestFit="1" customWidth="1"/>
    <col min="9735" max="9735" width="12.5703125" style="3" customWidth="1"/>
    <col min="9736" max="9736" width="14.28515625" style="3" bestFit="1" customWidth="1"/>
    <col min="9737" max="9737" width="26.42578125" style="3" bestFit="1" customWidth="1"/>
    <col min="9738" max="9738" width="24.28515625" style="3" bestFit="1" customWidth="1"/>
    <col min="9739" max="9739" width="18.85546875" style="3" bestFit="1" customWidth="1"/>
    <col min="9740" max="9740" width="14.28515625" style="3" bestFit="1" customWidth="1"/>
    <col min="9741" max="9741" width="4.7109375" style="3" bestFit="1" customWidth="1"/>
    <col min="9742" max="9981" width="9.140625" style="3"/>
    <col min="9982" max="9982" width="12.7109375" style="3" bestFit="1" customWidth="1"/>
    <col min="9983" max="9983" width="28.42578125" style="3" bestFit="1" customWidth="1"/>
    <col min="9984" max="9984" width="27.42578125" style="3" bestFit="1" customWidth="1"/>
    <col min="9985" max="9985" width="11.42578125" style="3" customWidth="1"/>
    <col min="9986" max="9986" width="9.7109375" style="3" bestFit="1" customWidth="1"/>
    <col min="9987" max="9987" width="31.28515625" style="3" bestFit="1" customWidth="1"/>
    <col min="9988" max="9988" width="75.28515625" style="3" bestFit="1" customWidth="1"/>
    <col min="9989" max="9989" width="18.28515625" style="3" bestFit="1" customWidth="1"/>
    <col min="9990" max="9990" width="17.5703125" style="3" bestFit="1" customWidth="1"/>
    <col min="9991" max="9991" width="12.5703125" style="3" customWidth="1"/>
    <col min="9992" max="9992" width="14.28515625" style="3" bestFit="1" customWidth="1"/>
    <col min="9993" max="9993" width="26.42578125" style="3" bestFit="1" customWidth="1"/>
    <col min="9994" max="9994" width="24.28515625" style="3" bestFit="1" customWidth="1"/>
    <col min="9995" max="9995" width="18.85546875" style="3" bestFit="1" customWidth="1"/>
    <col min="9996" max="9996" width="14.28515625" style="3" bestFit="1" customWidth="1"/>
    <col min="9997" max="9997" width="4.7109375" style="3" bestFit="1" customWidth="1"/>
    <col min="9998" max="10237" width="9.140625" style="3"/>
    <col min="10238" max="10238" width="12.7109375" style="3" bestFit="1" customWidth="1"/>
    <col min="10239" max="10239" width="28.42578125" style="3" bestFit="1" customWidth="1"/>
    <col min="10240" max="10240" width="27.42578125" style="3" bestFit="1" customWidth="1"/>
    <col min="10241" max="10241" width="11.42578125" style="3" customWidth="1"/>
    <col min="10242" max="10242" width="9.7109375" style="3" bestFit="1" customWidth="1"/>
    <col min="10243" max="10243" width="31.28515625" style="3" bestFit="1" customWidth="1"/>
    <col min="10244" max="10244" width="75.28515625" style="3" bestFit="1" customWidth="1"/>
    <col min="10245" max="10245" width="18.28515625" style="3" bestFit="1" customWidth="1"/>
    <col min="10246" max="10246" width="17.5703125" style="3" bestFit="1" customWidth="1"/>
    <col min="10247" max="10247" width="12.5703125" style="3" customWidth="1"/>
    <col min="10248" max="10248" width="14.28515625" style="3" bestFit="1" customWidth="1"/>
    <col min="10249" max="10249" width="26.42578125" style="3" bestFit="1" customWidth="1"/>
    <col min="10250" max="10250" width="24.28515625" style="3" bestFit="1" customWidth="1"/>
    <col min="10251" max="10251" width="18.85546875" style="3" bestFit="1" customWidth="1"/>
    <col min="10252" max="10252" width="14.28515625" style="3" bestFit="1" customWidth="1"/>
    <col min="10253" max="10253" width="4.7109375" style="3" bestFit="1" customWidth="1"/>
    <col min="10254" max="10493" width="9.140625" style="3"/>
    <col min="10494" max="10494" width="12.7109375" style="3" bestFit="1" customWidth="1"/>
    <col min="10495" max="10495" width="28.42578125" style="3" bestFit="1" customWidth="1"/>
    <col min="10496" max="10496" width="27.42578125" style="3" bestFit="1" customWidth="1"/>
    <col min="10497" max="10497" width="11.42578125" style="3" customWidth="1"/>
    <col min="10498" max="10498" width="9.7109375" style="3" bestFit="1" customWidth="1"/>
    <col min="10499" max="10499" width="31.28515625" style="3" bestFit="1" customWidth="1"/>
    <col min="10500" max="10500" width="75.28515625" style="3" bestFit="1" customWidth="1"/>
    <col min="10501" max="10501" width="18.28515625" style="3" bestFit="1" customWidth="1"/>
    <col min="10502" max="10502" width="17.5703125" style="3" bestFit="1" customWidth="1"/>
    <col min="10503" max="10503" width="12.5703125" style="3" customWidth="1"/>
    <col min="10504" max="10504" width="14.28515625" style="3" bestFit="1" customWidth="1"/>
    <col min="10505" max="10505" width="26.42578125" style="3" bestFit="1" customWidth="1"/>
    <col min="10506" max="10506" width="24.28515625" style="3" bestFit="1" customWidth="1"/>
    <col min="10507" max="10507" width="18.85546875" style="3" bestFit="1" customWidth="1"/>
    <col min="10508" max="10508" width="14.28515625" style="3" bestFit="1" customWidth="1"/>
    <col min="10509" max="10509" width="4.7109375" style="3" bestFit="1" customWidth="1"/>
    <col min="10510" max="10749" width="9.140625" style="3"/>
    <col min="10750" max="10750" width="12.7109375" style="3" bestFit="1" customWidth="1"/>
    <col min="10751" max="10751" width="28.42578125" style="3" bestFit="1" customWidth="1"/>
    <col min="10752" max="10752" width="27.42578125" style="3" bestFit="1" customWidth="1"/>
    <col min="10753" max="10753" width="11.42578125" style="3" customWidth="1"/>
    <col min="10754" max="10754" width="9.7109375" style="3" bestFit="1" customWidth="1"/>
    <col min="10755" max="10755" width="31.28515625" style="3" bestFit="1" customWidth="1"/>
    <col min="10756" max="10756" width="75.28515625" style="3" bestFit="1" customWidth="1"/>
    <col min="10757" max="10757" width="18.28515625" style="3" bestFit="1" customWidth="1"/>
    <col min="10758" max="10758" width="17.5703125" style="3" bestFit="1" customWidth="1"/>
    <col min="10759" max="10759" width="12.5703125" style="3" customWidth="1"/>
    <col min="10760" max="10760" width="14.28515625" style="3" bestFit="1" customWidth="1"/>
    <col min="10761" max="10761" width="26.42578125" style="3" bestFit="1" customWidth="1"/>
    <col min="10762" max="10762" width="24.28515625" style="3" bestFit="1" customWidth="1"/>
    <col min="10763" max="10763" width="18.85546875" style="3" bestFit="1" customWidth="1"/>
    <col min="10764" max="10764" width="14.28515625" style="3" bestFit="1" customWidth="1"/>
    <col min="10765" max="10765" width="4.7109375" style="3" bestFit="1" customWidth="1"/>
    <col min="10766" max="11005" width="9.140625" style="3"/>
    <col min="11006" max="11006" width="12.7109375" style="3" bestFit="1" customWidth="1"/>
    <col min="11007" max="11007" width="28.42578125" style="3" bestFit="1" customWidth="1"/>
    <col min="11008" max="11008" width="27.42578125" style="3" bestFit="1" customWidth="1"/>
    <col min="11009" max="11009" width="11.42578125" style="3" customWidth="1"/>
    <col min="11010" max="11010" width="9.7109375" style="3" bestFit="1" customWidth="1"/>
    <col min="11011" max="11011" width="31.28515625" style="3" bestFit="1" customWidth="1"/>
    <col min="11012" max="11012" width="75.28515625" style="3" bestFit="1" customWidth="1"/>
    <col min="11013" max="11013" width="18.28515625" style="3" bestFit="1" customWidth="1"/>
    <col min="11014" max="11014" width="17.5703125" style="3" bestFit="1" customWidth="1"/>
    <col min="11015" max="11015" width="12.5703125" style="3" customWidth="1"/>
    <col min="11016" max="11016" width="14.28515625" style="3" bestFit="1" customWidth="1"/>
    <col min="11017" max="11017" width="26.42578125" style="3" bestFit="1" customWidth="1"/>
    <col min="11018" max="11018" width="24.28515625" style="3" bestFit="1" customWidth="1"/>
    <col min="11019" max="11019" width="18.85546875" style="3" bestFit="1" customWidth="1"/>
    <col min="11020" max="11020" width="14.28515625" style="3" bestFit="1" customWidth="1"/>
    <col min="11021" max="11021" width="4.7109375" style="3" bestFit="1" customWidth="1"/>
    <col min="11022" max="11261" width="9.140625" style="3"/>
    <col min="11262" max="11262" width="12.7109375" style="3" bestFit="1" customWidth="1"/>
    <col min="11263" max="11263" width="28.42578125" style="3" bestFit="1" customWidth="1"/>
    <col min="11264" max="11264" width="27.42578125" style="3" bestFit="1" customWidth="1"/>
    <col min="11265" max="11265" width="11.42578125" style="3" customWidth="1"/>
    <col min="11266" max="11266" width="9.7109375" style="3" bestFit="1" customWidth="1"/>
    <col min="11267" max="11267" width="31.28515625" style="3" bestFit="1" customWidth="1"/>
    <col min="11268" max="11268" width="75.28515625" style="3" bestFit="1" customWidth="1"/>
    <col min="11269" max="11269" width="18.28515625" style="3" bestFit="1" customWidth="1"/>
    <col min="11270" max="11270" width="17.5703125" style="3" bestFit="1" customWidth="1"/>
    <col min="11271" max="11271" width="12.5703125" style="3" customWidth="1"/>
    <col min="11272" max="11272" width="14.28515625" style="3" bestFit="1" customWidth="1"/>
    <col min="11273" max="11273" width="26.42578125" style="3" bestFit="1" customWidth="1"/>
    <col min="11274" max="11274" width="24.28515625" style="3" bestFit="1" customWidth="1"/>
    <col min="11275" max="11275" width="18.85546875" style="3" bestFit="1" customWidth="1"/>
    <col min="11276" max="11276" width="14.28515625" style="3" bestFit="1" customWidth="1"/>
    <col min="11277" max="11277" width="4.7109375" style="3" bestFit="1" customWidth="1"/>
    <col min="11278" max="11517" width="9.140625" style="3"/>
    <col min="11518" max="11518" width="12.7109375" style="3" bestFit="1" customWidth="1"/>
    <col min="11519" max="11519" width="28.42578125" style="3" bestFit="1" customWidth="1"/>
    <col min="11520" max="11520" width="27.42578125" style="3" bestFit="1" customWidth="1"/>
    <col min="11521" max="11521" width="11.42578125" style="3" customWidth="1"/>
    <col min="11522" max="11522" width="9.7109375" style="3" bestFit="1" customWidth="1"/>
    <col min="11523" max="11523" width="31.28515625" style="3" bestFit="1" customWidth="1"/>
    <col min="11524" max="11524" width="75.28515625" style="3" bestFit="1" customWidth="1"/>
    <col min="11525" max="11525" width="18.28515625" style="3" bestFit="1" customWidth="1"/>
    <col min="11526" max="11526" width="17.5703125" style="3" bestFit="1" customWidth="1"/>
    <col min="11527" max="11527" width="12.5703125" style="3" customWidth="1"/>
    <col min="11528" max="11528" width="14.28515625" style="3" bestFit="1" customWidth="1"/>
    <col min="11529" max="11529" width="26.42578125" style="3" bestFit="1" customWidth="1"/>
    <col min="11530" max="11530" width="24.28515625" style="3" bestFit="1" customWidth="1"/>
    <col min="11531" max="11531" width="18.85546875" style="3" bestFit="1" customWidth="1"/>
    <col min="11532" max="11532" width="14.28515625" style="3" bestFit="1" customWidth="1"/>
    <col min="11533" max="11533" width="4.7109375" style="3" bestFit="1" customWidth="1"/>
    <col min="11534" max="11773" width="9.140625" style="3"/>
    <col min="11774" max="11774" width="12.7109375" style="3" bestFit="1" customWidth="1"/>
    <col min="11775" max="11775" width="28.42578125" style="3" bestFit="1" customWidth="1"/>
    <col min="11776" max="11776" width="27.42578125" style="3" bestFit="1" customWidth="1"/>
    <col min="11777" max="11777" width="11.42578125" style="3" customWidth="1"/>
    <col min="11778" max="11778" width="9.7109375" style="3" bestFit="1" customWidth="1"/>
    <col min="11779" max="11779" width="31.28515625" style="3" bestFit="1" customWidth="1"/>
    <col min="11780" max="11780" width="75.28515625" style="3" bestFit="1" customWidth="1"/>
    <col min="11781" max="11781" width="18.28515625" style="3" bestFit="1" customWidth="1"/>
    <col min="11782" max="11782" width="17.5703125" style="3" bestFit="1" customWidth="1"/>
    <col min="11783" max="11783" width="12.5703125" style="3" customWidth="1"/>
    <col min="11784" max="11784" width="14.28515625" style="3" bestFit="1" customWidth="1"/>
    <col min="11785" max="11785" width="26.42578125" style="3" bestFit="1" customWidth="1"/>
    <col min="11786" max="11786" width="24.28515625" style="3" bestFit="1" customWidth="1"/>
    <col min="11787" max="11787" width="18.85546875" style="3" bestFit="1" customWidth="1"/>
    <col min="11788" max="11788" width="14.28515625" style="3" bestFit="1" customWidth="1"/>
    <col min="11789" max="11789" width="4.7109375" style="3" bestFit="1" customWidth="1"/>
    <col min="11790" max="12029" width="9.140625" style="3"/>
    <col min="12030" max="12030" width="12.7109375" style="3" bestFit="1" customWidth="1"/>
    <col min="12031" max="12031" width="28.42578125" style="3" bestFit="1" customWidth="1"/>
    <col min="12032" max="12032" width="27.42578125" style="3" bestFit="1" customWidth="1"/>
    <col min="12033" max="12033" width="11.42578125" style="3" customWidth="1"/>
    <col min="12034" max="12034" width="9.7109375" style="3" bestFit="1" customWidth="1"/>
    <col min="12035" max="12035" width="31.28515625" style="3" bestFit="1" customWidth="1"/>
    <col min="12036" max="12036" width="75.28515625" style="3" bestFit="1" customWidth="1"/>
    <col min="12037" max="12037" width="18.28515625" style="3" bestFit="1" customWidth="1"/>
    <col min="12038" max="12038" width="17.5703125" style="3" bestFit="1" customWidth="1"/>
    <col min="12039" max="12039" width="12.5703125" style="3" customWidth="1"/>
    <col min="12040" max="12040" width="14.28515625" style="3" bestFit="1" customWidth="1"/>
    <col min="12041" max="12041" width="26.42578125" style="3" bestFit="1" customWidth="1"/>
    <col min="12042" max="12042" width="24.28515625" style="3" bestFit="1" customWidth="1"/>
    <col min="12043" max="12043" width="18.85546875" style="3" bestFit="1" customWidth="1"/>
    <col min="12044" max="12044" width="14.28515625" style="3" bestFit="1" customWidth="1"/>
    <col min="12045" max="12045" width="4.7109375" style="3" bestFit="1" customWidth="1"/>
    <col min="12046" max="12285" width="9.140625" style="3"/>
    <col min="12286" max="12286" width="12.7109375" style="3" bestFit="1" customWidth="1"/>
    <col min="12287" max="12287" width="28.42578125" style="3" bestFit="1" customWidth="1"/>
    <col min="12288" max="12288" width="27.42578125" style="3" bestFit="1" customWidth="1"/>
    <col min="12289" max="12289" width="11.42578125" style="3" customWidth="1"/>
    <col min="12290" max="12290" width="9.7109375" style="3" bestFit="1" customWidth="1"/>
    <col min="12291" max="12291" width="31.28515625" style="3" bestFit="1" customWidth="1"/>
    <col min="12292" max="12292" width="75.28515625" style="3" bestFit="1" customWidth="1"/>
    <col min="12293" max="12293" width="18.28515625" style="3" bestFit="1" customWidth="1"/>
    <col min="12294" max="12294" width="17.5703125" style="3" bestFit="1" customWidth="1"/>
    <col min="12295" max="12295" width="12.5703125" style="3" customWidth="1"/>
    <col min="12296" max="12296" width="14.28515625" style="3" bestFit="1" customWidth="1"/>
    <col min="12297" max="12297" width="26.42578125" style="3" bestFit="1" customWidth="1"/>
    <col min="12298" max="12298" width="24.28515625" style="3" bestFit="1" customWidth="1"/>
    <col min="12299" max="12299" width="18.85546875" style="3" bestFit="1" customWidth="1"/>
    <col min="12300" max="12300" width="14.28515625" style="3" bestFit="1" customWidth="1"/>
    <col min="12301" max="12301" width="4.7109375" style="3" bestFit="1" customWidth="1"/>
    <col min="12302" max="12541" width="9.140625" style="3"/>
    <col min="12542" max="12542" width="12.7109375" style="3" bestFit="1" customWidth="1"/>
    <col min="12543" max="12543" width="28.42578125" style="3" bestFit="1" customWidth="1"/>
    <col min="12544" max="12544" width="27.42578125" style="3" bestFit="1" customWidth="1"/>
    <col min="12545" max="12545" width="11.42578125" style="3" customWidth="1"/>
    <col min="12546" max="12546" width="9.7109375" style="3" bestFit="1" customWidth="1"/>
    <col min="12547" max="12547" width="31.28515625" style="3" bestFit="1" customWidth="1"/>
    <col min="12548" max="12548" width="75.28515625" style="3" bestFit="1" customWidth="1"/>
    <col min="12549" max="12549" width="18.28515625" style="3" bestFit="1" customWidth="1"/>
    <col min="12550" max="12550" width="17.5703125" style="3" bestFit="1" customWidth="1"/>
    <col min="12551" max="12551" width="12.5703125" style="3" customWidth="1"/>
    <col min="12552" max="12552" width="14.28515625" style="3" bestFit="1" customWidth="1"/>
    <col min="12553" max="12553" width="26.42578125" style="3" bestFit="1" customWidth="1"/>
    <col min="12554" max="12554" width="24.28515625" style="3" bestFit="1" customWidth="1"/>
    <col min="12555" max="12555" width="18.85546875" style="3" bestFit="1" customWidth="1"/>
    <col min="12556" max="12556" width="14.28515625" style="3" bestFit="1" customWidth="1"/>
    <col min="12557" max="12557" width="4.7109375" style="3" bestFit="1" customWidth="1"/>
    <col min="12558" max="12797" width="9.140625" style="3"/>
    <col min="12798" max="12798" width="12.7109375" style="3" bestFit="1" customWidth="1"/>
    <col min="12799" max="12799" width="28.42578125" style="3" bestFit="1" customWidth="1"/>
    <col min="12800" max="12800" width="27.42578125" style="3" bestFit="1" customWidth="1"/>
    <col min="12801" max="12801" width="11.42578125" style="3" customWidth="1"/>
    <col min="12802" max="12802" width="9.7109375" style="3" bestFit="1" customWidth="1"/>
    <col min="12803" max="12803" width="31.28515625" style="3" bestFit="1" customWidth="1"/>
    <col min="12804" max="12804" width="75.28515625" style="3" bestFit="1" customWidth="1"/>
    <col min="12805" max="12805" width="18.28515625" style="3" bestFit="1" customWidth="1"/>
    <col min="12806" max="12806" width="17.5703125" style="3" bestFit="1" customWidth="1"/>
    <col min="12807" max="12807" width="12.5703125" style="3" customWidth="1"/>
    <col min="12808" max="12808" width="14.28515625" style="3" bestFit="1" customWidth="1"/>
    <col min="12809" max="12809" width="26.42578125" style="3" bestFit="1" customWidth="1"/>
    <col min="12810" max="12810" width="24.28515625" style="3" bestFit="1" customWidth="1"/>
    <col min="12811" max="12811" width="18.85546875" style="3" bestFit="1" customWidth="1"/>
    <col min="12812" max="12812" width="14.28515625" style="3" bestFit="1" customWidth="1"/>
    <col min="12813" max="12813" width="4.7109375" style="3" bestFit="1" customWidth="1"/>
    <col min="12814" max="13053" width="9.140625" style="3"/>
    <col min="13054" max="13054" width="12.7109375" style="3" bestFit="1" customWidth="1"/>
    <col min="13055" max="13055" width="28.42578125" style="3" bestFit="1" customWidth="1"/>
    <col min="13056" max="13056" width="27.42578125" style="3" bestFit="1" customWidth="1"/>
    <col min="13057" max="13057" width="11.42578125" style="3" customWidth="1"/>
    <col min="13058" max="13058" width="9.7109375" style="3" bestFit="1" customWidth="1"/>
    <col min="13059" max="13059" width="31.28515625" style="3" bestFit="1" customWidth="1"/>
    <col min="13060" max="13060" width="75.28515625" style="3" bestFit="1" customWidth="1"/>
    <col min="13061" max="13061" width="18.28515625" style="3" bestFit="1" customWidth="1"/>
    <col min="13062" max="13062" width="17.5703125" style="3" bestFit="1" customWidth="1"/>
    <col min="13063" max="13063" width="12.5703125" style="3" customWidth="1"/>
    <col min="13064" max="13064" width="14.28515625" style="3" bestFit="1" customWidth="1"/>
    <col min="13065" max="13065" width="26.42578125" style="3" bestFit="1" customWidth="1"/>
    <col min="13066" max="13066" width="24.28515625" style="3" bestFit="1" customWidth="1"/>
    <col min="13067" max="13067" width="18.85546875" style="3" bestFit="1" customWidth="1"/>
    <col min="13068" max="13068" width="14.28515625" style="3" bestFit="1" customWidth="1"/>
    <col min="13069" max="13069" width="4.7109375" style="3" bestFit="1" customWidth="1"/>
    <col min="13070" max="13309" width="9.140625" style="3"/>
    <col min="13310" max="13310" width="12.7109375" style="3" bestFit="1" customWidth="1"/>
    <col min="13311" max="13311" width="28.42578125" style="3" bestFit="1" customWidth="1"/>
    <col min="13312" max="13312" width="27.42578125" style="3" bestFit="1" customWidth="1"/>
    <col min="13313" max="13313" width="11.42578125" style="3" customWidth="1"/>
    <col min="13314" max="13314" width="9.7109375" style="3" bestFit="1" customWidth="1"/>
    <col min="13315" max="13315" width="31.28515625" style="3" bestFit="1" customWidth="1"/>
    <col min="13316" max="13316" width="75.28515625" style="3" bestFit="1" customWidth="1"/>
    <col min="13317" max="13317" width="18.28515625" style="3" bestFit="1" customWidth="1"/>
    <col min="13318" max="13318" width="17.5703125" style="3" bestFit="1" customWidth="1"/>
    <col min="13319" max="13319" width="12.5703125" style="3" customWidth="1"/>
    <col min="13320" max="13320" width="14.28515625" style="3" bestFit="1" customWidth="1"/>
    <col min="13321" max="13321" width="26.42578125" style="3" bestFit="1" customWidth="1"/>
    <col min="13322" max="13322" width="24.28515625" style="3" bestFit="1" customWidth="1"/>
    <col min="13323" max="13323" width="18.85546875" style="3" bestFit="1" customWidth="1"/>
    <col min="13324" max="13324" width="14.28515625" style="3" bestFit="1" customWidth="1"/>
    <col min="13325" max="13325" width="4.7109375" style="3" bestFit="1" customWidth="1"/>
    <col min="13326" max="13565" width="9.140625" style="3"/>
    <col min="13566" max="13566" width="12.7109375" style="3" bestFit="1" customWidth="1"/>
    <col min="13567" max="13567" width="28.42578125" style="3" bestFit="1" customWidth="1"/>
    <col min="13568" max="13568" width="27.42578125" style="3" bestFit="1" customWidth="1"/>
    <col min="13569" max="13569" width="11.42578125" style="3" customWidth="1"/>
    <col min="13570" max="13570" width="9.7109375" style="3" bestFit="1" customWidth="1"/>
    <col min="13571" max="13571" width="31.28515625" style="3" bestFit="1" customWidth="1"/>
    <col min="13572" max="13572" width="75.28515625" style="3" bestFit="1" customWidth="1"/>
    <col min="13573" max="13573" width="18.28515625" style="3" bestFit="1" customWidth="1"/>
    <col min="13574" max="13574" width="17.5703125" style="3" bestFit="1" customWidth="1"/>
    <col min="13575" max="13575" width="12.5703125" style="3" customWidth="1"/>
    <col min="13576" max="13576" width="14.28515625" style="3" bestFit="1" customWidth="1"/>
    <col min="13577" max="13577" width="26.42578125" style="3" bestFit="1" customWidth="1"/>
    <col min="13578" max="13578" width="24.28515625" style="3" bestFit="1" customWidth="1"/>
    <col min="13579" max="13579" width="18.85546875" style="3" bestFit="1" customWidth="1"/>
    <col min="13580" max="13580" width="14.28515625" style="3" bestFit="1" customWidth="1"/>
    <col min="13581" max="13581" width="4.7109375" style="3" bestFit="1" customWidth="1"/>
    <col min="13582" max="13821" width="9.140625" style="3"/>
    <col min="13822" max="13822" width="12.7109375" style="3" bestFit="1" customWidth="1"/>
    <col min="13823" max="13823" width="28.42578125" style="3" bestFit="1" customWidth="1"/>
    <col min="13824" max="13824" width="27.42578125" style="3" bestFit="1" customWidth="1"/>
    <col min="13825" max="13825" width="11.42578125" style="3" customWidth="1"/>
    <col min="13826" max="13826" width="9.7109375" style="3" bestFit="1" customWidth="1"/>
    <col min="13827" max="13827" width="31.28515625" style="3" bestFit="1" customWidth="1"/>
    <col min="13828" max="13828" width="75.28515625" style="3" bestFit="1" customWidth="1"/>
    <col min="13829" max="13829" width="18.28515625" style="3" bestFit="1" customWidth="1"/>
    <col min="13830" max="13830" width="17.5703125" style="3" bestFit="1" customWidth="1"/>
    <col min="13831" max="13831" width="12.5703125" style="3" customWidth="1"/>
    <col min="13832" max="13832" width="14.28515625" style="3" bestFit="1" customWidth="1"/>
    <col min="13833" max="13833" width="26.42578125" style="3" bestFit="1" customWidth="1"/>
    <col min="13834" max="13834" width="24.28515625" style="3" bestFit="1" customWidth="1"/>
    <col min="13835" max="13835" width="18.85546875" style="3" bestFit="1" customWidth="1"/>
    <col min="13836" max="13836" width="14.28515625" style="3" bestFit="1" customWidth="1"/>
    <col min="13837" max="13837" width="4.7109375" style="3" bestFit="1" customWidth="1"/>
    <col min="13838" max="14077" width="9.140625" style="3"/>
    <col min="14078" max="14078" width="12.7109375" style="3" bestFit="1" customWidth="1"/>
    <col min="14079" max="14079" width="28.42578125" style="3" bestFit="1" customWidth="1"/>
    <col min="14080" max="14080" width="27.42578125" style="3" bestFit="1" customWidth="1"/>
    <col min="14081" max="14081" width="11.42578125" style="3" customWidth="1"/>
    <col min="14082" max="14082" width="9.7109375" style="3" bestFit="1" customWidth="1"/>
    <col min="14083" max="14083" width="31.28515625" style="3" bestFit="1" customWidth="1"/>
    <col min="14084" max="14084" width="75.28515625" style="3" bestFit="1" customWidth="1"/>
    <col min="14085" max="14085" width="18.28515625" style="3" bestFit="1" customWidth="1"/>
    <col min="14086" max="14086" width="17.5703125" style="3" bestFit="1" customWidth="1"/>
    <col min="14087" max="14087" width="12.5703125" style="3" customWidth="1"/>
    <col min="14088" max="14088" width="14.28515625" style="3" bestFit="1" customWidth="1"/>
    <col min="14089" max="14089" width="26.42578125" style="3" bestFit="1" customWidth="1"/>
    <col min="14090" max="14090" width="24.28515625" style="3" bestFit="1" customWidth="1"/>
    <col min="14091" max="14091" width="18.85546875" style="3" bestFit="1" customWidth="1"/>
    <col min="14092" max="14092" width="14.28515625" style="3" bestFit="1" customWidth="1"/>
    <col min="14093" max="14093" width="4.7109375" style="3" bestFit="1" customWidth="1"/>
    <col min="14094" max="14333" width="9.140625" style="3"/>
    <col min="14334" max="14334" width="12.7109375" style="3" bestFit="1" customWidth="1"/>
    <col min="14335" max="14335" width="28.42578125" style="3" bestFit="1" customWidth="1"/>
    <col min="14336" max="14336" width="27.42578125" style="3" bestFit="1" customWidth="1"/>
    <col min="14337" max="14337" width="11.42578125" style="3" customWidth="1"/>
    <col min="14338" max="14338" width="9.7109375" style="3" bestFit="1" customWidth="1"/>
    <col min="14339" max="14339" width="31.28515625" style="3" bestFit="1" customWidth="1"/>
    <col min="14340" max="14340" width="75.28515625" style="3" bestFit="1" customWidth="1"/>
    <col min="14341" max="14341" width="18.28515625" style="3" bestFit="1" customWidth="1"/>
    <col min="14342" max="14342" width="17.5703125" style="3" bestFit="1" customWidth="1"/>
    <col min="14343" max="14343" width="12.5703125" style="3" customWidth="1"/>
    <col min="14344" max="14344" width="14.28515625" style="3" bestFit="1" customWidth="1"/>
    <col min="14345" max="14345" width="26.42578125" style="3" bestFit="1" customWidth="1"/>
    <col min="14346" max="14346" width="24.28515625" style="3" bestFit="1" customWidth="1"/>
    <col min="14347" max="14347" width="18.85546875" style="3" bestFit="1" customWidth="1"/>
    <col min="14348" max="14348" width="14.28515625" style="3" bestFit="1" customWidth="1"/>
    <col min="14349" max="14349" width="4.7109375" style="3" bestFit="1" customWidth="1"/>
    <col min="14350" max="14589" width="9.140625" style="3"/>
    <col min="14590" max="14590" width="12.7109375" style="3" bestFit="1" customWidth="1"/>
    <col min="14591" max="14591" width="28.42578125" style="3" bestFit="1" customWidth="1"/>
    <col min="14592" max="14592" width="27.42578125" style="3" bestFit="1" customWidth="1"/>
    <col min="14593" max="14593" width="11.42578125" style="3" customWidth="1"/>
    <col min="14594" max="14594" width="9.7109375" style="3" bestFit="1" customWidth="1"/>
    <col min="14595" max="14595" width="31.28515625" style="3" bestFit="1" customWidth="1"/>
    <col min="14596" max="14596" width="75.28515625" style="3" bestFit="1" customWidth="1"/>
    <col min="14597" max="14597" width="18.28515625" style="3" bestFit="1" customWidth="1"/>
    <col min="14598" max="14598" width="17.5703125" style="3" bestFit="1" customWidth="1"/>
    <col min="14599" max="14599" width="12.5703125" style="3" customWidth="1"/>
    <col min="14600" max="14600" width="14.28515625" style="3" bestFit="1" customWidth="1"/>
    <col min="14601" max="14601" width="26.42578125" style="3" bestFit="1" customWidth="1"/>
    <col min="14602" max="14602" width="24.28515625" style="3" bestFit="1" customWidth="1"/>
    <col min="14603" max="14603" width="18.85546875" style="3" bestFit="1" customWidth="1"/>
    <col min="14604" max="14604" width="14.28515625" style="3" bestFit="1" customWidth="1"/>
    <col min="14605" max="14605" width="4.7109375" style="3" bestFit="1" customWidth="1"/>
    <col min="14606" max="14845" width="9.140625" style="3"/>
    <col min="14846" max="14846" width="12.7109375" style="3" bestFit="1" customWidth="1"/>
    <col min="14847" max="14847" width="28.42578125" style="3" bestFit="1" customWidth="1"/>
    <col min="14848" max="14848" width="27.42578125" style="3" bestFit="1" customWidth="1"/>
    <col min="14849" max="14849" width="11.42578125" style="3" customWidth="1"/>
    <col min="14850" max="14850" width="9.7109375" style="3" bestFit="1" customWidth="1"/>
    <col min="14851" max="14851" width="31.28515625" style="3" bestFit="1" customWidth="1"/>
    <col min="14852" max="14852" width="75.28515625" style="3" bestFit="1" customWidth="1"/>
    <col min="14853" max="14853" width="18.28515625" style="3" bestFit="1" customWidth="1"/>
    <col min="14854" max="14854" width="17.5703125" style="3" bestFit="1" customWidth="1"/>
    <col min="14855" max="14855" width="12.5703125" style="3" customWidth="1"/>
    <col min="14856" max="14856" width="14.28515625" style="3" bestFit="1" customWidth="1"/>
    <col min="14857" max="14857" width="26.42578125" style="3" bestFit="1" customWidth="1"/>
    <col min="14858" max="14858" width="24.28515625" style="3" bestFit="1" customWidth="1"/>
    <col min="14859" max="14859" width="18.85546875" style="3" bestFit="1" customWidth="1"/>
    <col min="14860" max="14860" width="14.28515625" style="3" bestFit="1" customWidth="1"/>
    <col min="14861" max="14861" width="4.7109375" style="3" bestFit="1" customWidth="1"/>
    <col min="14862" max="15101" width="9.140625" style="3"/>
    <col min="15102" max="15102" width="12.7109375" style="3" bestFit="1" customWidth="1"/>
    <col min="15103" max="15103" width="28.42578125" style="3" bestFit="1" customWidth="1"/>
    <col min="15104" max="15104" width="27.42578125" style="3" bestFit="1" customWidth="1"/>
    <col min="15105" max="15105" width="11.42578125" style="3" customWidth="1"/>
    <col min="15106" max="15106" width="9.7109375" style="3" bestFit="1" customWidth="1"/>
    <col min="15107" max="15107" width="31.28515625" style="3" bestFit="1" customWidth="1"/>
    <col min="15108" max="15108" width="75.28515625" style="3" bestFit="1" customWidth="1"/>
    <col min="15109" max="15109" width="18.28515625" style="3" bestFit="1" customWidth="1"/>
    <col min="15110" max="15110" width="17.5703125" style="3" bestFit="1" customWidth="1"/>
    <col min="15111" max="15111" width="12.5703125" style="3" customWidth="1"/>
    <col min="15112" max="15112" width="14.28515625" style="3" bestFit="1" customWidth="1"/>
    <col min="15113" max="15113" width="26.42578125" style="3" bestFit="1" customWidth="1"/>
    <col min="15114" max="15114" width="24.28515625" style="3" bestFit="1" customWidth="1"/>
    <col min="15115" max="15115" width="18.85546875" style="3" bestFit="1" customWidth="1"/>
    <col min="15116" max="15116" width="14.28515625" style="3" bestFit="1" customWidth="1"/>
    <col min="15117" max="15117" width="4.7109375" style="3" bestFit="1" customWidth="1"/>
    <col min="15118" max="15357" width="9.140625" style="3"/>
    <col min="15358" max="15358" width="12.7109375" style="3" bestFit="1" customWidth="1"/>
    <col min="15359" max="15359" width="28.42578125" style="3" bestFit="1" customWidth="1"/>
    <col min="15360" max="15360" width="27.42578125" style="3" bestFit="1" customWidth="1"/>
    <col min="15361" max="15361" width="11.42578125" style="3" customWidth="1"/>
    <col min="15362" max="15362" width="9.7109375" style="3" bestFit="1" customWidth="1"/>
    <col min="15363" max="15363" width="31.28515625" style="3" bestFit="1" customWidth="1"/>
    <col min="15364" max="15364" width="75.28515625" style="3" bestFit="1" customWidth="1"/>
    <col min="15365" max="15365" width="18.28515625" style="3" bestFit="1" customWidth="1"/>
    <col min="15366" max="15366" width="17.5703125" style="3" bestFit="1" customWidth="1"/>
    <col min="15367" max="15367" width="12.5703125" style="3" customWidth="1"/>
    <col min="15368" max="15368" width="14.28515625" style="3" bestFit="1" customWidth="1"/>
    <col min="15369" max="15369" width="26.42578125" style="3" bestFit="1" customWidth="1"/>
    <col min="15370" max="15370" width="24.28515625" style="3" bestFit="1" customWidth="1"/>
    <col min="15371" max="15371" width="18.85546875" style="3" bestFit="1" customWidth="1"/>
    <col min="15372" max="15372" width="14.28515625" style="3" bestFit="1" customWidth="1"/>
    <col min="15373" max="15373" width="4.7109375" style="3" bestFit="1" customWidth="1"/>
    <col min="15374" max="15613" width="9.140625" style="3"/>
    <col min="15614" max="15614" width="12.7109375" style="3" bestFit="1" customWidth="1"/>
    <col min="15615" max="15615" width="28.42578125" style="3" bestFit="1" customWidth="1"/>
    <col min="15616" max="15616" width="27.42578125" style="3" bestFit="1" customWidth="1"/>
    <col min="15617" max="15617" width="11.42578125" style="3" customWidth="1"/>
    <col min="15618" max="15618" width="9.7109375" style="3" bestFit="1" customWidth="1"/>
    <col min="15619" max="15619" width="31.28515625" style="3" bestFit="1" customWidth="1"/>
    <col min="15620" max="15620" width="75.28515625" style="3" bestFit="1" customWidth="1"/>
    <col min="15621" max="15621" width="18.28515625" style="3" bestFit="1" customWidth="1"/>
    <col min="15622" max="15622" width="17.5703125" style="3" bestFit="1" customWidth="1"/>
    <col min="15623" max="15623" width="12.5703125" style="3" customWidth="1"/>
    <col min="15624" max="15624" width="14.28515625" style="3" bestFit="1" customWidth="1"/>
    <col min="15625" max="15625" width="26.42578125" style="3" bestFit="1" customWidth="1"/>
    <col min="15626" max="15626" width="24.28515625" style="3" bestFit="1" customWidth="1"/>
    <col min="15627" max="15627" width="18.85546875" style="3" bestFit="1" customWidth="1"/>
    <col min="15628" max="15628" width="14.28515625" style="3" bestFit="1" customWidth="1"/>
    <col min="15629" max="15629" width="4.7109375" style="3" bestFit="1" customWidth="1"/>
    <col min="15630" max="15869" width="9.140625" style="3"/>
    <col min="15870" max="15870" width="12.7109375" style="3" bestFit="1" customWidth="1"/>
    <col min="15871" max="15871" width="28.42578125" style="3" bestFit="1" customWidth="1"/>
    <col min="15872" max="15872" width="27.42578125" style="3" bestFit="1" customWidth="1"/>
    <col min="15873" max="15873" width="11.42578125" style="3" customWidth="1"/>
    <col min="15874" max="15874" width="9.7109375" style="3" bestFit="1" customWidth="1"/>
    <col min="15875" max="15875" width="31.28515625" style="3" bestFit="1" customWidth="1"/>
    <col min="15876" max="15876" width="75.28515625" style="3" bestFit="1" customWidth="1"/>
    <col min="15877" max="15877" width="18.28515625" style="3" bestFit="1" customWidth="1"/>
    <col min="15878" max="15878" width="17.5703125" style="3" bestFit="1" customWidth="1"/>
    <col min="15879" max="15879" width="12.5703125" style="3" customWidth="1"/>
    <col min="15880" max="15880" width="14.28515625" style="3" bestFit="1" customWidth="1"/>
    <col min="15881" max="15881" width="26.42578125" style="3" bestFit="1" customWidth="1"/>
    <col min="15882" max="15882" width="24.28515625" style="3" bestFit="1" customWidth="1"/>
    <col min="15883" max="15883" width="18.85546875" style="3" bestFit="1" customWidth="1"/>
    <col min="15884" max="15884" width="14.28515625" style="3" bestFit="1" customWidth="1"/>
    <col min="15885" max="15885" width="4.7109375" style="3" bestFit="1" customWidth="1"/>
    <col min="15886" max="16125" width="9.140625" style="3"/>
    <col min="16126" max="16126" width="12.7109375" style="3" bestFit="1" customWidth="1"/>
    <col min="16127" max="16127" width="28.42578125" style="3" bestFit="1" customWidth="1"/>
    <col min="16128" max="16128" width="27.42578125" style="3" bestFit="1" customWidth="1"/>
    <col min="16129" max="16129" width="11.42578125" style="3" customWidth="1"/>
    <col min="16130" max="16130" width="9.7109375" style="3" bestFit="1" customWidth="1"/>
    <col min="16131" max="16131" width="31.28515625" style="3" bestFit="1" customWidth="1"/>
    <col min="16132" max="16132" width="75.28515625" style="3" bestFit="1" customWidth="1"/>
    <col min="16133" max="16133" width="18.28515625" style="3" bestFit="1" customWidth="1"/>
    <col min="16134" max="16134" width="17.5703125" style="3" bestFit="1" customWidth="1"/>
    <col min="16135" max="16135" width="12.5703125" style="3" customWidth="1"/>
    <col min="16136" max="16136" width="14.28515625" style="3" bestFit="1" customWidth="1"/>
    <col min="16137" max="16137" width="26.42578125" style="3" bestFit="1" customWidth="1"/>
    <col min="16138" max="16138" width="24.28515625" style="3" bestFit="1" customWidth="1"/>
    <col min="16139" max="16139" width="18.85546875" style="3" bestFit="1" customWidth="1"/>
    <col min="16140" max="16140" width="14.28515625" style="3" bestFit="1" customWidth="1"/>
    <col min="16141" max="16141" width="4.7109375" style="3" bestFit="1" customWidth="1"/>
    <col min="16142" max="16384" width="9.140625" style="3"/>
  </cols>
  <sheetData>
    <row r="1" spans="1:12" ht="30" x14ac:dyDescent="0.25">
      <c r="A1" s="1" t="s">
        <v>0</v>
      </c>
      <c r="B1" s="1" t="s">
        <v>36</v>
      </c>
      <c r="C1" s="1" t="s">
        <v>248</v>
      </c>
      <c r="D1" s="1" t="s">
        <v>2</v>
      </c>
      <c r="E1" s="1" t="s">
        <v>3</v>
      </c>
      <c r="F1" s="1" t="s">
        <v>47</v>
      </c>
      <c r="G1" s="1" t="s">
        <v>48</v>
      </c>
      <c r="H1" s="1" t="s">
        <v>4</v>
      </c>
      <c r="I1" s="1" t="s">
        <v>37</v>
      </c>
      <c r="J1" s="1" t="s">
        <v>6</v>
      </c>
      <c r="K1" s="1" t="s">
        <v>7</v>
      </c>
      <c r="L1" s="2" t="s">
        <v>8</v>
      </c>
    </row>
    <row r="2" spans="1:12" x14ac:dyDescent="0.25">
      <c r="A2" s="5">
        <v>44235</v>
      </c>
      <c r="B2" s="6" t="s">
        <v>597</v>
      </c>
      <c r="C2" s="6">
        <v>122099</v>
      </c>
      <c r="D2" s="7" t="s">
        <v>592</v>
      </c>
      <c r="E2" s="8" t="s">
        <v>19</v>
      </c>
      <c r="F2" s="10" t="s">
        <v>593</v>
      </c>
      <c r="G2" s="9" t="s">
        <v>15</v>
      </c>
      <c r="H2" s="7" t="s">
        <v>594</v>
      </c>
      <c r="I2" s="10" t="s">
        <v>10</v>
      </c>
      <c r="J2" s="11">
        <v>367968</v>
      </c>
      <c r="K2" s="12">
        <v>63.2</v>
      </c>
      <c r="L2" s="13">
        <f>J2/K2</f>
        <v>5822.2784810126577</v>
      </c>
    </row>
    <row r="3" spans="1:12" x14ac:dyDescent="0.25">
      <c r="A3" s="5">
        <v>44236</v>
      </c>
      <c r="B3" s="6" t="s">
        <v>598</v>
      </c>
      <c r="C3" s="7">
        <v>122099</v>
      </c>
      <c r="D3" s="7" t="s">
        <v>595</v>
      </c>
      <c r="E3" s="8" t="s">
        <v>19</v>
      </c>
      <c r="F3" s="10" t="s">
        <v>593</v>
      </c>
      <c r="G3" s="9" t="s">
        <v>15</v>
      </c>
      <c r="H3" s="7" t="s">
        <v>596</v>
      </c>
      <c r="I3" s="10" t="s">
        <v>10</v>
      </c>
      <c r="J3" s="11">
        <v>325481.56</v>
      </c>
      <c r="K3" s="12">
        <v>63.2</v>
      </c>
      <c r="L3" s="13">
        <f>J3/K3</f>
        <v>5150.0246835443031</v>
      </c>
    </row>
    <row r="4" spans="1:12" x14ac:dyDescent="0.25">
      <c r="A4" s="5">
        <v>44236</v>
      </c>
      <c r="B4" s="6" t="s">
        <v>599</v>
      </c>
      <c r="C4" s="7">
        <v>122099</v>
      </c>
      <c r="D4" s="7" t="s">
        <v>602</v>
      </c>
      <c r="E4" s="8" t="s">
        <v>19</v>
      </c>
      <c r="F4" s="10" t="s">
        <v>593</v>
      </c>
      <c r="G4" s="9" t="s">
        <v>15</v>
      </c>
      <c r="H4" s="7" t="s">
        <v>600</v>
      </c>
      <c r="I4" s="10" t="s">
        <v>10</v>
      </c>
      <c r="J4" s="11">
        <v>30600</v>
      </c>
      <c r="K4" s="12">
        <v>63.2</v>
      </c>
      <c r="L4" s="13">
        <f t="shared" ref="L4:L26" si="0">J4/K4</f>
        <v>484.17721518987338</v>
      </c>
    </row>
    <row r="5" spans="1:12" x14ac:dyDescent="0.25">
      <c r="A5" s="5">
        <v>44236</v>
      </c>
      <c r="B5" s="6" t="s">
        <v>601</v>
      </c>
      <c r="C5" s="7">
        <v>122099</v>
      </c>
      <c r="D5" s="7" t="s">
        <v>605</v>
      </c>
      <c r="E5" s="8" t="s">
        <v>19</v>
      </c>
      <c r="F5" s="10" t="s">
        <v>593</v>
      </c>
      <c r="G5" s="9" t="s">
        <v>15</v>
      </c>
      <c r="H5" s="7" t="s">
        <v>603</v>
      </c>
      <c r="I5" s="10" t="s">
        <v>10</v>
      </c>
      <c r="J5" s="11">
        <v>240000</v>
      </c>
      <c r="K5" s="12">
        <v>63.2</v>
      </c>
      <c r="L5" s="13">
        <f t="shared" si="0"/>
        <v>3797.4683544303793</v>
      </c>
    </row>
    <row r="6" spans="1:12" x14ac:dyDescent="0.25">
      <c r="A6" s="5">
        <v>44236</v>
      </c>
      <c r="B6" s="6" t="s">
        <v>604</v>
      </c>
      <c r="C6" s="7">
        <v>122099</v>
      </c>
      <c r="D6" s="7" t="s">
        <v>606</v>
      </c>
      <c r="E6" s="8" t="s">
        <v>19</v>
      </c>
      <c r="F6" s="59" t="s">
        <v>593</v>
      </c>
      <c r="G6" s="9" t="s">
        <v>15</v>
      </c>
      <c r="H6" s="7" t="s">
        <v>603</v>
      </c>
      <c r="I6" s="10" t="s">
        <v>10</v>
      </c>
      <c r="J6" s="11">
        <v>324000</v>
      </c>
      <c r="K6" s="12">
        <v>63.2</v>
      </c>
      <c r="L6" s="13">
        <f t="shared" si="0"/>
        <v>5126.5822784810125</v>
      </c>
    </row>
    <row r="7" spans="1:12" x14ac:dyDescent="0.25">
      <c r="A7" s="5">
        <v>44236</v>
      </c>
      <c r="B7" s="7" t="s">
        <v>607</v>
      </c>
      <c r="C7" s="7">
        <v>122099</v>
      </c>
      <c r="D7" s="7" t="s">
        <v>608</v>
      </c>
      <c r="E7" s="8" t="s">
        <v>19</v>
      </c>
      <c r="F7" s="10" t="s">
        <v>593</v>
      </c>
      <c r="G7" s="7" t="s">
        <v>15</v>
      </c>
      <c r="H7" s="7" t="s">
        <v>603</v>
      </c>
      <c r="I7" s="10" t="s">
        <v>10</v>
      </c>
      <c r="J7" s="14">
        <v>201600</v>
      </c>
      <c r="K7" s="12">
        <v>63.2</v>
      </c>
      <c r="L7" s="13">
        <f t="shared" si="0"/>
        <v>3189.8734177215188</v>
      </c>
    </row>
    <row r="8" spans="1:12" x14ac:dyDescent="0.25">
      <c r="A8" s="5">
        <v>44259</v>
      </c>
      <c r="B8" s="7" t="s">
        <v>609</v>
      </c>
      <c r="C8" s="7">
        <v>121028</v>
      </c>
      <c r="D8" s="7" t="s">
        <v>610</v>
      </c>
      <c r="E8" s="8" t="s">
        <v>19</v>
      </c>
      <c r="F8" s="10" t="s">
        <v>593</v>
      </c>
      <c r="G8" s="15" t="s">
        <v>611</v>
      </c>
      <c r="H8" s="7" t="s">
        <v>612</v>
      </c>
      <c r="I8" s="10" t="s">
        <v>10</v>
      </c>
      <c r="J8" s="14">
        <v>140946.82</v>
      </c>
      <c r="K8" s="12">
        <v>63.2</v>
      </c>
      <c r="L8" s="13">
        <f t="shared" si="0"/>
        <v>2230.1712025316456</v>
      </c>
    </row>
    <row r="9" spans="1:12" x14ac:dyDescent="0.25">
      <c r="A9" s="5">
        <v>44277</v>
      </c>
      <c r="B9" s="7" t="s">
        <v>613</v>
      </c>
      <c r="C9" s="7">
        <v>122099</v>
      </c>
      <c r="D9" s="7" t="s">
        <v>602</v>
      </c>
      <c r="E9" s="8" t="s">
        <v>19</v>
      </c>
      <c r="F9" s="10" t="s">
        <v>614</v>
      </c>
      <c r="G9" s="9" t="s">
        <v>15</v>
      </c>
      <c r="H9" s="7" t="s">
        <v>615</v>
      </c>
      <c r="I9" s="10" t="s">
        <v>10</v>
      </c>
      <c r="J9" s="14">
        <v>196740.36</v>
      </c>
      <c r="K9" s="12">
        <v>63.2</v>
      </c>
      <c r="L9" s="13">
        <f t="shared" si="0"/>
        <v>3112.9803797468353</v>
      </c>
    </row>
    <row r="10" spans="1:12" x14ac:dyDescent="0.25">
      <c r="A10" s="5">
        <v>44280</v>
      </c>
      <c r="B10" s="7" t="s">
        <v>616</v>
      </c>
      <c r="C10" s="7">
        <v>112101</v>
      </c>
      <c r="D10" s="7" t="s">
        <v>282</v>
      </c>
      <c r="E10" s="8" t="s">
        <v>19</v>
      </c>
      <c r="F10" s="10" t="s">
        <v>617</v>
      </c>
      <c r="G10" s="7" t="s">
        <v>35</v>
      </c>
      <c r="H10" s="7" t="s">
        <v>618</v>
      </c>
      <c r="I10" s="10" t="s">
        <v>10</v>
      </c>
      <c r="J10" s="14">
        <v>45000</v>
      </c>
      <c r="K10" s="12">
        <v>63.2</v>
      </c>
      <c r="L10" s="13">
        <f t="shared" si="0"/>
        <v>712.02531645569616</v>
      </c>
    </row>
    <row r="11" spans="1:12" x14ac:dyDescent="0.25">
      <c r="A11" s="5">
        <v>44291</v>
      </c>
      <c r="B11" s="7" t="s">
        <v>619</v>
      </c>
      <c r="C11" s="7">
        <v>122099</v>
      </c>
      <c r="D11" s="7" t="s">
        <v>620</v>
      </c>
      <c r="E11" s="8" t="s">
        <v>13</v>
      </c>
      <c r="F11" s="10" t="s">
        <v>621</v>
      </c>
      <c r="G11" s="7" t="s">
        <v>622</v>
      </c>
      <c r="H11" s="7" t="s">
        <v>623</v>
      </c>
      <c r="I11" s="10" t="s">
        <v>10</v>
      </c>
      <c r="J11" s="14">
        <v>5775</v>
      </c>
      <c r="K11" s="12">
        <v>63.2</v>
      </c>
      <c r="L11" s="13">
        <f t="shared" si="0"/>
        <v>91.37658227848101</v>
      </c>
    </row>
    <row r="12" spans="1:12" x14ac:dyDescent="0.25">
      <c r="A12" s="5">
        <v>44319</v>
      </c>
      <c r="B12" s="7" t="s">
        <v>624</v>
      </c>
      <c r="C12" s="16">
        <v>112101</v>
      </c>
      <c r="D12" s="16" t="s">
        <v>625</v>
      </c>
      <c r="E12" s="8" t="s">
        <v>13</v>
      </c>
      <c r="F12" s="10" t="s">
        <v>583</v>
      </c>
      <c r="G12" s="17" t="s">
        <v>35</v>
      </c>
      <c r="H12" s="7" t="s">
        <v>626</v>
      </c>
      <c r="I12" s="10" t="s">
        <v>10</v>
      </c>
      <c r="J12" s="18">
        <v>39600</v>
      </c>
      <c r="K12" s="12">
        <v>63.2</v>
      </c>
      <c r="L12" s="13">
        <f t="shared" si="0"/>
        <v>626.58227848101262</v>
      </c>
    </row>
    <row r="13" spans="1:12" x14ac:dyDescent="0.25">
      <c r="A13" s="5">
        <v>44319</v>
      </c>
      <c r="B13" s="6" t="s">
        <v>627</v>
      </c>
      <c r="C13" s="6">
        <v>122002</v>
      </c>
      <c r="D13" s="7" t="s">
        <v>628</v>
      </c>
      <c r="E13" s="8" t="s">
        <v>13</v>
      </c>
      <c r="F13" s="10" t="s">
        <v>583</v>
      </c>
      <c r="G13" s="9" t="s">
        <v>629</v>
      </c>
      <c r="H13" s="7" t="s">
        <v>630</v>
      </c>
      <c r="I13" s="10" t="s">
        <v>10</v>
      </c>
      <c r="J13" s="14">
        <v>385132</v>
      </c>
      <c r="K13" s="12">
        <v>63.2</v>
      </c>
      <c r="L13" s="13">
        <f t="shared" si="0"/>
        <v>6093.8607594936702</v>
      </c>
    </row>
    <row r="14" spans="1:12" x14ac:dyDescent="0.25">
      <c r="A14" s="5">
        <v>44400</v>
      </c>
      <c r="B14" s="6" t="s">
        <v>652</v>
      </c>
      <c r="C14" s="6">
        <v>112101</v>
      </c>
      <c r="D14" s="7" t="s">
        <v>282</v>
      </c>
      <c r="E14" s="8" t="s">
        <v>19</v>
      </c>
      <c r="F14" s="10" t="s">
        <v>653</v>
      </c>
      <c r="G14" s="9" t="s">
        <v>35</v>
      </c>
      <c r="H14" s="7" t="s">
        <v>654</v>
      </c>
      <c r="I14" s="10" t="s">
        <v>10</v>
      </c>
      <c r="J14" s="14">
        <v>77400</v>
      </c>
      <c r="K14" s="12">
        <v>63.2</v>
      </c>
      <c r="L14" s="13">
        <f t="shared" si="0"/>
        <v>1224.6835443037974</v>
      </c>
    </row>
    <row r="15" spans="1:12" x14ac:dyDescent="0.25">
      <c r="A15" s="5">
        <v>44400</v>
      </c>
      <c r="B15" s="6" t="s">
        <v>655</v>
      </c>
      <c r="C15" s="6">
        <v>122099</v>
      </c>
      <c r="D15" s="7" t="s">
        <v>486</v>
      </c>
      <c r="E15" s="8" t="s">
        <v>19</v>
      </c>
      <c r="F15" s="10" t="s">
        <v>653</v>
      </c>
      <c r="G15" s="7" t="s">
        <v>656</v>
      </c>
      <c r="H15" s="7" t="s">
        <v>657</v>
      </c>
      <c r="I15" s="10" t="s">
        <v>10</v>
      </c>
      <c r="J15" s="14">
        <v>4659.2</v>
      </c>
      <c r="K15" s="12">
        <v>63.2</v>
      </c>
      <c r="L15" s="13">
        <f t="shared" si="0"/>
        <v>73.721518987341767</v>
      </c>
    </row>
    <row r="16" spans="1:12" x14ac:dyDescent="0.25">
      <c r="A16" s="5">
        <v>44400</v>
      </c>
      <c r="B16" s="6" t="s">
        <v>658</v>
      </c>
      <c r="C16" s="6">
        <v>122099</v>
      </c>
      <c r="D16" s="7" t="s">
        <v>659</v>
      </c>
      <c r="E16" s="8" t="s">
        <v>19</v>
      </c>
      <c r="F16" s="10" t="s">
        <v>653</v>
      </c>
      <c r="G16" s="9" t="s">
        <v>661</v>
      </c>
      <c r="H16" s="7" t="s">
        <v>662</v>
      </c>
      <c r="I16" s="10" t="s">
        <v>10</v>
      </c>
      <c r="J16" s="14">
        <v>83500</v>
      </c>
      <c r="K16" s="12">
        <v>63.2</v>
      </c>
      <c r="L16" s="13">
        <f t="shared" si="0"/>
        <v>1321.2025316455695</v>
      </c>
    </row>
    <row r="17" spans="1:14" x14ac:dyDescent="0.25">
      <c r="A17" s="5">
        <v>44400</v>
      </c>
      <c r="B17" s="6" t="s">
        <v>663</v>
      </c>
      <c r="C17" s="6">
        <v>121000</v>
      </c>
      <c r="D17" s="7" t="s">
        <v>610</v>
      </c>
      <c r="E17" s="8" t="s">
        <v>19</v>
      </c>
      <c r="F17" s="10" t="s">
        <v>664</v>
      </c>
      <c r="G17" s="9" t="s">
        <v>665</v>
      </c>
      <c r="H17" s="7" t="s">
        <v>666</v>
      </c>
      <c r="I17" s="10" t="s">
        <v>10</v>
      </c>
      <c r="J17" s="14">
        <v>339898.95</v>
      </c>
      <c r="K17" s="12">
        <v>63.2</v>
      </c>
      <c r="L17" s="13">
        <f t="shared" si="0"/>
        <v>5378.147943037975</v>
      </c>
    </row>
    <row r="18" spans="1:14" x14ac:dyDescent="0.25">
      <c r="A18" s="5">
        <v>44512</v>
      </c>
      <c r="B18" s="6" t="s">
        <v>645</v>
      </c>
      <c r="C18" s="6">
        <v>122099</v>
      </c>
      <c r="D18" s="7" t="s">
        <v>646</v>
      </c>
      <c r="E18" s="8" t="s">
        <v>19</v>
      </c>
      <c r="F18" s="10" t="s">
        <v>532</v>
      </c>
      <c r="G18" s="9" t="s">
        <v>647</v>
      </c>
      <c r="H18" s="7" t="s">
        <v>648</v>
      </c>
      <c r="I18" s="10" t="s">
        <v>10</v>
      </c>
      <c r="J18" s="14">
        <v>96408</v>
      </c>
      <c r="K18" s="12">
        <v>63.2</v>
      </c>
      <c r="L18" s="13">
        <f t="shared" si="0"/>
        <v>1525.4430379746834</v>
      </c>
    </row>
    <row r="19" spans="1:14" x14ac:dyDescent="0.25">
      <c r="A19" s="5">
        <v>44560</v>
      </c>
      <c r="B19" s="7" t="s">
        <v>631</v>
      </c>
      <c r="C19" s="7">
        <v>112101</v>
      </c>
      <c r="D19" s="7" t="s">
        <v>632</v>
      </c>
      <c r="E19" s="8" t="s">
        <v>19</v>
      </c>
      <c r="F19" s="10" t="s">
        <v>617</v>
      </c>
      <c r="G19" s="9" t="s">
        <v>35</v>
      </c>
      <c r="H19" s="7" t="s">
        <v>633</v>
      </c>
      <c r="I19" s="10" t="s">
        <v>10</v>
      </c>
      <c r="J19" s="18">
        <v>10800</v>
      </c>
      <c r="K19" s="12">
        <v>63.2</v>
      </c>
      <c r="L19" s="13">
        <f t="shared" si="0"/>
        <v>170.88607594936707</v>
      </c>
    </row>
    <row r="20" spans="1:14" x14ac:dyDescent="0.25">
      <c r="A20" s="5">
        <v>44560</v>
      </c>
      <c r="B20" s="7" t="s">
        <v>634</v>
      </c>
      <c r="C20" s="7">
        <v>112101</v>
      </c>
      <c r="D20" s="7" t="s">
        <v>632</v>
      </c>
      <c r="E20" s="8" t="s">
        <v>19</v>
      </c>
      <c r="F20" s="10" t="s">
        <v>617</v>
      </c>
      <c r="G20" s="9" t="s">
        <v>35</v>
      </c>
      <c r="H20" s="7" t="s">
        <v>635</v>
      </c>
      <c r="I20" s="10" t="s">
        <v>10</v>
      </c>
      <c r="J20" s="14">
        <v>3600</v>
      </c>
      <c r="K20" s="12">
        <v>63.2</v>
      </c>
      <c r="L20" s="13">
        <f t="shared" si="0"/>
        <v>56.962025316455694</v>
      </c>
    </row>
    <row r="21" spans="1:14" x14ac:dyDescent="0.25">
      <c r="A21" s="5">
        <v>44560</v>
      </c>
      <c r="B21" s="6" t="s">
        <v>636</v>
      </c>
      <c r="C21" s="6">
        <v>112101</v>
      </c>
      <c r="D21" s="7" t="s">
        <v>632</v>
      </c>
      <c r="E21" s="8" t="s">
        <v>19</v>
      </c>
      <c r="F21" s="10" t="s">
        <v>617</v>
      </c>
      <c r="G21" s="9" t="s">
        <v>14</v>
      </c>
      <c r="H21" s="7" t="s">
        <v>637</v>
      </c>
      <c r="I21" s="10" t="s">
        <v>10</v>
      </c>
      <c r="J21" s="14">
        <v>37800</v>
      </c>
      <c r="K21" s="12">
        <v>63.2</v>
      </c>
      <c r="L21" s="13">
        <f t="shared" si="0"/>
        <v>598.10126582278474</v>
      </c>
    </row>
    <row r="22" spans="1:14" x14ac:dyDescent="0.25">
      <c r="A22" s="5">
        <v>44560</v>
      </c>
      <c r="B22" s="6" t="s">
        <v>638</v>
      </c>
      <c r="C22" s="6">
        <v>112101</v>
      </c>
      <c r="D22" s="7" t="s">
        <v>632</v>
      </c>
      <c r="E22" s="8" t="s">
        <v>19</v>
      </c>
      <c r="F22" s="10" t="s">
        <v>617</v>
      </c>
      <c r="G22" s="9" t="s">
        <v>14</v>
      </c>
      <c r="H22" s="7" t="s">
        <v>633</v>
      </c>
      <c r="I22" s="10" t="s">
        <v>10</v>
      </c>
      <c r="J22" s="14">
        <v>7800</v>
      </c>
      <c r="K22" s="12">
        <v>63.2</v>
      </c>
      <c r="L22" s="13">
        <f t="shared" si="0"/>
        <v>123.41772151898734</v>
      </c>
    </row>
    <row r="23" spans="1:14" x14ac:dyDescent="0.25">
      <c r="A23" s="5">
        <v>44560</v>
      </c>
      <c r="B23" s="6" t="s">
        <v>639</v>
      </c>
      <c r="C23" s="6">
        <v>121002</v>
      </c>
      <c r="D23" s="7" t="s">
        <v>640</v>
      </c>
      <c r="E23" s="8" t="s">
        <v>19</v>
      </c>
      <c r="F23" s="10" t="s">
        <v>617</v>
      </c>
      <c r="G23" s="9" t="s">
        <v>14</v>
      </c>
      <c r="H23" s="16" t="s">
        <v>641</v>
      </c>
      <c r="I23" s="10" t="s">
        <v>10</v>
      </c>
      <c r="J23" s="14">
        <v>10800</v>
      </c>
      <c r="K23" s="12">
        <v>63.2</v>
      </c>
      <c r="L23" s="13">
        <f t="shared" si="0"/>
        <v>170.88607594936707</v>
      </c>
    </row>
    <row r="24" spans="1:14" x14ac:dyDescent="0.25">
      <c r="A24" s="5">
        <v>44560</v>
      </c>
      <c r="B24" s="6" t="s">
        <v>642</v>
      </c>
      <c r="C24" s="6">
        <v>112101</v>
      </c>
      <c r="D24" s="7" t="s">
        <v>643</v>
      </c>
      <c r="E24" s="8" t="s">
        <v>19</v>
      </c>
      <c r="F24" s="10" t="s">
        <v>617</v>
      </c>
      <c r="G24" s="9" t="s">
        <v>35</v>
      </c>
      <c r="H24" s="16" t="s">
        <v>644</v>
      </c>
      <c r="I24" s="10" t="s">
        <v>10</v>
      </c>
      <c r="J24" s="14">
        <v>10800</v>
      </c>
      <c r="K24" s="12">
        <v>63.2</v>
      </c>
      <c r="L24" s="13">
        <f t="shared" si="0"/>
        <v>170.88607594936707</v>
      </c>
    </row>
    <row r="25" spans="1:14" x14ac:dyDescent="0.25">
      <c r="A25" s="5">
        <v>44560</v>
      </c>
      <c r="B25" s="6" t="s">
        <v>649</v>
      </c>
      <c r="C25" s="6">
        <v>112101</v>
      </c>
      <c r="D25" s="7" t="s">
        <v>650</v>
      </c>
      <c r="E25" s="8" t="s">
        <v>19</v>
      </c>
      <c r="F25" s="10" t="s">
        <v>617</v>
      </c>
      <c r="G25" s="9" t="s">
        <v>35</v>
      </c>
      <c r="H25" s="16" t="s">
        <v>651</v>
      </c>
      <c r="I25" s="10" t="s">
        <v>10</v>
      </c>
      <c r="J25" s="14">
        <v>10800</v>
      </c>
      <c r="K25" s="12">
        <v>63.2</v>
      </c>
      <c r="L25" s="13">
        <f t="shared" si="0"/>
        <v>170.88607594936707</v>
      </c>
    </row>
    <row r="26" spans="1:14" x14ac:dyDescent="0.25">
      <c r="A26" s="5"/>
      <c r="B26" s="6"/>
      <c r="C26" s="6"/>
      <c r="D26" s="7"/>
      <c r="E26" s="8"/>
      <c r="F26" s="10"/>
      <c r="G26" s="9"/>
      <c r="H26" s="16"/>
      <c r="I26" s="10"/>
      <c r="J26" s="14"/>
      <c r="K26" s="12">
        <v>63.2</v>
      </c>
      <c r="L26" s="13">
        <f t="shared" si="0"/>
        <v>0</v>
      </c>
    </row>
    <row r="27" spans="1:14" x14ac:dyDescent="0.25">
      <c r="A27" s="221" t="s">
        <v>529</v>
      </c>
      <c r="B27" s="222"/>
      <c r="C27" s="222"/>
      <c r="D27" s="222"/>
      <c r="E27" s="222"/>
      <c r="F27" s="222"/>
      <c r="G27" s="222"/>
      <c r="H27" s="223"/>
      <c r="I27" s="10"/>
      <c r="J27" s="80">
        <f>SUM(J2:J26)</f>
        <v>2997109.8900000006</v>
      </c>
      <c r="K27" s="80"/>
      <c r="L27" s="80">
        <f>SUM(L2:L26)</f>
        <v>47422.624841772151</v>
      </c>
      <c r="N27" s="3">
        <v>152577.3838607595</v>
      </c>
    </row>
    <row r="28" spans="1:14" x14ac:dyDescent="0.25">
      <c r="J28" s="31"/>
      <c r="K28" s="37"/>
    </row>
    <row r="29" spans="1:14" x14ac:dyDescent="0.25">
      <c r="J29" s="31"/>
      <c r="K29" s="37"/>
    </row>
    <row r="30" spans="1:14" x14ac:dyDescent="0.25">
      <c r="J30" s="4"/>
      <c r="K30" s="37"/>
    </row>
    <row r="31" spans="1:14" x14ac:dyDescent="0.25">
      <c r="J31" s="31"/>
      <c r="K31" s="37"/>
    </row>
    <row r="32" spans="1:14" x14ac:dyDescent="0.25">
      <c r="K32" s="37"/>
    </row>
    <row r="36" spans="10:10" x14ac:dyDescent="0.25">
      <c r="J36" s="31"/>
    </row>
  </sheetData>
  <autoFilter ref="A1:WVU27" xr:uid="{00000000-0009-0000-0000-000002000000}"/>
  <mergeCells count="1">
    <mergeCell ref="A27:H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6"/>
  <sheetViews>
    <sheetView workbookViewId="0">
      <selection activeCell="L39" sqref="L2:L39"/>
    </sheetView>
  </sheetViews>
  <sheetFormatPr defaultRowHeight="15" x14ac:dyDescent="0.25"/>
  <cols>
    <col min="1" max="1" width="12.28515625" bestFit="1" customWidth="1"/>
    <col min="2" max="2" width="23.7109375" customWidth="1"/>
    <col min="4" max="4" width="46" bestFit="1" customWidth="1"/>
    <col min="6" max="6" width="11" customWidth="1"/>
    <col min="7" max="7" width="23.28515625" bestFit="1" customWidth="1"/>
    <col min="8" max="8" width="104.7109375" bestFit="1" customWidth="1"/>
    <col min="9" max="10" width="15.7109375" bestFit="1" customWidth="1"/>
    <col min="11" max="11" width="8.85546875" bestFit="1" customWidth="1"/>
    <col min="12" max="12" width="12.7109375" bestFit="1" customWidth="1"/>
    <col min="13" max="14" width="11.28515625" bestFit="1" customWidth="1"/>
  </cols>
  <sheetData>
    <row r="1" spans="1:14" s="3" customFormat="1" ht="30" x14ac:dyDescent="0.25">
      <c r="A1" s="1" t="s">
        <v>0</v>
      </c>
      <c r="B1" s="1" t="s">
        <v>36</v>
      </c>
      <c r="C1" s="1" t="s">
        <v>248</v>
      </c>
      <c r="D1" s="1" t="s">
        <v>2</v>
      </c>
      <c r="E1" s="1" t="s">
        <v>3</v>
      </c>
      <c r="F1" s="1" t="s">
        <v>47</v>
      </c>
      <c r="G1" s="1" t="s">
        <v>48</v>
      </c>
      <c r="H1" s="1" t="s">
        <v>4</v>
      </c>
      <c r="I1" s="1" t="s">
        <v>37</v>
      </c>
      <c r="J1" s="1" t="s">
        <v>6</v>
      </c>
      <c r="K1" s="1" t="s">
        <v>7</v>
      </c>
      <c r="L1" s="2" t="s">
        <v>8</v>
      </c>
    </row>
    <row r="2" spans="1:14" s="3" customFormat="1" ht="14.25" x14ac:dyDescent="0.25">
      <c r="A2" s="5">
        <v>44623</v>
      </c>
      <c r="B2" s="6" t="s">
        <v>530</v>
      </c>
      <c r="C2" s="6">
        <v>121099</v>
      </c>
      <c r="D2" s="7" t="s">
        <v>531</v>
      </c>
      <c r="E2" s="8" t="s">
        <v>19</v>
      </c>
      <c r="F2" s="10" t="s">
        <v>532</v>
      </c>
      <c r="G2" s="9" t="s">
        <v>533</v>
      </c>
      <c r="H2" s="7" t="s">
        <v>534</v>
      </c>
      <c r="I2" s="10" t="s">
        <v>10</v>
      </c>
      <c r="J2" s="11">
        <v>239800</v>
      </c>
      <c r="K2" s="12">
        <v>63.2</v>
      </c>
      <c r="L2" s="13">
        <f>J2/K2</f>
        <v>3794.3037974683543</v>
      </c>
    </row>
    <row r="3" spans="1:14" s="3" customFormat="1" ht="14.25" x14ac:dyDescent="0.25">
      <c r="A3" s="5">
        <v>44623</v>
      </c>
      <c r="B3" s="6" t="s">
        <v>535</v>
      </c>
      <c r="C3" s="7">
        <v>121099</v>
      </c>
      <c r="D3" s="7" t="s">
        <v>536</v>
      </c>
      <c r="E3" s="8" t="s">
        <v>19</v>
      </c>
      <c r="F3" s="10" t="s">
        <v>532</v>
      </c>
      <c r="G3" s="9" t="s">
        <v>533</v>
      </c>
      <c r="H3" s="7" t="s">
        <v>553</v>
      </c>
      <c r="I3" s="10" t="s">
        <v>10</v>
      </c>
      <c r="J3" s="11">
        <v>21000</v>
      </c>
      <c r="K3" s="12">
        <v>63.2</v>
      </c>
      <c r="L3" s="13">
        <f>J3/K3</f>
        <v>332.27848101265823</v>
      </c>
    </row>
    <row r="4" spans="1:14" s="3" customFormat="1" ht="14.25" x14ac:dyDescent="0.25">
      <c r="A4" s="5">
        <v>44623</v>
      </c>
      <c r="B4" s="6" t="s">
        <v>537</v>
      </c>
      <c r="C4" s="7">
        <v>121099</v>
      </c>
      <c r="D4" s="7" t="s">
        <v>538</v>
      </c>
      <c r="E4" s="8" t="s">
        <v>19</v>
      </c>
      <c r="F4" s="10" t="s">
        <v>532</v>
      </c>
      <c r="G4" s="9" t="s">
        <v>533</v>
      </c>
      <c r="H4" s="7" t="s">
        <v>539</v>
      </c>
      <c r="I4" s="10" t="s">
        <v>10</v>
      </c>
      <c r="J4" s="11">
        <v>52500</v>
      </c>
      <c r="K4" s="12">
        <v>63.2</v>
      </c>
      <c r="L4" s="13">
        <f t="shared" ref="L4:L39" si="0">J4/K4</f>
        <v>830.69620253164555</v>
      </c>
    </row>
    <row r="5" spans="1:14" s="3" customFormat="1" ht="14.25" x14ac:dyDescent="0.25">
      <c r="A5" s="5">
        <v>44623</v>
      </c>
      <c r="B5" s="6" t="s">
        <v>540</v>
      </c>
      <c r="C5" s="7">
        <v>121099</v>
      </c>
      <c r="D5" s="7" t="s">
        <v>541</v>
      </c>
      <c r="E5" s="8" t="s">
        <v>19</v>
      </c>
      <c r="F5" s="10" t="s">
        <v>532</v>
      </c>
      <c r="G5" s="9" t="s">
        <v>533</v>
      </c>
      <c r="H5" s="7" t="s">
        <v>553</v>
      </c>
      <c r="I5" s="10" t="s">
        <v>10</v>
      </c>
      <c r="J5" s="11">
        <v>123750</v>
      </c>
      <c r="K5" s="12">
        <v>63.2</v>
      </c>
      <c r="L5" s="13">
        <f t="shared" si="0"/>
        <v>1958.0696202531644</v>
      </c>
    </row>
    <row r="6" spans="1:14" s="3" customFormat="1" ht="14.25" x14ac:dyDescent="0.25">
      <c r="A6" s="5">
        <v>44623</v>
      </c>
      <c r="B6" s="6" t="s">
        <v>542</v>
      </c>
      <c r="C6" s="7">
        <v>121099</v>
      </c>
      <c r="D6" s="7" t="s">
        <v>543</v>
      </c>
      <c r="E6" s="8" t="s">
        <v>19</v>
      </c>
      <c r="F6" s="59" t="s">
        <v>532</v>
      </c>
      <c r="G6" s="9" t="s">
        <v>533</v>
      </c>
      <c r="H6" s="7" t="s">
        <v>544</v>
      </c>
      <c r="I6" s="10" t="s">
        <v>10</v>
      </c>
      <c r="J6" s="11">
        <v>52275</v>
      </c>
      <c r="K6" s="12">
        <v>63.2</v>
      </c>
      <c r="L6" s="13">
        <f t="shared" si="0"/>
        <v>827.13607594936707</v>
      </c>
    </row>
    <row r="7" spans="1:14" s="3" customFormat="1" ht="14.25" x14ac:dyDescent="0.25">
      <c r="A7" s="5">
        <v>44623</v>
      </c>
      <c r="B7" s="7" t="s">
        <v>545</v>
      </c>
      <c r="C7" s="7">
        <v>121099</v>
      </c>
      <c r="D7" s="7" t="s">
        <v>546</v>
      </c>
      <c r="E7" s="8" t="s">
        <v>19</v>
      </c>
      <c r="F7" s="10" t="s">
        <v>532</v>
      </c>
      <c r="G7" s="7" t="s">
        <v>533</v>
      </c>
      <c r="H7" s="7" t="s">
        <v>547</v>
      </c>
      <c r="I7" s="10" t="s">
        <v>10</v>
      </c>
      <c r="J7" s="14">
        <v>19008</v>
      </c>
      <c r="K7" s="12">
        <v>63.2</v>
      </c>
      <c r="L7" s="13">
        <f t="shared" si="0"/>
        <v>300.75949367088606</v>
      </c>
    </row>
    <row r="8" spans="1:14" s="3" customFormat="1" ht="14.25" x14ac:dyDescent="0.25">
      <c r="A8" s="5">
        <v>44623</v>
      </c>
      <c r="B8" s="7" t="s">
        <v>548</v>
      </c>
      <c r="C8" s="7">
        <v>121099</v>
      </c>
      <c r="D8" s="7" t="s">
        <v>549</v>
      </c>
      <c r="E8" s="8" t="s">
        <v>19</v>
      </c>
      <c r="F8" s="10" t="s">
        <v>532</v>
      </c>
      <c r="G8" s="15" t="s">
        <v>533</v>
      </c>
      <c r="H8" s="7" t="s">
        <v>547</v>
      </c>
      <c r="I8" s="10" t="s">
        <v>10</v>
      </c>
      <c r="J8" s="14">
        <v>163360</v>
      </c>
      <c r="K8" s="12">
        <v>63.2</v>
      </c>
      <c r="L8" s="13">
        <f t="shared" si="0"/>
        <v>2584.8101265822784</v>
      </c>
    </row>
    <row r="9" spans="1:14" s="3" customFormat="1" ht="14.25" x14ac:dyDescent="0.25">
      <c r="A9" s="5">
        <v>44623</v>
      </c>
      <c r="B9" s="7" t="s">
        <v>550</v>
      </c>
      <c r="C9" s="7">
        <v>121099</v>
      </c>
      <c r="D9" s="7" t="s">
        <v>551</v>
      </c>
      <c r="E9" s="8" t="s">
        <v>19</v>
      </c>
      <c r="F9" s="10" t="s">
        <v>532</v>
      </c>
      <c r="G9" s="9" t="s">
        <v>533</v>
      </c>
      <c r="H9" s="7" t="s">
        <v>552</v>
      </c>
      <c r="I9" s="10" t="s">
        <v>10</v>
      </c>
      <c r="J9" s="14">
        <v>34687.5</v>
      </c>
      <c r="K9" s="12">
        <v>63.2</v>
      </c>
      <c r="L9" s="13">
        <f t="shared" si="0"/>
        <v>548.85284810126575</v>
      </c>
    </row>
    <row r="10" spans="1:14" s="3" customFormat="1" ht="14.25" x14ac:dyDescent="0.25">
      <c r="A10" s="5">
        <v>44623</v>
      </c>
      <c r="B10" s="7" t="s">
        <v>733</v>
      </c>
      <c r="C10" s="7">
        <v>121099</v>
      </c>
      <c r="D10" s="7" t="s">
        <v>554</v>
      </c>
      <c r="E10" s="8" t="s">
        <v>19</v>
      </c>
      <c r="F10" s="10" t="s">
        <v>532</v>
      </c>
      <c r="G10" s="7" t="s">
        <v>533</v>
      </c>
      <c r="H10" s="7" t="s">
        <v>552</v>
      </c>
      <c r="I10" s="10" t="s">
        <v>10</v>
      </c>
      <c r="J10" s="14">
        <v>11745</v>
      </c>
      <c r="K10" s="12">
        <v>63.2</v>
      </c>
      <c r="L10" s="13">
        <f t="shared" si="0"/>
        <v>185.83860759493669</v>
      </c>
    </row>
    <row r="11" spans="1:14" s="3" customFormat="1" ht="14.25" x14ac:dyDescent="0.25">
      <c r="A11" s="5">
        <v>44623</v>
      </c>
      <c r="B11" s="7" t="s">
        <v>734</v>
      </c>
      <c r="C11" s="7">
        <v>121099</v>
      </c>
      <c r="D11" s="7" t="s">
        <v>555</v>
      </c>
      <c r="E11" s="8" t="s">
        <v>19</v>
      </c>
      <c r="F11" s="10" t="s">
        <v>532</v>
      </c>
      <c r="G11" s="7" t="s">
        <v>533</v>
      </c>
      <c r="H11" s="7" t="s">
        <v>556</v>
      </c>
      <c r="I11" s="10" t="s">
        <v>10</v>
      </c>
      <c r="J11" s="14">
        <v>194295</v>
      </c>
      <c r="K11" s="12">
        <v>63.2</v>
      </c>
      <c r="L11" s="13">
        <f t="shared" si="0"/>
        <v>3074.2879746835442</v>
      </c>
    </row>
    <row r="12" spans="1:14" s="3" customFormat="1" ht="14.25" x14ac:dyDescent="0.25">
      <c r="A12" s="5">
        <v>44623</v>
      </c>
      <c r="B12" s="7" t="s">
        <v>735</v>
      </c>
      <c r="C12" s="16">
        <v>121099</v>
      </c>
      <c r="D12" s="16" t="s">
        <v>557</v>
      </c>
      <c r="E12" s="8" t="s">
        <v>19</v>
      </c>
      <c r="F12" s="10" t="s">
        <v>532</v>
      </c>
      <c r="G12" s="17" t="s">
        <v>533</v>
      </c>
      <c r="H12" s="7" t="s">
        <v>547</v>
      </c>
      <c r="I12" s="10" t="s">
        <v>10</v>
      </c>
      <c r="J12" s="18">
        <v>295510</v>
      </c>
      <c r="K12" s="12">
        <v>63.2</v>
      </c>
      <c r="L12" s="13">
        <f t="shared" si="0"/>
        <v>4675.7911392405058</v>
      </c>
      <c r="N12" s="81"/>
    </row>
    <row r="13" spans="1:14" s="3" customFormat="1" ht="14.25" x14ac:dyDescent="0.25">
      <c r="A13" s="5">
        <v>44623</v>
      </c>
      <c r="B13" s="6" t="s">
        <v>736</v>
      </c>
      <c r="C13" s="6">
        <v>121099</v>
      </c>
      <c r="D13" s="7" t="s">
        <v>558</v>
      </c>
      <c r="E13" s="8" t="s">
        <v>19</v>
      </c>
      <c r="F13" s="10" t="s">
        <v>532</v>
      </c>
      <c r="G13" s="9" t="s">
        <v>533</v>
      </c>
      <c r="H13" s="7" t="s">
        <v>547</v>
      </c>
      <c r="I13" s="10" t="s">
        <v>10</v>
      </c>
      <c r="J13" s="14">
        <v>210434</v>
      </c>
      <c r="K13" s="12">
        <v>63.2</v>
      </c>
      <c r="L13" s="13">
        <f t="shared" si="0"/>
        <v>3329.6518987341769</v>
      </c>
    </row>
    <row r="14" spans="1:14" s="3" customFormat="1" ht="14.25" x14ac:dyDescent="0.25">
      <c r="A14" s="5">
        <v>44644</v>
      </c>
      <c r="B14" s="7" t="s">
        <v>737</v>
      </c>
      <c r="C14" s="7">
        <v>112101</v>
      </c>
      <c r="D14" s="7" t="s">
        <v>282</v>
      </c>
      <c r="E14" s="8" t="s">
        <v>19</v>
      </c>
      <c r="F14" s="10" t="s">
        <v>561</v>
      </c>
      <c r="G14" s="9" t="s">
        <v>35</v>
      </c>
      <c r="H14" s="7" t="s">
        <v>562</v>
      </c>
      <c r="I14" s="10" t="s">
        <v>10</v>
      </c>
      <c r="J14" s="18">
        <v>138600</v>
      </c>
      <c r="K14" s="12">
        <v>63.2</v>
      </c>
      <c r="L14" s="13">
        <f t="shared" si="0"/>
        <v>2193.0379746835442</v>
      </c>
      <c r="M14" s="81">
        <f>77400+59400+19800+19800+19800+19800+7800</f>
        <v>223800</v>
      </c>
    </row>
    <row r="15" spans="1:14" s="3" customFormat="1" ht="14.25" x14ac:dyDescent="0.25">
      <c r="A15" s="5">
        <v>44644</v>
      </c>
      <c r="B15" s="7" t="s">
        <v>738</v>
      </c>
      <c r="C15" s="7">
        <v>112101</v>
      </c>
      <c r="D15" s="7" t="s">
        <v>282</v>
      </c>
      <c r="E15" s="8" t="s">
        <v>19</v>
      </c>
      <c r="F15" s="10" t="s">
        <v>561</v>
      </c>
      <c r="G15" s="7" t="s">
        <v>35</v>
      </c>
      <c r="H15" s="7" t="s">
        <v>562</v>
      </c>
      <c r="I15" s="10" t="s">
        <v>10</v>
      </c>
      <c r="J15" s="14">
        <v>85200</v>
      </c>
      <c r="K15" s="12">
        <v>63.2</v>
      </c>
      <c r="L15" s="13">
        <f t="shared" si="0"/>
        <v>1348.1012658227849</v>
      </c>
    </row>
    <row r="16" spans="1:14" s="3" customFormat="1" ht="14.25" x14ac:dyDescent="0.25">
      <c r="A16" s="5">
        <v>44644</v>
      </c>
      <c r="B16" s="6" t="s">
        <v>739</v>
      </c>
      <c r="C16" s="6">
        <v>122099</v>
      </c>
      <c r="D16" s="7" t="s">
        <v>559</v>
      </c>
      <c r="E16" s="8" t="s">
        <v>13</v>
      </c>
      <c r="F16" s="10" t="s">
        <v>560</v>
      </c>
      <c r="G16" s="9" t="s">
        <v>533</v>
      </c>
      <c r="H16" s="16" t="s">
        <v>563</v>
      </c>
      <c r="I16" s="10" t="s">
        <v>10</v>
      </c>
      <c r="J16" s="14">
        <v>719100</v>
      </c>
      <c r="K16" s="12">
        <v>63.2</v>
      </c>
      <c r="L16" s="13">
        <f t="shared" si="0"/>
        <v>11378.164556962025</v>
      </c>
    </row>
    <row r="17" spans="1:13" s="3" customFormat="1" ht="14.25" x14ac:dyDescent="0.25">
      <c r="A17" s="5">
        <v>44680</v>
      </c>
      <c r="B17" s="6" t="s">
        <v>740</v>
      </c>
      <c r="C17" s="6">
        <v>122099</v>
      </c>
      <c r="D17" s="7" t="s">
        <v>564</v>
      </c>
      <c r="E17" s="8" t="s">
        <v>19</v>
      </c>
      <c r="F17" s="10" t="s">
        <v>565</v>
      </c>
      <c r="G17" s="9" t="s">
        <v>566</v>
      </c>
      <c r="H17" s="16" t="s">
        <v>568</v>
      </c>
      <c r="I17" s="10" t="s">
        <v>10</v>
      </c>
      <c r="J17" s="14">
        <v>10000</v>
      </c>
      <c r="K17" s="12">
        <v>63.2</v>
      </c>
      <c r="L17" s="13">
        <f t="shared" si="0"/>
        <v>158.22784810126581</v>
      </c>
    </row>
    <row r="18" spans="1:13" s="3" customFormat="1" ht="14.25" x14ac:dyDescent="0.25">
      <c r="A18" s="5">
        <v>44686</v>
      </c>
      <c r="B18" s="6" t="s">
        <v>744</v>
      </c>
      <c r="C18" s="6">
        <v>112101</v>
      </c>
      <c r="D18" s="7" t="s">
        <v>571</v>
      </c>
      <c r="E18" s="8" t="s">
        <v>13</v>
      </c>
      <c r="F18" s="10" t="s">
        <v>572</v>
      </c>
      <c r="G18" s="9" t="s">
        <v>14</v>
      </c>
      <c r="H18" s="16" t="s">
        <v>573</v>
      </c>
      <c r="I18" s="10" t="s">
        <v>10</v>
      </c>
      <c r="J18" s="14">
        <v>42000</v>
      </c>
      <c r="K18" s="12">
        <v>63.2</v>
      </c>
      <c r="L18" s="13">
        <f>J18/K18</f>
        <v>664.55696202531647</v>
      </c>
    </row>
    <row r="19" spans="1:13" s="3" customFormat="1" ht="14.25" x14ac:dyDescent="0.25">
      <c r="A19" s="5">
        <v>44686</v>
      </c>
      <c r="B19" s="6" t="s">
        <v>741</v>
      </c>
      <c r="C19" s="6">
        <v>121002</v>
      </c>
      <c r="D19" s="7" t="s">
        <v>578</v>
      </c>
      <c r="E19" s="8" t="s">
        <v>19</v>
      </c>
      <c r="F19" s="10" t="s">
        <v>565</v>
      </c>
      <c r="G19" s="9" t="s">
        <v>481</v>
      </c>
      <c r="H19" s="16" t="s">
        <v>579</v>
      </c>
      <c r="I19" s="10" t="s">
        <v>10</v>
      </c>
      <c r="J19" s="14">
        <v>104948</v>
      </c>
      <c r="K19" s="12">
        <v>63.2</v>
      </c>
      <c r="L19" s="13">
        <f t="shared" si="0"/>
        <v>1660.5696202531644</v>
      </c>
      <c r="M19" s="3">
        <f>5400+5400+29600+7200+3600+9828+12920+15000+16000</f>
        <v>104948</v>
      </c>
    </row>
    <row r="20" spans="1:13" s="3" customFormat="1" ht="14.25" x14ac:dyDescent="0.25">
      <c r="A20" s="5">
        <v>44687</v>
      </c>
      <c r="B20" s="6" t="s">
        <v>742</v>
      </c>
      <c r="C20" s="6">
        <v>122099</v>
      </c>
      <c r="D20" s="7" t="s">
        <v>567</v>
      </c>
      <c r="E20" s="8" t="s">
        <v>19</v>
      </c>
      <c r="F20" s="10" t="s">
        <v>565</v>
      </c>
      <c r="G20" s="9" t="s">
        <v>569</v>
      </c>
      <c r="H20" s="16" t="s">
        <v>570</v>
      </c>
      <c r="I20" s="10" t="s">
        <v>10</v>
      </c>
      <c r="J20" s="14">
        <v>26000</v>
      </c>
      <c r="K20" s="12">
        <v>63.2</v>
      </c>
      <c r="L20" s="13">
        <f t="shared" si="0"/>
        <v>411.39240506329111</v>
      </c>
    </row>
    <row r="21" spans="1:13" s="3" customFormat="1" ht="14.25" x14ac:dyDescent="0.25">
      <c r="A21" s="5">
        <v>44687</v>
      </c>
      <c r="B21" s="6" t="s">
        <v>743</v>
      </c>
      <c r="C21" s="6">
        <v>122099</v>
      </c>
      <c r="D21" s="7" t="s">
        <v>567</v>
      </c>
      <c r="E21" s="8" t="s">
        <v>19</v>
      </c>
      <c r="F21" s="10" t="s">
        <v>565</v>
      </c>
      <c r="G21" s="9" t="s">
        <v>569</v>
      </c>
      <c r="H21" s="16" t="s">
        <v>570</v>
      </c>
      <c r="I21" s="10" t="s">
        <v>10</v>
      </c>
      <c r="J21" s="14">
        <v>26000</v>
      </c>
      <c r="K21" s="12">
        <v>63.2</v>
      </c>
      <c r="L21" s="13">
        <f t="shared" si="0"/>
        <v>411.39240506329111</v>
      </c>
    </row>
    <row r="22" spans="1:13" s="3" customFormat="1" ht="14.25" x14ac:dyDescent="0.25">
      <c r="A22" s="5">
        <v>44697</v>
      </c>
      <c r="B22" s="6" t="s">
        <v>746</v>
      </c>
      <c r="C22" s="6">
        <v>121001</v>
      </c>
      <c r="D22" s="7" t="s">
        <v>580</v>
      </c>
      <c r="E22" s="8" t="s">
        <v>19</v>
      </c>
      <c r="F22" s="10" t="s">
        <v>565</v>
      </c>
      <c r="G22" s="9" t="s">
        <v>481</v>
      </c>
      <c r="H22" s="16" t="s">
        <v>581</v>
      </c>
      <c r="I22" s="10" t="s">
        <v>10</v>
      </c>
      <c r="J22" s="14">
        <v>6600</v>
      </c>
      <c r="K22" s="12">
        <v>63.2</v>
      </c>
      <c r="L22" s="13">
        <f t="shared" si="0"/>
        <v>104.43037974683544</v>
      </c>
    </row>
    <row r="23" spans="1:13" s="3" customFormat="1" ht="14.25" x14ac:dyDescent="0.25">
      <c r="A23" s="5">
        <v>44697</v>
      </c>
      <c r="B23" s="6" t="s">
        <v>747</v>
      </c>
      <c r="C23" s="6">
        <v>213004</v>
      </c>
      <c r="D23" s="7" t="s">
        <v>582</v>
      </c>
      <c r="E23" s="8" t="s">
        <v>19</v>
      </c>
      <c r="F23" s="10" t="s">
        <v>583</v>
      </c>
      <c r="G23" s="9" t="s">
        <v>584</v>
      </c>
      <c r="H23" s="16" t="s">
        <v>585</v>
      </c>
      <c r="I23" s="10" t="s">
        <v>10</v>
      </c>
      <c r="J23" s="14">
        <v>1535434.28</v>
      </c>
      <c r="K23" s="12">
        <v>63.2</v>
      </c>
      <c r="L23" s="13">
        <f t="shared" si="0"/>
        <v>24294.846202531644</v>
      </c>
    </row>
    <row r="24" spans="1:13" s="3" customFormat="1" ht="14.25" customHeight="1" x14ac:dyDescent="0.25">
      <c r="A24" s="5">
        <v>44699</v>
      </c>
      <c r="B24" s="6" t="s">
        <v>732</v>
      </c>
      <c r="C24" s="6">
        <v>121001</v>
      </c>
      <c r="D24" s="7" t="s">
        <v>578</v>
      </c>
      <c r="E24" s="8" t="s">
        <v>13</v>
      </c>
      <c r="F24" s="10" t="s">
        <v>586</v>
      </c>
      <c r="G24" s="9" t="s">
        <v>587</v>
      </c>
      <c r="H24" s="16" t="s">
        <v>588</v>
      </c>
      <c r="I24" s="10" t="s">
        <v>10</v>
      </c>
      <c r="J24" s="14">
        <v>14433.5</v>
      </c>
      <c r="K24" s="12">
        <v>63.2</v>
      </c>
      <c r="L24" s="13">
        <f t="shared" si="0"/>
        <v>228.37816455696202</v>
      </c>
    </row>
    <row r="25" spans="1:13" s="3" customFormat="1" ht="14.25" x14ac:dyDescent="0.25">
      <c r="A25" s="5">
        <v>44699</v>
      </c>
      <c r="B25" s="6" t="s">
        <v>731</v>
      </c>
      <c r="C25" s="6">
        <v>112101</v>
      </c>
      <c r="D25" s="7" t="s">
        <v>282</v>
      </c>
      <c r="E25" s="8" t="s">
        <v>13</v>
      </c>
      <c r="F25" s="10" t="s">
        <v>586</v>
      </c>
      <c r="G25" s="9" t="s">
        <v>35</v>
      </c>
      <c r="H25" s="16" t="s">
        <v>589</v>
      </c>
      <c r="I25" s="10" t="s">
        <v>10</v>
      </c>
      <c r="J25" s="14">
        <v>478800</v>
      </c>
      <c r="K25" s="12">
        <v>63.2</v>
      </c>
      <c r="L25" s="13">
        <f t="shared" si="0"/>
        <v>7575.9493670886077</v>
      </c>
    </row>
    <row r="26" spans="1:13" s="3" customFormat="1" ht="14.25" x14ac:dyDescent="0.25">
      <c r="A26" s="5">
        <v>44699</v>
      </c>
      <c r="B26" s="6" t="s">
        <v>730</v>
      </c>
      <c r="C26" s="6">
        <v>122099</v>
      </c>
      <c r="D26" s="7" t="s">
        <v>590</v>
      </c>
      <c r="E26" s="8" t="s">
        <v>19</v>
      </c>
      <c r="F26" s="10" t="s">
        <v>565</v>
      </c>
      <c r="G26" s="9" t="s">
        <v>566</v>
      </c>
      <c r="H26" s="16" t="s">
        <v>591</v>
      </c>
      <c r="I26" s="10" t="s">
        <v>10</v>
      </c>
      <c r="J26" s="14">
        <v>28000</v>
      </c>
      <c r="K26" s="12">
        <v>63.2</v>
      </c>
      <c r="L26" s="13">
        <f t="shared" si="0"/>
        <v>443.03797468354429</v>
      </c>
    </row>
    <row r="27" spans="1:13" s="3" customFormat="1" ht="14.25" x14ac:dyDescent="0.25">
      <c r="A27" s="5">
        <v>44706</v>
      </c>
      <c r="B27" s="6" t="s">
        <v>667</v>
      </c>
      <c r="C27" s="6">
        <v>112101</v>
      </c>
      <c r="D27" s="7" t="s">
        <v>282</v>
      </c>
      <c r="E27" s="8" t="s">
        <v>13</v>
      </c>
      <c r="F27" s="10" t="s">
        <v>668</v>
      </c>
      <c r="G27" s="9" t="s">
        <v>35</v>
      </c>
      <c r="H27" s="16" t="s">
        <v>669</v>
      </c>
      <c r="I27" s="10" t="s">
        <v>10</v>
      </c>
      <c r="J27" s="14">
        <v>349800</v>
      </c>
      <c r="K27" s="12">
        <v>63.2</v>
      </c>
      <c r="L27" s="13">
        <f t="shared" si="0"/>
        <v>5534.8101265822779</v>
      </c>
    </row>
    <row r="28" spans="1:13" s="3" customFormat="1" ht="14.25" x14ac:dyDescent="0.25">
      <c r="A28" s="5">
        <v>44706</v>
      </c>
      <c r="B28" s="6" t="s">
        <v>670</v>
      </c>
      <c r="C28" s="6">
        <v>112101</v>
      </c>
      <c r="D28" s="7" t="s">
        <v>282</v>
      </c>
      <c r="E28" s="8" t="s">
        <v>13</v>
      </c>
      <c r="F28" s="10" t="s">
        <v>668</v>
      </c>
      <c r="G28" s="9" t="s">
        <v>35</v>
      </c>
      <c r="H28" s="16" t="s">
        <v>671</v>
      </c>
      <c r="I28" s="10" t="s">
        <v>10</v>
      </c>
      <c r="J28" s="14">
        <v>409200</v>
      </c>
      <c r="K28" s="12">
        <v>63.2</v>
      </c>
      <c r="L28" s="13">
        <f t="shared" si="0"/>
        <v>6474.6835443037971</v>
      </c>
    </row>
    <row r="29" spans="1:13" s="3" customFormat="1" ht="14.25" x14ac:dyDescent="0.25">
      <c r="A29" s="5">
        <v>44708</v>
      </c>
      <c r="B29" s="6" t="s">
        <v>729</v>
      </c>
      <c r="C29" s="6">
        <v>122099</v>
      </c>
      <c r="D29" s="7" t="s">
        <v>375</v>
      </c>
      <c r="E29" s="8" t="s">
        <v>19</v>
      </c>
      <c r="F29" s="10" t="s">
        <v>565</v>
      </c>
      <c r="G29" s="9" t="s">
        <v>672</v>
      </c>
      <c r="H29" s="16" t="s">
        <v>673</v>
      </c>
      <c r="I29" s="10" t="s">
        <v>10</v>
      </c>
      <c r="J29" s="14">
        <v>25038</v>
      </c>
      <c r="K29" s="12">
        <v>63.2</v>
      </c>
      <c r="L29" s="13">
        <f t="shared" si="0"/>
        <v>396.17088607594934</v>
      </c>
    </row>
    <row r="30" spans="1:13" s="3" customFormat="1" ht="14.25" x14ac:dyDescent="0.25">
      <c r="A30" s="5">
        <v>44708</v>
      </c>
      <c r="B30" s="6" t="s">
        <v>729</v>
      </c>
      <c r="C30" s="6">
        <v>122099</v>
      </c>
      <c r="D30" s="7" t="s">
        <v>375</v>
      </c>
      <c r="E30" s="8" t="s">
        <v>19</v>
      </c>
      <c r="F30" s="10" t="s">
        <v>532</v>
      </c>
      <c r="G30" s="9" t="s">
        <v>672</v>
      </c>
      <c r="H30" s="16" t="s">
        <v>674</v>
      </c>
      <c r="I30" s="10" t="s">
        <v>10</v>
      </c>
      <c r="J30" s="14">
        <v>25038</v>
      </c>
      <c r="K30" s="12">
        <v>63.2</v>
      </c>
      <c r="L30" s="13">
        <f t="shared" si="0"/>
        <v>396.17088607594934</v>
      </c>
    </row>
    <row r="31" spans="1:13" s="3" customFormat="1" ht="14.25" x14ac:dyDescent="0.25">
      <c r="A31" s="5">
        <v>44708</v>
      </c>
      <c r="B31" s="6" t="s">
        <v>675</v>
      </c>
      <c r="C31" s="6">
        <v>121001</v>
      </c>
      <c r="D31" s="7" t="s">
        <v>676</v>
      </c>
      <c r="E31" s="8" t="s">
        <v>13</v>
      </c>
      <c r="F31" s="10" t="s">
        <v>668</v>
      </c>
      <c r="G31" s="9" t="s">
        <v>677</v>
      </c>
      <c r="H31" s="16" t="s">
        <v>678</v>
      </c>
      <c r="I31" s="10" t="s">
        <v>10</v>
      </c>
      <c r="J31" s="14">
        <v>11995.2</v>
      </c>
      <c r="K31" s="12">
        <v>63.2</v>
      </c>
      <c r="L31" s="13">
        <f t="shared" si="0"/>
        <v>189.79746835443038</v>
      </c>
    </row>
    <row r="32" spans="1:13" s="3" customFormat="1" ht="14.25" x14ac:dyDescent="0.25">
      <c r="A32" s="5">
        <v>44708</v>
      </c>
      <c r="B32" s="6" t="s">
        <v>728</v>
      </c>
      <c r="C32" s="6">
        <v>122099</v>
      </c>
      <c r="D32" s="7" t="s">
        <v>375</v>
      </c>
      <c r="E32" s="8" t="s">
        <v>19</v>
      </c>
      <c r="F32" s="10" t="s">
        <v>532</v>
      </c>
      <c r="G32" s="9" t="s">
        <v>679</v>
      </c>
      <c r="H32" s="16" t="s">
        <v>680</v>
      </c>
      <c r="I32" s="10" t="s">
        <v>10</v>
      </c>
      <c r="J32" s="14">
        <v>160243.20000000001</v>
      </c>
      <c r="K32" s="12">
        <v>63.2</v>
      </c>
      <c r="L32" s="13">
        <f t="shared" si="0"/>
        <v>2535.493670886076</v>
      </c>
    </row>
    <row r="33" spans="1:14" s="3" customFormat="1" ht="14.25" x14ac:dyDescent="0.25">
      <c r="A33" s="5">
        <v>44708</v>
      </c>
      <c r="B33" s="6" t="s">
        <v>727</v>
      </c>
      <c r="C33" s="6">
        <v>122099</v>
      </c>
      <c r="D33" s="7" t="s">
        <v>375</v>
      </c>
      <c r="E33" s="8" t="s">
        <v>19</v>
      </c>
      <c r="F33" s="10" t="s">
        <v>681</v>
      </c>
      <c r="G33" s="9" t="s">
        <v>672</v>
      </c>
      <c r="H33" s="16" t="s">
        <v>682</v>
      </c>
      <c r="I33" s="10" t="s">
        <v>10</v>
      </c>
      <c r="J33" s="14">
        <v>25038</v>
      </c>
      <c r="K33" s="12">
        <v>63.2</v>
      </c>
      <c r="L33" s="13">
        <f t="shared" si="0"/>
        <v>396.17088607594934</v>
      </c>
    </row>
    <row r="34" spans="1:14" s="3" customFormat="1" ht="14.25" x14ac:dyDescent="0.25">
      <c r="A34" s="5">
        <v>44713</v>
      </c>
      <c r="B34" s="6" t="s">
        <v>718</v>
      </c>
      <c r="C34" s="6">
        <v>121028</v>
      </c>
      <c r="D34" s="7" t="s">
        <v>686</v>
      </c>
      <c r="E34" s="8" t="s">
        <v>19</v>
      </c>
      <c r="F34" s="10" t="s">
        <v>532</v>
      </c>
      <c r="G34" s="9" t="s">
        <v>35</v>
      </c>
      <c r="H34" s="16" t="s">
        <v>687</v>
      </c>
      <c r="I34" s="10" t="s">
        <v>10</v>
      </c>
      <c r="J34" s="14">
        <v>2174425</v>
      </c>
      <c r="K34" s="12">
        <v>63.2</v>
      </c>
      <c r="L34" s="13">
        <f t="shared" ref="L34:L35" si="1">J34/K34</f>
        <v>34405.458860759492</v>
      </c>
    </row>
    <row r="35" spans="1:14" s="3" customFormat="1" ht="14.25" x14ac:dyDescent="0.25">
      <c r="A35" s="5">
        <v>44713</v>
      </c>
      <c r="B35" s="6" t="s">
        <v>721</v>
      </c>
      <c r="C35" s="6">
        <v>122099</v>
      </c>
      <c r="D35" s="7" t="s">
        <v>29</v>
      </c>
      <c r="E35" s="8" t="s">
        <v>13</v>
      </c>
      <c r="F35" s="10" t="s">
        <v>668</v>
      </c>
      <c r="G35" s="9" t="s">
        <v>693</v>
      </c>
      <c r="H35" s="16" t="s">
        <v>716</v>
      </c>
      <c r="I35" s="10" t="s">
        <v>10</v>
      </c>
      <c r="J35" s="14">
        <v>87732.98</v>
      </c>
      <c r="K35" s="12">
        <v>63.2</v>
      </c>
      <c r="L35" s="13">
        <f t="shared" si="1"/>
        <v>1388.180063291139</v>
      </c>
    </row>
    <row r="36" spans="1:14" s="3" customFormat="1" ht="14.25" x14ac:dyDescent="0.25">
      <c r="A36" s="5">
        <v>44714</v>
      </c>
      <c r="B36" s="6" t="s">
        <v>725</v>
      </c>
      <c r="C36" s="6">
        <v>112101</v>
      </c>
      <c r="D36" s="7" t="s">
        <v>282</v>
      </c>
      <c r="E36" s="8" t="s">
        <v>13</v>
      </c>
      <c r="F36" s="10" t="s">
        <v>586</v>
      </c>
      <c r="G36" s="9" t="s">
        <v>35</v>
      </c>
      <c r="H36" s="16" t="s">
        <v>683</v>
      </c>
      <c r="I36" s="10" t="s">
        <v>10</v>
      </c>
      <c r="J36" s="14">
        <v>1219800</v>
      </c>
      <c r="K36" s="12">
        <v>63.2</v>
      </c>
      <c r="L36" s="13">
        <f t="shared" si="0"/>
        <v>19300.632911392404</v>
      </c>
    </row>
    <row r="37" spans="1:14" s="3" customFormat="1" ht="14.25" x14ac:dyDescent="0.25">
      <c r="A37" s="5">
        <v>44714</v>
      </c>
      <c r="B37" s="6" t="s">
        <v>726</v>
      </c>
      <c r="C37" s="6">
        <v>112101</v>
      </c>
      <c r="D37" s="7" t="s">
        <v>282</v>
      </c>
      <c r="E37" s="8" t="s">
        <v>19</v>
      </c>
      <c r="F37" s="10" t="s">
        <v>561</v>
      </c>
      <c r="G37" s="9" t="s">
        <v>35</v>
      </c>
      <c r="H37" s="16" t="s">
        <v>684</v>
      </c>
      <c r="I37" s="10" t="s">
        <v>10</v>
      </c>
      <c r="J37" s="14">
        <v>26400</v>
      </c>
      <c r="K37" s="12">
        <v>63.2</v>
      </c>
      <c r="L37" s="13">
        <f t="shared" si="0"/>
        <v>417.72151898734177</v>
      </c>
    </row>
    <row r="38" spans="1:14" s="3" customFormat="1" ht="14.25" x14ac:dyDescent="0.25">
      <c r="A38" s="5">
        <v>44721</v>
      </c>
      <c r="B38" s="6" t="s">
        <v>719</v>
      </c>
      <c r="C38" s="6">
        <v>122099</v>
      </c>
      <c r="D38" s="7" t="s">
        <v>404</v>
      </c>
      <c r="E38" s="8" t="s">
        <v>13</v>
      </c>
      <c r="F38" s="10" t="s">
        <v>688</v>
      </c>
      <c r="G38" s="9" t="s">
        <v>689</v>
      </c>
      <c r="H38" s="16" t="s">
        <v>690</v>
      </c>
      <c r="I38" s="10" t="s">
        <v>10</v>
      </c>
      <c r="J38" s="14">
        <f>119400+83600</f>
        <v>203000</v>
      </c>
      <c r="K38" s="12">
        <v>63.2</v>
      </c>
      <c r="L38" s="13">
        <f t="shared" si="0"/>
        <v>3212.0253164556962</v>
      </c>
    </row>
    <row r="39" spans="1:14" s="3" customFormat="1" ht="14.25" x14ac:dyDescent="0.25">
      <c r="A39" s="5">
        <v>44721</v>
      </c>
      <c r="B39" s="6" t="s">
        <v>720</v>
      </c>
      <c r="C39" s="6">
        <v>122099</v>
      </c>
      <c r="D39" s="7" t="s">
        <v>404</v>
      </c>
      <c r="E39" s="8" t="s">
        <v>13</v>
      </c>
      <c r="F39" s="10" t="s">
        <v>668</v>
      </c>
      <c r="G39" s="9" t="s">
        <v>691</v>
      </c>
      <c r="H39" s="16" t="s">
        <v>692</v>
      </c>
      <c r="I39" s="10" t="s">
        <v>10</v>
      </c>
      <c r="J39" s="14">
        <v>291700</v>
      </c>
      <c r="K39" s="12">
        <v>63.2</v>
      </c>
      <c r="L39" s="13">
        <f t="shared" si="0"/>
        <v>4615.506329113924</v>
      </c>
      <c r="N39" s="31"/>
    </row>
    <row r="40" spans="1:14" s="3" customFormat="1" ht="14.25" x14ac:dyDescent="0.25">
      <c r="A40" s="5"/>
      <c r="B40" s="6"/>
      <c r="C40" s="6"/>
      <c r="D40" s="7"/>
      <c r="E40" s="8"/>
      <c r="F40" s="10"/>
      <c r="G40" s="9"/>
      <c r="H40" s="16"/>
      <c r="I40" s="10"/>
      <c r="J40" s="14"/>
      <c r="K40" s="12"/>
      <c r="L40" s="13"/>
    </row>
    <row r="41" spans="1:14" s="3" customFormat="1" ht="14.25" x14ac:dyDescent="0.25">
      <c r="A41" s="104">
        <v>44774</v>
      </c>
      <c r="B41" s="105" t="s">
        <v>950</v>
      </c>
      <c r="C41" s="105">
        <v>122099</v>
      </c>
      <c r="D41" s="106" t="s">
        <v>404</v>
      </c>
      <c r="E41" s="107" t="s">
        <v>19</v>
      </c>
      <c r="F41" s="108" t="s">
        <v>586</v>
      </c>
      <c r="G41" s="109" t="s">
        <v>951</v>
      </c>
      <c r="H41" s="110" t="s">
        <v>955</v>
      </c>
      <c r="I41" s="108" t="s">
        <v>10</v>
      </c>
      <c r="J41" s="84">
        <v>280000</v>
      </c>
      <c r="K41" s="111">
        <v>63.23</v>
      </c>
      <c r="L41" s="112">
        <f t="shared" ref="L41:L72" si="2">J41/K41</f>
        <v>4428.2777162739212</v>
      </c>
    </row>
    <row r="42" spans="1:14" s="3" customFormat="1" ht="14.25" x14ac:dyDescent="0.25">
      <c r="A42" s="104">
        <v>44774</v>
      </c>
      <c r="B42" s="105" t="s">
        <v>952</v>
      </c>
      <c r="C42" s="105">
        <v>122099</v>
      </c>
      <c r="D42" s="106" t="s">
        <v>404</v>
      </c>
      <c r="E42" s="107" t="s">
        <v>19</v>
      </c>
      <c r="F42" s="108" t="s">
        <v>586</v>
      </c>
      <c r="G42" s="109" t="s">
        <v>953</v>
      </c>
      <c r="H42" s="110" t="s">
        <v>954</v>
      </c>
      <c r="I42" s="108" t="s">
        <v>10</v>
      </c>
      <c r="J42" s="84">
        <v>185400</v>
      </c>
      <c r="K42" s="111">
        <v>63.23</v>
      </c>
      <c r="L42" s="112">
        <f t="shared" si="2"/>
        <v>2932.1524592756605</v>
      </c>
    </row>
    <row r="43" spans="1:14" s="3" customFormat="1" ht="14.25" x14ac:dyDescent="0.25">
      <c r="A43" s="104">
        <v>44774</v>
      </c>
      <c r="B43" s="105" t="s">
        <v>956</v>
      </c>
      <c r="C43" s="105">
        <v>122099</v>
      </c>
      <c r="D43" s="106" t="s">
        <v>404</v>
      </c>
      <c r="E43" s="107" t="s">
        <v>19</v>
      </c>
      <c r="F43" s="108" t="s">
        <v>572</v>
      </c>
      <c r="G43" s="109" t="s">
        <v>957</v>
      </c>
      <c r="H43" s="110" t="s">
        <v>958</v>
      </c>
      <c r="I43" s="108" t="s">
        <v>10</v>
      </c>
      <c r="J43" s="84">
        <v>195800</v>
      </c>
      <c r="K43" s="111">
        <v>63.23</v>
      </c>
      <c r="L43" s="112">
        <f t="shared" si="2"/>
        <v>3096.6313458801205</v>
      </c>
    </row>
    <row r="44" spans="1:14" s="3" customFormat="1" ht="14.25" x14ac:dyDescent="0.25">
      <c r="A44" s="104">
        <v>44774</v>
      </c>
      <c r="B44" s="105" t="s">
        <v>959</v>
      </c>
      <c r="C44" s="105">
        <v>122099</v>
      </c>
      <c r="D44" s="106" t="s">
        <v>960</v>
      </c>
      <c r="E44" s="107" t="s">
        <v>19</v>
      </c>
      <c r="F44" s="108" t="s">
        <v>586</v>
      </c>
      <c r="G44" s="109" t="s">
        <v>961</v>
      </c>
      <c r="H44" s="110" t="s">
        <v>962</v>
      </c>
      <c r="I44" s="108" t="s">
        <v>10</v>
      </c>
      <c r="J44" s="84">
        <v>55000</v>
      </c>
      <c r="K44" s="111">
        <v>63.23</v>
      </c>
      <c r="L44" s="112">
        <f t="shared" si="2"/>
        <v>869.84026569666298</v>
      </c>
    </row>
    <row r="45" spans="1:14" s="3" customFormat="1" ht="14.25" x14ac:dyDescent="0.25">
      <c r="A45" s="104">
        <v>44774</v>
      </c>
      <c r="B45" s="105" t="s">
        <v>963</v>
      </c>
      <c r="C45" s="105">
        <v>122099</v>
      </c>
      <c r="D45" s="106" t="s">
        <v>960</v>
      </c>
      <c r="E45" s="107" t="s">
        <v>19</v>
      </c>
      <c r="F45" s="108" t="s">
        <v>572</v>
      </c>
      <c r="G45" s="109" t="s">
        <v>964</v>
      </c>
      <c r="H45" s="110" t="s">
        <v>965</v>
      </c>
      <c r="I45" s="108" t="s">
        <v>10</v>
      </c>
      <c r="J45" s="84">
        <v>25000</v>
      </c>
      <c r="K45" s="111">
        <v>63.23</v>
      </c>
      <c r="L45" s="112">
        <f t="shared" si="2"/>
        <v>395.38193895302862</v>
      </c>
    </row>
    <row r="46" spans="1:14" s="3" customFormat="1" ht="14.25" x14ac:dyDescent="0.25">
      <c r="A46" s="104">
        <v>44774</v>
      </c>
      <c r="B46" s="105" t="s">
        <v>966</v>
      </c>
      <c r="C46" s="105">
        <v>122099</v>
      </c>
      <c r="D46" s="106" t="s">
        <v>404</v>
      </c>
      <c r="E46" s="107" t="s">
        <v>19</v>
      </c>
      <c r="F46" s="108" t="s">
        <v>572</v>
      </c>
      <c r="G46" s="109" t="s">
        <v>967</v>
      </c>
      <c r="H46" s="110" t="s">
        <v>968</v>
      </c>
      <c r="I46" s="108" t="s">
        <v>10</v>
      </c>
      <c r="J46" s="84">
        <v>329200</v>
      </c>
      <c r="K46" s="111">
        <v>63.23</v>
      </c>
      <c r="L46" s="112">
        <f t="shared" si="2"/>
        <v>5206.3893721334816</v>
      </c>
    </row>
    <row r="47" spans="1:14" s="3" customFormat="1" ht="14.25" x14ac:dyDescent="0.25">
      <c r="A47" s="104">
        <v>44774</v>
      </c>
      <c r="B47" s="105" t="s">
        <v>969</v>
      </c>
      <c r="C47" s="105">
        <v>122099</v>
      </c>
      <c r="D47" s="106" t="s">
        <v>404</v>
      </c>
      <c r="E47" s="107" t="s">
        <v>660</v>
      </c>
      <c r="F47" s="108" t="s">
        <v>572</v>
      </c>
      <c r="G47" s="109" t="s">
        <v>405</v>
      </c>
      <c r="H47" s="110" t="s">
        <v>970</v>
      </c>
      <c r="I47" s="108" t="s">
        <v>10</v>
      </c>
      <c r="J47" s="84">
        <v>610250</v>
      </c>
      <c r="K47" s="111">
        <v>63.23</v>
      </c>
      <c r="L47" s="112">
        <f t="shared" si="2"/>
        <v>9651.2731298434301</v>
      </c>
    </row>
    <row r="48" spans="1:14" s="3" customFormat="1" ht="14.25" x14ac:dyDescent="0.25">
      <c r="A48" s="104">
        <v>44774</v>
      </c>
      <c r="B48" s="105" t="s">
        <v>974</v>
      </c>
      <c r="C48" s="105">
        <v>122099</v>
      </c>
      <c r="D48" s="106" t="s">
        <v>29</v>
      </c>
      <c r="E48" s="107" t="s">
        <v>19</v>
      </c>
      <c r="F48" s="108" t="s">
        <v>572</v>
      </c>
      <c r="G48" s="109" t="s">
        <v>971</v>
      </c>
      <c r="H48" s="110" t="s">
        <v>972</v>
      </c>
      <c r="I48" s="108" t="s">
        <v>10</v>
      </c>
      <c r="J48" s="84">
        <v>211000</v>
      </c>
      <c r="K48" s="111">
        <v>63.23</v>
      </c>
      <c r="L48" s="112">
        <f t="shared" si="2"/>
        <v>3337.0235647635618</v>
      </c>
    </row>
    <row r="49" spans="1:12" s="3" customFormat="1" ht="14.25" x14ac:dyDescent="0.25">
      <c r="A49" s="104">
        <v>44774</v>
      </c>
      <c r="B49" s="105" t="s">
        <v>973</v>
      </c>
      <c r="C49" s="105">
        <v>122099</v>
      </c>
      <c r="D49" s="106" t="s">
        <v>29</v>
      </c>
      <c r="E49" s="107" t="s">
        <v>19</v>
      </c>
      <c r="F49" s="108" t="s">
        <v>586</v>
      </c>
      <c r="G49" s="109" t="s">
        <v>975</v>
      </c>
      <c r="H49" s="110" t="s">
        <v>976</v>
      </c>
      <c r="I49" s="108" t="s">
        <v>10</v>
      </c>
      <c r="J49" s="84">
        <v>168000</v>
      </c>
      <c r="K49" s="111">
        <v>63.23</v>
      </c>
      <c r="L49" s="112">
        <f t="shared" si="2"/>
        <v>2656.9666297643525</v>
      </c>
    </row>
    <row r="50" spans="1:12" s="3" customFormat="1" ht="14.25" x14ac:dyDescent="0.25">
      <c r="A50" s="104">
        <v>44774</v>
      </c>
      <c r="B50" s="105" t="s">
        <v>977</v>
      </c>
      <c r="C50" s="105">
        <v>122099</v>
      </c>
      <c r="D50" s="106" t="s">
        <v>29</v>
      </c>
      <c r="E50" s="107" t="s">
        <v>19</v>
      </c>
      <c r="F50" s="108" t="s">
        <v>572</v>
      </c>
      <c r="G50" s="109" t="s">
        <v>978</v>
      </c>
      <c r="H50" s="110" t="s">
        <v>979</v>
      </c>
      <c r="I50" s="108" t="s">
        <v>10</v>
      </c>
      <c r="J50" s="84">
        <v>47500</v>
      </c>
      <c r="K50" s="111">
        <v>63.23</v>
      </c>
      <c r="L50" s="112">
        <f t="shared" si="2"/>
        <v>751.22568401075443</v>
      </c>
    </row>
    <row r="51" spans="1:12" s="3" customFormat="1" ht="14.25" x14ac:dyDescent="0.25">
      <c r="A51" s="104">
        <v>44774</v>
      </c>
      <c r="B51" s="105" t="s">
        <v>1000</v>
      </c>
      <c r="C51" s="105">
        <v>121001</v>
      </c>
      <c r="D51" s="106" t="s">
        <v>1001</v>
      </c>
      <c r="E51" s="107" t="s">
        <v>19</v>
      </c>
      <c r="F51" s="108" t="s">
        <v>572</v>
      </c>
      <c r="G51" s="109" t="s">
        <v>1002</v>
      </c>
      <c r="H51" s="110" t="s">
        <v>1003</v>
      </c>
      <c r="I51" s="108" t="s">
        <v>10</v>
      </c>
      <c r="J51" s="84">
        <v>29915.3</v>
      </c>
      <c r="K51" s="111">
        <v>63.23</v>
      </c>
      <c r="L51" s="112">
        <f t="shared" si="2"/>
        <v>473.11877273446152</v>
      </c>
    </row>
    <row r="52" spans="1:12" s="3" customFormat="1" ht="14.25" x14ac:dyDescent="0.25">
      <c r="A52" s="104">
        <v>44774</v>
      </c>
      <c r="B52" s="105" t="s">
        <v>1004</v>
      </c>
      <c r="C52" s="105">
        <v>112101</v>
      </c>
      <c r="D52" s="106" t="s">
        <v>1005</v>
      </c>
      <c r="E52" s="107" t="s">
        <v>19</v>
      </c>
      <c r="F52" s="108" t="s">
        <v>565</v>
      </c>
      <c r="G52" s="109" t="s">
        <v>35</v>
      </c>
      <c r="H52" s="110" t="s">
        <v>1006</v>
      </c>
      <c r="I52" s="108" t="s">
        <v>10</v>
      </c>
      <c r="J52" s="84">
        <v>10800</v>
      </c>
      <c r="K52" s="111">
        <v>63.23</v>
      </c>
      <c r="L52" s="112">
        <f t="shared" si="2"/>
        <v>170.80499762770839</v>
      </c>
    </row>
    <row r="53" spans="1:12" s="3" customFormat="1" ht="14.25" x14ac:dyDescent="0.25">
      <c r="A53" s="104">
        <v>44774</v>
      </c>
      <c r="B53" s="105" t="s">
        <v>1007</v>
      </c>
      <c r="C53" s="105">
        <v>112101</v>
      </c>
      <c r="D53" s="106" t="s">
        <v>282</v>
      </c>
      <c r="E53" s="107" t="s">
        <v>13</v>
      </c>
      <c r="F53" s="108" t="s">
        <v>572</v>
      </c>
      <c r="G53" s="109" t="s">
        <v>35</v>
      </c>
      <c r="H53" s="110" t="s">
        <v>1008</v>
      </c>
      <c r="I53" s="108" t="s">
        <v>10</v>
      </c>
      <c r="J53" s="84">
        <v>38400</v>
      </c>
      <c r="K53" s="111">
        <v>63.23</v>
      </c>
      <c r="L53" s="112">
        <f t="shared" si="2"/>
        <v>607.306658231852</v>
      </c>
    </row>
    <row r="54" spans="1:12" s="3" customFormat="1" ht="14.25" x14ac:dyDescent="0.25">
      <c r="A54" s="104">
        <v>44774</v>
      </c>
      <c r="B54" s="105" t="s">
        <v>1009</v>
      </c>
      <c r="C54" s="105">
        <v>122099</v>
      </c>
      <c r="D54" s="106" t="s">
        <v>891</v>
      </c>
      <c r="E54" s="107" t="s">
        <v>19</v>
      </c>
      <c r="F54" s="108" t="s">
        <v>572</v>
      </c>
      <c r="G54" s="109" t="s">
        <v>1010</v>
      </c>
      <c r="H54" s="110" t="s">
        <v>1011</v>
      </c>
      <c r="I54" s="108" t="s">
        <v>10</v>
      </c>
      <c r="J54" s="84">
        <v>222000</v>
      </c>
      <c r="K54" s="111">
        <v>63.23</v>
      </c>
      <c r="L54" s="112">
        <f t="shared" si="2"/>
        <v>3510.9916179028942</v>
      </c>
    </row>
    <row r="55" spans="1:12" s="3" customFormat="1" ht="14.25" x14ac:dyDescent="0.25">
      <c r="A55" s="104">
        <v>44774</v>
      </c>
      <c r="B55" s="105" t="s">
        <v>1012</v>
      </c>
      <c r="C55" s="105">
        <v>122099</v>
      </c>
      <c r="D55" s="106" t="s">
        <v>1013</v>
      </c>
      <c r="E55" s="107" t="s">
        <v>13</v>
      </c>
      <c r="F55" s="108" t="s">
        <v>586</v>
      </c>
      <c r="G55" s="109" t="s">
        <v>1014</v>
      </c>
      <c r="H55" s="110" t="s">
        <v>1015</v>
      </c>
      <c r="I55" s="108" t="s">
        <v>10</v>
      </c>
      <c r="J55" s="84">
        <v>297500</v>
      </c>
      <c r="K55" s="111">
        <v>63.23</v>
      </c>
      <c r="L55" s="112">
        <f t="shared" si="2"/>
        <v>4705.0450735410404</v>
      </c>
    </row>
    <row r="56" spans="1:12" s="3" customFormat="1" ht="14.25" x14ac:dyDescent="0.25">
      <c r="A56" s="104">
        <v>44774</v>
      </c>
      <c r="B56" s="105" t="s">
        <v>1016</v>
      </c>
      <c r="C56" s="105">
        <v>121001</v>
      </c>
      <c r="D56" s="106" t="s">
        <v>1017</v>
      </c>
      <c r="E56" s="107"/>
      <c r="F56" s="108" t="s">
        <v>1018</v>
      </c>
      <c r="G56" s="109" t="s">
        <v>494</v>
      </c>
      <c r="H56" s="110" t="s">
        <v>1019</v>
      </c>
      <c r="I56" s="108" t="s">
        <v>10</v>
      </c>
      <c r="J56" s="84">
        <v>8901</v>
      </c>
      <c r="K56" s="111">
        <v>63.23</v>
      </c>
      <c r="L56" s="112">
        <f t="shared" si="2"/>
        <v>140.77178554483632</v>
      </c>
    </row>
    <row r="57" spans="1:12" s="3" customFormat="1" ht="14.25" x14ac:dyDescent="0.25">
      <c r="A57" s="104">
        <v>44774</v>
      </c>
      <c r="B57" s="105" t="s">
        <v>906</v>
      </c>
      <c r="C57" s="105">
        <v>121099</v>
      </c>
      <c r="D57" s="106" t="s">
        <v>1020</v>
      </c>
      <c r="E57" s="107" t="s">
        <v>19</v>
      </c>
      <c r="F57" s="108" t="s">
        <v>532</v>
      </c>
      <c r="G57" s="109" t="s">
        <v>533</v>
      </c>
      <c r="H57" s="106" t="s">
        <v>1021</v>
      </c>
      <c r="I57" s="108" t="s">
        <v>10</v>
      </c>
      <c r="J57" s="84">
        <v>97500</v>
      </c>
      <c r="K57" s="111">
        <v>63.23</v>
      </c>
      <c r="L57" s="112">
        <f t="shared" si="2"/>
        <v>1541.9895619168117</v>
      </c>
    </row>
    <row r="58" spans="1:12" s="3" customFormat="1" ht="14.25" x14ac:dyDescent="0.25">
      <c r="A58" s="104">
        <v>44774</v>
      </c>
      <c r="B58" s="105" t="s">
        <v>1022</v>
      </c>
      <c r="C58" s="105">
        <v>121001</v>
      </c>
      <c r="D58" s="106" t="s">
        <v>1023</v>
      </c>
      <c r="E58" s="107" t="s">
        <v>13</v>
      </c>
      <c r="F58" s="108" t="s">
        <v>572</v>
      </c>
      <c r="G58" s="109" t="s">
        <v>1024</v>
      </c>
      <c r="H58" s="110" t="s">
        <v>1025</v>
      </c>
      <c r="I58" s="108" t="s">
        <v>10</v>
      </c>
      <c r="J58" s="84">
        <v>6610.4</v>
      </c>
      <c r="K58" s="111">
        <v>63.23</v>
      </c>
      <c r="L58" s="112">
        <f t="shared" si="2"/>
        <v>104.54531077020401</v>
      </c>
    </row>
    <row r="59" spans="1:12" s="3" customFormat="1" ht="14.25" x14ac:dyDescent="0.25">
      <c r="A59" s="104">
        <v>44774</v>
      </c>
      <c r="B59" s="105" t="s">
        <v>1026</v>
      </c>
      <c r="C59" s="105">
        <v>121099</v>
      </c>
      <c r="D59" s="106" t="s">
        <v>926</v>
      </c>
      <c r="E59" s="107" t="s">
        <v>19</v>
      </c>
      <c r="F59" s="108" t="s">
        <v>681</v>
      </c>
      <c r="G59" s="109" t="s">
        <v>1027</v>
      </c>
      <c r="H59" s="110" t="s">
        <v>1028</v>
      </c>
      <c r="I59" s="108" t="s">
        <v>10</v>
      </c>
      <c r="J59" s="84">
        <v>1573305.1</v>
      </c>
      <c r="K59" s="111">
        <v>63.23</v>
      </c>
      <c r="L59" s="112">
        <f t="shared" si="2"/>
        <v>24882.256840107548</v>
      </c>
    </row>
    <row r="60" spans="1:12" s="3" customFormat="1" ht="14.25" x14ac:dyDescent="0.25">
      <c r="A60" s="104">
        <v>44774</v>
      </c>
      <c r="B60" s="105" t="s">
        <v>1029</v>
      </c>
      <c r="C60" s="105">
        <v>122099</v>
      </c>
      <c r="D60" s="106" t="s">
        <v>1030</v>
      </c>
      <c r="E60" s="107" t="s">
        <v>19</v>
      </c>
      <c r="F60" s="108" t="s">
        <v>565</v>
      </c>
      <c r="G60" s="109" t="s">
        <v>15</v>
      </c>
      <c r="H60" s="110" t="s">
        <v>1031</v>
      </c>
      <c r="I60" s="108" t="s">
        <v>10</v>
      </c>
      <c r="J60" s="84">
        <v>28000</v>
      </c>
      <c r="K60" s="111">
        <v>63.23</v>
      </c>
      <c r="L60" s="112">
        <f t="shared" si="2"/>
        <v>442.82777162739211</v>
      </c>
    </row>
    <row r="61" spans="1:12" s="3" customFormat="1" ht="14.25" x14ac:dyDescent="0.25">
      <c r="A61" s="104">
        <v>44774</v>
      </c>
      <c r="B61" s="105" t="s">
        <v>1032</v>
      </c>
      <c r="C61" s="105">
        <v>112101</v>
      </c>
      <c r="D61" s="106" t="s">
        <v>1033</v>
      </c>
      <c r="E61" s="107" t="s">
        <v>13</v>
      </c>
      <c r="F61" s="108" t="s">
        <v>572</v>
      </c>
      <c r="G61" s="109" t="s">
        <v>14</v>
      </c>
      <c r="H61" s="110" t="s">
        <v>1034</v>
      </c>
      <c r="I61" s="108" t="s">
        <v>10</v>
      </c>
      <c r="J61" s="84">
        <v>7800</v>
      </c>
      <c r="K61" s="111">
        <v>63.23</v>
      </c>
      <c r="L61" s="112">
        <f t="shared" si="2"/>
        <v>123.35916495334494</v>
      </c>
    </row>
    <row r="62" spans="1:12" s="3" customFormat="1" ht="14.25" x14ac:dyDescent="0.25">
      <c r="A62" s="104">
        <v>44774</v>
      </c>
      <c r="B62" s="105" t="s">
        <v>1035</v>
      </c>
      <c r="C62" s="105">
        <v>112101</v>
      </c>
      <c r="D62" s="106" t="s">
        <v>1036</v>
      </c>
      <c r="E62" s="107" t="s">
        <v>13</v>
      </c>
      <c r="F62" s="108" t="s">
        <v>572</v>
      </c>
      <c r="G62" s="109" t="s">
        <v>14</v>
      </c>
      <c r="H62" s="110" t="s">
        <v>1037</v>
      </c>
      <c r="I62" s="108" t="s">
        <v>10</v>
      </c>
      <c r="J62" s="84">
        <v>19800</v>
      </c>
      <c r="K62" s="111">
        <v>63.23</v>
      </c>
      <c r="L62" s="112">
        <f t="shared" si="2"/>
        <v>313.14249565079871</v>
      </c>
    </row>
    <row r="63" spans="1:12" s="3" customFormat="1" ht="14.25" x14ac:dyDescent="0.25">
      <c r="A63" s="104">
        <v>44774</v>
      </c>
      <c r="B63" s="105" t="s">
        <v>1038</v>
      </c>
      <c r="C63" s="105">
        <v>122099</v>
      </c>
      <c r="D63" s="106" t="s">
        <v>1039</v>
      </c>
      <c r="E63" s="107" t="s">
        <v>13</v>
      </c>
      <c r="F63" s="108"/>
      <c r="G63" s="109" t="s">
        <v>1040</v>
      </c>
      <c r="H63" s="110" t="s">
        <v>1041</v>
      </c>
      <c r="I63" s="108" t="s">
        <v>10</v>
      </c>
      <c r="J63" s="84">
        <v>8320</v>
      </c>
      <c r="K63" s="111">
        <v>63.23</v>
      </c>
      <c r="L63" s="112">
        <f t="shared" si="2"/>
        <v>131.58310928356792</v>
      </c>
    </row>
    <row r="64" spans="1:12" s="3" customFormat="1" ht="14.25" x14ac:dyDescent="0.25">
      <c r="A64" s="104">
        <v>44776</v>
      </c>
      <c r="B64" s="113" t="s">
        <v>803</v>
      </c>
      <c r="C64" s="105">
        <v>121001</v>
      </c>
      <c r="D64" s="106" t="s">
        <v>766</v>
      </c>
      <c r="E64" s="107" t="s">
        <v>13</v>
      </c>
      <c r="F64" s="108" t="s">
        <v>586</v>
      </c>
      <c r="G64" s="109" t="s">
        <v>804</v>
      </c>
      <c r="H64" s="110" t="s">
        <v>805</v>
      </c>
      <c r="I64" s="108" t="s">
        <v>10</v>
      </c>
      <c r="J64" s="84">
        <v>22161</v>
      </c>
      <c r="K64" s="111">
        <v>63.23</v>
      </c>
      <c r="L64" s="112">
        <f t="shared" si="2"/>
        <v>350.48236596552272</v>
      </c>
    </row>
    <row r="65" spans="1:12" s="3" customFormat="1" ht="14.25" x14ac:dyDescent="0.25">
      <c r="A65" s="104">
        <v>44776</v>
      </c>
      <c r="B65" s="113" t="s">
        <v>844</v>
      </c>
      <c r="C65" s="105">
        <v>122099</v>
      </c>
      <c r="D65" s="106" t="s">
        <v>757</v>
      </c>
      <c r="E65" s="107" t="s">
        <v>13</v>
      </c>
      <c r="F65" s="108" t="s">
        <v>572</v>
      </c>
      <c r="G65" s="109" t="s">
        <v>842</v>
      </c>
      <c r="H65" s="110" t="s">
        <v>845</v>
      </c>
      <c r="I65" s="108" t="s">
        <v>10</v>
      </c>
      <c r="J65" s="84">
        <v>26530</v>
      </c>
      <c r="K65" s="111">
        <v>63.23</v>
      </c>
      <c r="L65" s="112">
        <f t="shared" si="2"/>
        <v>419.57931361695398</v>
      </c>
    </row>
    <row r="66" spans="1:12" s="3" customFormat="1" ht="14.25" x14ac:dyDescent="0.25">
      <c r="A66" s="104">
        <v>44776</v>
      </c>
      <c r="B66" s="113" t="s">
        <v>847</v>
      </c>
      <c r="C66" s="105">
        <v>122099</v>
      </c>
      <c r="D66" s="106" t="s">
        <v>759</v>
      </c>
      <c r="E66" s="107" t="s">
        <v>13</v>
      </c>
      <c r="F66" s="108" t="s">
        <v>572</v>
      </c>
      <c r="G66" s="109" t="s">
        <v>842</v>
      </c>
      <c r="H66" s="110" t="s">
        <v>848</v>
      </c>
      <c r="I66" s="108" t="s">
        <v>10</v>
      </c>
      <c r="J66" s="84">
        <v>8700</v>
      </c>
      <c r="K66" s="111">
        <v>63.23</v>
      </c>
      <c r="L66" s="112">
        <f t="shared" si="2"/>
        <v>137.59291475565396</v>
      </c>
    </row>
    <row r="67" spans="1:12" s="3" customFormat="1" ht="14.25" x14ac:dyDescent="0.25">
      <c r="A67" s="104">
        <v>44776</v>
      </c>
      <c r="B67" s="105" t="s">
        <v>1042</v>
      </c>
      <c r="C67" s="105">
        <v>112101</v>
      </c>
      <c r="D67" s="106" t="s">
        <v>282</v>
      </c>
      <c r="E67" s="107" t="s">
        <v>13</v>
      </c>
      <c r="F67" s="108" t="s">
        <v>681</v>
      </c>
      <c r="G67" s="109" t="s">
        <v>35</v>
      </c>
      <c r="H67" s="110" t="s">
        <v>1043</v>
      </c>
      <c r="I67" s="108" t="s">
        <v>10</v>
      </c>
      <c r="J67" s="84">
        <v>205200</v>
      </c>
      <c r="K67" s="111">
        <v>63.23</v>
      </c>
      <c r="L67" s="112">
        <f t="shared" si="2"/>
        <v>3245.294954926459</v>
      </c>
    </row>
    <row r="68" spans="1:12" s="3" customFormat="1" ht="14.25" x14ac:dyDescent="0.25">
      <c r="A68" s="104">
        <v>44776</v>
      </c>
      <c r="B68" s="105" t="s">
        <v>980</v>
      </c>
      <c r="C68" s="105">
        <v>112101</v>
      </c>
      <c r="D68" s="106" t="s">
        <v>282</v>
      </c>
      <c r="E68" s="107" t="s">
        <v>19</v>
      </c>
      <c r="F68" s="108" t="s">
        <v>1044</v>
      </c>
      <c r="G68" s="109" t="s">
        <v>35</v>
      </c>
      <c r="H68" s="110" t="s">
        <v>1045</v>
      </c>
      <c r="I68" s="108" t="s">
        <v>10</v>
      </c>
      <c r="J68" s="84">
        <v>279000</v>
      </c>
      <c r="K68" s="111">
        <v>63.23</v>
      </c>
      <c r="L68" s="112">
        <f t="shared" si="2"/>
        <v>4412.4624387158001</v>
      </c>
    </row>
    <row r="69" spans="1:12" s="3" customFormat="1" ht="14.25" x14ac:dyDescent="0.25">
      <c r="A69" s="104">
        <v>44777</v>
      </c>
      <c r="B69" s="105" t="s">
        <v>980</v>
      </c>
      <c r="C69" s="105">
        <v>121099</v>
      </c>
      <c r="D69" s="106" t="s">
        <v>981</v>
      </c>
      <c r="E69" s="107" t="s">
        <v>19</v>
      </c>
      <c r="F69" s="108" t="s">
        <v>982</v>
      </c>
      <c r="G69" s="109" t="s">
        <v>983</v>
      </c>
      <c r="H69" s="110" t="s">
        <v>984</v>
      </c>
      <c r="I69" s="108" t="s">
        <v>10</v>
      </c>
      <c r="J69" s="84">
        <v>6048899.8799999999</v>
      </c>
      <c r="K69" s="111">
        <v>63.23</v>
      </c>
      <c r="L69" s="112">
        <f t="shared" si="2"/>
        <v>95665.030523485693</v>
      </c>
    </row>
    <row r="70" spans="1:12" s="114" customFormat="1" ht="14.25" x14ac:dyDescent="0.25">
      <c r="A70" s="104">
        <v>44777</v>
      </c>
      <c r="B70" s="113" t="s">
        <v>942</v>
      </c>
      <c r="C70" s="105">
        <v>121099</v>
      </c>
      <c r="D70" s="106" t="s">
        <v>943</v>
      </c>
      <c r="E70" s="107" t="s">
        <v>19</v>
      </c>
      <c r="F70" s="108" t="s">
        <v>944</v>
      </c>
      <c r="G70" s="109" t="s">
        <v>945</v>
      </c>
      <c r="H70" s="110" t="s">
        <v>946</v>
      </c>
      <c r="I70" s="108" t="s">
        <v>10</v>
      </c>
      <c r="J70" s="84">
        <v>6380353.6600000001</v>
      </c>
      <c r="K70" s="111">
        <v>63.23</v>
      </c>
      <c r="L70" s="112">
        <f t="shared" si="2"/>
        <v>100907.06405187411</v>
      </c>
    </row>
    <row r="71" spans="1:12" s="3" customFormat="1" ht="14.25" x14ac:dyDescent="0.25">
      <c r="A71" s="5"/>
      <c r="B71" s="6"/>
      <c r="C71" s="6"/>
      <c r="D71" s="7"/>
      <c r="E71" s="8"/>
      <c r="F71" s="10"/>
      <c r="G71" s="9"/>
      <c r="H71" s="16"/>
      <c r="I71" s="10"/>
      <c r="J71" s="14"/>
      <c r="K71" s="12">
        <v>63.23</v>
      </c>
      <c r="L71" s="13">
        <f t="shared" si="2"/>
        <v>0</v>
      </c>
    </row>
    <row r="72" spans="1:12" s="3" customFormat="1" ht="14.25" x14ac:dyDescent="0.25">
      <c r="A72" s="5"/>
      <c r="B72" s="6"/>
      <c r="C72" s="6"/>
      <c r="D72" s="7"/>
      <c r="E72" s="8"/>
      <c r="F72" s="10"/>
      <c r="G72" s="9"/>
      <c r="H72" s="16"/>
      <c r="I72" s="10"/>
      <c r="J72" s="14"/>
      <c r="K72" s="12">
        <v>63.23</v>
      </c>
      <c r="L72" s="13">
        <f t="shared" si="2"/>
        <v>0</v>
      </c>
    </row>
    <row r="73" spans="1:12" s="3" customFormat="1" ht="14.25" x14ac:dyDescent="0.25">
      <c r="A73" s="98"/>
      <c r="B73" s="99"/>
      <c r="C73" s="99"/>
      <c r="D73" s="100"/>
      <c r="E73" s="101"/>
      <c r="F73" s="96"/>
      <c r="G73" s="102"/>
      <c r="H73" s="103"/>
      <c r="I73" s="10"/>
      <c r="J73" s="14"/>
      <c r="K73" s="12"/>
      <c r="L73" s="13"/>
    </row>
    <row r="74" spans="1:12" s="3" customFormat="1" ht="14.25" x14ac:dyDescent="0.25">
      <c r="A74" s="221" t="s">
        <v>529</v>
      </c>
      <c r="B74" s="222"/>
      <c r="C74" s="222"/>
      <c r="D74" s="222"/>
      <c r="E74" s="222"/>
      <c r="F74" s="222"/>
      <c r="G74" s="222"/>
      <c r="H74" s="223"/>
      <c r="I74" s="10"/>
      <c r="J74" s="80">
        <f>SUM(J2:J72)</f>
        <v>27069737</v>
      </c>
      <c r="K74" s="80"/>
      <c r="L74" s="80">
        <f>SUM(L2:L72)</f>
        <v>428187.79569058714</v>
      </c>
    </row>
    <row r="76" spans="1:12" x14ac:dyDescent="0.25">
      <c r="J76">
        <v>87732.98</v>
      </c>
    </row>
  </sheetData>
  <autoFilter ref="A1:WVU74" xr:uid="{00000000-0009-0000-0000-000003000000}"/>
  <mergeCells count="1">
    <mergeCell ref="A74:H7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6"/>
  <sheetViews>
    <sheetView topLeftCell="I1" zoomScaleNormal="100" workbookViewId="0">
      <selection activeCell="J80" sqref="J80"/>
    </sheetView>
  </sheetViews>
  <sheetFormatPr defaultRowHeight="15" x14ac:dyDescent="0.25"/>
  <cols>
    <col min="1" max="1" width="12.28515625" bestFit="1" customWidth="1"/>
    <col min="2" max="2" width="20.5703125" bestFit="1" customWidth="1"/>
    <col min="4" max="4" width="22.140625" bestFit="1" customWidth="1"/>
    <col min="6" max="6" width="11" bestFit="1" customWidth="1"/>
    <col min="7" max="7" width="25.7109375" bestFit="1" customWidth="1"/>
    <col min="8" max="8" width="104.5703125" customWidth="1"/>
    <col min="9" max="10" width="15.7109375" bestFit="1" customWidth="1"/>
    <col min="11" max="11" width="8.85546875" bestFit="1" customWidth="1"/>
    <col min="12" max="12" width="14.85546875" customWidth="1"/>
    <col min="13" max="13" width="20.42578125" bestFit="1" customWidth="1"/>
    <col min="14" max="14" width="12" bestFit="1" customWidth="1"/>
  </cols>
  <sheetData>
    <row r="1" spans="1:16" s="3" customFormat="1" ht="30" x14ac:dyDescent="0.25">
      <c r="A1" s="1" t="s">
        <v>0</v>
      </c>
      <c r="B1" s="1" t="s">
        <v>36</v>
      </c>
      <c r="C1" s="1" t="s">
        <v>248</v>
      </c>
      <c r="D1" s="1" t="s">
        <v>2</v>
      </c>
      <c r="E1" s="1" t="s">
        <v>3</v>
      </c>
      <c r="F1" s="1" t="s">
        <v>47</v>
      </c>
      <c r="G1" s="1" t="s">
        <v>48</v>
      </c>
      <c r="H1" s="1" t="s">
        <v>4</v>
      </c>
      <c r="I1" s="1" t="s">
        <v>37</v>
      </c>
      <c r="J1" s="1" t="s">
        <v>6</v>
      </c>
      <c r="K1" s="1" t="s">
        <v>7</v>
      </c>
      <c r="L1" s="2" t="s">
        <v>8</v>
      </c>
    </row>
    <row r="2" spans="1:16" s="3" customFormat="1" ht="14.25" x14ac:dyDescent="0.25">
      <c r="A2" s="5">
        <v>44687</v>
      </c>
      <c r="B2" s="6" t="s">
        <v>745</v>
      </c>
      <c r="C2" s="6">
        <v>213001</v>
      </c>
      <c r="D2" s="7" t="s">
        <v>574</v>
      </c>
      <c r="E2" s="8" t="s">
        <v>19</v>
      </c>
      <c r="F2" s="10" t="s">
        <v>575</v>
      </c>
      <c r="G2" s="9" t="s">
        <v>576</v>
      </c>
      <c r="H2" s="16" t="s">
        <v>577</v>
      </c>
      <c r="I2" s="10" t="s">
        <v>10</v>
      </c>
      <c r="J2" s="14">
        <v>17641218.350000001</v>
      </c>
      <c r="K2" s="12">
        <v>63.2</v>
      </c>
      <c r="L2" s="13">
        <f t="shared" ref="L2:L80" si="0">J2/K2</f>
        <v>279133.20174050634</v>
      </c>
    </row>
    <row r="3" spans="1:16" s="3" customFormat="1" ht="14.25" x14ac:dyDescent="0.25">
      <c r="A3" s="5">
        <v>44713</v>
      </c>
      <c r="B3" s="6" t="s">
        <v>721</v>
      </c>
      <c r="C3" s="6">
        <v>122099</v>
      </c>
      <c r="D3" s="7" t="s">
        <v>29</v>
      </c>
      <c r="E3" s="8" t="s">
        <v>13</v>
      </c>
      <c r="F3" s="10" t="s">
        <v>668</v>
      </c>
      <c r="G3" s="9" t="s">
        <v>693</v>
      </c>
      <c r="H3" s="16" t="s">
        <v>717</v>
      </c>
      <c r="I3" s="10" t="s">
        <v>10</v>
      </c>
      <c r="J3" s="14">
        <v>167267.01999999999</v>
      </c>
      <c r="K3" s="12">
        <v>63.2</v>
      </c>
      <c r="L3" s="13">
        <f t="shared" si="0"/>
        <v>2646.6300632911389</v>
      </c>
      <c r="M3" s="82">
        <f>255000-J3</f>
        <v>87732.98000000001</v>
      </c>
    </row>
    <row r="4" spans="1:16" s="3" customFormat="1" ht="14.25" x14ac:dyDescent="0.25">
      <c r="A4" s="5">
        <v>44714</v>
      </c>
      <c r="B4" s="6" t="s">
        <v>887</v>
      </c>
      <c r="C4" s="6">
        <v>112101</v>
      </c>
      <c r="D4" s="7" t="s">
        <v>282</v>
      </c>
      <c r="E4" s="8" t="s">
        <v>13</v>
      </c>
      <c r="F4" s="10" t="s">
        <v>668</v>
      </c>
      <c r="G4" s="9" t="s">
        <v>35</v>
      </c>
      <c r="H4" s="16" t="s">
        <v>888</v>
      </c>
      <c r="I4" s="10" t="s">
        <v>10</v>
      </c>
      <c r="J4" s="14">
        <v>489600</v>
      </c>
      <c r="K4" s="12">
        <v>63.2</v>
      </c>
      <c r="L4" s="13">
        <f t="shared" si="0"/>
        <v>7746.8354430379741</v>
      </c>
      <c r="M4" s="82"/>
    </row>
    <row r="5" spans="1:16" s="3" customFormat="1" ht="14.25" x14ac:dyDescent="0.25">
      <c r="A5" s="5">
        <v>44721</v>
      </c>
      <c r="B5" s="6" t="s">
        <v>724</v>
      </c>
      <c r="C5" s="6">
        <v>122099</v>
      </c>
      <c r="D5" s="7" t="s">
        <v>375</v>
      </c>
      <c r="E5" s="8" t="s">
        <v>13</v>
      </c>
      <c r="F5" s="10" t="s">
        <v>668</v>
      </c>
      <c r="G5" s="9" t="s">
        <v>694</v>
      </c>
      <c r="H5" s="16" t="s">
        <v>695</v>
      </c>
      <c r="I5" s="10" t="s">
        <v>10</v>
      </c>
      <c r="J5" s="14">
        <v>353035.8</v>
      </c>
      <c r="K5" s="12">
        <v>63.2</v>
      </c>
      <c r="L5" s="13">
        <f t="shared" si="0"/>
        <v>5586.0094936708856</v>
      </c>
    </row>
    <row r="6" spans="1:16" s="3" customFormat="1" ht="14.25" x14ac:dyDescent="0.25">
      <c r="A6" s="5">
        <v>44721</v>
      </c>
      <c r="B6" s="6" t="s">
        <v>722</v>
      </c>
      <c r="C6" s="6">
        <v>122002</v>
      </c>
      <c r="D6" s="7" t="s">
        <v>320</v>
      </c>
      <c r="E6" s="8" t="s">
        <v>13</v>
      </c>
      <c r="F6" s="10" t="s">
        <v>668</v>
      </c>
      <c r="G6" s="9" t="s">
        <v>696</v>
      </c>
      <c r="H6" s="16" t="s">
        <v>699</v>
      </c>
      <c r="I6" s="10" t="s">
        <v>10</v>
      </c>
      <c r="J6" s="14">
        <f>117138+45776+45776+41776+41776+41776+41776</f>
        <v>375794</v>
      </c>
      <c r="K6" s="12">
        <v>63.2</v>
      </c>
      <c r="L6" s="13">
        <f t="shared" si="0"/>
        <v>5946.1075949367087</v>
      </c>
      <c r="N6" s="81"/>
    </row>
    <row r="7" spans="1:16" s="3" customFormat="1" ht="14.25" x14ac:dyDescent="0.25">
      <c r="A7" s="5">
        <v>44721</v>
      </c>
      <c r="B7" s="6" t="s">
        <v>723</v>
      </c>
      <c r="C7" s="6">
        <v>122002</v>
      </c>
      <c r="D7" s="7" t="s">
        <v>320</v>
      </c>
      <c r="E7" s="8" t="s">
        <v>13</v>
      </c>
      <c r="F7" s="10" t="s">
        <v>586</v>
      </c>
      <c r="G7" s="9" t="s">
        <v>697</v>
      </c>
      <c r="H7" s="16" t="s">
        <v>698</v>
      </c>
      <c r="I7" s="10" t="s">
        <v>10</v>
      </c>
      <c r="J7" s="14">
        <f>39046+40276+39046+36326+36326</f>
        <v>191020</v>
      </c>
      <c r="K7" s="12">
        <v>63.2</v>
      </c>
      <c r="L7" s="13">
        <f t="shared" si="0"/>
        <v>3022.4683544303798</v>
      </c>
    </row>
    <row r="8" spans="1:16" s="3" customFormat="1" ht="14.25" x14ac:dyDescent="0.25">
      <c r="A8" s="5">
        <v>44721</v>
      </c>
      <c r="B8" s="6" t="s">
        <v>701</v>
      </c>
      <c r="C8" s="6">
        <v>112101</v>
      </c>
      <c r="D8" s="7" t="s">
        <v>282</v>
      </c>
      <c r="E8" s="8" t="s">
        <v>13</v>
      </c>
      <c r="F8" s="10" t="s">
        <v>586</v>
      </c>
      <c r="G8" s="9" t="s">
        <v>35</v>
      </c>
      <c r="H8" s="16" t="s">
        <v>700</v>
      </c>
      <c r="I8" s="10" t="s">
        <v>10</v>
      </c>
      <c r="J8" s="14">
        <v>582600</v>
      </c>
      <c r="K8" s="12">
        <v>63.2</v>
      </c>
      <c r="L8" s="13">
        <f t="shared" si="0"/>
        <v>9218.3544303797462</v>
      </c>
      <c r="M8" s="82">
        <f>+J8-410400</f>
        <v>172200</v>
      </c>
    </row>
    <row r="9" spans="1:16" s="3" customFormat="1" ht="14.25" x14ac:dyDescent="0.25">
      <c r="A9" s="5">
        <v>44721</v>
      </c>
      <c r="B9" s="6" t="s">
        <v>702</v>
      </c>
      <c r="C9" s="6">
        <v>112101</v>
      </c>
      <c r="D9" s="7" t="s">
        <v>282</v>
      </c>
      <c r="E9" s="8" t="s">
        <v>13</v>
      </c>
      <c r="F9" s="10" t="s">
        <v>586</v>
      </c>
      <c r="G9" s="9" t="s">
        <v>35</v>
      </c>
      <c r="H9" s="16" t="s">
        <v>703</v>
      </c>
      <c r="I9" s="10" t="s">
        <v>10</v>
      </c>
      <c r="J9" s="14">
        <f>399000+95400</f>
        <v>494400</v>
      </c>
      <c r="K9" s="12">
        <v>63.2</v>
      </c>
      <c r="L9" s="13">
        <f t="shared" ref="L9:L33" si="1">J9/K9</f>
        <v>7822.7848101265818</v>
      </c>
      <c r="N9" s="82"/>
    </row>
    <row r="10" spans="1:16" s="3" customFormat="1" ht="14.25" x14ac:dyDescent="0.25">
      <c r="A10" s="5">
        <v>44721</v>
      </c>
      <c r="B10" s="6" t="s">
        <v>704</v>
      </c>
      <c r="C10" s="6">
        <v>121001</v>
      </c>
      <c r="D10" s="7" t="s">
        <v>676</v>
      </c>
      <c r="E10" s="8" t="s">
        <v>13</v>
      </c>
      <c r="F10" s="10" t="s">
        <v>668</v>
      </c>
      <c r="G10" s="9" t="s">
        <v>705</v>
      </c>
      <c r="H10" s="16" t="s">
        <v>706</v>
      </c>
      <c r="I10" s="10" t="s">
        <v>10</v>
      </c>
      <c r="J10" s="14">
        <v>20327.650000000001</v>
      </c>
      <c r="K10" s="12">
        <v>63.2</v>
      </c>
      <c r="L10" s="13">
        <f t="shared" si="1"/>
        <v>321.64003164556965</v>
      </c>
    </row>
    <row r="11" spans="1:16" s="3" customFormat="1" ht="14.25" x14ac:dyDescent="0.25">
      <c r="A11" s="5">
        <v>44721</v>
      </c>
      <c r="B11" s="6" t="s">
        <v>707</v>
      </c>
      <c r="C11" s="6">
        <v>121001</v>
      </c>
      <c r="D11" s="7" t="s">
        <v>432</v>
      </c>
      <c r="E11" s="8" t="s">
        <v>13</v>
      </c>
      <c r="F11" s="10" t="s">
        <v>586</v>
      </c>
      <c r="G11" s="9" t="s">
        <v>708</v>
      </c>
      <c r="H11" s="16" t="s">
        <v>709</v>
      </c>
      <c r="I11" s="10" t="s">
        <v>10</v>
      </c>
      <c r="J11" s="14">
        <v>16564</v>
      </c>
      <c r="K11" s="12">
        <v>63.2</v>
      </c>
      <c r="L11" s="13">
        <f t="shared" si="1"/>
        <v>262.08860759493672</v>
      </c>
    </row>
    <row r="12" spans="1:16" s="3" customFormat="1" ht="14.25" x14ac:dyDescent="0.25">
      <c r="A12" s="5">
        <v>44723</v>
      </c>
      <c r="B12" s="83" t="s">
        <v>777</v>
      </c>
      <c r="C12" s="6">
        <v>112101</v>
      </c>
      <c r="D12" s="7" t="s">
        <v>282</v>
      </c>
      <c r="E12" s="8" t="s">
        <v>13</v>
      </c>
      <c r="F12" s="10" t="s">
        <v>688</v>
      </c>
      <c r="G12" s="9" t="s">
        <v>35</v>
      </c>
      <c r="H12" s="16" t="s">
        <v>778</v>
      </c>
      <c r="I12" s="10" t="s">
        <v>10</v>
      </c>
      <c r="J12" s="14">
        <v>672600</v>
      </c>
      <c r="K12" s="12">
        <v>63.2</v>
      </c>
      <c r="L12" s="13">
        <f t="shared" si="1"/>
        <v>10642.405063291139</v>
      </c>
      <c r="M12" s="82">
        <f>+J12-609000</f>
        <v>63600</v>
      </c>
      <c r="N12" s="82">
        <f>+M12-37800</f>
        <v>25800</v>
      </c>
    </row>
    <row r="13" spans="1:16" s="3" customFormat="1" ht="28.5" x14ac:dyDescent="0.25">
      <c r="A13" s="5">
        <v>44725</v>
      </c>
      <c r="B13" s="6" t="s">
        <v>752</v>
      </c>
      <c r="C13" s="6">
        <v>121001</v>
      </c>
      <c r="D13" s="7" t="s">
        <v>282</v>
      </c>
      <c r="E13" s="8" t="s">
        <v>13</v>
      </c>
      <c r="F13" s="10" t="s">
        <v>572</v>
      </c>
      <c r="G13" s="9" t="s">
        <v>753</v>
      </c>
      <c r="H13" s="16" t="s">
        <v>754</v>
      </c>
      <c r="I13" s="10" t="s">
        <v>10</v>
      </c>
      <c r="J13" s="14">
        <v>30138.9</v>
      </c>
      <c r="K13" s="12">
        <v>63.2</v>
      </c>
      <c r="L13" s="13">
        <f t="shared" si="1"/>
        <v>476.88132911392404</v>
      </c>
      <c r="M13" s="3">
        <f>10035.6+11317.6+8785.7</f>
        <v>30138.9</v>
      </c>
    </row>
    <row r="14" spans="1:16" s="3" customFormat="1" ht="14.25" x14ac:dyDescent="0.25">
      <c r="A14" s="5">
        <v>44725</v>
      </c>
      <c r="B14" s="83" t="s">
        <v>763</v>
      </c>
      <c r="C14" s="6">
        <v>122099</v>
      </c>
      <c r="D14" s="7" t="s">
        <v>757</v>
      </c>
      <c r="E14" s="8" t="s">
        <v>13</v>
      </c>
      <c r="F14" s="10" t="s">
        <v>572</v>
      </c>
      <c r="G14" s="9"/>
      <c r="H14" s="16" t="s">
        <v>758</v>
      </c>
      <c r="I14" s="10" t="s">
        <v>10</v>
      </c>
      <c r="J14" s="14">
        <v>860</v>
      </c>
      <c r="K14" s="12">
        <v>63.2</v>
      </c>
      <c r="L14" s="13">
        <f t="shared" si="1"/>
        <v>13.60759493670886</v>
      </c>
    </row>
    <row r="15" spans="1:16" s="3" customFormat="1" ht="14.25" x14ac:dyDescent="0.25">
      <c r="A15" s="5">
        <v>44725</v>
      </c>
      <c r="B15" s="83" t="s">
        <v>762</v>
      </c>
      <c r="C15" s="6">
        <v>122099</v>
      </c>
      <c r="D15" s="7" t="s">
        <v>759</v>
      </c>
      <c r="E15" s="8" t="s">
        <v>13</v>
      </c>
      <c r="F15" s="10" t="s">
        <v>572</v>
      </c>
      <c r="G15" s="9"/>
      <c r="H15" s="16" t="s">
        <v>760</v>
      </c>
      <c r="I15" s="10" t="s">
        <v>10</v>
      </c>
      <c r="J15" s="14">
        <v>20260</v>
      </c>
      <c r="K15" s="12">
        <v>63.2</v>
      </c>
      <c r="L15" s="13">
        <f t="shared" si="1"/>
        <v>320.56962025316454</v>
      </c>
    </row>
    <row r="16" spans="1:16" s="3" customFormat="1" ht="14.25" x14ac:dyDescent="0.25">
      <c r="A16" s="5">
        <v>44725</v>
      </c>
      <c r="B16" s="83" t="s">
        <v>765</v>
      </c>
      <c r="C16" s="6">
        <v>121001</v>
      </c>
      <c r="D16" s="7" t="s">
        <v>766</v>
      </c>
      <c r="E16" s="8" t="s">
        <v>13</v>
      </c>
      <c r="F16" s="10" t="s">
        <v>572</v>
      </c>
      <c r="G16" s="9" t="s">
        <v>767</v>
      </c>
      <c r="H16" s="16" t="s">
        <v>768</v>
      </c>
      <c r="I16" s="10" t="s">
        <v>10</v>
      </c>
      <c r="J16" s="81">
        <f>6401.6+4175+7897+7924+5016.6+3948.5</f>
        <v>35362.699999999997</v>
      </c>
      <c r="K16" s="12">
        <v>63.2</v>
      </c>
      <c r="L16" s="13">
        <f t="shared" si="1"/>
        <v>559.53639240506322</v>
      </c>
      <c r="M16" s="3">
        <v>44369.1</v>
      </c>
      <c r="N16" s="82">
        <f>+J16-M16</f>
        <v>-9006.4000000000015</v>
      </c>
      <c r="O16" s="82">
        <f>44369.1-N16</f>
        <v>53375.5</v>
      </c>
      <c r="P16" s="82">
        <f>+O16-4844.4</f>
        <v>48531.1</v>
      </c>
    </row>
    <row r="17" spans="1:14" s="3" customFormat="1" ht="14.25" x14ac:dyDescent="0.25">
      <c r="A17" s="5">
        <v>44725</v>
      </c>
      <c r="B17" s="83" t="s">
        <v>773</v>
      </c>
      <c r="C17" s="6">
        <v>121001</v>
      </c>
      <c r="D17" s="7" t="s">
        <v>774</v>
      </c>
      <c r="E17" s="8" t="s">
        <v>13</v>
      </c>
      <c r="F17" s="10" t="s">
        <v>572</v>
      </c>
      <c r="G17" s="9" t="s">
        <v>775</v>
      </c>
      <c r="H17" s="16" t="s">
        <v>776</v>
      </c>
      <c r="I17" s="10" t="s">
        <v>10</v>
      </c>
      <c r="J17" s="14">
        <v>76489.899999999994</v>
      </c>
      <c r="K17" s="12">
        <v>63.2</v>
      </c>
      <c r="L17" s="13">
        <f t="shared" si="1"/>
        <v>1210.2832278481012</v>
      </c>
      <c r="N17" s="3">
        <f>12779.2+4113+3617.6+2665.8+22198.4+12111+19004.9</f>
        <v>76489.899999999994</v>
      </c>
    </row>
    <row r="18" spans="1:14" s="3" customFormat="1" ht="14.25" x14ac:dyDescent="0.25">
      <c r="A18" s="5">
        <v>44727</v>
      </c>
      <c r="B18" s="83" t="s">
        <v>755</v>
      </c>
      <c r="C18" s="6">
        <v>112101</v>
      </c>
      <c r="D18" s="7" t="s">
        <v>282</v>
      </c>
      <c r="E18" s="8" t="s">
        <v>13</v>
      </c>
      <c r="F18" s="10" t="s">
        <v>572</v>
      </c>
      <c r="G18" s="9" t="s">
        <v>35</v>
      </c>
      <c r="H18" s="16" t="s">
        <v>756</v>
      </c>
      <c r="I18" s="10" t="s">
        <v>10</v>
      </c>
      <c r="J18" s="14">
        <v>585000</v>
      </c>
      <c r="K18" s="12">
        <v>63.2</v>
      </c>
      <c r="L18" s="13">
        <f t="shared" si="1"/>
        <v>9256.32911392405</v>
      </c>
    </row>
    <row r="19" spans="1:14" s="3" customFormat="1" ht="14.25" x14ac:dyDescent="0.25">
      <c r="A19" s="5">
        <v>44727</v>
      </c>
      <c r="B19" s="83" t="s">
        <v>761</v>
      </c>
      <c r="C19" s="6">
        <v>112101</v>
      </c>
      <c r="D19" s="7" t="s">
        <v>282</v>
      </c>
      <c r="E19" s="8" t="s">
        <v>13</v>
      </c>
      <c r="F19" s="10" t="s">
        <v>572</v>
      </c>
      <c r="G19" s="9" t="s">
        <v>35</v>
      </c>
      <c r="H19" s="16" t="s">
        <v>764</v>
      </c>
      <c r="I19" s="10" t="s">
        <v>10</v>
      </c>
      <c r="J19" s="14">
        <v>916800</v>
      </c>
      <c r="K19" s="12">
        <v>63.2</v>
      </c>
      <c r="L19" s="13">
        <f t="shared" si="1"/>
        <v>14506.32911392405</v>
      </c>
      <c r="M19" s="3">
        <v>1092000</v>
      </c>
    </row>
    <row r="20" spans="1:14" s="3" customFormat="1" ht="14.25" x14ac:dyDescent="0.25">
      <c r="A20" s="5">
        <v>44727</v>
      </c>
      <c r="B20" s="83" t="s">
        <v>769</v>
      </c>
      <c r="C20" s="6">
        <v>112101</v>
      </c>
      <c r="D20" s="7" t="s">
        <v>282</v>
      </c>
      <c r="E20" s="8" t="s">
        <v>13</v>
      </c>
      <c r="F20" s="10" t="s">
        <v>572</v>
      </c>
      <c r="G20" s="9" t="s">
        <v>35</v>
      </c>
      <c r="H20" s="16" t="s">
        <v>770</v>
      </c>
      <c r="I20" s="10" t="s">
        <v>10</v>
      </c>
      <c r="J20" s="14">
        <v>416400</v>
      </c>
      <c r="K20" s="12">
        <v>63.2</v>
      </c>
      <c r="L20" s="13">
        <f t="shared" si="1"/>
        <v>6588.6075949367087</v>
      </c>
      <c r="M20" s="3">
        <v>504600</v>
      </c>
      <c r="N20" s="82"/>
    </row>
    <row r="21" spans="1:14" s="3" customFormat="1" ht="14.25" x14ac:dyDescent="0.25">
      <c r="A21" s="5">
        <v>44729</v>
      </c>
      <c r="B21" s="6" t="s">
        <v>750</v>
      </c>
      <c r="C21" s="6">
        <v>112101</v>
      </c>
      <c r="D21" s="7" t="s">
        <v>282</v>
      </c>
      <c r="E21" s="8" t="s">
        <v>13</v>
      </c>
      <c r="F21" s="10" t="s">
        <v>586</v>
      </c>
      <c r="G21" s="9" t="s">
        <v>35</v>
      </c>
      <c r="H21" s="16" t="s">
        <v>751</v>
      </c>
      <c r="I21" s="10" t="s">
        <v>10</v>
      </c>
      <c r="J21" s="14">
        <f>194400+3600</f>
        <v>198000</v>
      </c>
      <c r="K21" s="12">
        <v>63.2</v>
      </c>
      <c r="L21" s="13">
        <f t="shared" si="1"/>
        <v>3132.911392405063</v>
      </c>
      <c r="M21" s="82"/>
    </row>
    <row r="22" spans="1:14" s="3" customFormat="1" ht="14.25" x14ac:dyDescent="0.25">
      <c r="A22" s="5">
        <v>44729</v>
      </c>
      <c r="B22" s="83" t="s">
        <v>748</v>
      </c>
      <c r="C22" s="6">
        <v>112101</v>
      </c>
      <c r="D22" s="7" t="s">
        <v>282</v>
      </c>
      <c r="E22" s="8" t="s">
        <v>13</v>
      </c>
      <c r="F22" s="10" t="s">
        <v>668</v>
      </c>
      <c r="G22" s="9" t="s">
        <v>35</v>
      </c>
      <c r="H22" s="16" t="s">
        <v>749</v>
      </c>
      <c r="I22" s="10" t="s">
        <v>10</v>
      </c>
      <c r="J22" s="14">
        <v>139800</v>
      </c>
      <c r="K22" s="12">
        <v>63.2</v>
      </c>
      <c r="L22" s="13">
        <f t="shared" si="1"/>
        <v>2212.0253164556962</v>
      </c>
      <c r="M22" s="82">
        <v>148800</v>
      </c>
      <c r="N22" s="82"/>
    </row>
    <row r="23" spans="1:14" s="3" customFormat="1" ht="14.25" x14ac:dyDescent="0.25">
      <c r="A23" s="5">
        <v>44729</v>
      </c>
      <c r="B23" s="83" t="s">
        <v>781</v>
      </c>
      <c r="C23" s="6">
        <v>122099</v>
      </c>
      <c r="D23" s="7" t="s">
        <v>782</v>
      </c>
      <c r="E23" s="8" t="s">
        <v>13</v>
      </c>
      <c r="F23" s="10" t="s">
        <v>688</v>
      </c>
      <c r="G23" s="9" t="s">
        <v>783</v>
      </c>
      <c r="H23" s="16" t="s">
        <v>784</v>
      </c>
      <c r="I23" s="10" t="s">
        <v>10</v>
      </c>
      <c r="J23" s="14">
        <v>79200</v>
      </c>
      <c r="K23" s="12">
        <v>63.2</v>
      </c>
      <c r="L23" s="13">
        <f t="shared" si="1"/>
        <v>1253.1645569620252</v>
      </c>
      <c r="M23" s="4">
        <f>21243870-16200</f>
        <v>21227670</v>
      </c>
    </row>
    <row r="24" spans="1:14" s="3" customFormat="1" ht="14.25" x14ac:dyDescent="0.25">
      <c r="A24" s="5">
        <v>44729</v>
      </c>
      <c r="B24" s="83" t="s">
        <v>785</v>
      </c>
      <c r="C24" s="6">
        <v>121005</v>
      </c>
      <c r="D24" s="7" t="s">
        <v>455</v>
      </c>
      <c r="E24" s="8" t="s">
        <v>13</v>
      </c>
      <c r="F24" s="10" t="s">
        <v>668</v>
      </c>
      <c r="G24" s="9" t="s">
        <v>786</v>
      </c>
      <c r="H24" s="16" t="s">
        <v>787</v>
      </c>
      <c r="I24" s="10" t="s">
        <v>10</v>
      </c>
      <c r="J24" s="14">
        <v>33430</v>
      </c>
      <c r="K24" s="12">
        <v>63.2</v>
      </c>
      <c r="L24" s="13">
        <f t="shared" si="1"/>
        <v>528.95569620253161</v>
      </c>
    </row>
    <row r="25" spans="1:14" s="3" customFormat="1" ht="14.25" x14ac:dyDescent="0.25">
      <c r="A25" s="5">
        <v>44729</v>
      </c>
      <c r="B25" s="83" t="s">
        <v>788</v>
      </c>
      <c r="C25" s="6">
        <v>121005</v>
      </c>
      <c r="D25" s="7" t="s">
        <v>455</v>
      </c>
      <c r="E25" s="8" t="s">
        <v>13</v>
      </c>
      <c r="F25" s="10" t="s">
        <v>668</v>
      </c>
      <c r="G25" s="9" t="s">
        <v>789</v>
      </c>
      <c r="H25" s="16" t="s">
        <v>790</v>
      </c>
      <c r="I25" s="10" t="s">
        <v>10</v>
      </c>
      <c r="J25" s="14">
        <v>14030</v>
      </c>
      <c r="K25" s="12">
        <v>63.2</v>
      </c>
      <c r="L25" s="13">
        <f t="shared" si="1"/>
        <v>221.99367088607593</v>
      </c>
    </row>
    <row r="26" spans="1:14" s="3" customFormat="1" ht="14.25" x14ac:dyDescent="0.25">
      <c r="A26" s="5">
        <v>44729</v>
      </c>
      <c r="B26" s="83" t="s">
        <v>791</v>
      </c>
      <c r="C26" s="6">
        <v>121005</v>
      </c>
      <c r="D26" s="7" t="s">
        <v>455</v>
      </c>
      <c r="E26" s="8" t="s">
        <v>13</v>
      </c>
      <c r="F26" s="10" t="s">
        <v>586</v>
      </c>
      <c r="G26" s="9" t="s">
        <v>792</v>
      </c>
      <c r="H26" s="16" t="s">
        <v>713</v>
      </c>
      <c r="I26" s="10" t="s">
        <v>10</v>
      </c>
      <c r="J26" s="14">
        <v>3990</v>
      </c>
      <c r="K26" s="12">
        <v>63.2</v>
      </c>
      <c r="L26" s="13">
        <f t="shared" si="1"/>
        <v>63.132911392405063</v>
      </c>
    </row>
    <row r="27" spans="1:14" s="3" customFormat="1" ht="14.25" x14ac:dyDescent="0.25">
      <c r="A27" s="5">
        <v>44729</v>
      </c>
      <c r="B27" s="83" t="s">
        <v>800</v>
      </c>
      <c r="C27" s="6">
        <v>122002</v>
      </c>
      <c r="D27" s="7" t="s">
        <v>33</v>
      </c>
      <c r="E27" s="8" t="s">
        <v>13</v>
      </c>
      <c r="F27" s="10" t="s">
        <v>504</v>
      </c>
      <c r="G27" s="9" t="s">
        <v>801</v>
      </c>
      <c r="H27" s="16" t="s">
        <v>802</v>
      </c>
      <c r="I27" s="10" t="s">
        <v>10</v>
      </c>
      <c r="J27" s="14">
        <v>74572</v>
      </c>
      <c r="K27" s="12">
        <v>63.2</v>
      </c>
      <c r="L27" s="13">
        <f t="shared" si="1"/>
        <v>1179.9367088607594</v>
      </c>
    </row>
    <row r="28" spans="1:14" s="3" customFormat="1" ht="28.5" x14ac:dyDescent="0.25">
      <c r="A28" s="5">
        <v>44729</v>
      </c>
      <c r="B28" s="83" t="s">
        <v>825</v>
      </c>
      <c r="C28" s="6">
        <v>222099</v>
      </c>
      <c r="D28" s="7" t="s">
        <v>822</v>
      </c>
      <c r="E28" s="8" t="s">
        <v>13</v>
      </c>
      <c r="F28" s="10" t="s">
        <v>824</v>
      </c>
      <c r="G28" s="9"/>
      <c r="H28" s="16" t="s">
        <v>823</v>
      </c>
      <c r="I28" s="10" t="s">
        <v>10</v>
      </c>
      <c r="J28" s="14">
        <v>108000</v>
      </c>
      <c r="K28" s="12">
        <v>63.2</v>
      </c>
      <c r="L28" s="13">
        <f t="shared" si="1"/>
        <v>1708.8607594936709</v>
      </c>
    </row>
    <row r="29" spans="1:14" s="3" customFormat="1" ht="14.25" x14ac:dyDescent="0.25">
      <c r="A29" s="5">
        <v>44729</v>
      </c>
      <c r="B29" s="83"/>
      <c r="C29" s="6">
        <v>222099</v>
      </c>
      <c r="D29" s="7" t="s">
        <v>602</v>
      </c>
      <c r="E29" s="8" t="s">
        <v>13</v>
      </c>
      <c r="F29" s="10" t="s">
        <v>824</v>
      </c>
      <c r="G29" s="9"/>
      <c r="H29" s="16" t="s">
        <v>886</v>
      </c>
      <c r="I29" s="10" t="s">
        <v>10</v>
      </c>
      <c r="J29" s="14">
        <v>131160.24</v>
      </c>
      <c r="K29" s="12">
        <v>64.2</v>
      </c>
      <c r="L29" s="13">
        <f t="shared" si="1"/>
        <v>2042.9943925233642</v>
      </c>
    </row>
    <row r="30" spans="1:14" s="3" customFormat="1" ht="14.25" x14ac:dyDescent="0.25">
      <c r="A30" s="5">
        <v>44729</v>
      </c>
      <c r="B30" s="83"/>
      <c r="C30" s="6">
        <v>222099</v>
      </c>
      <c r="D30" s="7" t="s">
        <v>595</v>
      </c>
      <c r="E30" s="8" t="s">
        <v>13</v>
      </c>
      <c r="F30" s="10" t="s">
        <v>824</v>
      </c>
      <c r="G30" s="9"/>
      <c r="H30" s="16" t="s">
        <v>886</v>
      </c>
      <c r="I30" s="10" t="s">
        <v>10</v>
      </c>
      <c r="J30" s="14">
        <v>81370.39</v>
      </c>
      <c r="K30" s="12">
        <v>65.2</v>
      </c>
      <c r="L30" s="13">
        <f t="shared" si="1"/>
        <v>1248.0121165644171</v>
      </c>
    </row>
    <row r="31" spans="1:14" s="3" customFormat="1" ht="14.25" x14ac:dyDescent="0.25">
      <c r="A31" s="5">
        <v>44729</v>
      </c>
      <c r="B31" s="83"/>
      <c r="C31" s="6">
        <v>222099</v>
      </c>
      <c r="D31" s="7" t="s">
        <v>608</v>
      </c>
      <c r="E31" s="8" t="s">
        <v>13</v>
      </c>
      <c r="F31" s="10" t="s">
        <v>824</v>
      </c>
      <c r="G31" s="9"/>
      <c r="H31" s="16" t="s">
        <v>886</v>
      </c>
      <c r="I31" s="10" t="s">
        <v>10</v>
      </c>
      <c r="J31" s="14">
        <v>134400</v>
      </c>
      <c r="K31" s="12">
        <v>66.2</v>
      </c>
      <c r="L31" s="13">
        <f t="shared" si="1"/>
        <v>2030.2114803625377</v>
      </c>
    </row>
    <row r="32" spans="1:14" s="3" customFormat="1" ht="14.25" x14ac:dyDescent="0.25">
      <c r="A32" s="5">
        <v>44732</v>
      </c>
      <c r="B32" s="83" t="s">
        <v>771</v>
      </c>
      <c r="C32" s="6">
        <v>122099</v>
      </c>
      <c r="D32" s="7" t="s">
        <v>843</v>
      </c>
      <c r="E32" s="8" t="s">
        <v>13</v>
      </c>
      <c r="F32" s="10" t="s">
        <v>572</v>
      </c>
      <c r="G32" s="9" t="s">
        <v>889</v>
      </c>
      <c r="H32" s="16" t="s">
        <v>772</v>
      </c>
      <c r="I32" s="10" t="s">
        <v>10</v>
      </c>
      <c r="J32" s="14">
        <v>148760</v>
      </c>
      <c r="K32" s="12">
        <v>63.2</v>
      </c>
      <c r="L32" s="13">
        <f t="shared" si="1"/>
        <v>2353.7974683544303</v>
      </c>
      <c r="M32" s="3">
        <v>148700</v>
      </c>
    </row>
    <row r="33" spans="1:14" s="3" customFormat="1" ht="14.25" x14ac:dyDescent="0.25">
      <c r="A33" s="5">
        <v>44732</v>
      </c>
      <c r="B33" s="83" t="s">
        <v>779</v>
      </c>
      <c r="C33" s="6">
        <v>112101</v>
      </c>
      <c r="D33" s="7" t="s">
        <v>282</v>
      </c>
      <c r="E33" s="8" t="s">
        <v>13</v>
      </c>
      <c r="F33" s="10" t="s">
        <v>504</v>
      </c>
      <c r="G33" s="9" t="s">
        <v>35</v>
      </c>
      <c r="H33" s="16" t="s">
        <v>780</v>
      </c>
      <c r="I33" s="10" t="s">
        <v>10</v>
      </c>
      <c r="J33" s="14">
        <v>27600</v>
      </c>
      <c r="K33" s="12">
        <v>63.2</v>
      </c>
      <c r="L33" s="13">
        <f t="shared" si="1"/>
        <v>436.70886075949363</v>
      </c>
    </row>
    <row r="34" spans="1:14" s="3" customFormat="1" ht="14.25" x14ac:dyDescent="0.25">
      <c r="A34" s="5">
        <v>44735</v>
      </c>
      <c r="B34" s="83" t="s">
        <v>796</v>
      </c>
      <c r="C34" s="6">
        <v>121001</v>
      </c>
      <c r="D34" s="7" t="s">
        <v>797</v>
      </c>
      <c r="E34" s="8" t="s">
        <v>13</v>
      </c>
      <c r="F34" s="10" t="s">
        <v>794</v>
      </c>
      <c r="G34" s="9" t="s">
        <v>798</v>
      </c>
      <c r="H34" s="16" t="s">
        <v>799</v>
      </c>
      <c r="I34" s="10" t="s">
        <v>10</v>
      </c>
      <c r="J34" s="14">
        <v>197425</v>
      </c>
      <c r="K34" s="12">
        <v>63.2</v>
      </c>
      <c r="L34" s="13">
        <f t="shared" si="0"/>
        <v>3123.8132911392404</v>
      </c>
    </row>
    <row r="35" spans="1:14" s="3" customFormat="1" ht="14.25" x14ac:dyDescent="0.25">
      <c r="A35" s="5">
        <v>44735</v>
      </c>
      <c r="B35" s="83" t="s">
        <v>806</v>
      </c>
      <c r="C35" s="6">
        <v>122099</v>
      </c>
      <c r="D35" s="7" t="s">
        <v>807</v>
      </c>
      <c r="E35" s="8" t="s">
        <v>13</v>
      </c>
      <c r="F35" s="10" t="s">
        <v>572</v>
      </c>
      <c r="G35" s="9" t="s">
        <v>808</v>
      </c>
      <c r="H35" s="16" t="s">
        <v>809</v>
      </c>
      <c r="I35" s="10" t="s">
        <v>10</v>
      </c>
      <c r="J35" s="14">
        <v>440000</v>
      </c>
      <c r="K35" s="12">
        <v>63.2</v>
      </c>
      <c r="L35" s="13">
        <f t="shared" si="0"/>
        <v>6962.0253164556962</v>
      </c>
    </row>
    <row r="36" spans="1:14" s="3" customFormat="1" ht="14.25" x14ac:dyDescent="0.25">
      <c r="A36" s="5">
        <v>44735</v>
      </c>
      <c r="B36" s="83" t="s">
        <v>810</v>
      </c>
      <c r="C36" s="6">
        <v>122099</v>
      </c>
      <c r="D36" s="7" t="s">
        <v>807</v>
      </c>
      <c r="E36" s="8" t="s">
        <v>13</v>
      </c>
      <c r="F36" s="10" t="s">
        <v>572</v>
      </c>
      <c r="G36" s="9" t="s">
        <v>811</v>
      </c>
      <c r="H36" s="16" t="s">
        <v>809</v>
      </c>
      <c r="I36" s="10" t="s">
        <v>10</v>
      </c>
      <c r="J36" s="14">
        <v>575000</v>
      </c>
      <c r="K36" s="12">
        <v>63.2</v>
      </c>
      <c r="L36" s="13">
        <f t="shared" si="0"/>
        <v>9098.1012658227846</v>
      </c>
    </row>
    <row r="37" spans="1:14" s="3" customFormat="1" ht="14.25" x14ac:dyDescent="0.25">
      <c r="A37" s="5">
        <v>44735</v>
      </c>
      <c r="B37" s="83" t="s">
        <v>812</v>
      </c>
      <c r="C37" s="6">
        <v>122099</v>
      </c>
      <c r="D37" s="7" t="s">
        <v>807</v>
      </c>
      <c r="E37" s="8" t="s">
        <v>13</v>
      </c>
      <c r="F37" s="10" t="s">
        <v>572</v>
      </c>
      <c r="G37" s="9" t="s">
        <v>813</v>
      </c>
      <c r="H37" s="16" t="s">
        <v>809</v>
      </c>
      <c r="I37" s="10" t="s">
        <v>10</v>
      </c>
      <c r="J37" s="14">
        <v>707500</v>
      </c>
      <c r="K37" s="12">
        <v>63.2</v>
      </c>
      <c r="L37" s="13">
        <f t="shared" si="0"/>
        <v>11194.620253164556</v>
      </c>
    </row>
    <row r="38" spans="1:14" s="3" customFormat="1" ht="14.25" x14ac:dyDescent="0.25">
      <c r="A38" s="5">
        <v>44735</v>
      </c>
      <c r="B38" s="83" t="s">
        <v>814</v>
      </c>
      <c r="C38" s="6">
        <v>122099</v>
      </c>
      <c r="D38" s="7" t="s">
        <v>817</v>
      </c>
      <c r="E38" s="8" t="s">
        <v>13</v>
      </c>
      <c r="F38" s="10" t="s">
        <v>572</v>
      </c>
      <c r="G38" s="9" t="s">
        <v>815</v>
      </c>
      <c r="H38" s="16" t="s">
        <v>820</v>
      </c>
      <c r="I38" s="10" t="s">
        <v>10</v>
      </c>
      <c r="J38" s="14">
        <v>142500</v>
      </c>
      <c r="K38" s="12">
        <v>63.2</v>
      </c>
      <c r="L38" s="13">
        <f t="shared" si="0"/>
        <v>2254.746835443038</v>
      </c>
    </row>
    <row r="39" spans="1:14" s="3" customFormat="1" ht="14.25" x14ac:dyDescent="0.25">
      <c r="A39" s="5">
        <v>44735</v>
      </c>
      <c r="B39" s="83" t="s">
        <v>816</v>
      </c>
      <c r="C39" s="6">
        <v>122099</v>
      </c>
      <c r="D39" s="7" t="s">
        <v>817</v>
      </c>
      <c r="E39" s="8" t="s">
        <v>13</v>
      </c>
      <c r="F39" s="10" t="s">
        <v>572</v>
      </c>
      <c r="G39" s="9" t="s">
        <v>818</v>
      </c>
      <c r="H39" s="16" t="s">
        <v>819</v>
      </c>
      <c r="I39" s="10" t="s">
        <v>10</v>
      </c>
      <c r="J39" s="14">
        <v>154500</v>
      </c>
      <c r="K39" s="12">
        <v>63.2</v>
      </c>
      <c r="L39" s="13">
        <f t="shared" si="0"/>
        <v>2444.6202531645567</v>
      </c>
    </row>
    <row r="40" spans="1:14" s="3" customFormat="1" ht="14.25" x14ac:dyDescent="0.25">
      <c r="A40" s="5">
        <v>44735</v>
      </c>
      <c r="B40" s="83" t="s">
        <v>821</v>
      </c>
      <c r="C40" s="6">
        <v>122099</v>
      </c>
      <c r="D40" s="7" t="s">
        <v>826</v>
      </c>
      <c r="E40" s="8" t="s">
        <v>13</v>
      </c>
      <c r="F40" s="10" t="s">
        <v>668</v>
      </c>
      <c r="G40" s="9" t="s">
        <v>827</v>
      </c>
      <c r="H40" s="16" t="s">
        <v>828</v>
      </c>
      <c r="I40" s="10" t="s">
        <v>10</v>
      </c>
      <c r="J40" s="14">
        <v>249000</v>
      </c>
      <c r="K40" s="12">
        <v>63.2</v>
      </c>
      <c r="L40" s="13">
        <f t="shared" ref="L40:L49" si="2">J40/K40</f>
        <v>3939.8734177215188</v>
      </c>
    </row>
    <row r="41" spans="1:14" s="3" customFormat="1" ht="14.25" x14ac:dyDescent="0.25">
      <c r="A41" s="5">
        <v>44735</v>
      </c>
      <c r="B41" s="83" t="s">
        <v>829</v>
      </c>
      <c r="C41" s="6">
        <v>122099</v>
      </c>
      <c r="D41" s="7" t="s">
        <v>817</v>
      </c>
      <c r="E41" s="8" t="s">
        <v>13</v>
      </c>
      <c r="F41" s="10" t="s">
        <v>668</v>
      </c>
      <c r="G41" s="9" t="s">
        <v>830</v>
      </c>
      <c r="H41" s="16" t="s">
        <v>831</v>
      </c>
      <c r="I41" s="10" t="s">
        <v>10</v>
      </c>
      <c r="J41" s="14">
        <v>20000</v>
      </c>
      <c r="K41" s="12">
        <v>63.2</v>
      </c>
      <c r="L41" s="13">
        <f t="shared" si="2"/>
        <v>316.45569620253161</v>
      </c>
      <c r="M41" s="97">
        <f>58276424.65-29915.3</f>
        <v>58246509.350000001</v>
      </c>
    </row>
    <row r="42" spans="1:14" s="3" customFormat="1" ht="14.25" x14ac:dyDescent="0.25">
      <c r="A42" s="5">
        <v>44735</v>
      </c>
      <c r="B42" s="83" t="s">
        <v>832</v>
      </c>
      <c r="C42" s="6">
        <v>112101</v>
      </c>
      <c r="D42" s="7" t="s">
        <v>282</v>
      </c>
      <c r="E42" s="8" t="s">
        <v>13</v>
      </c>
      <c r="F42" s="10" t="s">
        <v>572</v>
      </c>
      <c r="G42" s="9" t="s">
        <v>35</v>
      </c>
      <c r="H42" s="16" t="s">
        <v>833</v>
      </c>
      <c r="I42" s="10" t="s">
        <v>10</v>
      </c>
      <c r="J42" s="14">
        <v>689400</v>
      </c>
      <c r="K42" s="12">
        <v>63.2</v>
      </c>
      <c r="L42" s="13">
        <f t="shared" si="2"/>
        <v>10908.227848101265</v>
      </c>
      <c r="M42" s="4">
        <v>715200</v>
      </c>
      <c r="N42" s="82"/>
    </row>
    <row r="43" spans="1:14" s="3" customFormat="1" ht="14.25" x14ac:dyDescent="0.25">
      <c r="A43" s="5">
        <v>44735</v>
      </c>
      <c r="B43" s="83" t="s">
        <v>834</v>
      </c>
      <c r="C43" s="6">
        <v>112101</v>
      </c>
      <c r="D43" s="7" t="s">
        <v>282</v>
      </c>
      <c r="E43" s="8" t="s">
        <v>13</v>
      </c>
      <c r="F43" s="10" t="s">
        <v>572</v>
      </c>
      <c r="G43" s="9" t="s">
        <v>35</v>
      </c>
      <c r="H43" s="16" t="s">
        <v>835</v>
      </c>
      <c r="I43" s="10" t="s">
        <v>10</v>
      </c>
      <c r="J43" s="14">
        <v>723600</v>
      </c>
      <c r="K43" s="12">
        <v>63.2</v>
      </c>
      <c r="L43" s="13">
        <f t="shared" si="2"/>
        <v>11449.367088607594</v>
      </c>
      <c r="M43" s="3">
        <v>727200</v>
      </c>
      <c r="N43" s="82"/>
    </row>
    <row r="44" spans="1:14" s="3" customFormat="1" ht="14.25" x14ac:dyDescent="0.25">
      <c r="A44" s="5">
        <v>44735</v>
      </c>
      <c r="B44" s="83" t="s">
        <v>836</v>
      </c>
      <c r="C44" s="6">
        <v>112101</v>
      </c>
      <c r="D44" s="7" t="s">
        <v>282</v>
      </c>
      <c r="E44" s="8" t="s">
        <v>13</v>
      </c>
      <c r="F44" s="10" t="s">
        <v>572</v>
      </c>
      <c r="G44" s="9" t="s">
        <v>35</v>
      </c>
      <c r="H44" s="16" t="s">
        <v>837</v>
      </c>
      <c r="I44" s="10" t="s">
        <v>10</v>
      </c>
      <c r="J44" s="14">
        <v>1120200</v>
      </c>
      <c r="K44" s="12">
        <v>63.2</v>
      </c>
      <c r="L44" s="13">
        <f t="shared" si="2"/>
        <v>17724.683544303796</v>
      </c>
      <c r="M44" s="3">
        <v>1118400</v>
      </c>
    </row>
    <row r="45" spans="1:14" s="3" customFormat="1" ht="14.25" x14ac:dyDescent="0.25">
      <c r="A45" s="5">
        <v>44735</v>
      </c>
      <c r="B45" s="83" t="s">
        <v>838</v>
      </c>
      <c r="C45" s="6">
        <v>112101</v>
      </c>
      <c r="D45" s="7" t="s">
        <v>282</v>
      </c>
      <c r="E45" s="8" t="s">
        <v>13</v>
      </c>
      <c r="F45" s="10" t="s">
        <v>572</v>
      </c>
      <c r="G45" s="9" t="s">
        <v>839</v>
      </c>
      <c r="H45" s="16" t="s">
        <v>840</v>
      </c>
      <c r="I45" s="10" t="s">
        <v>10</v>
      </c>
      <c r="J45" s="14">
        <v>20400</v>
      </c>
      <c r="K45" s="12">
        <v>63.2</v>
      </c>
      <c r="L45" s="13">
        <f t="shared" si="2"/>
        <v>322.78481012658227</v>
      </c>
    </row>
    <row r="46" spans="1:14" s="3" customFormat="1" ht="14.25" x14ac:dyDescent="0.25">
      <c r="A46" s="5">
        <v>44735</v>
      </c>
      <c r="B46" s="83" t="s">
        <v>841</v>
      </c>
      <c r="C46" s="6">
        <v>122099</v>
      </c>
      <c r="D46" s="7" t="s">
        <v>843</v>
      </c>
      <c r="E46" s="8" t="s">
        <v>13</v>
      </c>
      <c r="F46" s="10" t="s">
        <v>572</v>
      </c>
      <c r="G46" s="9" t="s">
        <v>842</v>
      </c>
      <c r="H46" s="16" t="s">
        <v>846</v>
      </c>
      <c r="I46" s="10" t="s">
        <v>10</v>
      </c>
      <c r="J46" s="14">
        <v>245380</v>
      </c>
      <c r="K46" s="12">
        <v>63.2</v>
      </c>
      <c r="L46" s="13">
        <f t="shared" si="2"/>
        <v>3882.5949367088606</v>
      </c>
      <c r="M46" s="3">
        <f>131210+17550</f>
        <v>148760</v>
      </c>
    </row>
    <row r="47" spans="1:14" s="3" customFormat="1" ht="14.25" x14ac:dyDescent="0.25">
      <c r="A47" s="5">
        <v>44735</v>
      </c>
      <c r="B47" s="83" t="s">
        <v>853</v>
      </c>
      <c r="C47" s="6">
        <v>121001</v>
      </c>
      <c r="D47" s="7" t="s">
        <v>854</v>
      </c>
      <c r="E47" s="8" t="s">
        <v>13</v>
      </c>
      <c r="F47" s="10" t="s">
        <v>572</v>
      </c>
      <c r="G47" s="9" t="s">
        <v>855</v>
      </c>
      <c r="H47" s="16" t="s">
        <v>856</v>
      </c>
      <c r="I47" s="10" t="s">
        <v>10</v>
      </c>
      <c r="J47" s="14">
        <v>350000</v>
      </c>
      <c r="K47" s="12">
        <v>63.2</v>
      </c>
      <c r="L47" s="13">
        <f t="shared" si="2"/>
        <v>5537.9746835443038</v>
      </c>
    </row>
    <row r="48" spans="1:14" s="3" customFormat="1" ht="14.25" x14ac:dyDescent="0.25">
      <c r="A48" s="5">
        <v>44735</v>
      </c>
      <c r="B48" s="83" t="s">
        <v>857</v>
      </c>
      <c r="C48" s="6">
        <v>112101</v>
      </c>
      <c r="D48" s="7" t="s">
        <v>282</v>
      </c>
      <c r="E48" s="8" t="s">
        <v>13</v>
      </c>
      <c r="F48" s="10" t="s">
        <v>572</v>
      </c>
      <c r="G48" s="9" t="s">
        <v>35</v>
      </c>
      <c r="H48" s="16" t="s">
        <v>858</v>
      </c>
      <c r="I48" s="10" t="s">
        <v>10</v>
      </c>
      <c r="J48" s="14">
        <v>1279200</v>
      </c>
      <c r="K48" s="12">
        <v>63.2</v>
      </c>
      <c r="L48" s="13">
        <f t="shared" si="2"/>
        <v>20240.506329113923</v>
      </c>
    </row>
    <row r="49" spans="1:14" s="3" customFormat="1" ht="14.25" x14ac:dyDescent="0.25">
      <c r="A49" s="5">
        <v>44735</v>
      </c>
      <c r="B49" s="83" t="s">
        <v>859</v>
      </c>
      <c r="C49" s="6">
        <v>121001</v>
      </c>
      <c r="D49" s="7" t="s">
        <v>766</v>
      </c>
      <c r="E49" s="8" t="s">
        <v>13</v>
      </c>
      <c r="F49" s="10" t="s">
        <v>586</v>
      </c>
      <c r="G49" s="9" t="s">
        <v>860</v>
      </c>
      <c r="H49" s="16" t="s">
        <v>861</v>
      </c>
      <c r="I49" s="10" t="s">
        <v>10</v>
      </c>
      <c r="J49" s="14">
        <v>25953.4</v>
      </c>
      <c r="K49" s="12">
        <v>63.2</v>
      </c>
      <c r="L49" s="13">
        <f t="shared" si="2"/>
        <v>410.65506329113924</v>
      </c>
    </row>
    <row r="50" spans="1:14" s="3" customFormat="1" ht="14.25" x14ac:dyDescent="0.25">
      <c r="A50" s="5"/>
      <c r="B50" s="83"/>
      <c r="C50" s="6"/>
      <c r="D50" s="7"/>
      <c r="E50" s="8"/>
      <c r="F50" s="10"/>
      <c r="G50" s="9"/>
      <c r="H50" s="16"/>
      <c r="I50" s="10"/>
      <c r="J50" s="14"/>
      <c r="K50" s="12"/>
      <c r="L50" s="13"/>
    </row>
    <row r="51" spans="1:14" s="3" customFormat="1" ht="14.25" x14ac:dyDescent="0.25">
      <c r="A51" s="5"/>
      <c r="B51" s="83"/>
      <c r="C51" s="6"/>
      <c r="D51" s="7"/>
      <c r="E51" s="8"/>
      <c r="F51" s="10"/>
      <c r="G51" s="9"/>
      <c r="H51" s="16"/>
      <c r="I51" s="10"/>
      <c r="J51" s="14"/>
      <c r="K51" s="12"/>
      <c r="L51" s="13"/>
    </row>
    <row r="52" spans="1:14" s="3" customFormat="1" ht="14.25" x14ac:dyDescent="0.25">
      <c r="A52" s="5"/>
      <c r="B52" s="83"/>
      <c r="C52" s="6"/>
      <c r="D52" s="7"/>
      <c r="E52" s="8"/>
      <c r="F52" s="10"/>
      <c r="G52" s="9"/>
      <c r="H52" s="16"/>
      <c r="I52" s="10"/>
      <c r="J52" s="14"/>
      <c r="K52" s="12"/>
      <c r="L52" s="13"/>
      <c r="M52" s="97"/>
    </row>
    <row r="53" spans="1:14" s="3" customFormat="1" ht="14.25" x14ac:dyDescent="0.25">
      <c r="A53" s="5"/>
      <c r="B53" s="83"/>
      <c r="C53" s="6"/>
      <c r="D53" s="7"/>
      <c r="E53" s="8"/>
      <c r="F53" s="10"/>
      <c r="G53" s="9"/>
      <c r="H53" s="16"/>
      <c r="I53" s="10"/>
      <c r="J53" s="14"/>
      <c r="K53" s="12"/>
      <c r="L53" s="13"/>
      <c r="M53" s="4"/>
      <c r="N53" s="82"/>
    </row>
    <row r="54" spans="1:14" s="3" customFormat="1" ht="14.25" x14ac:dyDescent="0.25">
      <c r="A54" s="5"/>
      <c r="B54" s="83"/>
      <c r="C54" s="6"/>
      <c r="D54" s="7"/>
      <c r="E54" s="8"/>
      <c r="F54" s="10"/>
      <c r="G54" s="9"/>
      <c r="H54" s="16"/>
      <c r="I54" s="10"/>
      <c r="J54" s="14"/>
      <c r="K54" s="12"/>
      <c r="L54" s="13"/>
      <c r="N54" s="82"/>
    </row>
    <row r="55" spans="1:14" s="3" customFormat="1" ht="14.25" x14ac:dyDescent="0.25">
      <c r="A55" s="5"/>
      <c r="B55" s="83"/>
      <c r="C55" s="6"/>
      <c r="D55" s="7"/>
      <c r="E55" s="8"/>
      <c r="F55" s="10"/>
      <c r="G55" s="9"/>
      <c r="H55" s="16"/>
      <c r="I55" s="10"/>
      <c r="J55" s="14"/>
      <c r="K55" s="12"/>
      <c r="L55" s="13"/>
    </row>
    <row r="56" spans="1:14" s="3" customFormat="1" ht="14.25" x14ac:dyDescent="0.25">
      <c r="A56" s="5"/>
      <c r="B56" s="83"/>
      <c r="C56" s="6"/>
      <c r="D56" s="7"/>
      <c r="E56" s="8"/>
      <c r="F56" s="10"/>
      <c r="G56" s="9"/>
      <c r="H56" s="16"/>
      <c r="I56" s="10"/>
      <c r="J56" s="14"/>
      <c r="K56" s="12"/>
      <c r="L56" s="13"/>
    </row>
    <row r="57" spans="1:14" s="3" customFormat="1" ht="14.25" x14ac:dyDescent="0.25">
      <c r="A57" s="5"/>
      <c r="B57" s="83"/>
      <c r="C57" s="6"/>
      <c r="D57" s="7"/>
      <c r="E57" s="8"/>
      <c r="F57" s="10"/>
      <c r="G57" s="9"/>
      <c r="H57" s="16"/>
      <c r="I57" s="10"/>
      <c r="J57" s="14"/>
      <c r="K57" s="12"/>
      <c r="L57" s="13"/>
    </row>
    <row r="58" spans="1:14" s="3" customFormat="1" ht="14.25" x14ac:dyDescent="0.25">
      <c r="A58" s="5">
        <v>44743</v>
      </c>
      <c r="B58" s="83" t="s">
        <v>849</v>
      </c>
      <c r="C58" s="6">
        <v>122099</v>
      </c>
      <c r="D58" s="7" t="s">
        <v>850</v>
      </c>
      <c r="E58" s="8" t="s">
        <v>13</v>
      </c>
      <c r="F58" s="10" t="s">
        <v>572</v>
      </c>
      <c r="G58" s="9" t="s">
        <v>851</v>
      </c>
      <c r="H58" s="16" t="s">
        <v>852</v>
      </c>
      <c r="I58" s="10" t="s">
        <v>10</v>
      </c>
      <c r="J58" s="14">
        <v>210000</v>
      </c>
      <c r="K58" s="12">
        <v>63.2</v>
      </c>
      <c r="L58" s="13">
        <f t="shared" si="0"/>
        <v>3322.7848101265822</v>
      </c>
    </row>
    <row r="59" spans="1:14" s="3" customFormat="1" ht="14.25" x14ac:dyDescent="0.25">
      <c r="A59" s="5">
        <v>44743</v>
      </c>
      <c r="B59" s="83" t="s">
        <v>862</v>
      </c>
      <c r="C59" s="6">
        <v>122099</v>
      </c>
      <c r="D59" s="7" t="s">
        <v>807</v>
      </c>
      <c r="E59" s="8" t="s">
        <v>13</v>
      </c>
      <c r="F59" s="10" t="s">
        <v>572</v>
      </c>
      <c r="G59" s="9" t="s">
        <v>863</v>
      </c>
      <c r="H59" s="16" t="s">
        <v>864</v>
      </c>
      <c r="I59" s="10" t="s">
        <v>869</v>
      </c>
      <c r="J59" s="14">
        <v>707500</v>
      </c>
      <c r="K59" s="12">
        <v>63.2</v>
      </c>
      <c r="L59" s="13">
        <f t="shared" si="0"/>
        <v>11194.620253164556</v>
      </c>
    </row>
    <row r="60" spans="1:14" s="3" customFormat="1" ht="14.25" x14ac:dyDescent="0.25">
      <c r="A60" s="5">
        <v>44743</v>
      </c>
      <c r="B60" s="83" t="s">
        <v>865</v>
      </c>
      <c r="C60" s="6">
        <v>122099</v>
      </c>
      <c r="D60" s="7" t="s">
        <v>807</v>
      </c>
      <c r="E60" s="8" t="s">
        <v>13</v>
      </c>
      <c r="F60" s="10" t="s">
        <v>572</v>
      </c>
      <c r="G60" s="9" t="s">
        <v>866</v>
      </c>
      <c r="H60" s="16" t="s">
        <v>867</v>
      </c>
      <c r="I60" s="10" t="s">
        <v>868</v>
      </c>
      <c r="J60" s="14">
        <v>575000</v>
      </c>
      <c r="K60" s="12">
        <v>63.2</v>
      </c>
      <c r="L60" s="13">
        <f t="shared" si="0"/>
        <v>9098.1012658227846</v>
      </c>
    </row>
    <row r="61" spans="1:14" s="3" customFormat="1" ht="14.25" x14ac:dyDescent="0.25">
      <c r="A61" s="5">
        <v>44743</v>
      </c>
      <c r="B61" s="83" t="s">
        <v>870</v>
      </c>
      <c r="C61" s="6">
        <v>122099</v>
      </c>
      <c r="D61" s="7" t="s">
        <v>807</v>
      </c>
      <c r="E61" s="8" t="s">
        <v>13</v>
      </c>
      <c r="F61" s="10" t="s">
        <v>572</v>
      </c>
      <c r="G61" s="9" t="s">
        <v>871</v>
      </c>
      <c r="H61" s="16" t="s">
        <v>872</v>
      </c>
      <c r="I61" s="10" t="s">
        <v>873</v>
      </c>
      <c r="J61" s="14">
        <v>440000</v>
      </c>
      <c r="K61" s="12">
        <v>63.2</v>
      </c>
      <c r="L61" s="13">
        <f t="shared" si="0"/>
        <v>6962.0253164556962</v>
      </c>
    </row>
    <row r="62" spans="1:14" s="3" customFormat="1" ht="14.25" x14ac:dyDescent="0.25">
      <c r="A62" s="5">
        <v>44743</v>
      </c>
      <c r="B62" s="83" t="s">
        <v>874</v>
      </c>
      <c r="C62" s="6">
        <v>122099</v>
      </c>
      <c r="D62" s="7" t="s">
        <v>807</v>
      </c>
      <c r="E62" s="8" t="s">
        <v>13</v>
      </c>
      <c r="F62" s="10" t="s">
        <v>572</v>
      </c>
      <c r="G62" s="9" t="s">
        <v>875</v>
      </c>
      <c r="H62" s="16" t="s">
        <v>876</v>
      </c>
      <c r="I62" s="10" t="s">
        <v>877</v>
      </c>
      <c r="J62" s="14">
        <v>1605000</v>
      </c>
      <c r="K62" s="12">
        <v>63.2</v>
      </c>
      <c r="L62" s="13">
        <f t="shared" si="0"/>
        <v>25395.569620253162</v>
      </c>
    </row>
    <row r="63" spans="1:14" s="3" customFormat="1" ht="14.25" x14ac:dyDescent="0.25">
      <c r="A63" s="5">
        <v>44743</v>
      </c>
      <c r="B63" s="83" t="s">
        <v>878</v>
      </c>
      <c r="C63" s="6">
        <v>122099</v>
      </c>
      <c r="D63" s="7" t="s">
        <v>807</v>
      </c>
      <c r="E63" s="8" t="s">
        <v>13</v>
      </c>
      <c r="F63" s="10" t="s">
        <v>572</v>
      </c>
      <c r="G63" s="9" t="s">
        <v>879</v>
      </c>
      <c r="H63" s="16" t="s">
        <v>880</v>
      </c>
      <c r="I63" s="10" t="s">
        <v>881</v>
      </c>
      <c r="J63" s="14">
        <v>900000</v>
      </c>
      <c r="K63" s="12">
        <v>63.2</v>
      </c>
      <c r="L63" s="13">
        <f t="shared" si="0"/>
        <v>14240.506329113923</v>
      </c>
    </row>
    <row r="64" spans="1:14" s="3" customFormat="1" ht="14.25" x14ac:dyDescent="0.25">
      <c r="A64" s="5">
        <v>44743</v>
      </c>
      <c r="B64" s="83" t="s">
        <v>882</v>
      </c>
      <c r="C64" s="6">
        <v>122099</v>
      </c>
      <c r="D64" s="7" t="s">
        <v>807</v>
      </c>
      <c r="E64" s="8" t="s">
        <v>13</v>
      </c>
      <c r="F64" s="10" t="s">
        <v>572</v>
      </c>
      <c r="G64" s="9" t="s">
        <v>883</v>
      </c>
      <c r="H64" s="16" t="s">
        <v>884</v>
      </c>
      <c r="I64" s="10" t="s">
        <v>885</v>
      </c>
      <c r="J64" s="14">
        <v>357500</v>
      </c>
      <c r="K64" s="12">
        <v>63.2</v>
      </c>
      <c r="L64" s="13">
        <f t="shared" si="0"/>
        <v>5656.6455696202529</v>
      </c>
    </row>
    <row r="65" spans="1:12" s="3" customFormat="1" ht="14.25" x14ac:dyDescent="0.25">
      <c r="A65" s="5">
        <v>44747</v>
      </c>
      <c r="B65" s="83" t="s">
        <v>890</v>
      </c>
      <c r="C65" s="6">
        <v>122099</v>
      </c>
      <c r="D65" s="7" t="s">
        <v>891</v>
      </c>
      <c r="E65" s="8" t="s">
        <v>13</v>
      </c>
      <c r="F65" s="10" t="s">
        <v>572</v>
      </c>
      <c r="G65" s="9" t="s">
        <v>892</v>
      </c>
      <c r="H65" s="16" t="s">
        <v>893</v>
      </c>
      <c r="I65" s="10" t="s">
        <v>894</v>
      </c>
      <c r="J65" s="14">
        <v>444000</v>
      </c>
      <c r="K65" s="12">
        <v>63.2</v>
      </c>
      <c r="L65" s="13">
        <f t="shared" si="0"/>
        <v>7025.316455696202</v>
      </c>
    </row>
    <row r="66" spans="1:12" s="3" customFormat="1" ht="14.25" x14ac:dyDescent="0.25">
      <c r="A66" s="5">
        <v>44747</v>
      </c>
      <c r="B66" s="83" t="s">
        <v>895</v>
      </c>
      <c r="C66" s="6">
        <v>122099</v>
      </c>
      <c r="D66" s="7" t="s">
        <v>891</v>
      </c>
      <c r="E66" s="8" t="s">
        <v>13</v>
      </c>
      <c r="F66" s="10" t="s">
        <v>572</v>
      </c>
      <c r="G66" s="9" t="s">
        <v>896</v>
      </c>
      <c r="H66" s="16" t="s">
        <v>897</v>
      </c>
      <c r="I66" s="10" t="s">
        <v>898</v>
      </c>
      <c r="J66" s="14">
        <v>559750</v>
      </c>
      <c r="K66" s="12">
        <v>63.2</v>
      </c>
      <c r="L66" s="13">
        <f t="shared" si="0"/>
        <v>8856.8037974683539</v>
      </c>
    </row>
    <row r="67" spans="1:12" s="3" customFormat="1" ht="14.25" x14ac:dyDescent="0.25">
      <c r="A67" s="5">
        <v>44747</v>
      </c>
      <c r="B67" s="83" t="s">
        <v>899</v>
      </c>
      <c r="C67" s="6">
        <v>122099</v>
      </c>
      <c r="D67" s="7" t="s">
        <v>891</v>
      </c>
      <c r="E67" s="8" t="s">
        <v>13</v>
      </c>
      <c r="F67" s="10" t="s">
        <v>572</v>
      </c>
      <c r="G67" s="9" t="s">
        <v>900</v>
      </c>
      <c r="H67" s="16" t="s">
        <v>897</v>
      </c>
      <c r="I67" s="10" t="s">
        <v>901</v>
      </c>
      <c r="J67" s="14">
        <v>236800</v>
      </c>
      <c r="K67" s="12">
        <v>63.2</v>
      </c>
      <c r="L67" s="13">
        <f t="shared" si="0"/>
        <v>3746.8354430379745</v>
      </c>
    </row>
    <row r="68" spans="1:12" s="3" customFormat="1" ht="14.25" x14ac:dyDescent="0.25">
      <c r="A68" s="5">
        <v>44756</v>
      </c>
      <c r="B68" s="83" t="s">
        <v>902</v>
      </c>
      <c r="C68" s="6">
        <v>122099</v>
      </c>
      <c r="D68" s="7" t="s">
        <v>807</v>
      </c>
      <c r="E68" s="8" t="s">
        <v>13</v>
      </c>
      <c r="F68" s="10" t="s">
        <v>572</v>
      </c>
      <c r="G68" s="9" t="s">
        <v>903</v>
      </c>
      <c r="H68" s="16" t="s">
        <v>904</v>
      </c>
      <c r="I68" s="10" t="s">
        <v>905</v>
      </c>
      <c r="J68" s="14">
        <v>357500</v>
      </c>
      <c r="K68" s="12">
        <v>63.23</v>
      </c>
      <c r="L68" s="13">
        <f t="shared" si="0"/>
        <v>5653.9617270283097</v>
      </c>
    </row>
    <row r="69" spans="1:12" s="3" customFormat="1" ht="14.25" x14ac:dyDescent="0.25">
      <c r="A69" s="5">
        <v>44757</v>
      </c>
      <c r="B69" s="83" t="s">
        <v>906</v>
      </c>
      <c r="C69" s="6">
        <v>122099</v>
      </c>
      <c r="D69" s="7" t="s">
        <v>907</v>
      </c>
      <c r="E69" s="8" t="s">
        <v>13</v>
      </c>
      <c r="F69" s="10" t="s">
        <v>572</v>
      </c>
      <c r="G69" s="9" t="s">
        <v>908</v>
      </c>
      <c r="H69" s="16" t="s">
        <v>912</v>
      </c>
      <c r="I69" s="10" t="s">
        <v>909</v>
      </c>
      <c r="J69" s="14">
        <v>430000</v>
      </c>
      <c r="K69" s="12">
        <v>63.23</v>
      </c>
      <c r="L69" s="13">
        <f t="shared" si="0"/>
        <v>6800.5693499920926</v>
      </c>
    </row>
    <row r="70" spans="1:12" s="3" customFormat="1" ht="14.25" x14ac:dyDescent="0.25">
      <c r="A70" s="5">
        <v>44757</v>
      </c>
      <c r="B70" s="83" t="s">
        <v>910</v>
      </c>
      <c r="C70" s="6">
        <v>122099</v>
      </c>
      <c r="D70" s="7" t="s">
        <v>907</v>
      </c>
      <c r="E70" s="8" t="s">
        <v>13</v>
      </c>
      <c r="F70" s="10" t="s">
        <v>572</v>
      </c>
      <c r="G70" s="9" t="s">
        <v>911</v>
      </c>
      <c r="H70" s="16" t="s">
        <v>913</v>
      </c>
      <c r="I70" s="10" t="s">
        <v>914</v>
      </c>
      <c r="J70" s="14">
        <v>430000</v>
      </c>
      <c r="K70" s="12">
        <v>63.23</v>
      </c>
      <c r="L70" s="13">
        <f t="shared" si="0"/>
        <v>6800.5693499920926</v>
      </c>
    </row>
    <row r="71" spans="1:12" s="3" customFormat="1" ht="14.25" x14ac:dyDescent="0.25">
      <c r="A71" s="5">
        <v>44760</v>
      </c>
      <c r="B71" s="83" t="s">
        <v>915</v>
      </c>
      <c r="C71" s="6">
        <v>122099</v>
      </c>
      <c r="D71" s="7" t="s">
        <v>916</v>
      </c>
      <c r="E71" s="8" t="s">
        <v>13</v>
      </c>
      <c r="F71" s="10" t="s">
        <v>572</v>
      </c>
      <c r="G71" s="9" t="s">
        <v>917</v>
      </c>
      <c r="H71" s="16" t="s">
        <v>918</v>
      </c>
      <c r="I71" s="10" t="s">
        <v>919</v>
      </c>
      <c r="J71" s="14">
        <v>941850</v>
      </c>
      <c r="K71" s="12">
        <v>63.23</v>
      </c>
      <c r="L71" s="13">
        <f t="shared" si="0"/>
        <v>14895.619168116402</v>
      </c>
    </row>
    <row r="72" spans="1:12" s="3" customFormat="1" ht="14.25" x14ac:dyDescent="0.25">
      <c r="A72" s="5">
        <v>44761</v>
      </c>
      <c r="B72" s="83" t="s">
        <v>920</v>
      </c>
      <c r="C72" s="6">
        <v>122099</v>
      </c>
      <c r="D72" s="7" t="s">
        <v>921</v>
      </c>
      <c r="E72" s="8" t="s">
        <v>13</v>
      </c>
      <c r="F72" s="10" t="s">
        <v>572</v>
      </c>
      <c r="G72" s="9" t="s">
        <v>922</v>
      </c>
      <c r="H72" s="16" t="s">
        <v>923</v>
      </c>
      <c r="I72" s="10" t="s">
        <v>924</v>
      </c>
      <c r="J72" s="14">
        <v>490230</v>
      </c>
      <c r="K72" s="12">
        <v>63.23</v>
      </c>
      <c r="L72" s="13">
        <f t="shared" si="0"/>
        <v>7753.1235173177292</v>
      </c>
    </row>
    <row r="73" spans="1:12" s="3" customFormat="1" ht="14.25" x14ac:dyDescent="0.25">
      <c r="A73" s="5">
        <v>44761</v>
      </c>
      <c r="B73" s="83" t="s">
        <v>925</v>
      </c>
      <c r="C73" s="6">
        <v>121099</v>
      </c>
      <c r="D73" s="7" t="s">
        <v>926</v>
      </c>
      <c r="E73" s="8" t="s">
        <v>19</v>
      </c>
      <c r="F73" s="10" t="s">
        <v>681</v>
      </c>
      <c r="G73" s="9" t="s">
        <v>927</v>
      </c>
      <c r="H73" s="16" t="s">
        <v>928</v>
      </c>
      <c r="I73" s="10" t="s">
        <v>929</v>
      </c>
      <c r="J73" s="14">
        <v>802068</v>
      </c>
      <c r="K73" s="12">
        <v>63.23</v>
      </c>
      <c r="L73" s="13">
        <f t="shared" si="0"/>
        <v>12684.928040487112</v>
      </c>
    </row>
    <row r="74" spans="1:12" s="3" customFormat="1" ht="14.25" x14ac:dyDescent="0.25">
      <c r="A74" s="5">
        <v>44762</v>
      </c>
      <c r="B74" s="83" t="s">
        <v>930</v>
      </c>
      <c r="C74" s="6">
        <v>121005</v>
      </c>
      <c r="D74" s="7" t="s">
        <v>931</v>
      </c>
      <c r="E74" s="8" t="s">
        <v>13</v>
      </c>
      <c r="F74" s="10" t="s">
        <v>572</v>
      </c>
      <c r="G74" s="9" t="s">
        <v>932</v>
      </c>
      <c r="H74" s="16" t="s">
        <v>933</v>
      </c>
      <c r="I74" s="10" t="s">
        <v>934</v>
      </c>
      <c r="J74" s="14">
        <v>129127.05</v>
      </c>
      <c r="K74" s="12">
        <v>63.23</v>
      </c>
      <c r="L74" s="13">
        <f t="shared" si="0"/>
        <v>2042.180136011387</v>
      </c>
    </row>
    <row r="75" spans="1:12" s="3" customFormat="1" ht="14.25" x14ac:dyDescent="0.25">
      <c r="A75" s="5">
        <v>44762</v>
      </c>
      <c r="B75" s="83" t="s">
        <v>935</v>
      </c>
      <c r="C75" s="6">
        <v>121005</v>
      </c>
      <c r="D75" s="7" t="s">
        <v>931</v>
      </c>
      <c r="E75" s="8" t="s">
        <v>13</v>
      </c>
      <c r="F75" s="10" t="s">
        <v>572</v>
      </c>
      <c r="G75" s="9" t="s">
        <v>936</v>
      </c>
      <c r="H75" s="16" t="s">
        <v>933</v>
      </c>
      <c r="I75" s="10" t="s">
        <v>937</v>
      </c>
      <c r="J75" s="14">
        <v>559944.44999999995</v>
      </c>
      <c r="K75" s="12">
        <v>63.23</v>
      </c>
      <c r="L75" s="13">
        <f t="shared" si="0"/>
        <v>8855.6768938794867</v>
      </c>
    </row>
    <row r="76" spans="1:12" s="3" customFormat="1" ht="14.25" x14ac:dyDescent="0.25">
      <c r="A76" s="5">
        <v>44764</v>
      </c>
      <c r="B76" s="83" t="s">
        <v>938</v>
      </c>
      <c r="C76" s="6">
        <v>214101</v>
      </c>
      <c r="D76" s="7" t="s">
        <v>939</v>
      </c>
      <c r="E76" s="8" t="s">
        <v>19</v>
      </c>
      <c r="F76" s="10" t="s">
        <v>561</v>
      </c>
      <c r="G76" s="9" t="s">
        <v>940</v>
      </c>
      <c r="H76" s="16" t="s">
        <v>941</v>
      </c>
      <c r="I76" s="10" t="s">
        <v>10</v>
      </c>
      <c r="J76" s="14">
        <v>11703180</v>
      </c>
      <c r="K76" s="12">
        <v>63.23</v>
      </c>
      <c r="L76" s="13">
        <f t="shared" si="0"/>
        <v>185089.04001265223</v>
      </c>
    </row>
    <row r="77" spans="1:12" s="3" customFormat="1" ht="14.25" x14ac:dyDescent="0.25">
      <c r="A77" s="5">
        <v>44767</v>
      </c>
      <c r="B77" s="83"/>
      <c r="C77" s="6">
        <v>222099</v>
      </c>
      <c r="D77" s="7" t="s">
        <v>995</v>
      </c>
      <c r="E77" s="8" t="s">
        <v>13</v>
      </c>
      <c r="F77" s="10" t="s">
        <v>824</v>
      </c>
      <c r="G77" s="9" t="s">
        <v>15</v>
      </c>
      <c r="H77" s="16" t="s">
        <v>886</v>
      </c>
      <c r="I77" s="10" t="s">
        <v>10</v>
      </c>
      <c r="J77" s="14">
        <v>160000</v>
      </c>
      <c r="K77" s="12">
        <v>63.23</v>
      </c>
      <c r="L77" s="13">
        <f t="shared" si="0"/>
        <v>2530.4444092993836</v>
      </c>
    </row>
    <row r="78" spans="1:12" s="3" customFormat="1" ht="14.25" x14ac:dyDescent="0.25">
      <c r="A78" s="5">
        <v>44769</v>
      </c>
      <c r="B78" s="83" t="s">
        <v>947</v>
      </c>
      <c r="C78" s="6">
        <v>121099</v>
      </c>
      <c r="D78" s="7" t="s">
        <v>943</v>
      </c>
      <c r="E78" s="8" t="s">
        <v>19</v>
      </c>
      <c r="F78" s="10" t="s">
        <v>561</v>
      </c>
      <c r="G78" s="9" t="s">
        <v>948</v>
      </c>
      <c r="H78" s="16" t="s">
        <v>949</v>
      </c>
      <c r="I78" s="10" t="s">
        <v>10</v>
      </c>
      <c r="J78" s="14">
        <v>9337261.6799999997</v>
      </c>
      <c r="K78" s="12">
        <v>63.23</v>
      </c>
      <c r="L78" s="13">
        <f t="shared" ref="L78:L79" si="3">J78/K78</f>
        <v>147671.38510200856</v>
      </c>
    </row>
    <row r="79" spans="1:12" s="3" customFormat="1" ht="14.25" x14ac:dyDescent="0.25">
      <c r="A79" s="5">
        <v>44770</v>
      </c>
      <c r="B79" s="83" t="s">
        <v>996</v>
      </c>
      <c r="C79" s="6">
        <v>211099</v>
      </c>
      <c r="D79" s="7" t="s">
        <v>997</v>
      </c>
      <c r="E79" s="8" t="s">
        <v>19</v>
      </c>
      <c r="F79" s="10" t="s">
        <v>565</v>
      </c>
      <c r="G79" s="9" t="s">
        <v>998</v>
      </c>
      <c r="H79" s="16" t="s">
        <v>999</v>
      </c>
      <c r="I79" s="10" t="s">
        <v>10</v>
      </c>
      <c r="J79" s="14">
        <v>520138.32</v>
      </c>
      <c r="K79" s="12">
        <v>63.23</v>
      </c>
      <c r="L79" s="13">
        <f t="shared" si="3"/>
        <v>8226.1318994148351</v>
      </c>
    </row>
    <row r="80" spans="1:12" s="114" customFormat="1" ht="14.25" x14ac:dyDescent="0.25">
      <c r="A80" s="104">
        <v>44769</v>
      </c>
      <c r="B80" s="113" t="s">
        <v>942</v>
      </c>
      <c r="C80" s="105">
        <v>121099</v>
      </c>
      <c r="D80" s="106" t="s">
        <v>943</v>
      </c>
      <c r="E80" s="107" t="s">
        <v>19</v>
      </c>
      <c r="F80" s="108" t="s">
        <v>944</v>
      </c>
      <c r="G80" s="109" t="s">
        <v>945</v>
      </c>
      <c r="H80" s="110" t="s">
        <v>946</v>
      </c>
      <c r="I80" s="108" t="s">
        <v>10</v>
      </c>
      <c r="J80" s="84">
        <v>6380353.6600000001</v>
      </c>
      <c r="K80" s="111">
        <v>63.23</v>
      </c>
      <c r="L80" s="112">
        <f t="shared" si="0"/>
        <v>100907.06405187411</v>
      </c>
    </row>
    <row r="81" spans="1:15" s="3" customFormat="1" ht="14.25" x14ac:dyDescent="0.25">
      <c r="A81" s="104">
        <v>44727</v>
      </c>
      <c r="B81" s="113" t="s">
        <v>793</v>
      </c>
      <c r="C81" s="105">
        <v>121001</v>
      </c>
      <c r="D81" s="106" t="s">
        <v>766</v>
      </c>
      <c r="E81" s="107" t="s">
        <v>13</v>
      </c>
      <c r="F81" s="108" t="s">
        <v>794</v>
      </c>
      <c r="G81" s="109" t="s">
        <v>481</v>
      </c>
      <c r="H81" s="110" t="s">
        <v>795</v>
      </c>
      <c r="I81" s="108" t="s">
        <v>10</v>
      </c>
      <c r="J81" s="84">
        <v>156483.5</v>
      </c>
      <c r="K81" s="111">
        <v>63.23</v>
      </c>
      <c r="L81" s="112">
        <f t="shared" ref="L81:L84" si="4">J81/K81</f>
        <v>2474.8299857662505</v>
      </c>
    </row>
    <row r="82" spans="1:15" s="3" customFormat="1" ht="14.25" x14ac:dyDescent="0.25">
      <c r="A82" s="104">
        <v>44635</v>
      </c>
      <c r="B82" s="113" t="s">
        <v>803</v>
      </c>
      <c r="C82" s="105">
        <v>121001</v>
      </c>
      <c r="D82" s="106" t="s">
        <v>766</v>
      </c>
      <c r="E82" s="107" t="s">
        <v>13</v>
      </c>
      <c r="F82" s="108" t="s">
        <v>586</v>
      </c>
      <c r="G82" s="109" t="s">
        <v>804</v>
      </c>
      <c r="H82" s="110" t="s">
        <v>805</v>
      </c>
      <c r="I82" s="108" t="s">
        <v>10</v>
      </c>
      <c r="J82" s="84">
        <v>22161</v>
      </c>
      <c r="K82" s="111">
        <v>63.23</v>
      </c>
      <c r="L82" s="112">
        <f t="shared" si="4"/>
        <v>350.48236596552272</v>
      </c>
    </row>
    <row r="83" spans="1:15" s="3" customFormat="1" ht="14.25" x14ac:dyDescent="0.25">
      <c r="A83" s="104">
        <v>44729</v>
      </c>
      <c r="B83" s="113" t="s">
        <v>844</v>
      </c>
      <c r="C83" s="105">
        <v>122099</v>
      </c>
      <c r="D83" s="106" t="s">
        <v>757</v>
      </c>
      <c r="E83" s="107" t="s">
        <v>13</v>
      </c>
      <c r="F83" s="108" t="s">
        <v>572</v>
      </c>
      <c r="G83" s="109" t="s">
        <v>842</v>
      </c>
      <c r="H83" s="110" t="s">
        <v>845</v>
      </c>
      <c r="I83" s="108" t="s">
        <v>10</v>
      </c>
      <c r="J83" s="84">
        <v>26530</v>
      </c>
      <c r="K83" s="111">
        <v>63.23</v>
      </c>
      <c r="L83" s="112">
        <f t="shared" si="4"/>
        <v>419.57931361695398</v>
      </c>
    </row>
    <row r="84" spans="1:15" s="3" customFormat="1" ht="14.25" x14ac:dyDescent="0.25">
      <c r="A84" s="104">
        <v>44729</v>
      </c>
      <c r="B84" s="113" t="s">
        <v>847</v>
      </c>
      <c r="C84" s="105">
        <v>122099</v>
      </c>
      <c r="D84" s="106" t="s">
        <v>759</v>
      </c>
      <c r="E84" s="107" t="s">
        <v>13</v>
      </c>
      <c r="F84" s="108" t="s">
        <v>572</v>
      </c>
      <c r="G84" s="109" t="s">
        <v>842</v>
      </c>
      <c r="H84" s="110" t="s">
        <v>848</v>
      </c>
      <c r="I84" s="108" t="s">
        <v>10</v>
      </c>
      <c r="J84" s="84">
        <v>8700</v>
      </c>
      <c r="K84" s="111">
        <v>63.23</v>
      </c>
      <c r="L84" s="112">
        <f t="shared" si="4"/>
        <v>137.59291475565396</v>
      </c>
    </row>
    <row r="85" spans="1:15" s="95" customFormat="1" ht="14.25" x14ac:dyDescent="0.25">
      <c r="A85" s="85"/>
      <c r="B85" s="86"/>
      <c r="C85" s="86"/>
      <c r="D85" s="87"/>
      <c r="E85" s="88"/>
      <c r="F85" s="89"/>
      <c r="G85" s="90"/>
      <c r="H85" s="91"/>
      <c r="I85" s="89"/>
      <c r="J85" s="92"/>
      <c r="K85" s="93"/>
      <c r="L85" s="94"/>
    </row>
    <row r="86" spans="1:15" s="3" customFormat="1" ht="14.25" x14ac:dyDescent="0.25">
      <c r="A86" s="221" t="s">
        <v>529</v>
      </c>
      <c r="B86" s="222"/>
      <c r="C86" s="222"/>
      <c r="D86" s="222"/>
      <c r="E86" s="222"/>
      <c r="F86" s="222"/>
      <c r="G86" s="222"/>
      <c r="H86" s="223"/>
      <c r="I86" s="10"/>
      <c r="J86" s="80">
        <f>SUM(J2:J85)</f>
        <v>69691187.00999999</v>
      </c>
      <c r="K86" s="80"/>
      <c r="L86" s="80">
        <f>SUM(L2:L85)</f>
        <v>1102296.812683325</v>
      </c>
      <c r="O86" s="81"/>
    </row>
  </sheetData>
  <autoFilter ref="A1:WVU86" xr:uid="{00000000-0009-0000-0000-000004000000}"/>
  <mergeCells count="1">
    <mergeCell ref="A86:H8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J9"/>
  <sheetViews>
    <sheetView topLeftCell="C1" workbookViewId="0">
      <selection activeCell="I7" sqref="I7"/>
    </sheetView>
  </sheetViews>
  <sheetFormatPr defaultColWidth="9.140625" defaultRowHeight="15.75" x14ac:dyDescent="0.25"/>
  <cols>
    <col min="1" max="2" width="9.140625" style="115"/>
    <col min="3" max="3" width="2.140625" style="115" bestFit="1" customWidth="1"/>
    <col min="4" max="4" width="17.85546875" style="115" bestFit="1" customWidth="1"/>
    <col min="5" max="5" width="18.7109375" style="115" bestFit="1" customWidth="1"/>
    <col min="6" max="6" width="9" style="115" bestFit="1" customWidth="1"/>
    <col min="7" max="7" width="8.85546875" style="115" bestFit="1" customWidth="1"/>
    <col min="8" max="8" width="6.7109375" style="115" bestFit="1" customWidth="1"/>
    <col min="9" max="9" width="5.5703125" style="115" bestFit="1" customWidth="1"/>
    <col min="10" max="10" width="15.7109375" style="115" bestFit="1" customWidth="1"/>
    <col min="11" max="16384" width="9.140625" style="115"/>
  </cols>
  <sheetData>
    <row r="3" spans="3:10" s="116" customFormat="1" ht="31.5" x14ac:dyDescent="0.25">
      <c r="C3" s="117" t="s">
        <v>985</v>
      </c>
      <c r="D3" s="117" t="s">
        <v>986</v>
      </c>
      <c r="E3" s="117" t="s">
        <v>987</v>
      </c>
      <c r="F3" s="118" t="s">
        <v>988</v>
      </c>
      <c r="G3" s="118" t="s">
        <v>989</v>
      </c>
      <c r="H3" s="119">
        <v>1</v>
      </c>
      <c r="I3" s="119">
        <v>0.3</v>
      </c>
      <c r="J3" s="118" t="s">
        <v>990</v>
      </c>
    </row>
    <row r="4" spans="3:10" x14ac:dyDescent="0.25">
      <c r="C4" s="123">
        <v>1</v>
      </c>
      <c r="D4" s="120" t="s">
        <v>991</v>
      </c>
      <c r="E4" s="120" t="s">
        <v>992</v>
      </c>
      <c r="F4" s="121">
        <v>6000</v>
      </c>
      <c r="G4" s="123">
        <v>5</v>
      </c>
      <c r="H4" s="123">
        <v>4</v>
      </c>
      <c r="I4" s="123">
        <v>1</v>
      </c>
      <c r="J4" s="121">
        <f>+(F4*$H$3*H4)+(F4*$I$3*I4)</f>
        <v>25800</v>
      </c>
    </row>
    <row r="5" spans="3:10" x14ac:dyDescent="0.25">
      <c r="C5" s="224" t="s">
        <v>993</v>
      </c>
      <c r="D5" s="225"/>
      <c r="E5" s="225"/>
      <c r="F5" s="225"/>
      <c r="G5" s="226"/>
      <c r="H5" s="124">
        <f>SUM(H4:H4)</f>
        <v>4</v>
      </c>
      <c r="I5" s="124">
        <f>SUM(I4:I4)</f>
        <v>1</v>
      </c>
      <c r="J5" s="122">
        <f>SUM(J4:J4)</f>
        <v>25800</v>
      </c>
    </row>
    <row r="8" spans="3:10" x14ac:dyDescent="0.25">
      <c r="J8" s="125">
        <f>20751870-25800</f>
        <v>20726070</v>
      </c>
    </row>
    <row r="9" spans="3:10" x14ac:dyDescent="0.25">
      <c r="J9" s="126">
        <f>+J8-69600</f>
        <v>20656470</v>
      </c>
    </row>
  </sheetData>
  <mergeCells count="1">
    <mergeCell ref="C5:G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239D-7F1C-4984-9C54-722E577EDEC0}">
  <dimension ref="A3:D20"/>
  <sheetViews>
    <sheetView topLeftCell="A6" zoomScale="220" zoomScaleNormal="220" workbookViewId="0">
      <selection activeCell="F18" sqref="F18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4" width="13.28515625" bestFit="1" customWidth="1"/>
    <col min="5" max="5" width="8.7109375" bestFit="1" customWidth="1"/>
    <col min="6" max="6" width="9.5703125" bestFit="1" customWidth="1"/>
    <col min="7" max="7" width="9.7109375" bestFit="1" customWidth="1"/>
    <col min="8" max="8" width="9.5703125" bestFit="1" customWidth="1"/>
    <col min="9" max="9" width="9.7109375" bestFit="1" customWidth="1"/>
    <col min="10" max="11" width="9.5703125" bestFit="1" customWidth="1"/>
    <col min="12" max="12" width="9.7109375" bestFit="1" customWidth="1"/>
    <col min="13" max="15" width="10.5703125" bestFit="1" customWidth="1"/>
    <col min="16" max="16" width="8.7109375" bestFit="1" customWidth="1"/>
    <col min="17" max="21" width="11.5703125" bestFit="1" customWidth="1"/>
    <col min="22" max="23" width="13.28515625" bestFit="1" customWidth="1"/>
    <col min="24" max="25" width="10.5703125" bestFit="1" customWidth="1"/>
    <col min="26" max="26" width="9.85546875" bestFit="1" customWidth="1"/>
    <col min="27" max="28" width="10.5703125" bestFit="1" customWidth="1"/>
    <col min="29" max="29" width="9.85546875" bestFit="1" customWidth="1"/>
    <col min="30" max="30" width="11.5703125" bestFit="1" customWidth="1"/>
    <col min="31" max="32" width="10.5703125" bestFit="1" customWidth="1"/>
    <col min="33" max="33" width="9.85546875" bestFit="1" customWidth="1"/>
    <col min="34" max="37" width="10.5703125" bestFit="1" customWidth="1"/>
    <col min="38" max="40" width="11.5703125" bestFit="1" customWidth="1"/>
    <col min="41" max="41" width="13.28515625" bestFit="1" customWidth="1"/>
  </cols>
  <sheetData>
    <row r="3" spans="1:4" x14ac:dyDescent="0.25">
      <c r="A3" s="183" t="s">
        <v>1385</v>
      </c>
      <c r="B3" s="183" t="s">
        <v>1382</v>
      </c>
    </row>
    <row r="4" spans="1:4" x14ac:dyDescent="0.25">
      <c r="B4" t="s">
        <v>1381</v>
      </c>
      <c r="C4" t="s">
        <v>1380</v>
      </c>
      <c r="D4" t="s">
        <v>1378</v>
      </c>
    </row>
    <row r="6" spans="1:4" x14ac:dyDescent="0.25">
      <c r="A6" s="183" t="s">
        <v>1377</v>
      </c>
    </row>
    <row r="7" spans="1:4" x14ac:dyDescent="0.25">
      <c r="A7" s="184" t="s">
        <v>561</v>
      </c>
      <c r="B7" s="185"/>
      <c r="C7" s="185">
        <v>295779.47906477662</v>
      </c>
      <c r="D7" s="185">
        <v>295779.47906477662</v>
      </c>
    </row>
    <row r="8" spans="1:4" x14ac:dyDescent="0.25">
      <c r="A8" s="184" t="s">
        <v>565</v>
      </c>
      <c r="B8" s="185"/>
      <c r="C8" s="185">
        <v>3585.2215189873418</v>
      </c>
      <c r="D8" s="185">
        <v>3585.2215189873418</v>
      </c>
    </row>
    <row r="9" spans="1:4" x14ac:dyDescent="0.25">
      <c r="A9" s="184" t="s">
        <v>532</v>
      </c>
      <c r="B9" s="185"/>
      <c r="C9" s="185">
        <v>59779.599683544307</v>
      </c>
      <c r="D9" s="185">
        <v>59779.599683544307</v>
      </c>
    </row>
    <row r="10" spans="1:4" x14ac:dyDescent="0.25">
      <c r="A10" s="184" t="s">
        <v>982</v>
      </c>
      <c r="B10" s="185">
        <v>47331.248259493674</v>
      </c>
      <c r="C10" s="185">
        <v>110768.58253510142</v>
      </c>
      <c r="D10" s="185">
        <v>158099.83079459509</v>
      </c>
    </row>
    <row r="11" spans="1:4" x14ac:dyDescent="0.25">
      <c r="A11" s="184" t="s">
        <v>586</v>
      </c>
      <c r="B11" s="185"/>
      <c r="C11" s="185">
        <v>62625.557815599881</v>
      </c>
      <c r="D11" s="185">
        <v>62625.557815599881</v>
      </c>
    </row>
    <row r="12" spans="1:4" x14ac:dyDescent="0.25">
      <c r="A12" s="184" t="s">
        <v>681</v>
      </c>
      <c r="B12" s="185"/>
      <c r="C12" s="185">
        <v>13081.098926563061</v>
      </c>
      <c r="D12" s="185">
        <v>13081.098926563061</v>
      </c>
    </row>
    <row r="13" spans="1:4" x14ac:dyDescent="0.25">
      <c r="A13" s="184" t="s">
        <v>1018</v>
      </c>
      <c r="B13" s="185"/>
      <c r="C13" s="185">
        <v>149002.92503558437</v>
      </c>
      <c r="D13" s="185">
        <v>149002.92503558437</v>
      </c>
    </row>
    <row r="14" spans="1:4" x14ac:dyDescent="0.25">
      <c r="A14" s="184" t="s">
        <v>560</v>
      </c>
      <c r="B14" s="185"/>
      <c r="C14" s="185">
        <v>11378.164556962025</v>
      </c>
      <c r="D14" s="185">
        <v>11378.164556962025</v>
      </c>
    </row>
    <row r="15" spans="1:4" x14ac:dyDescent="0.25">
      <c r="A15" s="184" t="s">
        <v>572</v>
      </c>
      <c r="B15" s="185"/>
      <c r="C15" s="185">
        <v>372601.02897011</v>
      </c>
      <c r="D15" s="185">
        <v>372601.02897011</v>
      </c>
    </row>
    <row r="16" spans="1:4" x14ac:dyDescent="0.25">
      <c r="A16" s="184" t="s">
        <v>583</v>
      </c>
      <c r="B16" s="185"/>
      <c r="C16" s="185">
        <v>24294.846202531644</v>
      </c>
      <c r="D16" s="185">
        <v>24294.846202531644</v>
      </c>
    </row>
    <row r="17" spans="1:4" x14ac:dyDescent="0.25">
      <c r="A17" s="184" t="s">
        <v>575</v>
      </c>
      <c r="B17" s="185"/>
      <c r="C17" s="185">
        <v>279133.20174050634</v>
      </c>
      <c r="D17" s="185">
        <v>279133.20174050634</v>
      </c>
    </row>
    <row r="18" spans="1:4" x14ac:dyDescent="0.25">
      <c r="A18" s="184" t="s">
        <v>1335</v>
      </c>
      <c r="B18" s="185">
        <v>91.37658227848101</v>
      </c>
      <c r="C18" s="185"/>
      <c r="D18" s="185">
        <v>91.37658227848101</v>
      </c>
    </row>
    <row r="19" spans="1:4" x14ac:dyDescent="0.25">
      <c r="A19" s="184" t="s">
        <v>1386</v>
      </c>
      <c r="B19" s="185"/>
      <c r="C19" s="185">
        <v>190227.83748100669</v>
      </c>
      <c r="D19" s="185">
        <v>190227.83748100669</v>
      </c>
    </row>
    <row r="20" spans="1:4" x14ac:dyDescent="0.25">
      <c r="A20" s="184" t="s">
        <v>1378</v>
      </c>
      <c r="B20" s="185">
        <v>47422.624841772158</v>
      </c>
      <c r="C20" s="185">
        <v>1572257.5435312737</v>
      </c>
      <c r="D20" s="185">
        <v>1619680.1683730457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8"/>
  <sheetViews>
    <sheetView showGridLines="0" topLeftCell="I135" zoomScale="115" zoomScaleNormal="115" workbookViewId="0">
      <selection activeCell="K165" sqref="K165"/>
    </sheetView>
  </sheetViews>
  <sheetFormatPr defaultColWidth="8.85546875" defaultRowHeight="14.25" x14ac:dyDescent="0.2"/>
  <cols>
    <col min="1" max="1" width="21.140625" style="172" bestFit="1" customWidth="1"/>
    <col min="2" max="2" width="23.140625" style="174" customWidth="1"/>
    <col min="3" max="3" width="12.7109375" style="174" bestFit="1" customWidth="1"/>
    <col min="4" max="4" width="34.7109375" style="175" bestFit="1" customWidth="1"/>
    <col min="5" max="5" width="13.7109375" style="172" bestFit="1" customWidth="1"/>
    <col min="6" max="6" width="13.28515625" style="172" bestFit="1" customWidth="1"/>
    <col min="7" max="7" width="36.28515625" style="172" bestFit="1" customWidth="1"/>
    <col min="8" max="8" width="106.7109375" style="175" bestFit="1" customWidth="1"/>
    <col min="9" max="9" width="18.5703125" style="172" bestFit="1" customWidth="1"/>
    <col min="10" max="10" width="17" style="172" customWidth="1"/>
    <col min="11" max="11" width="10.7109375" style="172" customWidth="1"/>
    <col min="12" max="12" width="13.42578125" style="172" bestFit="1" customWidth="1"/>
    <col min="13" max="13" width="22.42578125" style="172" customWidth="1"/>
    <col min="14" max="14" width="19.5703125" style="174" bestFit="1" customWidth="1"/>
    <col min="15" max="15" width="17.140625" style="172" bestFit="1" customWidth="1"/>
    <col min="16" max="16384" width="8.85546875" style="172"/>
  </cols>
  <sheetData>
    <row r="1" spans="1:15" s="144" customFormat="1" ht="28.5" x14ac:dyDescent="0.25">
      <c r="A1" s="202" t="s">
        <v>0</v>
      </c>
      <c r="B1" s="202" t="s">
        <v>1213</v>
      </c>
      <c r="C1" s="202" t="s">
        <v>1214</v>
      </c>
      <c r="D1" s="203" t="s">
        <v>1215</v>
      </c>
      <c r="E1" s="202" t="s">
        <v>3</v>
      </c>
      <c r="F1" s="202" t="s">
        <v>1212</v>
      </c>
      <c r="G1" s="202" t="s">
        <v>1216</v>
      </c>
      <c r="H1" s="203" t="s">
        <v>4</v>
      </c>
      <c r="I1" s="202" t="s">
        <v>1217</v>
      </c>
      <c r="J1" s="202" t="s">
        <v>1218</v>
      </c>
      <c r="K1" s="202" t="s">
        <v>7</v>
      </c>
      <c r="L1" s="204" t="s">
        <v>1219</v>
      </c>
      <c r="M1" s="204" t="s">
        <v>1220</v>
      </c>
      <c r="N1" s="202" t="s">
        <v>1221</v>
      </c>
      <c r="O1" s="205" t="s">
        <v>1222</v>
      </c>
    </row>
    <row r="2" spans="1:15" s="154" customFormat="1" x14ac:dyDescent="0.25">
      <c r="A2" s="145">
        <v>44687</v>
      </c>
      <c r="B2" s="146" t="s">
        <v>745</v>
      </c>
      <c r="C2" s="146">
        <v>213001</v>
      </c>
      <c r="D2" s="147" t="s">
        <v>1079</v>
      </c>
      <c r="E2" s="148" t="s">
        <v>19</v>
      </c>
      <c r="F2" s="148" t="s">
        <v>575</v>
      </c>
      <c r="G2" s="149" t="s">
        <v>1118</v>
      </c>
      <c r="H2" s="147" t="s">
        <v>1223</v>
      </c>
      <c r="I2" s="148" t="s">
        <v>1224</v>
      </c>
      <c r="J2" s="150">
        <v>17641218.350000001</v>
      </c>
      <c r="K2" s="151">
        <v>63.2</v>
      </c>
      <c r="L2" s="152">
        <v>279133.20174050634</v>
      </c>
      <c r="M2" s="152" t="s">
        <v>1225</v>
      </c>
      <c r="N2" s="148" t="s">
        <v>575</v>
      </c>
      <c r="O2" s="153" t="s">
        <v>575</v>
      </c>
    </row>
    <row r="3" spans="1:15" s="154" customFormat="1" x14ac:dyDescent="0.25">
      <c r="A3" s="145">
        <v>44713</v>
      </c>
      <c r="B3" s="146" t="s">
        <v>721</v>
      </c>
      <c r="C3" s="146">
        <v>122099</v>
      </c>
      <c r="D3" s="147" t="s">
        <v>1084</v>
      </c>
      <c r="E3" s="148" t="s">
        <v>13</v>
      </c>
      <c r="F3" s="148" t="s">
        <v>668</v>
      </c>
      <c r="G3" s="149" t="s">
        <v>1124</v>
      </c>
      <c r="H3" s="147" t="s">
        <v>1226</v>
      </c>
      <c r="I3" s="148" t="s">
        <v>1224</v>
      </c>
      <c r="J3" s="150">
        <v>167267.01999999999</v>
      </c>
      <c r="K3" s="151">
        <v>63.2</v>
      </c>
      <c r="L3" s="152">
        <v>2646.6300632911389</v>
      </c>
      <c r="M3" s="152" t="s">
        <v>1225</v>
      </c>
      <c r="N3" s="148" t="s">
        <v>668</v>
      </c>
      <c r="O3" s="153" t="s">
        <v>572</v>
      </c>
    </row>
    <row r="4" spans="1:15" s="154" customFormat="1" x14ac:dyDescent="0.25">
      <c r="A4" s="145">
        <v>44714</v>
      </c>
      <c r="B4" s="146" t="s">
        <v>887</v>
      </c>
      <c r="C4" s="146">
        <v>112101</v>
      </c>
      <c r="D4" s="147" t="s">
        <v>1062</v>
      </c>
      <c r="E4" s="148" t="s">
        <v>13</v>
      </c>
      <c r="F4" s="148" t="s">
        <v>668</v>
      </c>
      <c r="G4" s="149" t="s">
        <v>1109</v>
      </c>
      <c r="H4" s="147" t="s">
        <v>1227</v>
      </c>
      <c r="I4" s="148" t="s">
        <v>1224</v>
      </c>
      <c r="J4" s="150">
        <v>489600</v>
      </c>
      <c r="K4" s="151">
        <v>63.2</v>
      </c>
      <c r="L4" s="152">
        <v>7746.8354430379741</v>
      </c>
      <c r="M4" s="152" t="s">
        <v>1225</v>
      </c>
      <c r="N4" s="148" t="s">
        <v>668</v>
      </c>
      <c r="O4" s="153" t="s">
        <v>572</v>
      </c>
    </row>
    <row r="5" spans="1:15" s="154" customFormat="1" x14ac:dyDescent="0.25">
      <c r="A5" s="145">
        <v>44721</v>
      </c>
      <c r="B5" s="146" t="s">
        <v>724</v>
      </c>
      <c r="C5" s="146">
        <v>122099</v>
      </c>
      <c r="D5" s="147" t="s">
        <v>1083</v>
      </c>
      <c r="E5" s="148" t="s">
        <v>13</v>
      </c>
      <c r="F5" s="148" t="s">
        <v>668</v>
      </c>
      <c r="G5" s="149" t="s">
        <v>1127</v>
      </c>
      <c r="H5" s="147" t="s">
        <v>1228</v>
      </c>
      <c r="I5" s="148" t="s">
        <v>1224</v>
      </c>
      <c r="J5" s="150">
        <v>353035.8</v>
      </c>
      <c r="K5" s="151">
        <v>63.2</v>
      </c>
      <c r="L5" s="152">
        <v>5586.0094936708856</v>
      </c>
      <c r="M5" s="152" t="s">
        <v>1225</v>
      </c>
      <c r="N5" s="148" t="s">
        <v>668</v>
      </c>
      <c r="O5" s="153" t="s">
        <v>572</v>
      </c>
    </row>
    <row r="6" spans="1:15" s="154" customFormat="1" x14ac:dyDescent="0.25">
      <c r="A6" s="145">
        <v>44721</v>
      </c>
      <c r="B6" s="146" t="s">
        <v>722</v>
      </c>
      <c r="C6" s="146">
        <v>122002</v>
      </c>
      <c r="D6" s="147" t="s">
        <v>320</v>
      </c>
      <c r="E6" s="148" t="s">
        <v>13</v>
      </c>
      <c r="F6" s="148" t="s">
        <v>668</v>
      </c>
      <c r="G6" s="149" t="s">
        <v>1128</v>
      </c>
      <c r="H6" s="147" t="s">
        <v>1229</v>
      </c>
      <c r="I6" s="148" t="s">
        <v>1224</v>
      </c>
      <c r="J6" s="150">
        <v>375794</v>
      </c>
      <c r="K6" s="151">
        <v>63.2</v>
      </c>
      <c r="L6" s="152">
        <v>5946.1075949367087</v>
      </c>
      <c r="M6" s="152" t="s">
        <v>1225</v>
      </c>
      <c r="N6" s="148" t="s">
        <v>668</v>
      </c>
      <c r="O6" s="153" t="s">
        <v>572</v>
      </c>
    </row>
    <row r="7" spans="1:15" s="154" customFormat="1" x14ac:dyDescent="0.25">
      <c r="A7" s="145">
        <v>44721</v>
      </c>
      <c r="B7" s="146" t="s">
        <v>723</v>
      </c>
      <c r="C7" s="146">
        <v>122002</v>
      </c>
      <c r="D7" s="147" t="s">
        <v>320</v>
      </c>
      <c r="E7" s="148" t="s">
        <v>13</v>
      </c>
      <c r="F7" s="148" t="s">
        <v>586</v>
      </c>
      <c r="G7" s="149" t="s">
        <v>1129</v>
      </c>
      <c r="H7" s="147" t="s">
        <v>1230</v>
      </c>
      <c r="I7" s="148" t="s">
        <v>1224</v>
      </c>
      <c r="J7" s="150">
        <v>191020</v>
      </c>
      <c r="K7" s="151">
        <v>63.2</v>
      </c>
      <c r="L7" s="152">
        <v>3022.4683544303798</v>
      </c>
      <c r="M7" s="152" t="s">
        <v>1225</v>
      </c>
      <c r="N7" s="148" t="s">
        <v>586</v>
      </c>
      <c r="O7" s="153" t="s">
        <v>586</v>
      </c>
    </row>
    <row r="8" spans="1:15" s="154" customFormat="1" x14ac:dyDescent="0.25">
      <c r="A8" s="145">
        <v>44721</v>
      </c>
      <c r="B8" s="146" t="s">
        <v>701</v>
      </c>
      <c r="C8" s="146">
        <v>112101</v>
      </c>
      <c r="D8" s="147" t="s">
        <v>1062</v>
      </c>
      <c r="E8" s="148" t="s">
        <v>13</v>
      </c>
      <c r="F8" s="148" t="s">
        <v>586</v>
      </c>
      <c r="G8" s="149" t="s">
        <v>1109</v>
      </c>
      <c r="H8" s="147" t="s">
        <v>1231</v>
      </c>
      <c r="I8" s="148" t="s">
        <v>1224</v>
      </c>
      <c r="J8" s="150">
        <v>582600</v>
      </c>
      <c r="K8" s="151">
        <v>63.2</v>
      </c>
      <c r="L8" s="152">
        <v>9218.3544303797462</v>
      </c>
      <c r="M8" s="152" t="s">
        <v>1225</v>
      </c>
      <c r="N8" s="148" t="s">
        <v>586</v>
      </c>
      <c r="O8" s="153" t="s">
        <v>586</v>
      </c>
    </row>
    <row r="9" spans="1:15" s="154" customFormat="1" x14ac:dyDescent="0.25">
      <c r="A9" s="145">
        <v>44729</v>
      </c>
      <c r="B9" s="146" t="s">
        <v>1232</v>
      </c>
      <c r="C9" s="146">
        <v>112101</v>
      </c>
      <c r="D9" s="147" t="s">
        <v>1062</v>
      </c>
      <c r="E9" s="148" t="s">
        <v>13</v>
      </c>
      <c r="F9" s="148" t="s">
        <v>586</v>
      </c>
      <c r="G9" s="149" t="s">
        <v>1109</v>
      </c>
      <c r="H9" s="147" t="s">
        <v>1233</v>
      </c>
      <c r="I9" s="148" t="s">
        <v>1224</v>
      </c>
      <c r="J9" s="150">
        <v>198000</v>
      </c>
      <c r="K9" s="151">
        <v>63.2</v>
      </c>
      <c r="L9" s="152">
        <v>3132.911392405063</v>
      </c>
      <c r="M9" s="152" t="s">
        <v>1225</v>
      </c>
      <c r="N9" s="148" t="s">
        <v>586</v>
      </c>
      <c r="O9" s="153" t="s">
        <v>586</v>
      </c>
    </row>
    <row r="10" spans="1:15" s="154" customFormat="1" x14ac:dyDescent="0.25">
      <c r="A10" s="145">
        <v>44721</v>
      </c>
      <c r="B10" s="146" t="s">
        <v>702</v>
      </c>
      <c r="C10" s="146">
        <v>112101</v>
      </c>
      <c r="D10" s="147" t="s">
        <v>1062</v>
      </c>
      <c r="E10" s="148" t="s">
        <v>13</v>
      </c>
      <c r="F10" s="148" t="s">
        <v>586</v>
      </c>
      <c r="G10" s="149" t="s">
        <v>1109</v>
      </c>
      <c r="H10" s="147" t="s">
        <v>1234</v>
      </c>
      <c r="I10" s="148" t="s">
        <v>1224</v>
      </c>
      <c r="J10" s="150">
        <v>494400</v>
      </c>
      <c r="K10" s="151">
        <v>63.2</v>
      </c>
      <c r="L10" s="152">
        <v>7822.7848101265818</v>
      </c>
      <c r="M10" s="152" t="s">
        <v>1225</v>
      </c>
      <c r="N10" s="148" t="s">
        <v>586</v>
      </c>
      <c r="O10" s="153" t="s">
        <v>586</v>
      </c>
    </row>
    <row r="11" spans="1:15" s="154" customFormat="1" x14ac:dyDescent="0.25">
      <c r="A11" s="145">
        <v>44721</v>
      </c>
      <c r="B11" s="146" t="s">
        <v>704</v>
      </c>
      <c r="C11" s="146">
        <v>121001</v>
      </c>
      <c r="D11" s="147" t="s">
        <v>676</v>
      </c>
      <c r="E11" s="148" t="s">
        <v>13</v>
      </c>
      <c r="F11" s="148" t="s">
        <v>668</v>
      </c>
      <c r="G11" s="149" t="s">
        <v>1130</v>
      </c>
      <c r="H11" s="147" t="s">
        <v>1235</v>
      </c>
      <c r="I11" s="148" t="s">
        <v>1224</v>
      </c>
      <c r="J11" s="150">
        <v>20327.650000000001</v>
      </c>
      <c r="K11" s="151">
        <v>63.2</v>
      </c>
      <c r="L11" s="152">
        <v>321.64003164556965</v>
      </c>
      <c r="M11" s="152" t="s">
        <v>1225</v>
      </c>
      <c r="N11" s="148" t="s">
        <v>668</v>
      </c>
      <c r="O11" s="153" t="s">
        <v>572</v>
      </c>
    </row>
    <row r="12" spans="1:15" s="154" customFormat="1" x14ac:dyDescent="0.25">
      <c r="A12" s="145">
        <v>44729</v>
      </c>
      <c r="B12" s="155" t="s">
        <v>748</v>
      </c>
      <c r="C12" s="146">
        <v>112101</v>
      </c>
      <c r="D12" s="147" t="s">
        <v>1062</v>
      </c>
      <c r="E12" s="148" t="s">
        <v>13</v>
      </c>
      <c r="F12" s="148" t="s">
        <v>668</v>
      </c>
      <c r="G12" s="149" t="s">
        <v>1109</v>
      </c>
      <c r="H12" s="147" t="s">
        <v>1236</v>
      </c>
      <c r="I12" s="148" t="s">
        <v>1224</v>
      </c>
      <c r="J12" s="150">
        <v>139800</v>
      </c>
      <c r="K12" s="151">
        <v>63.2</v>
      </c>
      <c r="L12" s="152">
        <v>2212.0253164556962</v>
      </c>
      <c r="M12" s="152" t="s">
        <v>1225</v>
      </c>
      <c r="N12" s="148" t="s">
        <v>668</v>
      </c>
      <c r="O12" s="153" t="s">
        <v>572</v>
      </c>
    </row>
    <row r="13" spans="1:15" s="154" customFormat="1" x14ac:dyDescent="0.25">
      <c r="A13" s="145">
        <v>44721</v>
      </c>
      <c r="B13" s="146" t="s">
        <v>707</v>
      </c>
      <c r="C13" s="146">
        <v>121001</v>
      </c>
      <c r="D13" s="147" t="s">
        <v>1086</v>
      </c>
      <c r="E13" s="148" t="s">
        <v>13</v>
      </c>
      <c r="F13" s="148" t="s">
        <v>586</v>
      </c>
      <c r="G13" s="149" t="s">
        <v>1131</v>
      </c>
      <c r="H13" s="147" t="s">
        <v>1237</v>
      </c>
      <c r="I13" s="148" t="s">
        <v>1224</v>
      </c>
      <c r="J13" s="150">
        <v>16564</v>
      </c>
      <c r="K13" s="151">
        <v>63.2</v>
      </c>
      <c r="L13" s="152">
        <v>262.08860759493672</v>
      </c>
      <c r="M13" s="152" t="s">
        <v>1225</v>
      </c>
      <c r="N13" s="148" t="s">
        <v>586</v>
      </c>
      <c r="O13" s="153" t="s">
        <v>586</v>
      </c>
    </row>
    <row r="14" spans="1:15" s="154" customFormat="1" x14ac:dyDescent="0.25">
      <c r="A14" s="145">
        <v>44725</v>
      </c>
      <c r="B14" s="146" t="s">
        <v>752</v>
      </c>
      <c r="C14" s="146">
        <v>121001</v>
      </c>
      <c r="D14" s="147" t="s">
        <v>1062</v>
      </c>
      <c r="E14" s="148" t="s">
        <v>13</v>
      </c>
      <c r="F14" s="148" t="s">
        <v>572</v>
      </c>
      <c r="G14" s="149" t="s">
        <v>1132</v>
      </c>
      <c r="H14" s="147" t="s">
        <v>1238</v>
      </c>
      <c r="I14" s="148" t="s">
        <v>1224</v>
      </c>
      <c r="J14" s="150">
        <v>30138.9</v>
      </c>
      <c r="K14" s="151">
        <v>63.2</v>
      </c>
      <c r="L14" s="152">
        <v>476.88132911392404</v>
      </c>
      <c r="M14" s="152" t="s">
        <v>1225</v>
      </c>
      <c r="N14" s="148" t="s">
        <v>572</v>
      </c>
      <c r="O14" s="153" t="s">
        <v>572</v>
      </c>
    </row>
    <row r="15" spans="1:15" s="154" customFormat="1" x14ac:dyDescent="0.25">
      <c r="A15" s="145">
        <v>44727</v>
      </c>
      <c r="B15" s="155" t="s">
        <v>755</v>
      </c>
      <c r="C15" s="146">
        <v>112101</v>
      </c>
      <c r="D15" s="147" t="s">
        <v>1062</v>
      </c>
      <c r="E15" s="148" t="s">
        <v>13</v>
      </c>
      <c r="F15" s="148" t="s">
        <v>572</v>
      </c>
      <c r="G15" s="149" t="s">
        <v>1109</v>
      </c>
      <c r="H15" s="147" t="s">
        <v>1239</v>
      </c>
      <c r="I15" s="148" t="s">
        <v>1224</v>
      </c>
      <c r="J15" s="150">
        <v>585000</v>
      </c>
      <c r="K15" s="151">
        <v>63.2</v>
      </c>
      <c r="L15" s="152">
        <v>9256.32911392405</v>
      </c>
      <c r="M15" s="152" t="s">
        <v>1225</v>
      </c>
      <c r="N15" s="148" t="s">
        <v>572</v>
      </c>
      <c r="O15" s="153" t="s">
        <v>572</v>
      </c>
    </row>
    <row r="16" spans="1:15" s="154" customFormat="1" x14ac:dyDescent="0.25">
      <c r="A16" s="145">
        <v>44725</v>
      </c>
      <c r="B16" s="155" t="s">
        <v>763</v>
      </c>
      <c r="C16" s="146">
        <v>122099</v>
      </c>
      <c r="D16" s="147" t="s">
        <v>757</v>
      </c>
      <c r="E16" s="148" t="s">
        <v>13</v>
      </c>
      <c r="F16" s="148" t="s">
        <v>572</v>
      </c>
      <c r="G16" s="149"/>
      <c r="H16" s="147" t="s">
        <v>1240</v>
      </c>
      <c r="I16" s="148" t="s">
        <v>1224</v>
      </c>
      <c r="J16" s="150">
        <v>860</v>
      </c>
      <c r="K16" s="151">
        <v>63.2</v>
      </c>
      <c r="L16" s="152">
        <v>13.60759493670886</v>
      </c>
      <c r="M16" s="152" t="s">
        <v>1225</v>
      </c>
      <c r="N16" s="148" t="s">
        <v>572</v>
      </c>
      <c r="O16" s="153" t="s">
        <v>572</v>
      </c>
    </row>
    <row r="17" spans="1:15" s="154" customFormat="1" x14ac:dyDescent="0.25">
      <c r="A17" s="145">
        <v>44725</v>
      </c>
      <c r="B17" s="155" t="s">
        <v>762</v>
      </c>
      <c r="C17" s="146">
        <v>122099</v>
      </c>
      <c r="D17" s="147" t="s">
        <v>759</v>
      </c>
      <c r="E17" s="148" t="s">
        <v>13</v>
      </c>
      <c r="F17" s="148" t="s">
        <v>572</v>
      </c>
      <c r="G17" s="149"/>
      <c r="H17" s="147" t="s">
        <v>1241</v>
      </c>
      <c r="I17" s="148" t="s">
        <v>1224</v>
      </c>
      <c r="J17" s="150">
        <v>20260</v>
      </c>
      <c r="K17" s="151">
        <v>63.2</v>
      </c>
      <c r="L17" s="152">
        <v>320.56962025316454</v>
      </c>
      <c r="M17" s="152" t="s">
        <v>1225</v>
      </c>
      <c r="N17" s="148" t="s">
        <v>572</v>
      </c>
      <c r="O17" s="153" t="s">
        <v>572</v>
      </c>
    </row>
    <row r="18" spans="1:15" s="154" customFormat="1" x14ac:dyDescent="0.25">
      <c r="A18" s="145">
        <v>44727</v>
      </c>
      <c r="B18" s="155" t="s">
        <v>761</v>
      </c>
      <c r="C18" s="146">
        <v>112101</v>
      </c>
      <c r="D18" s="147" t="s">
        <v>1062</v>
      </c>
      <c r="E18" s="148" t="s">
        <v>13</v>
      </c>
      <c r="F18" s="148" t="s">
        <v>572</v>
      </c>
      <c r="G18" s="149" t="s">
        <v>1109</v>
      </c>
      <c r="H18" s="147" t="s">
        <v>1242</v>
      </c>
      <c r="I18" s="148" t="s">
        <v>1224</v>
      </c>
      <c r="J18" s="150">
        <v>916800</v>
      </c>
      <c r="K18" s="151">
        <v>63.2</v>
      </c>
      <c r="L18" s="152">
        <v>14506.32911392405</v>
      </c>
      <c r="M18" s="152" t="s">
        <v>1225</v>
      </c>
      <c r="N18" s="148" t="s">
        <v>572</v>
      </c>
      <c r="O18" s="153" t="s">
        <v>572</v>
      </c>
    </row>
    <row r="19" spans="1:15" s="154" customFormat="1" x14ac:dyDescent="0.25">
      <c r="A19" s="145">
        <v>44725</v>
      </c>
      <c r="B19" s="155" t="s">
        <v>765</v>
      </c>
      <c r="C19" s="146">
        <v>121001</v>
      </c>
      <c r="D19" s="147" t="s">
        <v>1087</v>
      </c>
      <c r="E19" s="148" t="s">
        <v>13</v>
      </c>
      <c r="F19" s="148" t="s">
        <v>572</v>
      </c>
      <c r="G19" s="149" t="s">
        <v>1134</v>
      </c>
      <c r="H19" s="147" t="s">
        <v>1243</v>
      </c>
      <c r="I19" s="148" t="s">
        <v>1224</v>
      </c>
      <c r="J19" s="149">
        <v>35362.699999999997</v>
      </c>
      <c r="K19" s="151">
        <v>63.2</v>
      </c>
      <c r="L19" s="152">
        <v>559.53639240506322</v>
      </c>
      <c r="M19" s="152" t="s">
        <v>1225</v>
      </c>
      <c r="N19" s="148" t="s">
        <v>572</v>
      </c>
      <c r="O19" s="153" t="s">
        <v>572</v>
      </c>
    </row>
    <row r="20" spans="1:15" s="154" customFormat="1" x14ac:dyDescent="0.25">
      <c r="A20" s="145">
        <v>44727</v>
      </c>
      <c r="B20" s="155" t="s">
        <v>769</v>
      </c>
      <c r="C20" s="146">
        <v>112101</v>
      </c>
      <c r="D20" s="147" t="s">
        <v>1062</v>
      </c>
      <c r="E20" s="148" t="s">
        <v>13</v>
      </c>
      <c r="F20" s="148" t="s">
        <v>572</v>
      </c>
      <c r="G20" s="149" t="s">
        <v>1109</v>
      </c>
      <c r="H20" s="147" t="s">
        <v>1244</v>
      </c>
      <c r="I20" s="148" t="s">
        <v>1224</v>
      </c>
      <c r="J20" s="150">
        <v>416400</v>
      </c>
      <c r="K20" s="151">
        <v>63.2</v>
      </c>
      <c r="L20" s="152">
        <v>6588.6075949367087</v>
      </c>
      <c r="M20" s="152" t="s">
        <v>1225</v>
      </c>
      <c r="N20" s="148" t="s">
        <v>572</v>
      </c>
      <c r="O20" s="153" t="s">
        <v>572</v>
      </c>
    </row>
    <row r="21" spans="1:15" s="154" customFormat="1" x14ac:dyDescent="0.25">
      <c r="A21" s="145">
        <v>44732</v>
      </c>
      <c r="B21" s="155" t="s">
        <v>771</v>
      </c>
      <c r="C21" s="146">
        <v>122099</v>
      </c>
      <c r="D21" s="147" t="s">
        <v>1091</v>
      </c>
      <c r="E21" s="148" t="s">
        <v>13</v>
      </c>
      <c r="F21" s="148" t="s">
        <v>572</v>
      </c>
      <c r="G21" s="149" t="s">
        <v>1133</v>
      </c>
      <c r="H21" s="147" t="s">
        <v>1245</v>
      </c>
      <c r="I21" s="148" t="s">
        <v>1224</v>
      </c>
      <c r="J21" s="150">
        <v>148760</v>
      </c>
      <c r="K21" s="151">
        <v>63.2</v>
      </c>
      <c r="L21" s="152">
        <v>2353.7974683544303</v>
      </c>
      <c r="M21" s="152" t="s">
        <v>1225</v>
      </c>
      <c r="N21" s="148" t="s">
        <v>572</v>
      </c>
      <c r="O21" s="153" t="s">
        <v>572</v>
      </c>
    </row>
    <row r="22" spans="1:15" s="154" customFormat="1" x14ac:dyDescent="0.25">
      <c r="A22" s="145">
        <v>44725</v>
      </c>
      <c r="B22" s="155" t="s">
        <v>773</v>
      </c>
      <c r="C22" s="146">
        <v>121001</v>
      </c>
      <c r="D22" s="147" t="s">
        <v>1088</v>
      </c>
      <c r="E22" s="148" t="s">
        <v>13</v>
      </c>
      <c r="F22" s="148" t="s">
        <v>572</v>
      </c>
      <c r="G22" s="149" t="s">
        <v>1135</v>
      </c>
      <c r="H22" s="147" t="s">
        <v>1246</v>
      </c>
      <c r="I22" s="148" t="s">
        <v>1224</v>
      </c>
      <c r="J22" s="150">
        <v>76489.899999999994</v>
      </c>
      <c r="K22" s="151">
        <v>63.2</v>
      </c>
      <c r="L22" s="152">
        <v>1210.2832278481012</v>
      </c>
      <c r="M22" s="152" t="s">
        <v>1225</v>
      </c>
      <c r="N22" s="148" t="s">
        <v>572</v>
      </c>
      <c r="O22" s="153" t="s">
        <v>572</v>
      </c>
    </row>
    <row r="23" spans="1:15" s="154" customFormat="1" x14ac:dyDescent="0.25">
      <c r="A23" s="161">
        <v>44723</v>
      </c>
      <c r="B23" s="173" t="s">
        <v>777</v>
      </c>
      <c r="C23" s="162">
        <v>112101</v>
      </c>
      <c r="D23" s="163" t="s">
        <v>1062</v>
      </c>
      <c r="E23" s="166" t="s">
        <v>13</v>
      </c>
      <c r="F23" s="166" t="s">
        <v>688</v>
      </c>
      <c r="G23" s="165" t="s">
        <v>1109</v>
      </c>
      <c r="H23" s="163" t="s">
        <v>1247</v>
      </c>
      <c r="I23" s="166" t="s">
        <v>1224</v>
      </c>
      <c r="J23" s="167">
        <v>672600</v>
      </c>
      <c r="K23" s="168">
        <v>63.2</v>
      </c>
      <c r="L23" s="169">
        <v>10642.405063291139</v>
      </c>
      <c r="M23" s="169" t="s">
        <v>1225</v>
      </c>
      <c r="N23" s="166" t="s">
        <v>688</v>
      </c>
      <c r="O23" s="171" t="s">
        <v>572</v>
      </c>
    </row>
    <row r="24" spans="1:15" s="154" customFormat="1" x14ac:dyDescent="0.2">
      <c r="A24" s="206">
        <v>44732</v>
      </c>
      <c r="B24" s="155" t="s">
        <v>779</v>
      </c>
      <c r="C24" s="146">
        <v>112101</v>
      </c>
      <c r="D24" s="147" t="s">
        <v>1062</v>
      </c>
      <c r="E24" s="148" t="s">
        <v>13</v>
      </c>
      <c r="F24" s="148" t="s">
        <v>504</v>
      </c>
      <c r="G24" s="149" t="s">
        <v>1109</v>
      </c>
      <c r="H24" s="188" t="s">
        <v>1248</v>
      </c>
      <c r="I24" s="189" t="s">
        <v>1224</v>
      </c>
      <c r="J24" s="190">
        <v>27600</v>
      </c>
      <c r="K24" s="191">
        <v>63.2</v>
      </c>
      <c r="L24" s="192">
        <v>436.70886075949363</v>
      </c>
      <c r="M24" s="192" t="s">
        <v>1225</v>
      </c>
      <c r="N24" s="207" t="s">
        <v>561</v>
      </c>
      <c r="O24" s="208" t="s">
        <v>561</v>
      </c>
    </row>
    <row r="25" spans="1:15" s="154" customFormat="1" x14ac:dyDescent="0.25">
      <c r="A25" s="145">
        <v>44729</v>
      </c>
      <c r="B25" s="155" t="s">
        <v>781</v>
      </c>
      <c r="C25" s="146">
        <v>122099</v>
      </c>
      <c r="D25" s="147" t="s">
        <v>782</v>
      </c>
      <c r="E25" s="148" t="s">
        <v>13</v>
      </c>
      <c r="F25" s="148" t="s">
        <v>688</v>
      </c>
      <c r="G25" s="149" t="s">
        <v>1136</v>
      </c>
      <c r="H25" s="147" t="s">
        <v>1249</v>
      </c>
      <c r="I25" s="148" t="s">
        <v>1224</v>
      </c>
      <c r="J25" s="150">
        <v>79200</v>
      </c>
      <c r="K25" s="151">
        <v>63.2</v>
      </c>
      <c r="L25" s="152">
        <v>1253.1645569620252</v>
      </c>
      <c r="M25" s="152" t="s">
        <v>1225</v>
      </c>
      <c r="N25" s="148" t="s">
        <v>688</v>
      </c>
      <c r="O25" s="153" t="s">
        <v>572</v>
      </c>
    </row>
    <row r="26" spans="1:15" s="154" customFormat="1" x14ac:dyDescent="0.25">
      <c r="A26" s="145">
        <v>44729</v>
      </c>
      <c r="B26" s="155" t="s">
        <v>785</v>
      </c>
      <c r="C26" s="146">
        <v>121005</v>
      </c>
      <c r="D26" s="147" t="s">
        <v>1089</v>
      </c>
      <c r="E26" s="148" t="s">
        <v>13</v>
      </c>
      <c r="F26" s="148" t="s">
        <v>668</v>
      </c>
      <c r="G26" s="149" t="s">
        <v>1137</v>
      </c>
      <c r="H26" s="147" t="s">
        <v>1250</v>
      </c>
      <c r="I26" s="148" t="s">
        <v>1224</v>
      </c>
      <c r="J26" s="150">
        <v>33430</v>
      </c>
      <c r="K26" s="151">
        <v>63.2</v>
      </c>
      <c r="L26" s="152">
        <v>528.95569620253161</v>
      </c>
      <c r="M26" s="152" t="s">
        <v>1225</v>
      </c>
      <c r="N26" s="148" t="s">
        <v>668</v>
      </c>
      <c r="O26" s="153" t="s">
        <v>572</v>
      </c>
    </row>
    <row r="27" spans="1:15" s="154" customFormat="1" x14ac:dyDescent="0.25">
      <c r="A27" s="145">
        <v>44729</v>
      </c>
      <c r="B27" s="155" t="s">
        <v>788</v>
      </c>
      <c r="C27" s="146">
        <v>121005</v>
      </c>
      <c r="D27" s="147" t="s">
        <v>1089</v>
      </c>
      <c r="E27" s="148" t="s">
        <v>13</v>
      </c>
      <c r="F27" s="148" t="s">
        <v>668</v>
      </c>
      <c r="G27" s="149" t="s">
        <v>1138</v>
      </c>
      <c r="H27" s="147" t="s">
        <v>1251</v>
      </c>
      <c r="I27" s="148" t="s">
        <v>1224</v>
      </c>
      <c r="J27" s="150">
        <v>14030</v>
      </c>
      <c r="K27" s="151">
        <v>63.2</v>
      </c>
      <c r="L27" s="152">
        <v>221.99367088607593</v>
      </c>
      <c r="M27" s="152" t="s">
        <v>1225</v>
      </c>
      <c r="N27" s="148" t="s">
        <v>668</v>
      </c>
      <c r="O27" s="153" t="s">
        <v>572</v>
      </c>
    </row>
    <row r="28" spans="1:15" s="154" customFormat="1" x14ac:dyDescent="0.25">
      <c r="A28" s="145">
        <v>44729</v>
      </c>
      <c r="B28" s="155" t="s">
        <v>791</v>
      </c>
      <c r="C28" s="146">
        <v>121005</v>
      </c>
      <c r="D28" s="147" t="s">
        <v>1089</v>
      </c>
      <c r="E28" s="148" t="s">
        <v>13</v>
      </c>
      <c r="F28" s="148" t="s">
        <v>586</v>
      </c>
      <c r="G28" s="149" t="s">
        <v>1139</v>
      </c>
      <c r="H28" s="147" t="s">
        <v>1252</v>
      </c>
      <c r="I28" s="148" t="s">
        <v>1224</v>
      </c>
      <c r="J28" s="150">
        <v>3990</v>
      </c>
      <c r="K28" s="151">
        <v>63.2</v>
      </c>
      <c r="L28" s="152">
        <v>63.132911392405063</v>
      </c>
      <c r="M28" s="152" t="s">
        <v>1225</v>
      </c>
      <c r="N28" s="148" t="s">
        <v>586</v>
      </c>
      <c r="O28" s="153" t="s">
        <v>586</v>
      </c>
    </row>
    <row r="29" spans="1:15" s="154" customFormat="1" x14ac:dyDescent="0.25">
      <c r="A29" s="161">
        <v>44735</v>
      </c>
      <c r="B29" s="173" t="s">
        <v>796</v>
      </c>
      <c r="C29" s="162">
        <v>121001</v>
      </c>
      <c r="D29" s="163" t="s">
        <v>1092</v>
      </c>
      <c r="E29" s="166" t="s">
        <v>13</v>
      </c>
      <c r="F29" s="166" t="s">
        <v>794</v>
      </c>
      <c r="G29" s="165" t="s">
        <v>1141</v>
      </c>
      <c r="H29" s="163" t="s">
        <v>1253</v>
      </c>
      <c r="I29" s="166" t="s">
        <v>1224</v>
      </c>
      <c r="J29" s="167">
        <v>197425</v>
      </c>
      <c r="K29" s="168">
        <v>63.2</v>
      </c>
      <c r="L29" s="169">
        <v>3123.8132911392404</v>
      </c>
      <c r="M29" s="169" t="s">
        <v>1225</v>
      </c>
      <c r="N29" s="187" t="s">
        <v>982</v>
      </c>
      <c r="O29" s="187" t="s">
        <v>982</v>
      </c>
    </row>
    <row r="30" spans="1:15" s="154" customFormat="1" x14ac:dyDescent="0.2">
      <c r="A30" s="206">
        <v>44729</v>
      </c>
      <c r="B30" s="155" t="s">
        <v>800</v>
      </c>
      <c r="C30" s="146">
        <v>122002</v>
      </c>
      <c r="D30" s="147" t="s">
        <v>33</v>
      </c>
      <c r="E30" s="148" t="s">
        <v>13</v>
      </c>
      <c r="F30" s="148" t="s">
        <v>504</v>
      </c>
      <c r="G30" s="149" t="s">
        <v>1140</v>
      </c>
      <c r="H30" s="188" t="s">
        <v>1254</v>
      </c>
      <c r="I30" s="189" t="s">
        <v>1224</v>
      </c>
      <c r="J30" s="190">
        <v>74572</v>
      </c>
      <c r="K30" s="191">
        <v>63.2</v>
      </c>
      <c r="L30" s="192">
        <v>1179.9367088607594</v>
      </c>
      <c r="M30" s="192" t="s">
        <v>1225</v>
      </c>
      <c r="N30" s="189" t="s">
        <v>504</v>
      </c>
      <c r="O30" s="208" t="s">
        <v>1386</v>
      </c>
    </row>
    <row r="31" spans="1:15" s="154" customFormat="1" x14ac:dyDescent="0.25">
      <c r="A31" s="145">
        <v>44735</v>
      </c>
      <c r="B31" s="155" t="s">
        <v>1255</v>
      </c>
      <c r="C31" s="146">
        <v>122099</v>
      </c>
      <c r="D31" s="147" t="s">
        <v>807</v>
      </c>
      <c r="E31" s="148" t="s">
        <v>13</v>
      </c>
      <c r="F31" s="148" t="s">
        <v>572</v>
      </c>
      <c r="G31" s="149" t="s">
        <v>1142</v>
      </c>
      <c r="H31" s="147" t="s">
        <v>1256</v>
      </c>
      <c r="I31" s="148" t="s">
        <v>1224</v>
      </c>
      <c r="J31" s="150">
        <v>440000</v>
      </c>
      <c r="K31" s="151">
        <v>63.2</v>
      </c>
      <c r="L31" s="152">
        <v>6962.0253164556962</v>
      </c>
      <c r="M31" s="152" t="s">
        <v>1225</v>
      </c>
      <c r="N31" s="148" t="s">
        <v>572</v>
      </c>
      <c r="O31" s="153" t="s">
        <v>572</v>
      </c>
    </row>
    <row r="32" spans="1:15" s="154" customFormat="1" x14ac:dyDescent="0.25">
      <c r="A32" s="145">
        <v>44735</v>
      </c>
      <c r="B32" s="155" t="s">
        <v>810</v>
      </c>
      <c r="C32" s="146">
        <v>122099</v>
      </c>
      <c r="D32" s="147" t="s">
        <v>807</v>
      </c>
      <c r="E32" s="148" t="s">
        <v>13</v>
      </c>
      <c r="F32" s="148" t="s">
        <v>572</v>
      </c>
      <c r="G32" s="149" t="s">
        <v>1143</v>
      </c>
      <c r="H32" s="147" t="s">
        <v>1256</v>
      </c>
      <c r="I32" s="148" t="s">
        <v>1224</v>
      </c>
      <c r="J32" s="150">
        <v>575000</v>
      </c>
      <c r="K32" s="151">
        <v>63.2</v>
      </c>
      <c r="L32" s="152">
        <v>9098.1012658227846</v>
      </c>
      <c r="M32" s="152" t="s">
        <v>1225</v>
      </c>
      <c r="N32" s="148" t="s">
        <v>572</v>
      </c>
      <c r="O32" s="153" t="s">
        <v>572</v>
      </c>
    </row>
    <row r="33" spans="1:15" s="154" customFormat="1" x14ac:dyDescent="0.25">
      <c r="A33" s="145">
        <v>44735</v>
      </c>
      <c r="B33" s="155" t="s">
        <v>812</v>
      </c>
      <c r="C33" s="146">
        <v>122099</v>
      </c>
      <c r="D33" s="147" t="s">
        <v>807</v>
      </c>
      <c r="E33" s="148" t="s">
        <v>13</v>
      </c>
      <c r="F33" s="148" t="s">
        <v>572</v>
      </c>
      <c r="G33" s="149" t="s">
        <v>1144</v>
      </c>
      <c r="H33" s="147" t="s">
        <v>1256</v>
      </c>
      <c r="I33" s="148" t="s">
        <v>1224</v>
      </c>
      <c r="J33" s="150">
        <v>707500</v>
      </c>
      <c r="K33" s="151">
        <v>63.2</v>
      </c>
      <c r="L33" s="152">
        <v>11194.620253164556</v>
      </c>
      <c r="M33" s="152" t="s">
        <v>1225</v>
      </c>
      <c r="N33" s="148" t="s">
        <v>572</v>
      </c>
      <c r="O33" s="153" t="s">
        <v>572</v>
      </c>
    </row>
    <row r="34" spans="1:15" s="154" customFormat="1" x14ac:dyDescent="0.25">
      <c r="A34" s="145">
        <v>44735</v>
      </c>
      <c r="B34" s="155" t="s">
        <v>814</v>
      </c>
      <c r="C34" s="146">
        <v>122099</v>
      </c>
      <c r="D34" s="147" t="s">
        <v>1093</v>
      </c>
      <c r="E34" s="148" t="s">
        <v>13</v>
      </c>
      <c r="F34" s="148" t="s">
        <v>572</v>
      </c>
      <c r="G34" s="149" t="s">
        <v>1145</v>
      </c>
      <c r="H34" s="147" t="s">
        <v>1257</v>
      </c>
      <c r="I34" s="148" t="s">
        <v>1224</v>
      </c>
      <c r="J34" s="150">
        <v>142500</v>
      </c>
      <c r="K34" s="151">
        <v>63.2</v>
      </c>
      <c r="L34" s="152">
        <v>2254.746835443038</v>
      </c>
      <c r="M34" s="152" t="s">
        <v>1225</v>
      </c>
      <c r="N34" s="148" t="s">
        <v>572</v>
      </c>
      <c r="O34" s="153" t="s">
        <v>572</v>
      </c>
    </row>
    <row r="35" spans="1:15" s="154" customFormat="1" x14ac:dyDescent="0.25">
      <c r="A35" s="145">
        <v>44735</v>
      </c>
      <c r="B35" s="155" t="s">
        <v>1258</v>
      </c>
      <c r="C35" s="146">
        <v>122099</v>
      </c>
      <c r="D35" s="147" t="s">
        <v>1093</v>
      </c>
      <c r="E35" s="148" t="s">
        <v>13</v>
      </c>
      <c r="F35" s="148" t="s">
        <v>572</v>
      </c>
      <c r="G35" s="149" t="s">
        <v>1146</v>
      </c>
      <c r="H35" s="147" t="s">
        <v>1259</v>
      </c>
      <c r="I35" s="148" t="s">
        <v>1224</v>
      </c>
      <c r="J35" s="150">
        <v>154500</v>
      </c>
      <c r="K35" s="151">
        <v>63.2</v>
      </c>
      <c r="L35" s="152">
        <v>2444.6202531645567</v>
      </c>
      <c r="M35" s="152" t="s">
        <v>1225</v>
      </c>
      <c r="N35" s="148" t="s">
        <v>572</v>
      </c>
      <c r="O35" s="153" t="s">
        <v>572</v>
      </c>
    </row>
    <row r="36" spans="1:15" s="154" customFormat="1" x14ac:dyDescent="0.25">
      <c r="A36" s="145">
        <v>44729</v>
      </c>
      <c r="B36" s="155" t="s">
        <v>825</v>
      </c>
      <c r="C36" s="146">
        <v>222099</v>
      </c>
      <c r="D36" s="147" t="s">
        <v>1090</v>
      </c>
      <c r="E36" s="148" t="s">
        <v>13</v>
      </c>
      <c r="F36" s="148" t="s">
        <v>824</v>
      </c>
      <c r="G36" s="149"/>
      <c r="H36" s="147" t="s">
        <v>1383</v>
      </c>
      <c r="I36" s="148" t="s">
        <v>1224</v>
      </c>
      <c r="J36" s="150">
        <v>108000</v>
      </c>
      <c r="K36" s="151">
        <v>63.2</v>
      </c>
      <c r="L36" s="152">
        <v>1708.8607594936709</v>
      </c>
      <c r="M36" s="152" t="s">
        <v>1225</v>
      </c>
      <c r="N36" s="171" t="s">
        <v>982</v>
      </c>
      <c r="O36" s="171" t="s">
        <v>982</v>
      </c>
    </row>
    <row r="37" spans="1:15" s="154" customFormat="1" x14ac:dyDescent="0.25">
      <c r="A37" s="145">
        <v>44729</v>
      </c>
      <c r="B37" s="155"/>
      <c r="C37" s="146">
        <v>222099</v>
      </c>
      <c r="D37" s="147" t="s">
        <v>1057</v>
      </c>
      <c r="E37" s="148" t="s">
        <v>13</v>
      </c>
      <c r="F37" s="148" t="s">
        <v>824</v>
      </c>
      <c r="G37" s="149"/>
      <c r="H37" s="147" t="s">
        <v>1384</v>
      </c>
      <c r="I37" s="148" t="s">
        <v>1224</v>
      </c>
      <c r="J37" s="150">
        <v>131160.24</v>
      </c>
      <c r="K37" s="151">
        <v>64.2</v>
      </c>
      <c r="L37" s="152">
        <v>2042.9943925233642</v>
      </c>
      <c r="M37" s="152" t="s">
        <v>1225</v>
      </c>
      <c r="N37" s="171" t="s">
        <v>982</v>
      </c>
      <c r="O37" s="171" t="s">
        <v>982</v>
      </c>
    </row>
    <row r="38" spans="1:15" s="154" customFormat="1" x14ac:dyDescent="0.25">
      <c r="A38" s="145">
        <v>44729</v>
      </c>
      <c r="B38" s="155"/>
      <c r="C38" s="146">
        <v>222099</v>
      </c>
      <c r="D38" s="147" t="s">
        <v>1056</v>
      </c>
      <c r="E38" s="148" t="s">
        <v>13</v>
      </c>
      <c r="F38" s="148" t="s">
        <v>824</v>
      </c>
      <c r="G38" s="149"/>
      <c r="H38" s="147" t="s">
        <v>1384</v>
      </c>
      <c r="I38" s="148" t="s">
        <v>1224</v>
      </c>
      <c r="J38" s="150">
        <v>81370.39</v>
      </c>
      <c r="K38" s="151">
        <v>65.2</v>
      </c>
      <c r="L38" s="152">
        <v>1248.0121165644171</v>
      </c>
      <c r="M38" s="152" t="s">
        <v>1225</v>
      </c>
      <c r="N38" s="171" t="s">
        <v>982</v>
      </c>
      <c r="O38" s="171" t="s">
        <v>982</v>
      </c>
    </row>
    <row r="39" spans="1:15" s="154" customFormat="1" x14ac:dyDescent="0.25">
      <c r="A39" s="145">
        <v>44729</v>
      </c>
      <c r="B39" s="155"/>
      <c r="C39" s="146">
        <v>222099</v>
      </c>
      <c r="D39" s="147" t="s">
        <v>1060</v>
      </c>
      <c r="E39" s="148" t="s">
        <v>13</v>
      </c>
      <c r="F39" s="148" t="s">
        <v>824</v>
      </c>
      <c r="G39" s="149"/>
      <c r="H39" s="147" t="s">
        <v>1384</v>
      </c>
      <c r="I39" s="148" t="s">
        <v>1224</v>
      </c>
      <c r="J39" s="150">
        <v>134400</v>
      </c>
      <c r="K39" s="151">
        <v>66.2</v>
      </c>
      <c r="L39" s="152">
        <v>2030.2114803625377</v>
      </c>
      <c r="M39" s="152" t="s">
        <v>1225</v>
      </c>
      <c r="N39" s="171" t="s">
        <v>982</v>
      </c>
      <c r="O39" s="171" t="s">
        <v>982</v>
      </c>
    </row>
    <row r="40" spans="1:15" s="154" customFormat="1" x14ac:dyDescent="0.25">
      <c r="A40" s="145">
        <v>44735</v>
      </c>
      <c r="B40" s="155" t="s">
        <v>821</v>
      </c>
      <c r="C40" s="146">
        <v>122099</v>
      </c>
      <c r="D40" s="147" t="s">
        <v>1094</v>
      </c>
      <c r="E40" s="148" t="s">
        <v>13</v>
      </c>
      <c r="F40" s="148" t="s">
        <v>668</v>
      </c>
      <c r="G40" s="149" t="s">
        <v>1147</v>
      </c>
      <c r="H40" s="147" t="s">
        <v>1260</v>
      </c>
      <c r="I40" s="148" t="s">
        <v>1224</v>
      </c>
      <c r="J40" s="150">
        <v>249000</v>
      </c>
      <c r="K40" s="151">
        <v>63.2</v>
      </c>
      <c r="L40" s="152">
        <v>3939.8734177215188</v>
      </c>
      <c r="M40" s="152" t="s">
        <v>1225</v>
      </c>
      <c r="N40" s="148" t="s">
        <v>668</v>
      </c>
      <c r="O40" s="153" t="s">
        <v>572</v>
      </c>
    </row>
    <row r="41" spans="1:15" s="154" customFormat="1" x14ac:dyDescent="0.25">
      <c r="A41" s="145">
        <v>44735</v>
      </c>
      <c r="B41" s="155" t="s">
        <v>829</v>
      </c>
      <c r="C41" s="146">
        <v>122099</v>
      </c>
      <c r="D41" s="147" t="s">
        <v>1093</v>
      </c>
      <c r="E41" s="148" t="s">
        <v>13</v>
      </c>
      <c r="F41" s="148" t="s">
        <v>668</v>
      </c>
      <c r="G41" s="149" t="s">
        <v>1148</v>
      </c>
      <c r="H41" s="147" t="s">
        <v>1261</v>
      </c>
      <c r="I41" s="148" t="s">
        <v>1224</v>
      </c>
      <c r="J41" s="150">
        <v>20000</v>
      </c>
      <c r="K41" s="151">
        <v>63.2</v>
      </c>
      <c r="L41" s="152">
        <v>316.45569620253161</v>
      </c>
      <c r="M41" s="152" t="s">
        <v>1225</v>
      </c>
      <c r="N41" s="148" t="s">
        <v>668</v>
      </c>
      <c r="O41" s="153" t="s">
        <v>572</v>
      </c>
    </row>
    <row r="42" spans="1:15" s="154" customFormat="1" x14ac:dyDescent="0.25">
      <c r="A42" s="145">
        <v>44735</v>
      </c>
      <c r="B42" s="155" t="s">
        <v>832</v>
      </c>
      <c r="C42" s="146">
        <v>112101</v>
      </c>
      <c r="D42" s="147" t="s">
        <v>1062</v>
      </c>
      <c r="E42" s="148" t="s">
        <v>13</v>
      </c>
      <c r="F42" s="148" t="s">
        <v>572</v>
      </c>
      <c r="G42" s="149" t="s">
        <v>1109</v>
      </c>
      <c r="H42" s="147" t="s">
        <v>1262</v>
      </c>
      <c r="I42" s="148" t="s">
        <v>1224</v>
      </c>
      <c r="J42" s="150">
        <v>689400</v>
      </c>
      <c r="K42" s="151">
        <v>63.2</v>
      </c>
      <c r="L42" s="152">
        <v>10908.227848101265</v>
      </c>
      <c r="M42" s="152" t="s">
        <v>1225</v>
      </c>
      <c r="N42" s="148" t="s">
        <v>572</v>
      </c>
      <c r="O42" s="153" t="s">
        <v>572</v>
      </c>
    </row>
    <row r="43" spans="1:15" s="154" customFormat="1" x14ac:dyDescent="0.25">
      <c r="A43" s="145">
        <v>44735</v>
      </c>
      <c r="B43" s="155" t="s">
        <v>834</v>
      </c>
      <c r="C43" s="146">
        <v>112101</v>
      </c>
      <c r="D43" s="147" t="s">
        <v>1062</v>
      </c>
      <c r="E43" s="148" t="s">
        <v>13</v>
      </c>
      <c r="F43" s="148" t="s">
        <v>572</v>
      </c>
      <c r="G43" s="149" t="s">
        <v>1109</v>
      </c>
      <c r="H43" s="147" t="s">
        <v>1263</v>
      </c>
      <c r="I43" s="148" t="s">
        <v>1224</v>
      </c>
      <c r="J43" s="150">
        <v>723600</v>
      </c>
      <c r="K43" s="151">
        <v>63.2</v>
      </c>
      <c r="L43" s="152">
        <v>11449.367088607594</v>
      </c>
      <c r="M43" s="152" t="s">
        <v>1225</v>
      </c>
      <c r="N43" s="148" t="s">
        <v>572</v>
      </c>
      <c r="O43" s="153" t="s">
        <v>572</v>
      </c>
    </row>
    <row r="44" spans="1:15" s="154" customFormat="1" x14ac:dyDescent="0.25">
      <c r="A44" s="145">
        <v>44735</v>
      </c>
      <c r="B44" s="155" t="s">
        <v>836</v>
      </c>
      <c r="C44" s="146">
        <v>112101</v>
      </c>
      <c r="D44" s="147" t="s">
        <v>1062</v>
      </c>
      <c r="E44" s="148" t="s">
        <v>13</v>
      </c>
      <c r="F44" s="148" t="s">
        <v>572</v>
      </c>
      <c r="G44" s="149" t="s">
        <v>1109</v>
      </c>
      <c r="H44" s="147" t="s">
        <v>1264</v>
      </c>
      <c r="I44" s="148" t="s">
        <v>1224</v>
      </c>
      <c r="J44" s="150">
        <v>1120200</v>
      </c>
      <c r="K44" s="151">
        <v>63.2</v>
      </c>
      <c r="L44" s="152">
        <v>17724.683544303796</v>
      </c>
      <c r="M44" s="152" t="s">
        <v>1225</v>
      </c>
      <c r="N44" s="148" t="s">
        <v>572</v>
      </c>
      <c r="O44" s="153" t="s">
        <v>572</v>
      </c>
    </row>
    <row r="45" spans="1:15" s="154" customFormat="1" x14ac:dyDescent="0.25">
      <c r="A45" s="145">
        <v>44735</v>
      </c>
      <c r="B45" s="155" t="s">
        <v>838</v>
      </c>
      <c r="C45" s="146">
        <v>112101</v>
      </c>
      <c r="D45" s="147" t="s">
        <v>1062</v>
      </c>
      <c r="E45" s="148" t="s">
        <v>13</v>
      </c>
      <c r="F45" s="148" t="s">
        <v>572</v>
      </c>
      <c r="G45" s="149" t="s">
        <v>1149</v>
      </c>
      <c r="H45" s="147" t="s">
        <v>1265</v>
      </c>
      <c r="I45" s="148" t="s">
        <v>1224</v>
      </c>
      <c r="J45" s="150">
        <v>20400</v>
      </c>
      <c r="K45" s="151">
        <v>63.2</v>
      </c>
      <c r="L45" s="152">
        <v>322.78481012658227</v>
      </c>
      <c r="M45" s="152" t="s">
        <v>1225</v>
      </c>
      <c r="N45" s="148" t="s">
        <v>572</v>
      </c>
      <c r="O45" s="153" t="s">
        <v>572</v>
      </c>
    </row>
    <row r="46" spans="1:15" s="154" customFormat="1" x14ac:dyDescent="0.25">
      <c r="A46" s="145">
        <v>44735</v>
      </c>
      <c r="B46" s="155" t="s">
        <v>841</v>
      </c>
      <c r="C46" s="146">
        <v>122099</v>
      </c>
      <c r="D46" s="147" t="s">
        <v>1091</v>
      </c>
      <c r="E46" s="148" t="s">
        <v>13</v>
      </c>
      <c r="F46" s="148" t="s">
        <v>572</v>
      </c>
      <c r="G46" s="149" t="s">
        <v>1150</v>
      </c>
      <c r="H46" s="147" t="s">
        <v>1266</v>
      </c>
      <c r="I46" s="148" t="s">
        <v>1224</v>
      </c>
      <c r="J46" s="150">
        <v>245380</v>
      </c>
      <c r="K46" s="151">
        <v>63.2</v>
      </c>
      <c r="L46" s="152">
        <v>3882.5949367088606</v>
      </c>
      <c r="M46" s="152" t="s">
        <v>1225</v>
      </c>
      <c r="N46" s="148" t="s">
        <v>572</v>
      </c>
      <c r="O46" s="153" t="s">
        <v>572</v>
      </c>
    </row>
    <row r="47" spans="1:15" s="154" customFormat="1" x14ac:dyDescent="0.25">
      <c r="A47" s="145">
        <v>44743</v>
      </c>
      <c r="B47" s="155" t="s">
        <v>849</v>
      </c>
      <c r="C47" s="146">
        <v>122099</v>
      </c>
      <c r="D47" s="147" t="s">
        <v>1095</v>
      </c>
      <c r="E47" s="148" t="s">
        <v>13</v>
      </c>
      <c r="F47" s="148" t="s">
        <v>572</v>
      </c>
      <c r="G47" s="149" t="s">
        <v>1153</v>
      </c>
      <c r="H47" s="147" t="s">
        <v>1267</v>
      </c>
      <c r="I47" s="148" t="s">
        <v>1224</v>
      </c>
      <c r="J47" s="150">
        <v>210000</v>
      </c>
      <c r="K47" s="151">
        <v>63.2</v>
      </c>
      <c r="L47" s="152">
        <v>3322.7848101265822</v>
      </c>
      <c r="M47" s="152" t="s">
        <v>1225</v>
      </c>
      <c r="N47" s="148" t="s">
        <v>572</v>
      </c>
      <c r="O47" s="153" t="s">
        <v>572</v>
      </c>
    </row>
    <row r="48" spans="1:15" s="154" customFormat="1" x14ac:dyDescent="0.25">
      <c r="A48" s="145">
        <v>44735</v>
      </c>
      <c r="B48" s="155" t="s">
        <v>853</v>
      </c>
      <c r="C48" s="146">
        <v>121001</v>
      </c>
      <c r="D48" s="147" t="s">
        <v>854</v>
      </c>
      <c r="E48" s="148" t="s">
        <v>13</v>
      </c>
      <c r="F48" s="148" t="s">
        <v>572</v>
      </c>
      <c r="G48" s="149" t="s">
        <v>1151</v>
      </c>
      <c r="H48" s="147" t="s">
        <v>1268</v>
      </c>
      <c r="I48" s="148" t="s">
        <v>1224</v>
      </c>
      <c r="J48" s="150">
        <v>350000</v>
      </c>
      <c r="K48" s="151">
        <v>63.2</v>
      </c>
      <c r="L48" s="152">
        <v>5537.9746835443038</v>
      </c>
      <c r="M48" s="152" t="s">
        <v>1225</v>
      </c>
      <c r="N48" s="148" t="s">
        <v>572</v>
      </c>
      <c r="O48" s="153" t="s">
        <v>572</v>
      </c>
    </row>
    <row r="49" spans="1:15" s="154" customFormat="1" x14ac:dyDescent="0.25">
      <c r="A49" s="145">
        <v>44735</v>
      </c>
      <c r="B49" s="155" t="s">
        <v>857</v>
      </c>
      <c r="C49" s="146">
        <v>112101</v>
      </c>
      <c r="D49" s="147" t="s">
        <v>1062</v>
      </c>
      <c r="E49" s="148" t="s">
        <v>13</v>
      </c>
      <c r="F49" s="148" t="s">
        <v>572</v>
      </c>
      <c r="G49" s="149" t="s">
        <v>1109</v>
      </c>
      <c r="H49" s="147" t="s">
        <v>1269</v>
      </c>
      <c r="I49" s="148" t="s">
        <v>1224</v>
      </c>
      <c r="J49" s="150">
        <v>1279200</v>
      </c>
      <c r="K49" s="151">
        <v>63.2</v>
      </c>
      <c r="L49" s="152">
        <v>20240.506329113923</v>
      </c>
      <c r="M49" s="152" t="s">
        <v>1225</v>
      </c>
      <c r="N49" s="148" t="s">
        <v>572</v>
      </c>
      <c r="O49" s="153" t="s">
        <v>572</v>
      </c>
    </row>
    <row r="50" spans="1:15" s="154" customFormat="1" x14ac:dyDescent="0.25">
      <c r="A50" s="145">
        <v>44735</v>
      </c>
      <c r="B50" s="155" t="s">
        <v>859</v>
      </c>
      <c r="C50" s="146">
        <v>121001</v>
      </c>
      <c r="D50" s="147" t="s">
        <v>1087</v>
      </c>
      <c r="E50" s="148" t="s">
        <v>13</v>
      </c>
      <c r="F50" s="148" t="s">
        <v>586</v>
      </c>
      <c r="G50" s="149" t="s">
        <v>1152</v>
      </c>
      <c r="H50" s="147" t="s">
        <v>1270</v>
      </c>
      <c r="I50" s="148" t="s">
        <v>1224</v>
      </c>
      <c r="J50" s="150">
        <v>25953.4</v>
      </c>
      <c r="K50" s="151">
        <v>63.2</v>
      </c>
      <c r="L50" s="152">
        <v>410.65506329113924</v>
      </c>
      <c r="M50" s="152" t="s">
        <v>1225</v>
      </c>
      <c r="N50" s="148" t="s">
        <v>586</v>
      </c>
      <c r="O50" s="153" t="s">
        <v>586</v>
      </c>
    </row>
    <row r="51" spans="1:15" s="154" customFormat="1" x14ac:dyDescent="0.25">
      <c r="A51" s="145">
        <v>44743</v>
      </c>
      <c r="B51" s="155" t="s">
        <v>862</v>
      </c>
      <c r="C51" s="146">
        <v>122099</v>
      </c>
      <c r="D51" s="147" t="s">
        <v>807</v>
      </c>
      <c r="E51" s="148" t="s">
        <v>13</v>
      </c>
      <c r="F51" s="148" t="s">
        <v>572</v>
      </c>
      <c r="G51" s="149" t="s">
        <v>1154</v>
      </c>
      <c r="H51" s="147" t="s">
        <v>1271</v>
      </c>
      <c r="I51" s="148" t="s">
        <v>869</v>
      </c>
      <c r="J51" s="150">
        <v>707500</v>
      </c>
      <c r="K51" s="151">
        <v>63.2</v>
      </c>
      <c r="L51" s="152">
        <v>11194.620253164556</v>
      </c>
      <c r="M51" s="152" t="s">
        <v>1225</v>
      </c>
      <c r="N51" s="148" t="s">
        <v>572</v>
      </c>
      <c r="O51" s="153" t="s">
        <v>572</v>
      </c>
    </row>
    <row r="52" spans="1:15" s="154" customFormat="1" x14ac:dyDescent="0.25">
      <c r="A52" s="145">
        <v>44743</v>
      </c>
      <c r="B52" s="155" t="s">
        <v>865</v>
      </c>
      <c r="C52" s="146">
        <v>122099</v>
      </c>
      <c r="D52" s="147" t="s">
        <v>807</v>
      </c>
      <c r="E52" s="148" t="s">
        <v>13</v>
      </c>
      <c r="F52" s="148" t="s">
        <v>572</v>
      </c>
      <c r="G52" s="149" t="s">
        <v>1155</v>
      </c>
      <c r="H52" s="147" t="s">
        <v>1272</v>
      </c>
      <c r="I52" s="148" t="s">
        <v>868</v>
      </c>
      <c r="J52" s="150">
        <v>575000</v>
      </c>
      <c r="K52" s="151">
        <v>63.2</v>
      </c>
      <c r="L52" s="152">
        <v>9098.1012658227846</v>
      </c>
      <c r="M52" s="152" t="s">
        <v>1225</v>
      </c>
      <c r="N52" s="148" t="s">
        <v>572</v>
      </c>
      <c r="O52" s="153" t="s">
        <v>572</v>
      </c>
    </row>
    <row r="53" spans="1:15" s="154" customFormat="1" x14ac:dyDescent="0.25">
      <c r="A53" s="145">
        <v>44743</v>
      </c>
      <c r="B53" s="155" t="s">
        <v>1273</v>
      </c>
      <c r="C53" s="146">
        <v>122099</v>
      </c>
      <c r="D53" s="147" t="s">
        <v>807</v>
      </c>
      <c r="E53" s="148" t="s">
        <v>13</v>
      </c>
      <c r="F53" s="148" t="s">
        <v>572</v>
      </c>
      <c r="G53" s="149" t="s">
        <v>1156</v>
      </c>
      <c r="H53" s="147" t="s">
        <v>1274</v>
      </c>
      <c r="I53" s="148" t="s">
        <v>873</v>
      </c>
      <c r="J53" s="150">
        <v>440000</v>
      </c>
      <c r="K53" s="151">
        <v>63.2</v>
      </c>
      <c r="L53" s="152">
        <v>6962.0253164556962</v>
      </c>
      <c r="M53" s="152" t="s">
        <v>1225</v>
      </c>
      <c r="N53" s="148" t="s">
        <v>572</v>
      </c>
      <c r="O53" s="153" t="s">
        <v>572</v>
      </c>
    </row>
    <row r="54" spans="1:15" s="154" customFormat="1" x14ac:dyDescent="0.25">
      <c r="A54" s="145">
        <v>44743</v>
      </c>
      <c r="B54" s="155" t="s">
        <v>874</v>
      </c>
      <c r="C54" s="146">
        <v>122099</v>
      </c>
      <c r="D54" s="147" t="s">
        <v>807</v>
      </c>
      <c r="E54" s="148" t="s">
        <v>13</v>
      </c>
      <c r="F54" s="148" t="s">
        <v>572</v>
      </c>
      <c r="G54" s="149" t="s">
        <v>1157</v>
      </c>
      <c r="H54" s="147" t="s">
        <v>1275</v>
      </c>
      <c r="I54" s="148" t="s">
        <v>877</v>
      </c>
      <c r="J54" s="150">
        <v>1605000</v>
      </c>
      <c r="K54" s="151">
        <v>63.2</v>
      </c>
      <c r="L54" s="152">
        <v>25395.569620253162</v>
      </c>
      <c r="M54" s="152" t="s">
        <v>1225</v>
      </c>
      <c r="N54" s="148" t="s">
        <v>572</v>
      </c>
      <c r="O54" s="153" t="s">
        <v>572</v>
      </c>
    </row>
    <row r="55" spans="1:15" s="154" customFormat="1" x14ac:dyDescent="0.25">
      <c r="A55" s="145">
        <v>44743</v>
      </c>
      <c r="B55" s="155" t="s">
        <v>878</v>
      </c>
      <c r="C55" s="146">
        <v>122099</v>
      </c>
      <c r="D55" s="147" t="s">
        <v>807</v>
      </c>
      <c r="E55" s="148" t="s">
        <v>13</v>
      </c>
      <c r="F55" s="148" t="s">
        <v>572</v>
      </c>
      <c r="G55" s="149" t="s">
        <v>1158</v>
      </c>
      <c r="H55" s="147" t="s">
        <v>1276</v>
      </c>
      <c r="I55" s="148" t="s">
        <v>881</v>
      </c>
      <c r="J55" s="150">
        <v>900000</v>
      </c>
      <c r="K55" s="151">
        <v>63.2</v>
      </c>
      <c r="L55" s="152">
        <v>14240.506329113923</v>
      </c>
      <c r="M55" s="152" t="s">
        <v>1225</v>
      </c>
      <c r="N55" s="148" t="s">
        <v>572</v>
      </c>
      <c r="O55" s="153" t="s">
        <v>572</v>
      </c>
    </row>
    <row r="56" spans="1:15" s="154" customFormat="1" x14ac:dyDescent="0.25">
      <c r="A56" s="145">
        <v>44743</v>
      </c>
      <c r="B56" s="155" t="s">
        <v>882</v>
      </c>
      <c r="C56" s="146">
        <v>122099</v>
      </c>
      <c r="D56" s="147" t="s">
        <v>807</v>
      </c>
      <c r="E56" s="148" t="s">
        <v>13</v>
      </c>
      <c r="F56" s="148" t="s">
        <v>572</v>
      </c>
      <c r="G56" s="149" t="s">
        <v>1159</v>
      </c>
      <c r="H56" s="147" t="s">
        <v>1277</v>
      </c>
      <c r="I56" s="148" t="s">
        <v>885</v>
      </c>
      <c r="J56" s="150">
        <v>357500</v>
      </c>
      <c r="K56" s="151">
        <v>63.2</v>
      </c>
      <c r="L56" s="152">
        <v>5656.6455696202529</v>
      </c>
      <c r="M56" s="152" t="s">
        <v>1225</v>
      </c>
      <c r="N56" s="148" t="s">
        <v>572</v>
      </c>
      <c r="O56" s="153" t="s">
        <v>572</v>
      </c>
    </row>
    <row r="57" spans="1:15" s="154" customFormat="1" x14ac:dyDescent="0.25">
      <c r="A57" s="145">
        <v>44747</v>
      </c>
      <c r="B57" s="155" t="s">
        <v>890</v>
      </c>
      <c r="C57" s="146">
        <v>122099</v>
      </c>
      <c r="D57" s="147" t="s">
        <v>1096</v>
      </c>
      <c r="E57" s="148" t="s">
        <v>13</v>
      </c>
      <c r="F57" s="148" t="s">
        <v>572</v>
      </c>
      <c r="G57" s="149" t="s">
        <v>1160</v>
      </c>
      <c r="H57" s="147" t="s">
        <v>1278</v>
      </c>
      <c r="I57" s="148" t="s">
        <v>894</v>
      </c>
      <c r="J57" s="150">
        <v>444000</v>
      </c>
      <c r="K57" s="151">
        <v>63.2</v>
      </c>
      <c r="L57" s="152">
        <v>7025.316455696202</v>
      </c>
      <c r="M57" s="152" t="s">
        <v>1225</v>
      </c>
      <c r="N57" s="148" t="s">
        <v>572</v>
      </c>
      <c r="O57" s="153" t="s">
        <v>572</v>
      </c>
    </row>
    <row r="58" spans="1:15" s="154" customFormat="1" x14ac:dyDescent="0.25">
      <c r="A58" s="145">
        <v>44747</v>
      </c>
      <c r="B58" s="155" t="s">
        <v>895</v>
      </c>
      <c r="C58" s="146">
        <v>122099</v>
      </c>
      <c r="D58" s="147" t="s">
        <v>1096</v>
      </c>
      <c r="E58" s="148" t="s">
        <v>13</v>
      </c>
      <c r="F58" s="148" t="s">
        <v>572</v>
      </c>
      <c r="G58" s="149" t="s">
        <v>1161</v>
      </c>
      <c r="H58" s="147" t="s">
        <v>1279</v>
      </c>
      <c r="I58" s="148" t="s">
        <v>898</v>
      </c>
      <c r="J58" s="150">
        <v>559750</v>
      </c>
      <c r="K58" s="151">
        <v>63.2</v>
      </c>
      <c r="L58" s="152">
        <v>8856.8037974683539</v>
      </c>
      <c r="M58" s="152" t="s">
        <v>1225</v>
      </c>
      <c r="N58" s="148" t="s">
        <v>572</v>
      </c>
      <c r="O58" s="153" t="s">
        <v>572</v>
      </c>
    </row>
    <row r="59" spans="1:15" s="154" customFormat="1" x14ac:dyDescent="0.25">
      <c r="A59" s="145">
        <v>44747</v>
      </c>
      <c r="B59" s="155" t="s">
        <v>899</v>
      </c>
      <c r="C59" s="146">
        <v>122099</v>
      </c>
      <c r="D59" s="147" t="s">
        <v>1096</v>
      </c>
      <c r="E59" s="148" t="s">
        <v>13</v>
      </c>
      <c r="F59" s="148" t="s">
        <v>572</v>
      </c>
      <c r="G59" s="149" t="s">
        <v>1162</v>
      </c>
      <c r="H59" s="147" t="s">
        <v>1279</v>
      </c>
      <c r="I59" s="148" t="s">
        <v>901</v>
      </c>
      <c r="J59" s="150">
        <v>236800</v>
      </c>
      <c r="K59" s="151">
        <v>63.2</v>
      </c>
      <c r="L59" s="152">
        <v>3746.8354430379745</v>
      </c>
      <c r="M59" s="152" t="s">
        <v>1225</v>
      </c>
      <c r="N59" s="148" t="s">
        <v>572</v>
      </c>
      <c r="O59" s="153" t="s">
        <v>572</v>
      </c>
    </row>
    <row r="60" spans="1:15" s="154" customFormat="1" x14ac:dyDescent="0.25">
      <c r="A60" s="145">
        <v>44756</v>
      </c>
      <c r="B60" s="155" t="s">
        <v>902</v>
      </c>
      <c r="C60" s="146">
        <v>122099</v>
      </c>
      <c r="D60" s="147" t="s">
        <v>807</v>
      </c>
      <c r="E60" s="148" t="s">
        <v>13</v>
      </c>
      <c r="F60" s="148" t="s">
        <v>572</v>
      </c>
      <c r="G60" s="149" t="s">
        <v>1163</v>
      </c>
      <c r="H60" s="147" t="s">
        <v>1280</v>
      </c>
      <c r="I60" s="148" t="s">
        <v>905</v>
      </c>
      <c r="J60" s="150">
        <v>357500</v>
      </c>
      <c r="K60" s="151">
        <v>63.23</v>
      </c>
      <c r="L60" s="152">
        <v>5653.9617270283097</v>
      </c>
      <c r="M60" s="152" t="s">
        <v>1225</v>
      </c>
      <c r="N60" s="148" t="s">
        <v>572</v>
      </c>
      <c r="O60" s="153" t="s">
        <v>572</v>
      </c>
    </row>
    <row r="61" spans="1:15" s="154" customFormat="1" x14ac:dyDescent="0.25">
      <c r="A61" s="145">
        <v>44757</v>
      </c>
      <c r="B61" s="155" t="s">
        <v>906</v>
      </c>
      <c r="C61" s="146">
        <v>122099</v>
      </c>
      <c r="D61" s="147" t="s">
        <v>907</v>
      </c>
      <c r="E61" s="148" t="s">
        <v>13</v>
      </c>
      <c r="F61" s="148" t="s">
        <v>572</v>
      </c>
      <c r="G61" s="149" t="s">
        <v>1164</v>
      </c>
      <c r="H61" s="147" t="s">
        <v>1281</v>
      </c>
      <c r="I61" s="148" t="s">
        <v>909</v>
      </c>
      <c r="J61" s="150">
        <v>430000</v>
      </c>
      <c r="K61" s="151">
        <v>63.23</v>
      </c>
      <c r="L61" s="152">
        <v>6800.5693499920926</v>
      </c>
      <c r="M61" s="152" t="s">
        <v>1225</v>
      </c>
      <c r="N61" s="148" t="s">
        <v>572</v>
      </c>
      <c r="O61" s="153" t="s">
        <v>572</v>
      </c>
    </row>
    <row r="62" spans="1:15" s="154" customFormat="1" x14ac:dyDescent="0.25">
      <c r="A62" s="145">
        <v>44757</v>
      </c>
      <c r="B62" s="155" t="s">
        <v>910</v>
      </c>
      <c r="C62" s="146">
        <v>122099</v>
      </c>
      <c r="D62" s="147" t="s">
        <v>907</v>
      </c>
      <c r="E62" s="148" t="s">
        <v>13</v>
      </c>
      <c r="F62" s="148" t="s">
        <v>572</v>
      </c>
      <c r="G62" s="149" t="s">
        <v>1165</v>
      </c>
      <c r="H62" s="147" t="s">
        <v>1282</v>
      </c>
      <c r="I62" s="148" t="s">
        <v>914</v>
      </c>
      <c r="J62" s="150">
        <v>430000</v>
      </c>
      <c r="K62" s="151">
        <v>63.23</v>
      </c>
      <c r="L62" s="152">
        <v>6800.5693499920926</v>
      </c>
      <c r="M62" s="152" t="s">
        <v>1225</v>
      </c>
      <c r="N62" s="148" t="s">
        <v>572</v>
      </c>
      <c r="O62" s="153" t="s">
        <v>572</v>
      </c>
    </row>
    <row r="63" spans="1:15" s="154" customFormat="1" x14ac:dyDescent="0.25">
      <c r="A63" s="145">
        <v>44760</v>
      </c>
      <c r="B63" s="155" t="s">
        <v>915</v>
      </c>
      <c r="C63" s="146">
        <v>122099</v>
      </c>
      <c r="D63" s="147" t="s">
        <v>916</v>
      </c>
      <c r="E63" s="148" t="s">
        <v>13</v>
      </c>
      <c r="F63" s="148" t="s">
        <v>572</v>
      </c>
      <c r="G63" s="149" t="s">
        <v>1166</v>
      </c>
      <c r="H63" s="147" t="s">
        <v>1283</v>
      </c>
      <c r="I63" s="148" t="s">
        <v>919</v>
      </c>
      <c r="J63" s="150">
        <v>941850</v>
      </c>
      <c r="K63" s="151">
        <v>63.23</v>
      </c>
      <c r="L63" s="152">
        <v>14895.619168116402</v>
      </c>
      <c r="M63" s="152" t="s">
        <v>1225</v>
      </c>
      <c r="N63" s="148" t="s">
        <v>572</v>
      </c>
      <c r="O63" s="153" t="s">
        <v>572</v>
      </c>
    </row>
    <row r="64" spans="1:15" s="154" customFormat="1" x14ac:dyDescent="0.25">
      <c r="A64" s="145">
        <v>44761</v>
      </c>
      <c r="B64" s="155" t="s">
        <v>920</v>
      </c>
      <c r="C64" s="146">
        <v>122099</v>
      </c>
      <c r="D64" s="147" t="s">
        <v>1097</v>
      </c>
      <c r="E64" s="148" t="s">
        <v>13</v>
      </c>
      <c r="F64" s="148" t="s">
        <v>572</v>
      </c>
      <c r="G64" s="149" t="s">
        <v>1167</v>
      </c>
      <c r="H64" s="147" t="s">
        <v>1284</v>
      </c>
      <c r="I64" s="148" t="s">
        <v>924</v>
      </c>
      <c r="J64" s="150">
        <v>490230</v>
      </c>
      <c r="K64" s="151">
        <v>63.23</v>
      </c>
      <c r="L64" s="152">
        <v>7753.1235173177292</v>
      </c>
      <c r="M64" s="152" t="s">
        <v>1225</v>
      </c>
      <c r="N64" s="148" t="s">
        <v>572</v>
      </c>
      <c r="O64" s="153" t="s">
        <v>572</v>
      </c>
    </row>
    <row r="65" spans="1:15" s="154" customFormat="1" x14ac:dyDescent="0.25">
      <c r="A65" s="145">
        <v>44761</v>
      </c>
      <c r="B65" s="155" t="s">
        <v>925</v>
      </c>
      <c r="C65" s="146">
        <v>121099</v>
      </c>
      <c r="D65" s="147" t="s">
        <v>926</v>
      </c>
      <c r="E65" s="148" t="s">
        <v>19</v>
      </c>
      <c r="F65" s="148" t="s">
        <v>681</v>
      </c>
      <c r="G65" s="149" t="s">
        <v>1168</v>
      </c>
      <c r="H65" s="147" t="s">
        <v>1285</v>
      </c>
      <c r="I65" s="148" t="s">
        <v>929</v>
      </c>
      <c r="J65" s="150">
        <v>802068</v>
      </c>
      <c r="K65" s="151">
        <v>63.23</v>
      </c>
      <c r="L65" s="152">
        <v>12684.928040487112</v>
      </c>
      <c r="M65" s="152" t="s">
        <v>1225</v>
      </c>
      <c r="N65" s="148" t="s">
        <v>681</v>
      </c>
      <c r="O65" s="153" t="s">
        <v>681</v>
      </c>
    </row>
    <row r="66" spans="1:15" s="154" customFormat="1" x14ac:dyDescent="0.25">
      <c r="A66" s="145">
        <v>44762</v>
      </c>
      <c r="B66" s="155" t="s">
        <v>930</v>
      </c>
      <c r="C66" s="146">
        <v>121005</v>
      </c>
      <c r="D66" s="147" t="s">
        <v>931</v>
      </c>
      <c r="E66" s="148" t="s">
        <v>13</v>
      </c>
      <c r="F66" s="148" t="s">
        <v>572</v>
      </c>
      <c r="G66" s="149" t="s">
        <v>1169</v>
      </c>
      <c r="H66" s="147" t="s">
        <v>1286</v>
      </c>
      <c r="I66" s="148" t="s">
        <v>1287</v>
      </c>
      <c r="J66" s="150">
        <v>129127.05</v>
      </c>
      <c r="K66" s="151">
        <v>63.23</v>
      </c>
      <c r="L66" s="152">
        <v>2042.180136011387</v>
      </c>
      <c r="M66" s="152" t="s">
        <v>1225</v>
      </c>
      <c r="N66" s="148" t="s">
        <v>572</v>
      </c>
      <c r="O66" s="153" t="s">
        <v>572</v>
      </c>
    </row>
    <row r="67" spans="1:15" s="154" customFormat="1" x14ac:dyDescent="0.25">
      <c r="A67" s="161">
        <v>44762</v>
      </c>
      <c r="B67" s="173" t="s">
        <v>935</v>
      </c>
      <c r="C67" s="162">
        <v>121005</v>
      </c>
      <c r="D67" s="163" t="s">
        <v>931</v>
      </c>
      <c r="E67" s="166" t="s">
        <v>13</v>
      </c>
      <c r="F67" s="166" t="s">
        <v>572</v>
      </c>
      <c r="G67" s="165" t="s">
        <v>1170</v>
      </c>
      <c r="H67" s="163" t="s">
        <v>1286</v>
      </c>
      <c r="I67" s="166" t="s">
        <v>1288</v>
      </c>
      <c r="J67" s="167">
        <v>559944.44999999995</v>
      </c>
      <c r="K67" s="168">
        <v>63.23</v>
      </c>
      <c r="L67" s="169">
        <v>8855.6768938794867</v>
      </c>
      <c r="M67" s="169" t="s">
        <v>1225</v>
      </c>
      <c r="N67" s="166" t="s">
        <v>572</v>
      </c>
      <c r="O67" s="171" t="s">
        <v>572</v>
      </c>
    </row>
    <row r="68" spans="1:15" s="154" customFormat="1" x14ac:dyDescent="0.2">
      <c r="A68" s="206">
        <v>44764</v>
      </c>
      <c r="B68" s="155" t="s">
        <v>938</v>
      </c>
      <c r="C68" s="146">
        <v>214101</v>
      </c>
      <c r="D68" s="147" t="s">
        <v>939</v>
      </c>
      <c r="E68" s="148" t="s">
        <v>19</v>
      </c>
      <c r="F68" s="148" t="s">
        <v>561</v>
      </c>
      <c r="G68" s="149" t="s">
        <v>1171</v>
      </c>
      <c r="H68" s="188" t="s">
        <v>1289</v>
      </c>
      <c r="I68" s="189" t="s">
        <v>1224</v>
      </c>
      <c r="J68" s="190">
        <v>11703180</v>
      </c>
      <c r="K68" s="191">
        <v>63.23</v>
      </c>
      <c r="L68" s="192">
        <v>185089.04001265223</v>
      </c>
      <c r="M68" s="192" t="s">
        <v>1225</v>
      </c>
      <c r="N68" s="189" t="s">
        <v>561</v>
      </c>
      <c r="O68" s="208" t="s">
        <v>1386</v>
      </c>
    </row>
    <row r="69" spans="1:15" s="154" customFormat="1" x14ac:dyDescent="0.25">
      <c r="A69" s="161">
        <v>44769</v>
      </c>
      <c r="B69" s="173" t="s">
        <v>942</v>
      </c>
      <c r="C69" s="162">
        <v>121099</v>
      </c>
      <c r="D69" s="163" t="s">
        <v>943</v>
      </c>
      <c r="E69" s="166" t="s">
        <v>19</v>
      </c>
      <c r="F69" s="166" t="s">
        <v>944</v>
      </c>
      <c r="G69" s="165" t="s">
        <v>1290</v>
      </c>
      <c r="H69" s="163" t="s">
        <v>1291</v>
      </c>
      <c r="I69" s="166" t="s">
        <v>1224</v>
      </c>
      <c r="J69" s="167">
        <v>9421454.9499999993</v>
      </c>
      <c r="K69" s="168">
        <v>63.23</v>
      </c>
      <c r="L69" s="169">
        <v>149002.92503558437</v>
      </c>
      <c r="M69" s="169" t="s">
        <v>1225</v>
      </c>
      <c r="N69" s="166" t="s">
        <v>944</v>
      </c>
      <c r="O69" s="171" t="s">
        <v>1018</v>
      </c>
    </row>
    <row r="70" spans="1:15" s="154" customFormat="1" x14ac:dyDescent="0.25">
      <c r="A70" s="206">
        <v>44769</v>
      </c>
      <c r="B70" s="199" t="s">
        <v>947</v>
      </c>
      <c r="C70" s="200">
        <v>121099</v>
      </c>
      <c r="D70" s="194" t="s">
        <v>943</v>
      </c>
      <c r="E70" s="158" t="s">
        <v>19</v>
      </c>
      <c r="F70" s="158" t="s">
        <v>561</v>
      </c>
      <c r="G70" s="201" t="s">
        <v>1172</v>
      </c>
      <c r="H70" s="194" t="s">
        <v>1292</v>
      </c>
      <c r="I70" s="158" t="s">
        <v>1224</v>
      </c>
      <c r="J70" s="195">
        <v>9337261.6799999997</v>
      </c>
      <c r="K70" s="196">
        <v>63.23</v>
      </c>
      <c r="L70" s="197">
        <v>147671.38510200856</v>
      </c>
      <c r="M70" s="197" t="s">
        <v>1225</v>
      </c>
      <c r="N70" s="158" t="s">
        <v>561</v>
      </c>
      <c r="O70" s="158" t="s">
        <v>561</v>
      </c>
    </row>
    <row r="71" spans="1:15" s="154" customFormat="1" x14ac:dyDescent="0.25">
      <c r="A71" s="145">
        <v>44727</v>
      </c>
      <c r="B71" s="155" t="s">
        <v>793</v>
      </c>
      <c r="C71" s="146">
        <v>121001</v>
      </c>
      <c r="D71" s="147" t="s">
        <v>1087</v>
      </c>
      <c r="E71" s="148" t="s">
        <v>13</v>
      </c>
      <c r="F71" s="148" t="s">
        <v>794</v>
      </c>
      <c r="G71" s="149" t="s">
        <v>1117</v>
      </c>
      <c r="H71" s="147" t="s">
        <v>1293</v>
      </c>
      <c r="I71" s="148" t="s">
        <v>1224</v>
      </c>
      <c r="J71" s="150">
        <v>156483.5</v>
      </c>
      <c r="K71" s="151">
        <v>63.23</v>
      </c>
      <c r="L71" s="152">
        <v>2474.8299857662505</v>
      </c>
      <c r="M71" s="152" t="s">
        <v>1225</v>
      </c>
      <c r="N71" s="186" t="s">
        <v>982</v>
      </c>
      <c r="O71" s="186" t="s">
        <v>982</v>
      </c>
    </row>
    <row r="72" spans="1:15" s="154" customFormat="1" x14ac:dyDescent="0.25">
      <c r="A72" s="145">
        <v>44635</v>
      </c>
      <c r="B72" s="155" t="s">
        <v>803</v>
      </c>
      <c r="C72" s="146">
        <v>121001</v>
      </c>
      <c r="D72" s="147" t="s">
        <v>1087</v>
      </c>
      <c r="E72" s="148" t="s">
        <v>13</v>
      </c>
      <c r="F72" s="148" t="s">
        <v>586</v>
      </c>
      <c r="G72" s="149" t="s">
        <v>1191</v>
      </c>
      <c r="H72" s="147" t="s">
        <v>1294</v>
      </c>
      <c r="I72" s="148" t="s">
        <v>1224</v>
      </c>
      <c r="J72" s="150">
        <v>22161</v>
      </c>
      <c r="K72" s="151">
        <v>63.23</v>
      </c>
      <c r="L72" s="152">
        <v>350.48236596552272</v>
      </c>
      <c r="M72" s="152" t="s">
        <v>1225</v>
      </c>
      <c r="N72" s="148" t="s">
        <v>586</v>
      </c>
      <c r="O72" s="153" t="s">
        <v>586</v>
      </c>
    </row>
    <row r="73" spans="1:15" s="154" customFormat="1" x14ac:dyDescent="0.25">
      <c r="A73" s="145">
        <v>44729</v>
      </c>
      <c r="B73" s="155" t="s">
        <v>844</v>
      </c>
      <c r="C73" s="146">
        <v>122099</v>
      </c>
      <c r="D73" s="147" t="s">
        <v>757</v>
      </c>
      <c r="E73" s="148" t="s">
        <v>13</v>
      </c>
      <c r="F73" s="148" t="s">
        <v>572</v>
      </c>
      <c r="G73" s="149" t="s">
        <v>1150</v>
      </c>
      <c r="H73" s="147" t="s">
        <v>1295</v>
      </c>
      <c r="I73" s="148" t="s">
        <v>1224</v>
      </c>
      <c r="J73" s="150">
        <v>26530</v>
      </c>
      <c r="K73" s="151">
        <v>63.23</v>
      </c>
      <c r="L73" s="152">
        <v>419.57931361695398</v>
      </c>
      <c r="M73" s="152" t="s">
        <v>1225</v>
      </c>
      <c r="N73" s="148" t="s">
        <v>572</v>
      </c>
      <c r="O73" s="153" t="s">
        <v>572</v>
      </c>
    </row>
    <row r="74" spans="1:15" s="154" customFormat="1" x14ac:dyDescent="0.25">
      <c r="A74" s="145">
        <v>44729</v>
      </c>
      <c r="B74" s="155" t="s">
        <v>847</v>
      </c>
      <c r="C74" s="146">
        <v>122099</v>
      </c>
      <c r="D74" s="147" t="s">
        <v>759</v>
      </c>
      <c r="E74" s="148" t="s">
        <v>13</v>
      </c>
      <c r="F74" s="148" t="s">
        <v>572</v>
      </c>
      <c r="G74" s="149" t="s">
        <v>1150</v>
      </c>
      <c r="H74" s="147" t="s">
        <v>1296</v>
      </c>
      <c r="I74" s="148" t="s">
        <v>1224</v>
      </c>
      <c r="J74" s="150">
        <v>8700</v>
      </c>
      <c r="K74" s="151">
        <v>63.23</v>
      </c>
      <c r="L74" s="152">
        <v>137.59291475565396</v>
      </c>
      <c r="M74" s="152" t="s">
        <v>1225</v>
      </c>
      <c r="N74" s="148" t="s">
        <v>572</v>
      </c>
      <c r="O74" s="153" t="s">
        <v>572</v>
      </c>
    </row>
    <row r="75" spans="1:15" s="154" customFormat="1" x14ac:dyDescent="0.25">
      <c r="A75" s="145">
        <v>44623</v>
      </c>
      <c r="B75" s="146" t="s">
        <v>530</v>
      </c>
      <c r="C75" s="146">
        <v>121099</v>
      </c>
      <c r="D75" s="147" t="s">
        <v>531</v>
      </c>
      <c r="E75" s="148" t="s">
        <v>19</v>
      </c>
      <c r="F75" s="148" t="s">
        <v>532</v>
      </c>
      <c r="G75" s="149" t="s">
        <v>533</v>
      </c>
      <c r="H75" s="147" t="s">
        <v>1297</v>
      </c>
      <c r="I75" s="148" t="s">
        <v>1224</v>
      </c>
      <c r="J75" s="156">
        <v>239800</v>
      </c>
      <c r="K75" s="151">
        <v>63.2</v>
      </c>
      <c r="L75" s="152">
        <v>3794.3037974683543</v>
      </c>
      <c r="M75" s="148" t="s">
        <v>1298</v>
      </c>
      <c r="N75" s="148" t="s">
        <v>532</v>
      </c>
      <c r="O75" s="153" t="s">
        <v>532</v>
      </c>
    </row>
    <row r="76" spans="1:15" s="154" customFormat="1" x14ac:dyDescent="0.25">
      <c r="A76" s="145">
        <v>44623</v>
      </c>
      <c r="B76" s="146" t="s">
        <v>535</v>
      </c>
      <c r="C76" s="148">
        <v>121099</v>
      </c>
      <c r="D76" s="147" t="s">
        <v>1071</v>
      </c>
      <c r="E76" s="148" t="s">
        <v>19</v>
      </c>
      <c r="F76" s="148" t="s">
        <v>532</v>
      </c>
      <c r="G76" s="149" t="s">
        <v>533</v>
      </c>
      <c r="H76" s="147" t="s">
        <v>1299</v>
      </c>
      <c r="I76" s="148" t="s">
        <v>1224</v>
      </c>
      <c r="J76" s="156">
        <v>21000</v>
      </c>
      <c r="K76" s="151">
        <v>63.2</v>
      </c>
      <c r="L76" s="152">
        <v>332.27848101265823</v>
      </c>
      <c r="M76" s="148" t="s">
        <v>1298</v>
      </c>
      <c r="N76" s="148" t="s">
        <v>532</v>
      </c>
      <c r="O76" s="153" t="s">
        <v>532</v>
      </c>
    </row>
    <row r="77" spans="1:15" s="154" customFormat="1" x14ac:dyDescent="0.25">
      <c r="A77" s="145">
        <v>44623</v>
      </c>
      <c r="B77" s="146" t="s">
        <v>537</v>
      </c>
      <c r="C77" s="148">
        <v>121099</v>
      </c>
      <c r="D77" s="147" t="s">
        <v>1072</v>
      </c>
      <c r="E77" s="148" t="s">
        <v>19</v>
      </c>
      <c r="F77" s="148" t="s">
        <v>532</v>
      </c>
      <c r="G77" s="149" t="s">
        <v>533</v>
      </c>
      <c r="H77" s="147" t="s">
        <v>1300</v>
      </c>
      <c r="I77" s="148" t="s">
        <v>1224</v>
      </c>
      <c r="J77" s="156">
        <v>52500</v>
      </c>
      <c r="K77" s="151">
        <v>63.2</v>
      </c>
      <c r="L77" s="152">
        <v>830.69620253164555</v>
      </c>
      <c r="M77" s="148" t="s">
        <v>1298</v>
      </c>
      <c r="N77" s="148" t="s">
        <v>532</v>
      </c>
      <c r="O77" s="153" t="s">
        <v>532</v>
      </c>
    </row>
    <row r="78" spans="1:15" s="154" customFormat="1" x14ac:dyDescent="0.25">
      <c r="A78" s="145">
        <v>44623</v>
      </c>
      <c r="B78" s="146" t="s">
        <v>540</v>
      </c>
      <c r="C78" s="148">
        <v>121099</v>
      </c>
      <c r="D78" s="147" t="s">
        <v>541</v>
      </c>
      <c r="E78" s="148" t="s">
        <v>19</v>
      </c>
      <c r="F78" s="148" t="s">
        <v>532</v>
      </c>
      <c r="G78" s="149" t="s">
        <v>533</v>
      </c>
      <c r="H78" s="147" t="s">
        <v>1299</v>
      </c>
      <c r="I78" s="148" t="s">
        <v>1224</v>
      </c>
      <c r="J78" s="156">
        <v>123750</v>
      </c>
      <c r="K78" s="151">
        <v>63.2</v>
      </c>
      <c r="L78" s="152">
        <v>1958.0696202531644</v>
      </c>
      <c r="M78" s="148" t="s">
        <v>1298</v>
      </c>
      <c r="N78" s="148" t="s">
        <v>532</v>
      </c>
      <c r="O78" s="153" t="s">
        <v>532</v>
      </c>
    </row>
    <row r="79" spans="1:15" s="154" customFormat="1" x14ac:dyDescent="0.25">
      <c r="A79" s="145">
        <v>44623</v>
      </c>
      <c r="B79" s="146" t="s">
        <v>542</v>
      </c>
      <c r="C79" s="148">
        <v>121099</v>
      </c>
      <c r="D79" s="147" t="s">
        <v>543</v>
      </c>
      <c r="E79" s="148" t="s">
        <v>19</v>
      </c>
      <c r="F79" s="157" t="s">
        <v>532</v>
      </c>
      <c r="G79" s="149" t="s">
        <v>533</v>
      </c>
      <c r="H79" s="147" t="s">
        <v>1301</v>
      </c>
      <c r="I79" s="148" t="s">
        <v>1224</v>
      </c>
      <c r="J79" s="156">
        <v>52275</v>
      </c>
      <c r="K79" s="151">
        <v>63.2</v>
      </c>
      <c r="L79" s="152">
        <v>827.13607594936707</v>
      </c>
      <c r="M79" s="148" t="s">
        <v>1298</v>
      </c>
      <c r="N79" s="148" t="s">
        <v>532</v>
      </c>
      <c r="O79" s="153" t="s">
        <v>532</v>
      </c>
    </row>
    <row r="80" spans="1:15" s="154" customFormat="1" x14ac:dyDescent="0.25">
      <c r="A80" s="145">
        <v>44623</v>
      </c>
      <c r="B80" s="148" t="s">
        <v>545</v>
      </c>
      <c r="C80" s="148">
        <v>121099</v>
      </c>
      <c r="D80" s="147" t="s">
        <v>546</v>
      </c>
      <c r="E80" s="148" t="s">
        <v>19</v>
      </c>
      <c r="F80" s="148" t="s">
        <v>532</v>
      </c>
      <c r="G80" s="148" t="s">
        <v>533</v>
      </c>
      <c r="H80" s="147" t="s">
        <v>1302</v>
      </c>
      <c r="I80" s="148" t="s">
        <v>1224</v>
      </c>
      <c r="J80" s="150">
        <v>19008</v>
      </c>
      <c r="K80" s="151">
        <v>63.2</v>
      </c>
      <c r="L80" s="152">
        <v>300.75949367088606</v>
      </c>
      <c r="M80" s="148" t="s">
        <v>1298</v>
      </c>
      <c r="N80" s="148" t="s">
        <v>532</v>
      </c>
      <c r="O80" s="153" t="s">
        <v>532</v>
      </c>
    </row>
    <row r="81" spans="1:15" s="154" customFormat="1" x14ac:dyDescent="0.25">
      <c r="A81" s="145">
        <v>44623</v>
      </c>
      <c r="B81" s="148" t="s">
        <v>548</v>
      </c>
      <c r="C81" s="148">
        <v>121099</v>
      </c>
      <c r="D81" s="147" t="s">
        <v>549</v>
      </c>
      <c r="E81" s="148" t="s">
        <v>19</v>
      </c>
      <c r="F81" s="148" t="s">
        <v>532</v>
      </c>
      <c r="G81" s="150" t="s">
        <v>533</v>
      </c>
      <c r="H81" s="147" t="s">
        <v>1302</v>
      </c>
      <c r="I81" s="148" t="s">
        <v>1224</v>
      </c>
      <c r="J81" s="150">
        <v>163360</v>
      </c>
      <c r="K81" s="151">
        <v>63.2</v>
      </c>
      <c r="L81" s="152">
        <v>2584.8101265822784</v>
      </c>
      <c r="M81" s="148" t="s">
        <v>1298</v>
      </c>
      <c r="N81" s="148" t="s">
        <v>532</v>
      </c>
      <c r="O81" s="153" t="s">
        <v>532</v>
      </c>
    </row>
    <row r="82" spans="1:15" s="154" customFormat="1" x14ac:dyDescent="0.25">
      <c r="A82" s="145">
        <v>44623</v>
      </c>
      <c r="B82" s="148" t="s">
        <v>550</v>
      </c>
      <c r="C82" s="148">
        <v>121099</v>
      </c>
      <c r="D82" s="147" t="s">
        <v>1073</v>
      </c>
      <c r="E82" s="148" t="s">
        <v>19</v>
      </c>
      <c r="F82" s="148" t="s">
        <v>532</v>
      </c>
      <c r="G82" s="149" t="s">
        <v>533</v>
      </c>
      <c r="H82" s="147" t="s">
        <v>1303</v>
      </c>
      <c r="I82" s="148" t="s">
        <v>1224</v>
      </c>
      <c r="J82" s="150">
        <v>34687.5</v>
      </c>
      <c r="K82" s="151">
        <v>63.2</v>
      </c>
      <c r="L82" s="152">
        <v>548.85284810126575</v>
      </c>
      <c r="M82" s="148" t="s">
        <v>1298</v>
      </c>
      <c r="N82" s="148" t="s">
        <v>532</v>
      </c>
      <c r="O82" s="153" t="s">
        <v>532</v>
      </c>
    </row>
    <row r="83" spans="1:15" s="154" customFormat="1" x14ac:dyDescent="0.25">
      <c r="A83" s="145">
        <v>44623</v>
      </c>
      <c r="B83" s="148" t="s">
        <v>733</v>
      </c>
      <c r="C83" s="148">
        <v>121099</v>
      </c>
      <c r="D83" s="147" t="s">
        <v>554</v>
      </c>
      <c r="E83" s="148" t="s">
        <v>19</v>
      </c>
      <c r="F83" s="148" t="s">
        <v>532</v>
      </c>
      <c r="G83" s="148" t="s">
        <v>533</v>
      </c>
      <c r="H83" s="147" t="s">
        <v>1303</v>
      </c>
      <c r="I83" s="148" t="s">
        <v>1224</v>
      </c>
      <c r="J83" s="150">
        <v>11745</v>
      </c>
      <c r="K83" s="151">
        <v>63.2</v>
      </c>
      <c r="L83" s="152">
        <v>185.83860759493669</v>
      </c>
      <c r="M83" s="148" t="s">
        <v>1298</v>
      </c>
      <c r="N83" s="148" t="s">
        <v>532</v>
      </c>
      <c r="O83" s="153" t="s">
        <v>532</v>
      </c>
    </row>
    <row r="84" spans="1:15" s="154" customFormat="1" x14ac:dyDescent="0.25">
      <c r="A84" s="145">
        <v>44623</v>
      </c>
      <c r="B84" s="148" t="s">
        <v>734</v>
      </c>
      <c r="C84" s="148">
        <v>121099</v>
      </c>
      <c r="D84" s="147" t="s">
        <v>1074</v>
      </c>
      <c r="E84" s="148" t="s">
        <v>19</v>
      </c>
      <c r="F84" s="148" t="s">
        <v>532</v>
      </c>
      <c r="G84" s="148" t="s">
        <v>533</v>
      </c>
      <c r="H84" s="147" t="s">
        <v>1304</v>
      </c>
      <c r="I84" s="148" t="s">
        <v>1224</v>
      </c>
      <c r="J84" s="150">
        <v>194295</v>
      </c>
      <c r="K84" s="151">
        <v>63.2</v>
      </c>
      <c r="L84" s="152">
        <v>3074.2879746835442</v>
      </c>
      <c r="M84" s="148" t="s">
        <v>1298</v>
      </c>
      <c r="N84" s="148" t="s">
        <v>532</v>
      </c>
      <c r="O84" s="153" t="s">
        <v>532</v>
      </c>
    </row>
    <row r="85" spans="1:15" s="154" customFormat="1" x14ac:dyDescent="0.25">
      <c r="A85" s="145">
        <v>44623</v>
      </c>
      <c r="B85" s="148" t="s">
        <v>735</v>
      </c>
      <c r="C85" s="148">
        <v>121099</v>
      </c>
      <c r="D85" s="147" t="s">
        <v>557</v>
      </c>
      <c r="E85" s="148" t="s">
        <v>19</v>
      </c>
      <c r="F85" s="148" t="s">
        <v>532</v>
      </c>
      <c r="G85" s="148" t="s">
        <v>533</v>
      </c>
      <c r="H85" s="147" t="s">
        <v>1302</v>
      </c>
      <c r="I85" s="148" t="s">
        <v>1224</v>
      </c>
      <c r="J85" s="149">
        <v>295510</v>
      </c>
      <c r="K85" s="151">
        <v>63.2</v>
      </c>
      <c r="L85" s="152">
        <v>4675.7911392405058</v>
      </c>
      <c r="M85" s="148" t="s">
        <v>1298</v>
      </c>
      <c r="N85" s="148" t="s">
        <v>532</v>
      </c>
      <c r="O85" s="153" t="s">
        <v>532</v>
      </c>
    </row>
    <row r="86" spans="1:15" s="154" customFormat="1" x14ac:dyDescent="0.25">
      <c r="A86" s="161">
        <v>44623</v>
      </c>
      <c r="B86" s="162" t="s">
        <v>736</v>
      </c>
      <c r="C86" s="162">
        <v>121099</v>
      </c>
      <c r="D86" s="163" t="s">
        <v>558</v>
      </c>
      <c r="E86" s="166" t="s">
        <v>19</v>
      </c>
      <c r="F86" s="166" t="s">
        <v>532</v>
      </c>
      <c r="G86" s="165" t="s">
        <v>533</v>
      </c>
      <c r="H86" s="163" t="s">
        <v>1302</v>
      </c>
      <c r="I86" s="166" t="s">
        <v>1224</v>
      </c>
      <c r="J86" s="167">
        <v>210434</v>
      </c>
      <c r="K86" s="168">
        <v>63.2</v>
      </c>
      <c r="L86" s="169">
        <v>3329.6518987341769</v>
      </c>
      <c r="M86" s="166" t="s">
        <v>1298</v>
      </c>
      <c r="N86" s="166" t="s">
        <v>532</v>
      </c>
      <c r="O86" s="171" t="s">
        <v>532</v>
      </c>
    </row>
    <row r="87" spans="1:15" s="154" customFormat="1" x14ac:dyDescent="0.2">
      <c r="A87" s="206">
        <v>44644</v>
      </c>
      <c r="B87" s="148" t="s">
        <v>737</v>
      </c>
      <c r="C87" s="148">
        <v>112101</v>
      </c>
      <c r="D87" s="147" t="s">
        <v>1062</v>
      </c>
      <c r="E87" s="148" t="s">
        <v>19</v>
      </c>
      <c r="F87" s="148" t="s">
        <v>561</v>
      </c>
      <c r="G87" s="149" t="s">
        <v>1109</v>
      </c>
      <c r="H87" s="188" t="s">
        <v>562</v>
      </c>
      <c r="I87" s="189" t="s">
        <v>1224</v>
      </c>
      <c r="J87" s="193">
        <v>138600</v>
      </c>
      <c r="K87" s="191">
        <v>63.2</v>
      </c>
      <c r="L87" s="192">
        <v>2193.0379746835442</v>
      </c>
      <c r="M87" s="189" t="s">
        <v>1298</v>
      </c>
      <c r="N87" s="189" t="s">
        <v>561</v>
      </c>
      <c r="O87" s="208" t="s">
        <v>1386</v>
      </c>
    </row>
    <row r="88" spans="1:15" s="154" customFormat="1" x14ac:dyDescent="0.2">
      <c r="A88" s="206">
        <v>44644</v>
      </c>
      <c r="B88" s="148" t="s">
        <v>738</v>
      </c>
      <c r="C88" s="148">
        <v>112101</v>
      </c>
      <c r="D88" s="147" t="s">
        <v>1062</v>
      </c>
      <c r="E88" s="148" t="s">
        <v>19</v>
      </c>
      <c r="F88" s="148" t="s">
        <v>561</v>
      </c>
      <c r="G88" s="148" t="s">
        <v>1109</v>
      </c>
      <c r="H88" s="188" t="s">
        <v>562</v>
      </c>
      <c r="I88" s="189" t="s">
        <v>1224</v>
      </c>
      <c r="J88" s="190">
        <v>85200</v>
      </c>
      <c r="K88" s="191">
        <v>63.2</v>
      </c>
      <c r="L88" s="192">
        <v>1348.1012658227849</v>
      </c>
      <c r="M88" s="189" t="s">
        <v>1298</v>
      </c>
      <c r="N88" s="189" t="s">
        <v>561</v>
      </c>
      <c r="O88" s="208" t="s">
        <v>1386</v>
      </c>
    </row>
    <row r="89" spans="1:15" s="154" customFormat="1" x14ac:dyDescent="0.25">
      <c r="A89" s="145">
        <v>44644</v>
      </c>
      <c r="B89" s="146" t="s">
        <v>739</v>
      </c>
      <c r="C89" s="146">
        <v>122099</v>
      </c>
      <c r="D89" s="147" t="s">
        <v>559</v>
      </c>
      <c r="E89" s="148" t="s">
        <v>13</v>
      </c>
      <c r="F89" s="148" t="s">
        <v>560</v>
      </c>
      <c r="G89" s="149" t="s">
        <v>533</v>
      </c>
      <c r="H89" s="147" t="s">
        <v>563</v>
      </c>
      <c r="I89" s="148" t="s">
        <v>1224</v>
      </c>
      <c r="J89" s="150">
        <v>719100</v>
      </c>
      <c r="K89" s="151">
        <v>63.2</v>
      </c>
      <c r="L89" s="152">
        <v>11378.164556962025</v>
      </c>
      <c r="M89" s="148" t="s">
        <v>1298</v>
      </c>
      <c r="N89" s="148" t="s">
        <v>560</v>
      </c>
      <c r="O89" s="153" t="s">
        <v>560</v>
      </c>
    </row>
    <row r="90" spans="1:15" s="154" customFormat="1" x14ac:dyDescent="0.25">
      <c r="A90" s="145">
        <v>44680</v>
      </c>
      <c r="B90" s="146" t="s">
        <v>740</v>
      </c>
      <c r="C90" s="146">
        <v>122099</v>
      </c>
      <c r="D90" s="147" t="s">
        <v>1075</v>
      </c>
      <c r="E90" s="148" t="s">
        <v>19</v>
      </c>
      <c r="F90" s="148" t="s">
        <v>565</v>
      </c>
      <c r="G90" s="149" t="s">
        <v>1116</v>
      </c>
      <c r="H90" s="147" t="s">
        <v>1305</v>
      </c>
      <c r="I90" s="148" t="s">
        <v>1224</v>
      </c>
      <c r="J90" s="150">
        <v>10000</v>
      </c>
      <c r="K90" s="151">
        <v>63.2</v>
      </c>
      <c r="L90" s="152">
        <v>158.22784810126581</v>
      </c>
      <c r="M90" s="148" t="s">
        <v>1298</v>
      </c>
      <c r="N90" s="148" t="s">
        <v>565</v>
      </c>
      <c r="O90" s="153" t="s">
        <v>565</v>
      </c>
    </row>
    <row r="91" spans="1:15" s="154" customFormat="1" x14ac:dyDescent="0.25">
      <c r="A91" s="145">
        <v>44686</v>
      </c>
      <c r="B91" s="146" t="s">
        <v>744</v>
      </c>
      <c r="C91" s="146">
        <v>112101</v>
      </c>
      <c r="D91" s="147" t="s">
        <v>1076</v>
      </c>
      <c r="E91" s="148" t="s">
        <v>13</v>
      </c>
      <c r="F91" s="148" t="s">
        <v>572</v>
      </c>
      <c r="G91" s="149" t="s">
        <v>1115</v>
      </c>
      <c r="H91" s="147" t="s">
        <v>1306</v>
      </c>
      <c r="I91" s="148" t="s">
        <v>1224</v>
      </c>
      <c r="J91" s="150">
        <v>42000</v>
      </c>
      <c r="K91" s="151">
        <v>63.2</v>
      </c>
      <c r="L91" s="152">
        <v>664.55696202531647</v>
      </c>
      <c r="M91" s="148" t="s">
        <v>1298</v>
      </c>
      <c r="N91" s="148" t="s">
        <v>572</v>
      </c>
      <c r="O91" s="153" t="s">
        <v>572</v>
      </c>
    </row>
    <row r="92" spans="1:15" s="154" customFormat="1" x14ac:dyDescent="0.25">
      <c r="A92" s="145">
        <v>44686</v>
      </c>
      <c r="B92" s="146" t="s">
        <v>741</v>
      </c>
      <c r="C92" s="146">
        <v>121002</v>
      </c>
      <c r="D92" s="147" t="s">
        <v>1077</v>
      </c>
      <c r="E92" s="148" t="s">
        <v>19</v>
      </c>
      <c r="F92" s="148" t="s">
        <v>565</v>
      </c>
      <c r="G92" s="149" t="s">
        <v>1117</v>
      </c>
      <c r="H92" s="147" t="s">
        <v>1307</v>
      </c>
      <c r="I92" s="148" t="s">
        <v>1224</v>
      </c>
      <c r="J92" s="150">
        <v>104948</v>
      </c>
      <c r="K92" s="151">
        <v>63.2</v>
      </c>
      <c r="L92" s="152">
        <v>1660.5696202531644</v>
      </c>
      <c r="M92" s="148" t="s">
        <v>1298</v>
      </c>
      <c r="N92" s="148" t="s">
        <v>565</v>
      </c>
      <c r="O92" s="153" t="s">
        <v>565</v>
      </c>
    </row>
    <row r="93" spans="1:15" s="154" customFormat="1" x14ac:dyDescent="0.25">
      <c r="A93" s="145">
        <v>44687</v>
      </c>
      <c r="B93" s="146" t="s">
        <v>742</v>
      </c>
      <c r="C93" s="146">
        <v>122099</v>
      </c>
      <c r="D93" s="147" t="s">
        <v>1078</v>
      </c>
      <c r="E93" s="148" t="s">
        <v>19</v>
      </c>
      <c r="F93" s="148" t="s">
        <v>565</v>
      </c>
      <c r="G93" s="149" t="s">
        <v>569</v>
      </c>
      <c r="H93" s="147" t="s">
        <v>1308</v>
      </c>
      <c r="I93" s="148" t="s">
        <v>1224</v>
      </c>
      <c r="J93" s="150">
        <v>26000</v>
      </c>
      <c r="K93" s="151">
        <v>63.2</v>
      </c>
      <c r="L93" s="152">
        <v>411.39240506329111</v>
      </c>
      <c r="M93" s="148" t="s">
        <v>1298</v>
      </c>
      <c r="N93" s="148" t="s">
        <v>565</v>
      </c>
      <c r="O93" s="153" t="s">
        <v>565</v>
      </c>
    </row>
    <row r="94" spans="1:15" s="154" customFormat="1" x14ac:dyDescent="0.25">
      <c r="A94" s="145">
        <v>44687</v>
      </c>
      <c r="B94" s="146" t="s">
        <v>743</v>
      </c>
      <c r="C94" s="146">
        <v>122099</v>
      </c>
      <c r="D94" s="147" t="s">
        <v>1078</v>
      </c>
      <c r="E94" s="148" t="s">
        <v>19</v>
      </c>
      <c r="F94" s="148" t="s">
        <v>565</v>
      </c>
      <c r="G94" s="149" t="s">
        <v>569</v>
      </c>
      <c r="H94" s="147" t="s">
        <v>1308</v>
      </c>
      <c r="I94" s="148" t="s">
        <v>1224</v>
      </c>
      <c r="J94" s="150">
        <v>26000</v>
      </c>
      <c r="K94" s="151">
        <v>63.2</v>
      </c>
      <c r="L94" s="152">
        <v>411.39240506329111</v>
      </c>
      <c r="M94" s="148" t="s">
        <v>1298</v>
      </c>
      <c r="N94" s="148" t="s">
        <v>565</v>
      </c>
      <c r="O94" s="153" t="s">
        <v>565</v>
      </c>
    </row>
    <row r="95" spans="1:15" s="154" customFormat="1" x14ac:dyDescent="0.25">
      <c r="A95" s="145">
        <v>44697</v>
      </c>
      <c r="B95" s="146" t="s">
        <v>746</v>
      </c>
      <c r="C95" s="146">
        <v>121001</v>
      </c>
      <c r="D95" s="147" t="s">
        <v>1080</v>
      </c>
      <c r="E95" s="148" t="s">
        <v>19</v>
      </c>
      <c r="F95" s="148" t="s">
        <v>565</v>
      </c>
      <c r="G95" s="149" t="s">
        <v>1117</v>
      </c>
      <c r="H95" s="147" t="s">
        <v>1309</v>
      </c>
      <c r="I95" s="148" t="s">
        <v>1224</v>
      </c>
      <c r="J95" s="150">
        <v>6600</v>
      </c>
      <c r="K95" s="151">
        <v>63.2</v>
      </c>
      <c r="L95" s="152">
        <v>104.43037974683544</v>
      </c>
      <c r="M95" s="148" t="s">
        <v>1298</v>
      </c>
      <c r="N95" s="148" t="s">
        <v>565</v>
      </c>
      <c r="O95" s="153" t="s">
        <v>565</v>
      </c>
    </row>
    <row r="96" spans="1:15" s="154" customFormat="1" x14ac:dyDescent="0.25">
      <c r="A96" s="145">
        <v>44697</v>
      </c>
      <c r="B96" s="146" t="s">
        <v>747</v>
      </c>
      <c r="C96" s="146">
        <v>213004</v>
      </c>
      <c r="D96" s="147" t="s">
        <v>1081</v>
      </c>
      <c r="E96" s="148" t="s">
        <v>19</v>
      </c>
      <c r="F96" s="148" t="s">
        <v>583</v>
      </c>
      <c r="G96" s="149" t="s">
        <v>1119</v>
      </c>
      <c r="H96" s="147" t="s">
        <v>1310</v>
      </c>
      <c r="I96" s="148" t="s">
        <v>1224</v>
      </c>
      <c r="J96" s="150">
        <v>1535434.28</v>
      </c>
      <c r="K96" s="151">
        <v>63.2</v>
      </c>
      <c r="L96" s="152">
        <v>24294.846202531644</v>
      </c>
      <c r="M96" s="148" t="s">
        <v>1298</v>
      </c>
      <c r="N96" s="148" t="s">
        <v>583</v>
      </c>
      <c r="O96" s="153" t="s">
        <v>583</v>
      </c>
    </row>
    <row r="97" spans="1:15" s="154" customFormat="1" x14ac:dyDescent="0.25">
      <c r="A97" s="145">
        <v>44699</v>
      </c>
      <c r="B97" s="146" t="s">
        <v>732</v>
      </c>
      <c r="C97" s="146">
        <v>121001</v>
      </c>
      <c r="D97" s="147" t="s">
        <v>1077</v>
      </c>
      <c r="E97" s="148" t="s">
        <v>13</v>
      </c>
      <c r="F97" s="148" t="s">
        <v>586</v>
      </c>
      <c r="G97" s="149" t="s">
        <v>1120</v>
      </c>
      <c r="H97" s="147" t="s">
        <v>1311</v>
      </c>
      <c r="I97" s="148" t="s">
        <v>1224</v>
      </c>
      <c r="J97" s="150">
        <v>14433.5</v>
      </c>
      <c r="K97" s="151">
        <v>63.2</v>
      </c>
      <c r="L97" s="152">
        <v>228.37816455696202</v>
      </c>
      <c r="M97" s="148" t="s">
        <v>1298</v>
      </c>
      <c r="N97" s="148" t="s">
        <v>586</v>
      </c>
      <c r="O97" s="153" t="s">
        <v>586</v>
      </c>
    </row>
    <row r="98" spans="1:15" s="154" customFormat="1" x14ac:dyDescent="0.25">
      <c r="A98" s="145">
        <v>44699</v>
      </c>
      <c r="B98" s="146" t="s">
        <v>731</v>
      </c>
      <c r="C98" s="146">
        <v>112101</v>
      </c>
      <c r="D98" s="147" t="s">
        <v>1062</v>
      </c>
      <c r="E98" s="148" t="s">
        <v>13</v>
      </c>
      <c r="F98" s="148" t="s">
        <v>586</v>
      </c>
      <c r="G98" s="149" t="s">
        <v>1109</v>
      </c>
      <c r="H98" s="147" t="s">
        <v>1312</v>
      </c>
      <c r="I98" s="148" t="s">
        <v>1224</v>
      </c>
      <c r="J98" s="150">
        <v>478800</v>
      </c>
      <c r="K98" s="151">
        <v>63.2</v>
      </c>
      <c r="L98" s="152">
        <v>7575.9493670886077</v>
      </c>
      <c r="M98" s="148" t="s">
        <v>1298</v>
      </c>
      <c r="N98" s="148" t="s">
        <v>586</v>
      </c>
      <c r="O98" s="153" t="s">
        <v>586</v>
      </c>
    </row>
    <row r="99" spans="1:15" s="154" customFormat="1" x14ac:dyDescent="0.25">
      <c r="A99" s="145">
        <v>44699</v>
      </c>
      <c r="B99" s="146" t="s">
        <v>730</v>
      </c>
      <c r="C99" s="146">
        <v>122099</v>
      </c>
      <c r="D99" s="147" t="s">
        <v>1082</v>
      </c>
      <c r="E99" s="148" t="s">
        <v>19</v>
      </c>
      <c r="F99" s="148" t="s">
        <v>565</v>
      </c>
      <c r="G99" s="149" t="s">
        <v>1116</v>
      </c>
      <c r="H99" s="147" t="s">
        <v>1313</v>
      </c>
      <c r="I99" s="148" t="s">
        <v>1224</v>
      </c>
      <c r="J99" s="150">
        <v>28000</v>
      </c>
      <c r="K99" s="151">
        <v>63.2</v>
      </c>
      <c r="L99" s="152">
        <v>443.03797468354429</v>
      </c>
      <c r="M99" s="148" t="s">
        <v>1298</v>
      </c>
      <c r="N99" s="148" t="s">
        <v>565</v>
      </c>
      <c r="O99" s="153" t="s">
        <v>565</v>
      </c>
    </row>
    <row r="100" spans="1:15" s="154" customFormat="1" x14ac:dyDescent="0.25">
      <c r="A100" s="145">
        <v>44706</v>
      </c>
      <c r="B100" s="146" t="s">
        <v>667</v>
      </c>
      <c r="C100" s="146">
        <v>112101</v>
      </c>
      <c r="D100" s="147" t="s">
        <v>1062</v>
      </c>
      <c r="E100" s="148" t="s">
        <v>13</v>
      </c>
      <c r="F100" s="148" t="s">
        <v>668</v>
      </c>
      <c r="G100" s="149" t="s">
        <v>1109</v>
      </c>
      <c r="H100" s="147" t="s">
        <v>1314</v>
      </c>
      <c r="I100" s="148" t="s">
        <v>1224</v>
      </c>
      <c r="J100" s="150">
        <v>349800</v>
      </c>
      <c r="K100" s="151">
        <v>63.2</v>
      </c>
      <c r="L100" s="152">
        <v>5534.8101265822779</v>
      </c>
      <c r="M100" s="148" t="s">
        <v>1298</v>
      </c>
      <c r="N100" s="148" t="s">
        <v>668</v>
      </c>
      <c r="O100" s="153" t="s">
        <v>572</v>
      </c>
    </row>
    <row r="101" spans="1:15" s="154" customFormat="1" x14ac:dyDescent="0.25">
      <c r="A101" s="145">
        <v>44706</v>
      </c>
      <c r="B101" s="146" t="s">
        <v>670</v>
      </c>
      <c r="C101" s="146">
        <v>112101</v>
      </c>
      <c r="D101" s="147" t="s">
        <v>1062</v>
      </c>
      <c r="E101" s="148" t="s">
        <v>13</v>
      </c>
      <c r="F101" s="148" t="s">
        <v>668</v>
      </c>
      <c r="G101" s="149" t="s">
        <v>1109</v>
      </c>
      <c r="H101" s="147" t="s">
        <v>1315</v>
      </c>
      <c r="I101" s="148" t="s">
        <v>1224</v>
      </c>
      <c r="J101" s="150">
        <v>409200</v>
      </c>
      <c r="K101" s="151">
        <v>63.2</v>
      </c>
      <c r="L101" s="152">
        <v>6474.6835443037971</v>
      </c>
      <c r="M101" s="148" t="s">
        <v>1298</v>
      </c>
      <c r="N101" s="148" t="s">
        <v>668</v>
      </c>
      <c r="O101" s="153" t="s">
        <v>572</v>
      </c>
    </row>
    <row r="102" spans="1:15" s="154" customFormat="1" x14ac:dyDescent="0.25">
      <c r="A102" s="145">
        <v>44708</v>
      </c>
      <c r="B102" s="146" t="s">
        <v>729</v>
      </c>
      <c r="C102" s="146">
        <v>122099</v>
      </c>
      <c r="D102" s="147" t="s">
        <v>1083</v>
      </c>
      <c r="E102" s="148" t="s">
        <v>19</v>
      </c>
      <c r="F102" s="148" t="s">
        <v>565</v>
      </c>
      <c r="G102" s="149" t="s">
        <v>1121</v>
      </c>
      <c r="H102" s="147" t="s">
        <v>1316</v>
      </c>
      <c r="I102" s="148" t="s">
        <v>1224</v>
      </c>
      <c r="J102" s="150">
        <v>25038</v>
      </c>
      <c r="K102" s="151">
        <v>63.2</v>
      </c>
      <c r="L102" s="152">
        <v>396.17088607594934</v>
      </c>
      <c r="M102" s="148" t="s">
        <v>1298</v>
      </c>
      <c r="N102" s="148" t="s">
        <v>565</v>
      </c>
      <c r="O102" s="153" t="s">
        <v>565</v>
      </c>
    </row>
    <row r="103" spans="1:15" s="154" customFormat="1" x14ac:dyDescent="0.25">
      <c r="A103" s="145">
        <v>44708</v>
      </c>
      <c r="B103" s="146" t="s">
        <v>729</v>
      </c>
      <c r="C103" s="146">
        <v>122099</v>
      </c>
      <c r="D103" s="147" t="s">
        <v>1083</v>
      </c>
      <c r="E103" s="148" t="s">
        <v>19</v>
      </c>
      <c r="F103" s="148" t="s">
        <v>532</v>
      </c>
      <c r="G103" s="149" t="s">
        <v>1121</v>
      </c>
      <c r="H103" s="147" t="s">
        <v>1317</v>
      </c>
      <c r="I103" s="148" t="s">
        <v>1224</v>
      </c>
      <c r="J103" s="150">
        <v>25038</v>
      </c>
      <c r="K103" s="151">
        <v>63.2</v>
      </c>
      <c r="L103" s="152">
        <v>396.17088607594934</v>
      </c>
      <c r="M103" s="148" t="s">
        <v>1298</v>
      </c>
      <c r="N103" s="148" t="s">
        <v>532</v>
      </c>
      <c r="O103" s="153" t="s">
        <v>532</v>
      </c>
    </row>
    <row r="104" spans="1:15" s="154" customFormat="1" x14ac:dyDescent="0.25">
      <c r="A104" s="145">
        <v>44708</v>
      </c>
      <c r="B104" s="146" t="s">
        <v>675</v>
      </c>
      <c r="C104" s="146">
        <v>121001</v>
      </c>
      <c r="D104" s="147" t="s">
        <v>676</v>
      </c>
      <c r="E104" s="148" t="s">
        <v>13</v>
      </c>
      <c r="F104" s="148" t="s">
        <v>668</v>
      </c>
      <c r="G104" s="149" t="s">
        <v>1122</v>
      </c>
      <c r="H104" s="147" t="s">
        <v>1318</v>
      </c>
      <c r="I104" s="148" t="s">
        <v>1224</v>
      </c>
      <c r="J104" s="150">
        <v>11995.2</v>
      </c>
      <c r="K104" s="151">
        <v>63.2</v>
      </c>
      <c r="L104" s="152">
        <v>189.79746835443038</v>
      </c>
      <c r="M104" s="148" t="s">
        <v>1298</v>
      </c>
      <c r="N104" s="148" t="s">
        <v>668</v>
      </c>
      <c r="O104" s="153" t="s">
        <v>572</v>
      </c>
    </row>
    <row r="105" spans="1:15" s="154" customFormat="1" x14ac:dyDescent="0.25">
      <c r="A105" s="145">
        <v>44708</v>
      </c>
      <c r="B105" s="146" t="s">
        <v>728</v>
      </c>
      <c r="C105" s="146">
        <v>122099</v>
      </c>
      <c r="D105" s="147" t="s">
        <v>1083</v>
      </c>
      <c r="E105" s="148" t="s">
        <v>19</v>
      </c>
      <c r="F105" s="148" t="s">
        <v>532</v>
      </c>
      <c r="G105" s="149" t="s">
        <v>1123</v>
      </c>
      <c r="H105" s="147" t="s">
        <v>1319</v>
      </c>
      <c r="I105" s="148" t="s">
        <v>1224</v>
      </c>
      <c r="J105" s="150">
        <v>160243.20000000001</v>
      </c>
      <c r="K105" s="151">
        <v>63.2</v>
      </c>
      <c r="L105" s="152">
        <v>2535.493670886076</v>
      </c>
      <c r="M105" s="148" t="s">
        <v>1298</v>
      </c>
      <c r="N105" s="148" t="s">
        <v>532</v>
      </c>
      <c r="O105" s="153" t="s">
        <v>532</v>
      </c>
    </row>
    <row r="106" spans="1:15" s="154" customFormat="1" x14ac:dyDescent="0.25">
      <c r="A106" s="145">
        <v>44708</v>
      </c>
      <c r="B106" s="146" t="s">
        <v>727</v>
      </c>
      <c r="C106" s="146">
        <v>122099</v>
      </c>
      <c r="D106" s="147" t="s">
        <v>1083</v>
      </c>
      <c r="E106" s="148" t="s">
        <v>19</v>
      </c>
      <c r="F106" s="148" t="s">
        <v>681</v>
      </c>
      <c r="G106" s="149" t="s">
        <v>1121</v>
      </c>
      <c r="H106" s="147" t="s">
        <v>1320</v>
      </c>
      <c r="I106" s="148" t="s">
        <v>1224</v>
      </c>
      <c r="J106" s="150">
        <v>25038</v>
      </c>
      <c r="K106" s="151">
        <v>63.2</v>
      </c>
      <c r="L106" s="152">
        <v>396.17088607594934</v>
      </c>
      <c r="M106" s="148" t="s">
        <v>1298</v>
      </c>
      <c r="N106" s="148" t="s">
        <v>681</v>
      </c>
      <c r="O106" s="153" t="s">
        <v>681</v>
      </c>
    </row>
    <row r="107" spans="1:15" s="154" customFormat="1" x14ac:dyDescent="0.25">
      <c r="A107" s="161">
        <v>44714</v>
      </c>
      <c r="B107" s="162" t="s">
        <v>725</v>
      </c>
      <c r="C107" s="162">
        <v>112101</v>
      </c>
      <c r="D107" s="163" t="s">
        <v>1062</v>
      </c>
      <c r="E107" s="166" t="s">
        <v>13</v>
      </c>
      <c r="F107" s="166" t="s">
        <v>586</v>
      </c>
      <c r="G107" s="165" t="s">
        <v>1109</v>
      </c>
      <c r="H107" s="163" t="s">
        <v>1321</v>
      </c>
      <c r="I107" s="166" t="s">
        <v>1224</v>
      </c>
      <c r="J107" s="167">
        <v>1219800</v>
      </c>
      <c r="K107" s="168">
        <v>63.2</v>
      </c>
      <c r="L107" s="169">
        <v>19300.632911392404</v>
      </c>
      <c r="M107" s="166" t="s">
        <v>1298</v>
      </c>
      <c r="N107" s="166" t="s">
        <v>586</v>
      </c>
      <c r="O107" s="171" t="s">
        <v>586</v>
      </c>
    </row>
    <row r="108" spans="1:15" s="154" customFormat="1" x14ac:dyDescent="0.2">
      <c r="A108" s="206">
        <v>44714</v>
      </c>
      <c r="B108" s="146" t="s">
        <v>726</v>
      </c>
      <c r="C108" s="146">
        <v>112101</v>
      </c>
      <c r="D108" s="147" t="s">
        <v>1062</v>
      </c>
      <c r="E108" s="148" t="s">
        <v>19</v>
      </c>
      <c r="F108" s="148" t="s">
        <v>561</v>
      </c>
      <c r="G108" s="149" t="s">
        <v>1109</v>
      </c>
      <c r="H108" s="188" t="s">
        <v>1322</v>
      </c>
      <c r="I108" s="189" t="s">
        <v>1224</v>
      </c>
      <c r="J108" s="190">
        <v>26400</v>
      </c>
      <c r="K108" s="191">
        <v>63.2</v>
      </c>
      <c r="L108" s="192">
        <v>417.72151898734177</v>
      </c>
      <c r="M108" s="189" t="s">
        <v>1298</v>
      </c>
      <c r="N108" s="189" t="s">
        <v>561</v>
      </c>
      <c r="O108" s="208" t="s">
        <v>1386</v>
      </c>
    </row>
    <row r="109" spans="1:15" s="154" customFormat="1" x14ac:dyDescent="0.25">
      <c r="A109" s="145">
        <v>44713</v>
      </c>
      <c r="B109" s="146" t="s">
        <v>718</v>
      </c>
      <c r="C109" s="146">
        <v>121028</v>
      </c>
      <c r="D109" s="147" t="s">
        <v>686</v>
      </c>
      <c r="E109" s="148" t="s">
        <v>19</v>
      </c>
      <c r="F109" s="148" t="s">
        <v>532</v>
      </c>
      <c r="G109" s="149" t="s">
        <v>1109</v>
      </c>
      <c r="H109" s="147" t="s">
        <v>1323</v>
      </c>
      <c r="I109" s="148" t="s">
        <v>1224</v>
      </c>
      <c r="J109" s="150">
        <v>2174425</v>
      </c>
      <c r="K109" s="151">
        <v>63.2</v>
      </c>
      <c r="L109" s="152">
        <v>34405.458860759492</v>
      </c>
      <c r="M109" s="148" t="s">
        <v>1298</v>
      </c>
      <c r="N109" s="148" t="s">
        <v>532</v>
      </c>
      <c r="O109" s="153" t="s">
        <v>532</v>
      </c>
    </row>
    <row r="110" spans="1:15" s="154" customFormat="1" x14ac:dyDescent="0.25">
      <c r="A110" s="145">
        <v>44721</v>
      </c>
      <c r="B110" s="146" t="s">
        <v>719</v>
      </c>
      <c r="C110" s="146">
        <v>122099</v>
      </c>
      <c r="D110" s="147" t="s">
        <v>1085</v>
      </c>
      <c r="E110" s="148" t="s">
        <v>13</v>
      </c>
      <c r="F110" s="148" t="s">
        <v>688</v>
      </c>
      <c r="G110" s="149" t="s">
        <v>1125</v>
      </c>
      <c r="H110" s="147" t="s">
        <v>1324</v>
      </c>
      <c r="I110" s="148" t="s">
        <v>1224</v>
      </c>
      <c r="J110" s="150">
        <v>203000</v>
      </c>
      <c r="K110" s="151">
        <v>63.2</v>
      </c>
      <c r="L110" s="152">
        <v>3212.0253164556962</v>
      </c>
      <c r="M110" s="148" t="s">
        <v>1298</v>
      </c>
      <c r="N110" s="148" t="s">
        <v>688</v>
      </c>
      <c r="O110" s="153" t="s">
        <v>572</v>
      </c>
    </row>
    <row r="111" spans="1:15" s="154" customFormat="1" x14ac:dyDescent="0.25">
      <c r="A111" s="145">
        <v>44721</v>
      </c>
      <c r="B111" s="146" t="s">
        <v>720</v>
      </c>
      <c r="C111" s="146">
        <v>122099</v>
      </c>
      <c r="D111" s="147" t="s">
        <v>1085</v>
      </c>
      <c r="E111" s="148" t="s">
        <v>13</v>
      </c>
      <c r="F111" s="148" t="s">
        <v>668</v>
      </c>
      <c r="G111" s="149" t="s">
        <v>1126</v>
      </c>
      <c r="H111" s="147" t="s">
        <v>1325</v>
      </c>
      <c r="I111" s="148" t="s">
        <v>1224</v>
      </c>
      <c r="J111" s="150">
        <v>291700</v>
      </c>
      <c r="K111" s="151">
        <v>63.2</v>
      </c>
      <c r="L111" s="152">
        <v>4615.506329113924</v>
      </c>
      <c r="M111" s="148" t="s">
        <v>1298</v>
      </c>
      <c r="N111" s="148" t="s">
        <v>668</v>
      </c>
      <c r="O111" s="153" t="s">
        <v>572</v>
      </c>
    </row>
    <row r="112" spans="1:15" s="154" customFormat="1" x14ac:dyDescent="0.25">
      <c r="A112" s="145">
        <v>44713</v>
      </c>
      <c r="B112" s="146" t="s">
        <v>721</v>
      </c>
      <c r="C112" s="146">
        <v>122099</v>
      </c>
      <c r="D112" s="147" t="s">
        <v>1084</v>
      </c>
      <c r="E112" s="148" t="s">
        <v>13</v>
      </c>
      <c r="F112" s="148" t="s">
        <v>668</v>
      </c>
      <c r="G112" s="149" t="s">
        <v>1124</v>
      </c>
      <c r="H112" s="147" t="s">
        <v>1326</v>
      </c>
      <c r="I112" s="148" t="s">
        <v>1224</v>
      </c>
      <c r="J112" s="150">
        <v>87732.98</v>
      </c>
      <c r="K112" s="151">
        <v>63.2</v>
      </c>
      <c r="L112" s="152">
        <v>1388.180063291139</v>
      </c>
      <c r="M112" s="148" t="s">
        <v>1298</v>
      </c>
      <c r="N112" s="148" t="s">
        <v>668</v>
      </c>
      <c r="O112" s="153" t="s">
        <v>572</v>
      </c>
    </row>
    <row r="113" spans="1:15" s="154" customFormat="1" x14ac:dyDescent="0.2">
      <c r="A113" s="145">
        <v>44235</v>
      </c>
      <c r="B113" s="146" t="s">
        <v>597</v>
      </c>
      <c r="C113" s="146">
        <v>122099</v>
      </c>
      <c r="D113" s="147" t="s">
        <v>1055</v>
      </c>
      <c r="E113" s="148" t="s">
        <v>19</v>
      </c>
      <c r="F113" s="158" t="s">
        <v>593</v>
      </c>
      <c r="G113" s="149" t="s">
        <v>1107</v>
      </c>
      <c r="H113" s="147" t="s">
        <v>1327</v>
      </c>
      <c r="I113" s="148" t="s">
        <v>1224</v>
      </c>
      <c r="J113" s="156">
        <v>367968</v>
      </c>
      <c r="K113" s="151">
        <v>63.2</v>
      </c>
      <c r="L113" s="152">
        <v>5822.2784810126577</v>
      </c>
      <c r="M113" s="148" t="s">
        <v>1298</v>
      </c>
      <c r="N113" s="159" t="s">
        <v>982</v>
      </c>
      <c r="O113" s="153" t="s">
        <v>982</v>
      </c>
    </row>
    <row r="114" spans="1:15" s="154" customFormat="1" x14ac:dyDescent="0.2">
      <c r="A114" s="145">
        <v>44236</v>
      </c>
      <c r="B114" s="146" t="s">
        <v>598</v>
      </c>
      <c r="C114" s="148">
        <v>122099</v>
      </c>
      <c r="D114" s="147" t="s">
        <v>1056</v>
      </c>
      <c r="E114" s="148" t="s">
        <v>19</v>
      </c>
      <c r="F114" s="158" t="s">
        <v>593</v>
      </c>
      <c r="G114" s="149" t="s">
        <v>1107</v>
      </c>
      <c r="H114" s="147" t="s">
        <v>1328</v>
      </c>
      <c r="I114" s="148" t="s">
        <v>1224</v>
      </c>
      <c r="J114" s="156">
        <v>325481.56</v>
      </c>
      <c r="K114" s="151">
        <v>63.2</v>
      </c>
      <c r="L114" s="152">
        <v>5150.0246835443031</v>
      </c>
      <c r="M114" s="148" t="s">
        <v>1298</v>
      </c>
      <c r="N114" s="159" t="s">
        <v>982</v>
      </c>
      <c r="O114" s="153" t="s">
        <v>982</v>
      </c>
    </row>
    <row r="115" spans="1:15" s="154" customFormat="1" x14ac:dyDescent="0.2">
      <c r="A115" s="145">
        <v>44236</v>
      </c>
      <c r="B115" s="146" t="s">
        <v>599</v>
      </c>
      <c r="C115" s="148">
        <v>122099</v>
      </c>
      <c r="D115" s="147" t="s">
        <v>1057</v>
      </c>
      <c r="E115" s="148" t="s">
        <v>19</v>
      </c>
      <c r="F115" s="158" t="s">
        <v>593</v>
      </c>
      <c r="G115" s="149" t="s">
        <v>1107</v>
      </c>
      <c r="H115" s="147" t="s">
        <v>1329</v>
      </c>
      <c r="I115" s="148" t="s">
        <v>1224</v>
      </c>
      <c r="J115" s="156">
        <v>30600</v>
      </c>
      <c r="K115" s="151">
        <v>63.2</v>
      </c>
      <c r="L115" s="152">
        <v>484.17721518987338</v>
      </c>
      <c r="M115" s="148" t="s">
        <v>1298</v>
      </c>
      <c r="N115" s="159" t="s">
        <v>982</v>
      </c>
      <c r="O115" s="153" t="s">
        <v>982</v>
      </c>
    </row>
    <row r="116" spans="1:15" s="154" customFormat="1" x14ac:dyDescent="0.2">
      <c r="A116" s="145">
        <v>44236</v>
      </c>
      <c r="B116" s="146" t="s">
        <v>601</v>
      </c>
      <c r="C116" s="148">
        <v>122099</v>
      </c>
      <c r="D116" s="147" t="s">
        <v>1058</v>
      </c>
      <c r="E116" s="148" t="s">
        <v>19</v>
      </c>
      <c r="F116" s="158" t="s">
        <v>593</v>
      </c>
      <c r="G116" s="149" t="s">
        <v>1107</v>
      </c>
      <c r="H116" s="147" t="s">
        <v>1330</v>
      </c>
      <c r="I116" s="148" t="s">
        <v>1224</v>
      </c>
      <c r="J116" s="156">
        <v>240000</v>
      </c>
      <c r="K116" s="151">
        <v>63.2</v>
      </c>
      <c r="L116" s="152">
        <v>3797.4683544303793</v>
      </c>
      <c r="M116" s="148" t="s">
        <v>1298</v>
      </c>
      <c r="N116" s="159" t="s">
        <v>982</v>
      </c>
      <c r="O116" s="153" t="s">
        <v>982</v>
      </c>
    </row>
    <row r="117" spans="1:15" s="154" customFormat="1" x14ac:dyDescent="0.2">
      <c r="A117" s="145">
        <v>44236</v>
      </c>
      <c r="B117" s="146" t="s">
        <v>604</v>
      </c>
      <c r="C117" s="148">
        <v>122099</v>
      </c>
      <c r="D117" s="147" t="s">
        <v>1059</v>
      </c>
      <c r="E117" s="148" t="s">
        <v>19</v>
      </c>
      <c r="F117" s="160" t="s">
        <v>593</v>
      </c>
      <c r="G117" s="149" t="s">
        <v>1107</v>
      </c>
      <c r="H117" s="147" t="s">
        <v>1330</v>
      </c>
      <c r="I117" s="148" t="s">
        <v>1224</v>
      </c>
      <c r="J117" s="156">
        <v>324000</v>
      </c>
      <c r="K117" s="151">
        <v>63.2</v>
      </c>
      <c r="L117" s="152">
        <v>5126.5822784810125</v>
      </c>
      <c r="M117" s="148" t="s">
        <v>1298</v>
      </c>
      <c r="N117" s="159" t="s">
        <v>982</v>
      </c>
      <c r="O117" s="153" t="s">
        <v>982</v>
      </c>
    </row>
    <row r="118" spans="1:15" s="154" customFormat="1" x14ac:dyDescent="0.2">
      <c r="A118" s="145">
        <v>44236</v>
      </c>
      <c r="B118" s="148" t="s">
        <v>607</v>
      </c>
      <c r="C118" s="148">
        <v>122099</v>
      </c>
      <c r="D118" s="147" t="s">
        <v>1060</v>
      </c>
      <c r="E118" s="148" t="s">
        <v>19</v>
      </c>
      <c r="F118" s="158" t="s">
        <v>593</v>
      </c>
      <c r="G118" s="148" t="s">
        <v>1107</v>
      </c>
      <c r="H118" s="147" t="s">
        <v>1330</v>
      </c>
      <c r="I118" s="148" t="s">
        <v>1224</v>
      </c>
      <c r="J118" s="150">
        <v>201600</v>
      </c>
      <c r="K118" s="151">
        <v>63.2</v>
      </c>
      <c r="L118" s="152">
        <v>3189.8734177215188</v>
      </c>
      <c r="M118" s="148" t="s">
        <v>1298</v>
      </c>
      <c r="N118" s="159" t="s">
        <v>982</v>
      </c>
      <c r="O118" s="153" t="s">
        <v>982</v>
      </c>
    </row>
    <row r="119" spans="1:15" s="154" customFormat="1" x14ac:dyDescent="0.2">
      <c r="A119" s="145">
        <v>44259</v>
      </c>
      <c r="B119" s="148" t="s">
        <v>609</v>
      </c>
      <c r="C119" s="148">
        <v>121028</v>
      </c>
      <c r="D119" s="147" t="s">
        <v>1061</v>
      </c>
      <c r="E119" s="148" t="s">
        <v>19</v>
      </c>
      <c r="F119" s="158" t="s">
        <v>593</v>
      </c>
      <c r="G119" s="150" t="s">
        <v>1108</v>
      </c>
      <c r="H119" s="147" t="s">
        <v>1331</v>
      </c>
      <c r="I119" s="148" t="s">
        <v>1224</v>
      </c>
      <c r="J119" s="150">
        <v>140946.82</v>
      </c>
      <c r="K119" s="151">
        <v>63.2</v>
      </c>
      <c r="L119" s="152">
        <v>2230.1712025316456</v>
      </c>
      <c r="M119" s="148" t="s">
        <v>1298</v>
      </c>
      <c r="N119" s="159" t="s">
        <v>982</v>
      </c>
      <c r="O119" s="153" t="s">
        <v>982</v>
      </c>
    </row>
    <row r="120" spans="1:15" s="154" customFormat="1" x14ac:dyDescent="0.2">
      <c r="A120" s="145">
        <v>44277</v>
      </c>
      <c r="B120" s="148" t="s">
        <v>613</v>
      </c>
      <c r="C120" s="148">
        <v>122099</v>
      </c>
      <c r="D120" s="147" t="s">
        <v>1057</v>
      </c>
      <c r="E120" s="148" t="s">
        <v>19</v>
      </c>
      <c r="F120" s="158" t="s">
        <v>614</v>
      </c>
      <c r="G120" s="149" t="s">
        <v>1107</v>
      </c>
      <c r="H120" s="147" t="s">
        <v>1332</v>
      </c>
      <c r="I120" s="148" t="s">
        <v>1224</v>
      </c>
      <c r="J120" s="150">
        <v>196740.36</v>
      </c>
      <c r="K120" s="151">
        <v>63.2</v>
      </c>
      <c r="L120" s="152">
        <v>3112.9803797468353</v>
      </c>
      <c r="M120" s="148" t="s">
        <v>1298</v>
      </c>
      <c r="N120" s="159" t="s">
        <v>982</v>
      </c>
      <c r="O120" s="153" t="s">
        <v>982</v>
      </c>
    </row>
    <row r="121" spans="1:15" s="154" customFormat="1" x14ac:dyDescent="0.2">
      <c r="A121" s="145">
        <v>44280</v>
      </c>
      <c r="B121" s="148" t="s">
        <v>616</v>
      </c>
      <c r="C121" s="148">
        <v>112101</v>
      </c>
      <c r="D121" s="147" t="s">
        <v>1062</v>
      </c>
      <c r="E121" s="148" t="s">
        <v>19</v>
      </c>
      <c r="F121" s="158" t="s">
        <v>617</v>
      </c>
      <c r="G121" s="148" t="s">
        <v>1109</v>
      </c>
      <c r="H121" s="147" t="s">
        <v>1333</v>
      </c>
      <c r="I121" s="148" t="s">
        <v>1224</v>
      </c>
      <c r="J121" s="150">
        <v>45000</v>
      </c>
      <c r="K121" s="151">
        <v>63.2</v>
      </c>
      <c r="L121" s="152">
        <v>712.02531645569616</v>
      </c>
      <c r="M121" s="148" t="s">
        <v>1298</v>
      </c>
      <c r="N121" s="159" t="s">
        <v>982</v>
      </c>
      <c r="O121" s="153" t="s">
        <v>982</v>
      </c>
    </row>
    <row r="122" spans="1:15" s="154" customFormat="1" x14ac:dyDescent="0.2">
      <c r="A122" s="145">
        <v>44291</v>
      </c>
      <c r="B122" s="148" t="s">
        <v>619</v>
      </c>
      <c r="C122" s="148">
        <v>122099</v>
      </c>
      <c r="D122" s="147" t="s">
        <v>1063</v>
      </c>
      <c r="E122" s="148" t="s">
        <v>13</v>
      </c>
      <c r="F122" s="148" t="s">
        <v>621</v>
      </c>
      <c r="G122" s="148" t="s">
        <v>1110</v>
      </c>
      <c r="H122" s="147" t="s">
        <v>1334</v>
      </c>
      <c r="I122" s="148" t="s">
        <v>1224</v>
      </c>
      <c r="J122" s="150">
        <v>5775</v>
      </c>
      <c r="K122" s="151">
        <v>63.2</v>
      </c>
      <c r="L122" s="152">
        <v>91.37658227848101</v>
      </c>
      <c r="M122" s="148" t="s">
        <v>1298</v>
      </c>
      <c r="N122" s="159" t="s">
        <v>1335</v>
      </c>
      <c r="O122" s="153" t="s">
        <v>1335</v>
      </c>
    </row>
    <row r="123" spans="1:15" s="154" customFormat="1" x14ac:dyDescent="0.2">
      <c r="A123" s="145">
        <v>44319</v>
      </c>
      <c r="B123" s="148" t="s">
        <v>624</v>
      </c>
      <c r="C123" s="148">
        <v>112101</v>
      </c>
      <c r="D123" s="147" t="s">
        <v>1064</v>
      </c>
      <c r="E123" s="148" t="s">
        <v>13</v>
      </c>
      <c r="F123" s="148" t="s">
        <v>583</v>
      </c>
      <c r="G123" s="148" t="s">
        <v>1109</v>
      </c>
      <c r="H123" s="147" t="s">
        <v>1336</v>
      </c>
      <c r="I123" s="148" t="s">
        <v>1224</v>
      </c>
      <c r="J123" s="149">
        <v>39600</v>
      </c>
      <c r="K123" s="151">
        <v>63.2</v>
      </c>
      <c r="L123" s="152">
        <v>626.58227848101262</v>
      </c>
      <c r="M123" s="148" t="s">
        <v>1298</v>
      </c>
      <c r="N123" s="159" t="s">
        <v>982</v>
      </c>
      <c r="O123" s="153" t="s">
        <v>982</v>
      </c>
    </row>
    <row r="124" spans="1:15" s="154" customFormat="1" x14ac:dyDescent="0.2">
      <c r="A124" s="145">
        <v>44319</v>
      </c>
      <c r="B124" s="146" t="s">
        <v>627</v>
      </c>
      <c r="C124" s="146">
        <v>122002</v>
      </c>
      <c r="D124" s="147" t="s">
        <v>628</v>
      </c>
      <c r="E124" s="148" t="s">
        <v>13</v>
      </c>
      <c r="F124" s="148" t="s">
        <v>583</v>
      </c>
      <c r="G124" s="149" t="s">
        <v>1111</v>
      </c>
      <c r="H124" s="147" t="s">
        <v>1337</v>
      </c>
      <c r="I124" s="148" t="s">
        <v>1224</v>
      </c>
      <c r="J124" s="150">
        <v>385132</v>
      </c>
      <c r="K124" s="151">
        <v>63.2</v>
      </c>
      <c r="L124" s="152">
        <v>6093.8607594936702</v>
      </c>
      <c r="M124" s="148" t="s">
        <v>1298</v>
      </c>
      <c r="N124" s="159" t="s">
        <v>982</v>
      </c>
      <c r="O124" s="153" t="s">
        <v>982</v>
      </c>
    </row>
    <row r="125" spans="1:15" s="154" customFormat="1" x14ac:dyDescent="0.2">
      <c r="A125" s="145">
        <v>44400</v>
      </c>
      <c r="B125" s="146" t="s">
        <v>652</v>
      </c>
      <c r="C125" s="146">
        <v>112101</v>
      </c>
      <c r="D125" s="147" t="s">
        <v>1062</v>
      </c>
      <c r="E125" s="148" t="s">
        <v>19</v>
      </c>
      <c r="F125" s="148" t="s">
        <v>653</v>
      </c>
      <c r="G125" s="149" t="s">
        <v>1109</v>
      </c>
      <c r="H125" s="147" t="s">
        <v>1338</v>
      </c>
      <c r="I125" s="148" t="s">
        <v>1224</v>
      </c>
      <c r="J125" s="150">
        <v>77400</v>
      </c>
      <c r="K125" s="151">
        <v>63.2</v>
      </c>
      <c r="L125" s="152">
        <v>1224.6835443037974</v>
      </c>
      <c r="M125" s="148" t="s">
        <v>1298</v>
      </c>
      <c r="N125" s="159" t="s">
        <v>982</v>
      </c>
      <c r="O125" s="153" t="s">
        <v>982</v>
      </c>
    </row>
    <row r="126" spans="1:15" s="154" customFormat="1" x14ac:dyDescent="0.2">
      <c r="A126" s="145">
        <v>44400</v>
      </c>
      <c r="B126" s="146" t="s">
        <v>655</v>
      </c>
      <c r="C126" s="146">
        <v>122099</v>
      </c>
      <c r="D126" s="147" t="s">
        <v>1065</v>
      </c>
      <c r="E126" s="148" t="s">
        <v>19</v>
      </c>
      <c r="F126" s="148" t="s">
        <v>653</v>
      </c>
      <c r="G126" s="148" t="s">
        <v>656</v>
      </c>
      <c r="H126" s="147" t="s">
        <v>1339</v>
      </c>
      <c r="I126" s="148" t="s">
        <v>1224</v>
      </c>
      <c r="J126" s="150">
        <v>4659.2</v>
      </c>
      <c r="K126" s="151">
        <v>63.2</v>
      </c>
      <c r="L126" s="152">
        <v>73.721518987341767</v>
      </c>
      <c r="M126" s="148" t="s">
        <v>1298</v>
      </c>
      <c r="N126" s="159" t="s">
        <v>982</v>
      </c>
      <c r="O126" s="153" t="s">
        <v>982</v>
      </c>
    </row>
    <row r="127" spans="1:15" s="154" customFormat="1" x14ac:dyDescent="0.2">
      <c r="A127" s="145">
        <v>44400</v>
      </c>
      <c r="B127" s="146" t="s">
        <v>658</v>
      </c>
      <c r="C127" s="146">
        <v>122099</v>
      </c>
      <c r="D127" s="147" t="s">
        <v>1066</v>
      </c>
      <c r="E127" s="148" t="s">
        <v>19</v>
      </c>
      <c r="F127" s="148" t="s">
        <v>653</v>
      </c>
      <c r="G127" s="149" t="s">
        <v>1112</v>
      </c>
      <c r="H127" s="147" t="s">
        <v>1340</v>
      </c>
      <c r="I127" s="148" t="s">
        <v>1224</v>
      </c>
      <c r="J127" s="150">
        <v>83500</v>
      </c>
      <c r="K127" s="151">
        <v>63.2</v>
      </c>
      <c r="L127" s="152">
        <v>1321.2025316455695</v>
      </c>
      <c r="M127" s="148" t="s">
        <v>1298</v>
      </c>
      <c r="N127" s="159" t="s">
        <v>982</v>
      </c>
      <c r="O127" s="153" t="s">
        <v>982</v>
      </c>
    </row>
    <row r="128" spans="1:15" s="154" customFormat="1" x14ac:dyDescent="0.2">
      <c r="A128" s="145">
        <v>44400</v>
      </c>
      <c r="B128" s="146" t="s">
        <v>663</v>
      </c>
      <c r="C128" s="146">
        <v>121000</v>
      </c>
      <c r="D128" s="147" t="s">
        <v>1061</v>
      </c>
      <c r="E128" s="148" t="s">
        <v>19</v>
      </c>
      <c r="F128" s="148" t="s">
        <v>664</v>
      </c>
      <c r="G128" s="149" t="s">
        <v>1113</v>
      </c>
      <c r="H128" s="147" t="s">
        <v>1341</v>
      </c>
      <c r="I128" s="148" t="s">
        <v>1224</v>
      </c>
      <c r="J128" s="150">
        <v>339898.95</v>
      </c>
      <c r="K128" s="151">
        <v>63.2</v>
      </c>
      <c r="L128" s="152">
        <v>5378.147943037975</v>
      </c>
      <c r="M128" s="148" t="s">
        <v>1298</v>
      </c>
      <c r="N128" s="159" t="s">
        <v>982</v>
      </c>
      <c r="O128" s="153" t="s">
        <v>982</v>
      </c>
    </row>
    <row r="129" spans="1:15" s="154" customFormat="1" x14ac:dyDescent="0.25">
      <c r="A129" s="145">
        <v>44512</v>
      </c>
      <c r="B129" s="146" t="s">
        <v>645</v>
      </c>
      <c r="C129" s="146">
        <v>122099</v>
      </c>
      <c r="D129" s="147" t="s">
        <v>1067</v>
      </c>
      <c r="E129" s="148" t="s">
        <v>19</v>
      </c>
      <c r="F129" s="148" t="s">
        <v>532</v>
      </c>
      <c r="G129" s="149" t="s">
        <v>1114</v>
      </c>
      <c r="H129" s="147" t="s">
        <v>1342</v>
      </c>
      <c r="I129" s="148" t="s">
        <v>1224</v>
      </c>
      <c r="J129" s="150">
        <v>96408</v>
      </c>
      <c r="K129" s="151">
        <v>63.2</v>
      </c>
      <c r="L129" s="152">
        <v>1525.4430379746834</v>
      </c>
      <c r="M129" s="148" t="s">
        <v>1298</v>
      </c>
      <c r="N129" s="171" t="s">
        <v>982</v>
      </c>
      <c r="O129" s="153" t="s">
        <v>982</v>
      </c>
    </row>
    <row r="130" spans="1:15" s="154" customFormat="1" x14ac:dyDescent="0.2">
      <c r="A130" s="145">
        <v>44560</v>
      </c>
      <c r="B130" s="148" t="s">
        <v>631</v>
      </c>
      <c r="C130" s="148">
        <v>112101</v>
      </c>
      <c r="D130" s="147" t="s">
        <v>632</v>
      </c>
      <c r="E130" s="148" t="s">
        <v>19</v>
      </c>
      <c r="F130" s="158" t="s">
        <v>617</v>
      </c>
      <c r="G130" s="149" t="s">
        <v>1109</v>
      </c>
      <c r="H130" s="147" t="s">
        <v>1343</v>
      </c>
      <c r="I130" s="148" t="s">
        <v>1224</v>
      </c>
      <c r="J130" s="149">
        <v>10800</v>
      </c>
      <c r="K130" s="151">
        <v>63.2</v>
      </c>
      <c r="L130" s="152">
        <v>170.88607594936707</v>
      </c>
      <c r="M130" s="148" t="s">
        <v>1298</v>
      </c>
      <c r="N130" s="159" t="s">
        <v>982</v>
      </c>
      <c r="O130" s="153" t="s">
        <v>982</v>
      </c>
    </row>
    <row r="131" spans="1:15" s="154" customFormat="1" x14ac:dyDescent="0.2">
      <c r="A131" s="145">
        <v>44560</v>
      </c>
      <c r="B131" s="148" t="s">
        <v>634</v>
      </c>
      <c r="C131" s="148">
        <v>112101</v>
      </c>
      <c r="D131" s="147" t="s">
        <v>632</v>
      </c>
      <c r="E131" s="148" t="s">
        <v>19</v>
      </c>
      <c r="F131" s="158" t="s">
        <v>617</v>
      </c>
      <c r="G131" s="149" t="s">
        <v>1109</v>
      </c>
      <c r="H131" s="147" t="s">
        <v>1344</v>
      </c>
      <c r="I131" s="148" t="s">
        <v>1224</v>
      </c>
      <c r="J131" s="150">
        <v>3600</v>
      </c>
      <c r="K131" s="151">
        <v>63.2</v>
      </c>
      <c r="L131" s="152">
        <v>56.962025316455694</v>
      </c>
      <c r="M131" s="148" t="s">
        <v>1298</v>
      </c>
      <c r="N131" s="159" t="s">
        <v>982</v>
      </c>
      <c r="O131" s="153" t="s">
        <v>982</v>
      </c>
    </row>
    <row r="132" spans="1:15" s="154" customFormat="1" x14ac:dyDescent="0.2">
      <c r="A132" s="145">
        <v>44560</v>
      </c>
      <c r="B132" s="146" t="s">
        <v>636</v>
      </c>
      <c r="C132" s="146">
        <v>112101</v>
      </c>
      <c r="D132" s="147" t="s">
        <v>632</v>
      </c>
      <c r="E132" s="148" t="s">
        <v>19</v>
      </c>
      <c r="F132" s="158" t="s">
        <v>617</v>
      </c>
      <c r="G132" s="149" t="s">
        <v>1115</v>
      </c>
      <c r="H132" s="147" t="s">
        <v>1345</v>
      </c>
      <c r="I132" s="148" t="s">
        <v>1224</v>
      </c>
      <c r="J132" s="150">
        <v>37800</v>
      </c>
      <c r="K132" s="151">
        <v>63.2</v>
      </c>
      <c r="L132" s="152">
        <v>598.10126582278474</v>
      </c>
      <c r="M132" s="148" t="s">
        <v>1298</v>
      </c>
      <c r="N132" s="159" t="s">
        <v>982</v>
      </c>
      <c r="O132" s="153" t="s">
        <v>982</v>
      </c>
    </row>
    <row r="133" spans="1:15" s="154" customFormat="1" x14ac:dyDescent="0.2">
      <c r="A133" s="145">
        <v>44560</v>
      </c>
      <c r="B133" s="146" t="s">
        <v>638</v>
      </c>
      <c r="C133" s="146">
        <v>112101</v>
      </c>
      <c r="D133" s="147" t="s">
        <v>632</v>
      </c>
      <c r="E133" s="148" t="s">
        <v>19</v>
      </c>
      <c r="F133" s="158" t="s">
        <v>617</v>
      </c>
      <c r="G133" s="149" t="s">
        <v>1115</v>
      </c>
      <c r="H133" s="147" t="s">
        <v>1343</v>
      </c>
      <c r="I133" s="148" t="s">
        <v>1224</v>
      </c>
      <c r="J133" s="150">
        <v>7800</v>
      </c>
      <c r="K133" s="151">
        <v>63.2</v>
      </c>
      <c r="L133" s="152">
        <v>123.41772151898734</v>
      </c>
      <c r="M133" s="148" t="s">
        <v>1298</v>
      </c>
      <c r="N133" s="159" t="s">
        <v>982</v>
      </c>
      <c r="O133" s="153" t="s">
        <v>982</v>
      </c>
    </row>
    <row r="134" spans="1:15" s="154" customFormat="1" x14ac:dyDescent="0.2">
      <c r="A134" s="145">
        <v>44560</v>
      </c>
      <c r="B134" s="146" t="s">
        <v>639</v>
      </c>
      <c r="C134" s="146">
        <v>121002</v>
      </c>
      <c r="D134" s="147" t="s">
        <v>1068</v>
      </c>
      <c r="E134" s="148" t="s">
        <v>19</v>
      </c>
      <c r="F134" s="148" t="s">
        <v>617</v>
      </c>
      <c r="G134" s="149" t="s">
        <v>1115</v>
      </c>
      <c r="H134" s="147" t="s">
        <v>1346</v>
      </c>
      <c r="I134" s="148" t="s">
        <v>1224</v>
      </c>
      <c r="J134" s="150">
        <v>10800</v>
      </c>
      <c r="K134" s="151">
        <v>63.2</v>
      </c>
      <c r="L134" s="152">
        <v>170.88607594936707</v>
      </c>
      <c r="M134" s="148" t="s">
        <v>1298</v>
      </c>
      <c r="N134" s="159" t="s">
        <v>982</v>
      </c>
      <c r="O134" s="153" t="s">
        <v>982</v>
      </c>
    </row>
    <row r="135" spans="1:15" s="154" customFormat="1" x14ac:dyDescent="0.2">
      <c r="A135" s="145">
        <v>44560</v>
      </c>
      <c r="B135" s="146" t="s">
        <v>642</v>
      </c>
      <c r="C135" s="146">
        <v>112101</v>
      </c>
      <c r="D135" s="147" t="s">
        <v>1069</v>
      </c>
      <c r="E135" s="148" t="s">
        <v>19</v>
      </c>
      <c r="F135" s="158" t="s">
        <v>617</v>
      </c>
      <c r="G135" s="149" t="s">
        <v>1109</v>
      </c>
      <c r="H135" s="147" t="s">
        <v>1347</v>
      </c>
      <c r="I135" s="148" t="s">
        <v>1224</v>
      </c>
      <c r="J135" s="150">
        <v>10800</v>
      </c>
      <c r="K135" s="151">
        <v>63.2</v>
      </c>
      <c r="L135" s="152">
        <v>170.88607594936707</v>
      </c>
      <c r="M135" s="148" t="s">
        <v>1298</v>
      </c>
      <c r="N135" s="159" t="s">
        <v>982</v>
      </c>
      <c r="O135" s="153" t="s">
        <v>982</v>
      </c>
    </row>
    <row r="136" spans="1:15" s="154" customFormat="1" x14ac:dyDescent="0.2">
      <c r="A136" s="161">
        <v>44560</v>
      </c>
      <c r="B136" s="162" t="s">
        <v>649</v>
      </c>
      <c r="C136" s="162">
        <v>112101</v>
      </c>
      <c r="D136" s="163" t="s">
        <v>1070</v>
      </c>
      <c r="E136" s="148" t="s">
        <v>19</v>
      </c>
      <c r="F136" s="164" t="s">
        <v>617</v>
      </c>
      <c r="G136" s="165" t="s">
        <v>1109</v>
      </c>
      <c r="H136" s="163" t="s">
        <v>1348</v>
      </c>
      <c r="I136" s="166" t="s">
        <v>1224</v>
      </c>
      <c r="J136" s="167">
        <v>10800</v>
      </c>
      <c r="K136" s="168">
        <v>63.2</v>
      </c>
      <c r="L136" s="169">
        <v>170.88607594936707</v>
      </c>
      <c r="M136" s="166" t="s">
        <v>1298</v>
      </c>
      <c r="N136" s="170" t="s">
        <v>982</v>
      </c>
      <c r="O136" s="171" t="s">
        <v>982</v>
      </c>
    </row>
    <row r="137" spans="1:15" x14ac:dyDescent="0.2">
      <c r="A137" s="145">
        <v>44771</v>
      </c>
      <c r="B137" s="146" t="s">
        <v>950</v>
      </c>
      <c r="C137" s="146">
        <v>122099</v>
      </c>
      <c r="D137" s="147" t="s">
        <v>1085</v>
      </c>
      <c r="E137" s="148" t="s">
        <v>19</v>
      </c>
      <c r="F137" s="158" t="s">
        <v>586</v>
      </c>
      <c r="G137" s="149" t="s">
        <v>1174</v>
      </c>
      <c r="H137" s="147" t="s">
        <v>1349</v>
      </c>
      <c r="I137" s="148" t="s">
        <v>1224</v>
      </c>
      <c r="J137" s="150">
        <v>280000</v>
      </c>
      <c r="K137" s="151">
        <v>63.23</v>
      </c>
      <c r="L137" s="152">
        <v>4428.2777162739212</v>
      </c>
      <c r="M137" s="166" t="s">
        <v>1298</v>
      </c>
      <c r="N137" s="159" t="s">
        <v>586</v>
      </c>
      <c r="O137" s="171" t="s">
        <v>586</v>
      </c>
    </row>
    <row r="138" spans="1:15" x14ac:dyDescent="0.2">
      <c r="A138" s="145">
        <v>44771</v>
      </c>
      <c r="B138" s="146" t="s">
        <v>952</v>
      </c>
      <c r="C138" s="146">
        <v>122099</v>
      </c>
      <c r="D138" s="147" t="s">
        <v>1085</v>
      </c>
      <c r="E138" s="148" t="s">
        <v>19</v>
      </c>
      <c r="F138" s="158" t="s">
        <v>586</v>
      </c>
      <c r="G138" s="149" t="s">
        <v>1175</v>
      </c>
      <c r="H138" s="147" t="s">
        <v>1350</v>
      </c>
      <c r="I138" s="148" t="s">
        <v>1224</v>
      </c>
      <c r="J138" s="150">
        <v>185400</v>
      </c>
      <c r="K138" s="151">
        <v>63.23</v>
      </c>
      <c r="L138" s="152">
        <v>2932.1524592756605</v>
      </c>
      <c r="M138" s="166" t="s">
        <v>1298</v>
      </c>
      <c r="N138" s="159" t="s">
        <v>586</v>
      </c>
      <c r="O138" s="171" t="s">
        <v>586</v>
      </c>
    </row>
    <row r="139" spans="1:15" x14ac:dyDescent="0.2">
      <c r="A139" s="145">
        <v>44771</v>
      </c>
      <c r="B139" s="146" t="s">
        <v>956</v>
      </c>
      <c r="C139" s="146">
        <v>122099</v>
      </c>
      <c r="D139" s="147" t="s">
        <v>1085</v>
      </c>
      <c r="E139" s="148" t="s">
        <v>19</v>
      </c>
      <c r="F139" s="158" t="s">
        <v>572</v>
      </c>
      <c r="G139" s="149" t="s">
        <v>1176</v>
      </c>
      <c r="H139" s="147" t="s">
        <v>1351</v>
      </c>
      <c r="I139" s="148" t="s">
        <v>1224</v>
      </c>
      <c r="J139" s="150">
        <v>195800</v>
      </c>
      <c r="K139" s="151">
        <v>63.23</v>
      </c>
      <c r="L139" s="152">
        <v>3096.6313458801205</v>
      </c>
      <c r="M139" s="166" t="s">
        <v>1298</v>
      </c>
      <c r="N139" s="159" t="s">
        <v>572</v>
      </c>
      <c r="O139" s="171" t="s">
        <v>572</v>
      </c>
    </row>
    <row r="140" spans="1:15" x14ac:dyDescent="0.2">
      <c r="A140" s="145">
        <v>44771</v>
      </c>
      <c r="B140" s="146" t="s">
        <v>959</v>
      </c>
      <c r="C140" s="146">
        <v>122099</v>
      </c>
      <c r="D140" s="147" t="s">
        <v>1099</v>
      </c>
      <c r="E140" s="148" t="s">
        <v>19</v>
      </c>
      <c r="F140" s="158" t="s">
        <v>586</v>
      </c>
      <c r="G140" s="149" t="s">
        <v>1177</v>
      </c>
      <c r="H140" s="147" t="s">
        <v>1352</v>
      </c>
      <c r="I140" s="148" t="s">
        <v>1224</v>
      </c>
      <c r="J140" s="150">
        <v>55000</v>
      </c>
      <c r="K140" s="151">
        <v>63.23</v>
      </c>
      <c r="L140" s="152">
        <v>869.84026569666298</v>
      </c>
      <c r="M140" s="166" t="s">
        <v>1298</v>
      </c>
      <c r="N140" s="159" t="s">
        <v>586</v>
      </c>
      <c r="O140" s="171" t="s">
        <v>586</v>
      </c>
    </row>
    <row r="141" spans="1:15" x14ac:dyDescent="0.2">
      <c r="A141" s="145">
        <v>44771</v>
      </c>
      <c r="B141" s="146" t="s">
        <v>963</v>
      </c>
      <c r="C141" s="146">
        <v>122099</v>
      </c>
      <c r="D141" s="147" t="s">
        <v>1099</v>
      </c>
      <c r="E141" s="148" t="s">
        <v>19</v>
      </c>
      <c r="F141" s="158" t="s">
        <v>572</v>
      </c>
      <c r="G141" s="149" t="s">
        <v>1178</v>
      </c>
      <c r="H141" s="147" t="s">
        <v>1353</v>
      </c>
      <c r="I141" s="148" t="s">
        <v>1224</v>
      </c>
      <c r="J141" s="150">
        <v>25000</v>
      </c>
      <c r="K141" s="151">
        <v>63.23</v>
      </c>
      <c r="L141" s="152">
        <v>395.38193895302862</v>
      </c>
      <c r="M141" s="166" t="s">
        <v>1298</v>
      </c>
      <c r="N141" s="159" t="s">
        <v>572</v>
      </c>
      <c r="O141" s="171" t="s">
        <v>572</v>
      </c>
    </row>
    <row r="142" spans="1:15" x14ac:dyDescent="0.2">
      <c r="A142" s="145">
        <v>44771</v>
      </c>
      <c r="B142" s="146" t="s">
        <v>966</v>
      </c>
      <c r="C142" s="146">
        <v>122099</v>
      </c>
      <c r="D142" s="147" t="s">
        <v>1085</v>
      </c>
      <c r="E142" s="148" t="s">
        <v>19</v>
      </c>
      <c r="F142" s="158" t="s">
        <v>572</v>
      </c>
      <c r="G142" s="149" t="s">
        <v>1179</v>
      </c>
      <c r="H142" s="147" t="s">
        <v>1354</v>
      </c>
      <c r="I142" s="148" t="s">
        <v>1224</v>
      </c>
      <c r="J142" s="150">
        <v>329200</v>
      </c>
      <c r="K142" s="151">
        <v>63.23</v>
      </c>
      <c r="L142" s="152">
        <v>5206.3893721334816</v>
      </c>
      <c r="M142" s="166" t="s">
        <v>1298</v>
      </c>
      <c r="N142" s="159" t="s">
        <v>572</v>
      </c>
      <c r="O142" s="171" t="s">
        <v>572</v>
      </c>
    </row>
    <row r="143" spans="1:15" x14ac:dyDescent="0.2">
      <c r="A143" s="145">
        <v>44771</v>
      </c>
      <c r="B143" s="146" t="s">
        <v>969</v>
      </c>
      <c r="C143" s="146">
        <v>122099</v>
      </c>
      <c r="D143" s="147" t="s">
        <v>1085</v>
      </c>
      <c r="E143" s="148" t="s">
        <v>19</v>
      </c>
      <c r="F143" s="158" t="s">
        <v>572</v>
      </c>
      <c r="G143" s="149" t="s">
        <v>1180</v>
      </c>
      <c r="H143" s="147" t="s">
        <v>1355</v>
      </c>
      <c r="I143" s="148" t="s">
        <v>1224</v>
      </c>
      <c r="J143" s="150">
        <v>610250</v>
      </c>
      <c r="K143" s="151">
        <v>63.23</v>
      </c>
      <c r="L143" s="152">
        <v>9651.2731298434301</v>
      </c>
      <c r="M143" s="166" t="s">
        <v>1298</v>
      </c>
      <c r="N143" s="159" t="s">
        <v>572</v>
      </c>
      <c r="O143" s="171" t="s">
        <v>572</v>
      </c>
    </row>
    <row r="144" spans="1:15" x14ac:dyDescent="0.2">
      <c r="A144" s="145">
        <v>44771</v>
      </c>
      <c r="B144" s="146" t="s">
        <v>974</v>
      </c>
      <c r="C144" s="146">
        <v>122099</v>
      </c>
      <c r="D144" s="147" t="s">
        <v>1084</v>
      </c>
      <c r="E144" s="148" t="s">
        <v>19</v>
      </c>
      <c r="F144" s="158" t="s">
        <v>572</v>
      </c>
      <c r="G144" s="149" t="s">
        <v>1181</v>
      </c>
      <c r="H144" s="147" t="s">
        <v>1356</v>
      </c>
      <c r="I144" s="148" t="s">
        <v>1224</v>
      </c>
      <c r="J144" s="150">
        <v>211000</v>
      </c>
      <c r="K144" s="151">
        <v>63.23</v>
      </c>
      <c r="L144" s="152">
        <v>3337.0235647635618</v>
      </c>
      <c r="M144" s="166" t="s">
        <v>1298</v>
      </c>
      <c r="N144" s="159" t="s">
        <v>572</v>
      </c>
      <c r="O144" s="171" t="s">
        <v>572</v>
      </c>
    </row>
    <row r="145" spans="1:15" x14ac:dyDescent="0.2">
      <c r="A145" s="145">
        <v>44771</v>
      </c>
      <c r="B145" s="146" t="s">
        <v>973</v>
      </c>
      <c r="C145" s="146">
        <v>122099</v>
      </c>
      <c r="D145" s="147" t="s">
        <v>1084</v>
      </c>
      <c r="E145" s="148" t="s">
        <v>19</v>
      </c>
      <c r="F145" s="158" t="s">
        <v>586</v>
      </c>
      <c r="G145" s="149" t="s">
        <v>1182</v>
      </c>
      <c r="H145" s="147" t="s">
        <v>1357</v>
      </c>
      <c r="I145" s="148" t="s">
        <v>1224</v>
      </c>
      <c r="J145" s="150">
        <v>168000</v>
      </c>
      <c r="K145" s="151">
        <v>63.23</v>
      </c>
      <c r="L145" s="152">
        <v>2656.9666297643525</v>
      </c>
      <c r="M145" s="166" t="s">
        <v>1298</v>
      </c>
      <c r="N145" s="159" t="s">
        <v>586</v>
      </c>
      <c r="O145" s="171" t="s">
        <v>586</v>
      </c>
    </row>
    <row r="146" spans="1:15" x14ac:dyDescent="0.2">
      <c r="A146" s="145">
        <v>44771</v>
      </c>
      <c r="B146" s="146" t="s">
        <v>977</v>
      </c>
      <c r="C146" s="146">
        <v>122099</v>
      </c>
      <c r="D146" s="147" t="s">
        <v>1084</v>
      </c>
      <c r="E146" s="148" t="s">
        <v>19</v>
      </c>
      <c r="F146" s="158" t="s">
        <v>572</v>
      </c>
      <c r="G146" s="149" t="s">
        <v>1183</v>
      </c>
      <c r="H146" s="147" t="s">
        <v>1358</v>
      </c>
      <c r="I146" s="148" t="s">
        <v>1224</v>
      </c>
      <c r="J146" s="150">
        <v>47500</v>
      </c>
      <c r="K146" s="151">
        <v>63.23</v>
      </c>
      <c r="L146" s="152">
        <v>751.22568401075443</v>
      </c>
      <c r="M146" s="166" t="s">
        <v>1298</v>
      </c>
      <c r="N146" s="159" t="s">
        <v>572</v>
      </c>
      <c r="O146" s="171" t="s">
        <v>572</v>
      </c>
    </row>
    <row r="147" spans="1:15" x14ac:dyDescent="0.2">
      <c r="A147" s="161">
        <v>44771</v>
      </c>
      <c r="B147" s="162" t="s">
        <v>980</v>
      </c>
      <c r="C147" s="162">
        <v>121099</v>
      </c>
      <c r="D147" s="163" t="s">
        <v>1106</v>
      </c>
      <c r="E147" s="166" t="s">
        <v>19</v>
      </c>
      <c r="F147" s="164" t="s">
        <v>982</v>
      </c>
      <c r="G147" s="165" t="s">
        <v>1192</v>
      </c>
      <c r="H147" s="163" t="s">
        <v>1359</v>
      </c>
      <c r="I147" s="166" t="s">
        <v>1224</v>
      </c>
      <c r="J147" s="167">
        <v>6048899.8799999999</v>
      </c>
      <c r="K147" s="168">
        <v>63.23</v>
      </c>
      <c r="L147" s="169">
        <v>95665.030523485693</v>
      </c>
      <c r="M147" s="166" t="s">
        <v>1298</v>
      </c>
      <c r="N147" s="171" t="s">
        <v>982</v>
      </c>
      <c r="O147" s="171" t="s">
        <v>982</v>
      </c>
    </row>
    <row r="148" spans="1:15" x14ac:dyDescent="0.2">
      <c r="A148" s="206">
        <v>44769</v>
      </c>
      <c r="B148" s="199" t="s">
        <v>947</v>
      </c>
      <c r="C148" s="200">
        <v>121099</v>
      </c>
      <c r="D148" s="194" t="s">
        <v>943</v>
      </c>
      <c r="E148" s="158" t="s">
        <v>19</v>
      </c>
      <c r="F148" s="158" t="s">
        <v>561</v>
      </c>
      <c r="G148" s="201" t="s">
        <v>1172</v>
      </c>
      <c r="H148" s="194" t="s">
        <v>1292</v>
      </c>
      <c r="I148" s="158" t="s">
        <v>1224</v>
      </c>
      <c r="J148" s="195">
        <v>9337261.6799999997</v>
      </c>
      <c r="K148" s="196">
        <v>63.23</v>
      </c>
      <c r="L148" s="197">
        <v>147671.38510200856</v>
      </c>
      <c r="M148" s="197" t="s">
        <v>1225</v>
      </c>
      <c r="N148" s="198" t="s">
        <v>561</v>
      </c>
      <c r="O148" s="158" t="s">
        <v>561</v>
      </c>
    </row>
    <row r="149" spans="1:15" x14ac:dyDescent="0.2">
      <c r="A149" s="145">
        <v>44727</v>
      </c>
      <c r="B149" s="155" t="s">
        <v>793</v>
      </c>
      <c r="C149" s="146">
        <v>121001</v>
      </c>
      <c r="D149" s="147" t="s">
        <v>1087</v>
      </c>
      <c r="E149" s="148" t="s">
        <v>13</v>
      </c>
      <c r="F149" s="158" t="s">
        <v>794</v>
      </c>
      <c r="G149" s="149" t="s">
        <v>1117</v>
      </c>
      <c r="H149" s="147" t="s">
        <v>1293</v>
      </c>
      <c r="I149" s="148" t="s">
        <v>1224</v>
      </c>
      <c r="J149" s="150">
        <v>156483.5</v>
      </c>
      <c r="K149" s="151">
        <v>63.23</v>
      </c>
      <c r="L149" s="152">
        <v>2474.8299857662505</v>
      </c>
      <c r="M149" s="152" t="s">
        <v>1225</v>
      </c>
      <c r="N149" s="186" t="s">
        <v>982</v>
      </c>
      <c r="O149" s="186" t="s">
        <v>982</v>
      </c>
    </row>
    <row r="150" spans="1:15" x14ac:dyDescent="0.2">
      <c r="A150" s="145">
        <v>44635</v>
      </c>
      <c r="B150" s="155" t="s">
        <v>803</v>
      </c>
      <c r="C150" s="146">
        <v>121001</v>
      </c>
      <c r="D150" s="147" t="s">
        <v>1087</v>
      </c>
      <c r="E150" s="148" t="s">
        <v>13</v>
      </c>
      <c r="F150" s="158" t="s">
        <v>586</v>
      </c>
      <c r="G150" s="149" t="s">
        <v>1191</v>
      </c>
      <c r="H150" s="147" t="s">
        <v>1294</v>
      </c>
      <c r="I150" s="148" t="s">
        <v>1224</v>
      </c>
      <c r="J150" s="150">
        <v>22161</v>
      </c>
      <c r="K150" s="151">
        <v>63.23</v>
      </c>
      <c r="L150" s="152">
        <v>350.48236596552272</v>
      </c>
      <c r="M150" s="152" t="s">
        <v>1225</v>
      </c>
      <c r="N150" s="159" t="s">
        <v>586</v>
      </c>
      <c r="O150" s="171" t="s">
        <v>586</v>
      </c>
    </row>
    <row r="151" spans="1:15" x14ac:dyDescent="0.2">
      <c r="A151" s="145">
        <v>44729</v>
      </c>
      <c r="B151" s="155" t="s">
        <v>844</v>
      </c>
      <c r="C151" s="146">
        <v>122099</v>
      </c>
      <c r="D151" s="147" t="s">
        <v>757</v>
      </c>
      <c r="E151" s="148" t="s">
        <v>13</v>
      </c>
      <c r="F151" s="158" t="s">
        <v>572</v>
      </c>
      <c r="G151" s="149" t="s">
        <v>1150</v>
      </c>
      <c r="H151" s="147" t="s">
        <v>1295</v>
      </c>
      <c r="I151" s="148" t="s">
        <v>1224</v>
      </c>
      <c r="J151" s="150">
        <v>26530</v>
      </c>
      <c r="K151" s="151">
        <v>63.23</v>
      </c>
      <c r="L151" s="152">
        <v>419.57931361695398</v>
      </c>
      <c r="M151" s="152" t="s">
        <v>1225</v>
      </c>
      <c r="N151" s="159" t="s">
        <v>572</v>
      </c>
      <c r="O151" s="171" t="s">
        <v>572</v>
      </c>
    </row>
    <row r="152" spans="1:15" x14ac:dyDescent="0.2">
      <c r="A152" s="161">
        <v>44729</v>
      </c>
      <c r="B152" s="173" t="s">
        <v>847</v>
      </c>
      <c r="C152" s="162">
        <v>122099</v>
      </c>
      <c r="D152" s="163" t="s">
        <v>759</v>
      </c>
      <c r="E152" s="166" t="s">
        <v>13</v>
      </c>
      <c r="F152" s="164" t="s">
        <v>572</v>
      </c>
      <c r="G152" s="165" t="s">
        <v>1150</v>
      </c>
      <c r="H152" s="163" t="s">
        <v>1296</v>
      </c>
      <c r="I152" s="166" t="s">
        <v>1224</v>
      </c>
      <c r="J152" s="167">
        <v>8700</v>
      </c>
      <c r="K152" s="168">
        <v>63.23</v>
      </c>
      <c r="L152" s="169">
        <v>137.59291475565396</v>
      </c>
      <c r="M152" s="152" t="s">
        <v>1225</v>
      </c>
      <c r="N152" s="159" t="s">
        <v>572</v>
      </c>
      <c r="O152" s="171" t="s">
        <v>572</v>
      </c>
    </row>
    <row r="155" spans="1:15" x14ac:dyDescent="0.2">
      <c r="O155" s="172" t="s">
        <v>1386</v>
      </c>
    </row>
    <row r="158" spans="1:15" x14ac:dyDescent="0.2">
      <c r="O158" s="172" t="s">
        <v>561</v>
      </c>
    </row>
  </sheetData>
  <conditionalFormatting sqref="L148">
    <cfRule type="duplicateValues" dxfId="4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D10B-AAF2-4E49-9607-DAAAFA8ADB94}">
  <dimension ref="A3:H22"/>
  <sheetViews>
    <sheetView showGridLines="0" zoomScale="160" zoomScaleNormal="160" workbookViewId="0">
      <selection activeCell="C5" sqref="C5"/>
    </sheetView>
  </sheetViews>
  <sheetFormatPr defaultRowHeight="15" x14ac:dyDescent="0.25"/>
  <cols>
    <col min="1" max="1" width="19" bestFit="1" customWidth="1"/>
    <col min="2" max="2" width="16.28515625" bestFit="1" customWidth="1"/>
    <col min="3" max="4" width="13.42578125" bestFit="1" customWidth="1"/>
    <col min="7" max="7" width="11.5703125" customWidth="1"/>
    <col min="8" max="8" width="13.42578125" bestFit="1" customWidth="1"/>
  </cols>
  <sheetData>
    <row r="3" spans="1:8" x14ac:dyDescent="0.25">
      <c r="B3" s="183" t="s">
        <v>1382</v>
      </c>
    </row>
    <row r="4" spans="1:8" x14ac:dyDescent="0.25">
      <c r="B4" t="s">
        <v>1381</v>
      </c>
      <c r="C4" t="s">
        <v>1380</v>
      </c>
      <c r="D4" t="s">
        <v>1378</v>
      </c>
      <c r="G4" t="s">
        <v>1377</v>
      </c>
      <c r="H4" t="s">
        <v>1380</v>
      </c>
    </row>
    <row r="5" spans="1:8" x14ac:dyDescent="0.25">
      <c r="A5" t="s">
        <v>1379</v>
      </c>
      <c r="B5" s="185">
        <v>47422.624841772151</v>
      </c>
      <c r="C5" s="185">
        <v>1591331.2459515398</v>
      </c>
      <c r="D5" s="185">
        <v>1638753.8707933121</v>
      </c>
      <c r="G5" t="s">
        <v>504</v>
      </c>
      <c r="H5" s="66">
        <v>1616.6455696202529</v>
      </c>
    </row>
    <row r="6" spans="1:8" x14ac:dyDescent="0.25">
      <c r="G6" t="s">
        <v>794</v>
      </c>
      <c r="H6" s="66">
        <v>3123.8132911392404</v>
      </c>
    </row>
    <row r="7" spans="1:8" x14ac:dyDescent="0.25">
      <c r="G7" t="s">
        <v>1207</v>
      </c>
      <c r="H7" s="66">
        <v>13374.889293057095</v>
      </c>
    </row>
    <row r="8" spans="1:8" x14ac:dyDescent="0.25">
      <c r="G8" t="s">
        <v>561</v>
      </c>
      <c r="H8" s="66">
        <v>336719.28571600164</v>
      </c>
    </row>
    <row r="9" spans="1:8" x14ac:dyDescent="0.25">
      <c r="G9" t="s">
        <v>565</v>
      </c>
      <c r="H9" s="66">
        <v>45725.68467139257</v>
      </c>
    </row>
    <row r="10" spans="1:8" x14ac:dyDescent="0.25">
      <c r="G10" t="s">
        <v>532</v>
      </c>
      <c r="H10" s="66">
        <v>59383.428797468354</v>
      </c>
    </row>
    <row r="11" spans="1:8" x14ac:dyDescent="0.25">
      <c r="G11" t="s">
        <v>982</v>
      </c>
      <c r="H11" s="66">
        <v>139150.55954452002</v>
      </c>
    </row>
    <row r="12" spans="1:8" x14ac:dyDescent="0.25">
      <c r="G12" t="s">
        <v>586</v>
      </c>
      <c r="H12" s="66">
        <v>66980.120523175399</v>
      </c>
    </row>
    <row r="13" spans="1:8" x14ac:dyDescent="0.25">
      <c r="G13" t="s">
        <v>681</v>
      </c>
      <c r="H13" s="66">
        <v>41608.978097842526</v>
      </c>
    </row>
    <row r="14" spans="1:8" x14ac:dyDescent="0.25">
      <c r="G14" t="s">
        <v>824</v>
      </c>
      <c r="H14" s="66">
        <v>9728.7138713247004</v>
      </c>
    </row>
    <row r="15" spans="1:8" x14ac:dyDescent="0.25">
      <c r="G15" t="s">
        <v>1018</v>
      </c>
      <c r="H15" s="66">
        <v>178862.97564447258</v>
      </c>
    </row>
    <row r="16" spans="1:8" x14ac:dyDescent="0.25">
      <c r="G16" t="s">
        <v>560</v>
      </c>
      <c r="H16" s="66">
        <v>11378.164556962025</v>
      </c>
    </row>
    <row r="17" spans="7:8" x14ac:dyDescent="0.25">
      <c r="G17" t="s">
        <v>572</v>
      </c>
      <c r="H17" s="66">
        <v>380118.35532224114</v>
      </c>
    </row>
    <row r="18" spans="7:8" x14ac:dyDescent="0.25">
      <c r="G18" t="s">
        <v>583</v>
      </c>
      <c r="H18" s="66">
        <v>24294.846202531644</v>
      </c>
    </row>
    <row r="19" spans="7:8" x14ac:dyDescent="0.25">
      <c r="G19" t="s">
        <v>575</v>
      </c>
      <c r="H19" s="66">
        <v>279133.20174050634</v>
      </c>
    </row>
    <row r="20" spans="7:8" x14ac:dyDescent="0.25">
      <c r="G20" t="s">
        <v>1211</v>
      </c>
      <c r="H20" s="66">
        <v>131.58310928356792</v>
      </c>
    </row>
    <row r="21" spans="7:8" x14ac:dyDescent="0.25">
      <c r="G21" t="s">
        <v>1335</v>
      </c>
      <c r="H21" s="66"/>
    </row>
    <row r="22" spans="7:8" x14ac:dyDescent="0.25">
      <c r="G22" t="s">
        <v>1378</v>
      </c>
      <c r="H22" s="66">
        <v>1591331.2459515389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IFAD GRANT 2022</vt:lpstr>
      <vt:lpstr>IFAD Loan 2022</vt:lpstr>
      <vt:lpstr>RPSF 1st_2021</vt:lpstr>
      <vt:lpstr>RPSF 1st_2022</vt:lpstr>
      <vt:lpstr>RPSF 2nd_2022</vt:lpstr>
      <vt:lpstr>Sheet 1</vt:lpstr>
      <vt:lpstr>Sheet2</vt:lpstr>
      <vt:lpstr>RPSF 2nd_2022 (2)</vt:lpstr>
      <vt:lpstr>Sheet1</vt:lpstr>
      <vt:lpstr>Sheet3</vt:lpstr>
      <vt:lpstr>sheet 2</vt:lpstr>
      <vt:lpstr>Folha1</vt:lpstr>
      <vt:lpstr>RPSF Grant_2022</vt:lpstr>
      <vt:lpstr>Grant December</vt:lpstr>
      <vt:lpstr>December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Macaco</dc:creator>
  <cp:lastModifiedBy>UNGP PROCAVA</cp:lastModifiedBy>
  <cp:lastPrinted>2022-02-25T10:44:49Z</cp:lastPrinted>
  <dcterms:created xsi:type="dcterms:W3CDTF">2021-10-15T11:09:25Z</dcterms:created>
  <dcterms:modified xsi:type="dcterms:W3CDTF">2022-08-30T07:14:03Z</dcterms:modified>
</cp:coreProperties>
</file>